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6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persons/person.xml" ContentType="application/vnd.ms-excel.person+xml"/>
  <Override PartName="/xl/worksheets/sheet26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https://watershedinstitute.sharepoint.com/sites/Staff/StreamWatch/Interns/2025/Lily Raphael/"/>
    </mc:Choice>
  </mc:AlternateContent>
  <xr:revisionPtr revIDLastSave="334" documentId="8_{979FA064-C4B7-5341-8DEC-CEE9EE21BEAA}" xr6:coauthVersionLast="47" xr6:coauthVersionMax="47" xr10:uidLastSave="{9C879EE2-59C8-AF43-8BA4-42472B7D2A50}"/>
  <bookViews>
    <workbookView xWindow="0" yWindow="720" windowWidth="29400" windowHeight="18400" xr2:uid="{00000000-000D-0000-FFFF-FFFF00000000}"/>
  </bookViews>
  <sheets>
    <sheet name="SITE DATA INFORMATION" sheetId="45" r:id="rId1"/>
    <sheet name="METADATA" sheetId="39" r:id="rId2"/>
    <sheet name="AC5" sheetId="14" r:id="rId3"/>
    <sheet name="AX1" sheetId="48" r:id="rId4"/>
    <sheet name="BB1" sheetId="19" r:id="rId5"/>
    <sheet name="BD1" sheetId="30" r:id="rId6"/>
    <sheet name="BD3" sheetId="27" r:id="rId7"/>
    <sheet name="BD4" sheetId="15" r:id="rId8"/>
    <sheet name="BK1" sheetId="31" r:id="rId9"/>
    <sheet name="CB2" sheetId="18" r:id="rId10"/>
    <sheet name="COL1" sheetId="16" r:id="rId11"/>
    <sheet name="RBA" sheetId="17" r:id="rId12"/>
    <sheet name="SB1" sheetId="28" r:id="rId13"/>
    <sheet name="SB2" sheetId="33" r:id="rId14"/>
    <sheet name="SB3" sheetId="34" r:id="rId15"/>
    <sheet name="Sheet1" sheetId="49" r:id="rId16"/>
    <sheet name="SB4" sheetId="35" r:id="rId17"/>
    <sheet name="SB5" sheetId="36" r:id="rId18"/>
    <sheet name="SBA" sheetId="29" r:id="rId19"/>
    <sheet name="SM1" sheetId="37" r:id="rId20"/>
    <sheet name="TM1" sheetId="38" r:id="rId21"/>
    <sheet name="DATA_WITH_GENUS_NEW" sheetId="46" r:id="rId22"/>
    <sheet name="DATA_WITH_GENUS_OLD" sheetId="13" r:id="rId23"/>
    <sheet name="DATA_WITHOUT_GENUS" sheetId="26" r:id="rId24"/>
    <sheet name="BugList" sheetId="4" r:id="rId25"/>
    <sheet name="SiteSize" sheetId="21" r:id="rId26"/>
  </sheets>
  <externalReferences>
    <externalReference r:id="rId27"/>
  </externalReferences>
  <definedNames>
    <definedName name="_xlnm._FilterDatabase" localSheetId="24" hidden="1">BugList!$A$1:$AB$1626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98" i="45" l="1"/>
  <c r="A299" i="45"/>
  <c r="A300" i="45"/>
  <c r="A301" i="45"/>
  <c r="A302" i="45"/>
  <c r="A303" i="45"/>
  <c r="A304" i="45"/>
  <c r="A305" i="45"/>
  <c r="A306" i="45"/>
  <c r="A307" i="45"/>
  <c r="A243" i="45"/>
  <c r="A244" i="45"/>
  <c r="A245" i="45"/>
  <c r="A246" i="45"/>
  <c r="A247" i="45"/>
  <c r="A248" i="45"/>
  <c r="A249" i="45"/>
  <c r="A250" i="45"/>
  <c r="A251" i="45"/>
  <c r="A252" i="45"/>
  <c r="A253" i="45"/>
  <c r="A254" i="45"/>
  <c r="A255" i="45"/>
  <c r="A256" i="45"/>
  <c r="A257" i="45"/>
  <c r="A258" i="45"/>
  <c r="A259" i="45"/>
  <c r="A260" i="45"/>
  <c r="A261" i="45"/>
  <c r="A262" i="45"/>
  <c r="A263" i="45"/>
  <c r="A264" i="45"/>
  <c r="A265" i="45"/>
  <c r="A266" i="45"/>
  <c r="A267" i="45"/>
  <c r="A268" i="45"/>
  <c r="A269" i="45"/>
  <c r="A270" i="45"/>
  <c r="A271" i="45"/>
  <c r="A272" i="45"/>
  <c r="A273" i="45"/>
  <c r="A274" i="45"/>
  <c r="A275" i="45"/>
  <c r="A276" i="45"/>
  <c r="A277" i="45"/>
  <c r="A278" i="45"/>
  <c r="A279" i="45"/>
  <c r="A280" i="45"/>
  <c r="A281" i="45"/>
  <c r="A282" i="45"/>
  <c r="A283" i="45"/>
  <c r="A284" i="45"/>
  <c r="A285" i="45"/>
  <c r="A286" i="45"/>
  <c r="A287" i="45"/>
  <c r="A288" i="45"/>
  <c r="A289" i="45"/>
  <c r="A290" i="45"/>
  <c r="A291" i="45"/>
  <c r="A292" i="45"/>
  <c r="A293" i="45"/>
  <c r="A294" i="45"/>
  <c r="A295" i="45"/>
  <c r="A296" i="45"/>
  <c r="A297" i="45"/>
  <c r="A210" i="45"/>
  <c r="A211" i="45"/>
  <c r="A212" i="45"/>
  <c r="A213" i="45"/>
  <c r="A214" i="45"/>
  <c r="A215" i="45"/>
  <c r="A216" i="45"/>
  <c r="A217" i="45"/>
  <c r="A218" i="45"/>
  <c r="A219" i="45"/>
  <c r="A220" i="45"/>
  <c r="A221" i="45"/>
  <c r="A222" i="45"/>
  <c r="A223" i="45"/>
  <c r="A224" i="45"/>
  <c r="A225" i="45"/>
  <c r="A226" i="45"/>
  <c r="A227" i="45"/>
  <c r="A228" i="45"/>
  <c r="A229" i="45"/>
  <c r="A230" i="45"/>
  <c r="A231" i="45"/>
  <c r="A232" i="45"/>
  <c r="A233" i="45"/>
  <c r="A234" i="45"/>
  <c r="A235" i="45"/>
  <c r="A236" i="45"/>
  <c r="A237" i="45"/>
  <c r="A238" i="45"/>
  <c r="A239" i="45"/>
  <c r="A240" i="45"/>
  <c r="A241" i="45"/>
  <c r="A242" i="45"/>
  <c r="A173" i="45"/>
  <c r="A174" i="45"/>
  <c r="A175" i="45"/>
  <c r="A176" i="45"/>
  <c r="A177" i="45"/>
  <c r="A178" i="45"/>
  <c r="A179" i="45"/>
  <c r="A180" i="45"/>
  <c r="A181" i="45"/>
  <c r="A182" i="45"/>
  <c r="A183" i="45"/>
  <c r="A184" i="45"/>
  <c r="A185" i="45"/>
  <c r="A186" i="45"/>
  <c r="A187" i="45"/>
  <c r="A188" i="45"/>
  <c r="A189" i="45"/>
  <c r="A190" i="45"/>
  <c r="A191" i="45"/>
  <c r="A192" i="45"/>
  <c r="A193" i="45"/>
  <c r="A194" i="45"/>
  <c r="A195" i="45"/>
  <c r="A196" i="45"/>
  <c r="A197" i="45"/>
  <c r="A198" i="45"/>
  <c r="A199" i="45"/>
  <c r="A200" i="45"/>
  <c r="A201" i="45"/>
  <c r="A202" i="45"/>
  <c r="A203" i="45"/>
  <c r="A204" i="45"/>
  <c r="A205" i="45"/>
  <c r="A206" i="45"/>
  <c r="A207" i="45"/>
  <c r="A208" i="45"/>
  <c r="A209" i="45"/>
  <c r="A115" i="45"/>
  <c r="A116" i="45"/>
  <c r="A117" i="45"/>
  <c r="A118" i="45"/>
  <c r="A119" i="45"/>
  <c r="A120" i="45"/>
  <c r="A121" i="45"/>
  <c r="A122" i="45"/>
  <c r="A123" i="45"/>
  <c r="A124" i="45"/>
  <c r="A125" i="45"/>
  <c r="A126" i="45"/>
  <c r="A127" i="45"/>
  <c r="A128" i="45"/>
  <c r="A129" i="45"/>
  <c r="A130" i="45"/>
  <c r="A131" i="45"/>
  <c r="A132" i="45"/>
  <c r="A133" i="45"/>
  <c r="A134" i="45"/>
  <c r="A135" i="45"/>
  <c r="A136" i="45"/>
  <c r="A137" i="45"/>
  <c r="A138" i="45"/>
  <c r="A139" i="45"/>
  <c r="A140" i="45"/>
  <c r="A141" i="45"/>
  <c r="A142" i="45"/>
  <c r="A143" i="45"/>
  <c r="A144" i="45"/>
  <c r="A145" i="45"/>
  <c r="A146" i="45"/>
  <c r="A147" i="45"/>
  <c r="A148" i="45"/>
  <c r="A149" i="45"/>
  <c r="A150" i="45"/>
  <c r="A151" i="45"/>
  <c r="A152" i="45"/>
  <c r="A153" i="45"/>
  <c r="A154" i="45"/>
  <c r="A155" i="45"/>
  <c r="A156" i="45"/>
  <c r="A157" i="45"/>
  <c r="A158" i="45"/>
  <c r="A159" i="45"/>
  <c r="A160" i="45"/>
  <c r="A161" i="45"/>
  <c r="A162" i="45"/>
  <c r="A163" i="45"/>
  <c r="A164" i="45"/>
  <c r="A165" i="45"/>
  <c r="A166" i="45"/>
  <c r="A167" i="45"/>
  <c r="A168" i="45"/>
  <c r="A169" i="45"/>
  <c r="A170" i="45"/>
  <c r="A171" i="45"/>
  <c r="A172" i="45"/>
  <c r="J2" i="48"/>
  <c r="F2" i="48"/>
  <c r="E53" i="15"/>
  <c r="E54" i="15"/>
  <c r="F56" i="15"/>
  <c r="G16" i="15"/>
  <c r="F16" i="15"/>
  <c r="I2" i="46" a="1"/>
  <c r="I2" i="46" s="1"/>
  <c r="J9" i="46"/>
  <c r="G2" i="48" a="1"/>
  <c r="G2" i="48" s="1"/>
  <c r="M2" i="48" s="1"/>
  <c r="AL2" i="15"/>
  <c r="AK2" i="15"/>
  <c r="AJ2" i="15"/>
  <c r="O709" i="26"/>
  <c r="N709" i="26"/>
  <c r="L4" i="26"/>
  <c r="J673" i="26"/>
  <c r="J3" i="46"/>
  <c r="T3" i="46" s="1"/>
  <c r="J4" i="46"/>
  <c r="T4" i="46" s="1"/>
  <c r="J5" i="46"/>
  <c r="T5" i="46" s="1"/>
  <c r="J6" i="46"/>
  <c r="T6" i="46" s="1"/>
  <c r="J7" i="46"/>
  <c r="T7" i="46" s="1"/>
  <c r="J8" i="46"/>
  <c r="T8" i="46" s="1"/>
  <c r="J10" i="46"/>
  <c r="J11" i="46"/>
  <c r="T11" i="46" s="1"/>
  <c r="J12" i="46"/>
  <c r="T12" i="46" s="1"/>
  <c r="J13" i="46"/>
  <c r="T13" i="46" s="1"/>
  <c r="J14" i="46"/>
  <c r="J15" i="46"/>
  <c r="T15" i="46" s="1"/>
  <c r="J16" i="46"/>
  <c r="T16" i="46" s="1"/>
  <c r="J17" i="46"/>
  <c r="J18" i="46"/>
  <c r="J19" i="46"/>
  <c r="J20" i="46"/>
  <c r="T20" i="46" s="1"/>
  <c r="J21" i="46"/>
  <c r="T21" i="46" s="1"/>
  <c r="J22" i="46"/>
  <c r="J23" i="46"/>
  <c r="T23" i="46" s="1"/>
  <c r="J24" i="46"/>
  <c r="I22" i="46" a="1"/>
  <c r="I22" i="46" s="1"/>
  <c r="U22" i="46" s="1"/>
  <c r="J41" i="46"/>
  <c r="J40" i="46"/>
  <c r="J2" i="13" a="1"/>
  <c r="J2" i="13" s="1"/>
  <c r="I2" i="13"/>
  <c r="H2" i="13"/>
  <c r="G2" i="13"/>
  <c r="J25" i="46"/>
  <c r="J26" i="46"/>
  <c r="J27" i="46"/>
  <c r="J28" i="46"/>
  <c r="J29" i="46"/>
  <c r="T29" i="46" s="1"/>
  <c r="J30" i="46"/>
  <c r="T30" i="46" s="1"/>
  <c r="J31" i="46"/>
  <c r="J32" i="46"/>
  <c r="T32" i="46" s="1"/>
  <c r="J33" i="46"/>
  <c r="J34" i="46"/>
  <c r="J35" i="46"/>
  <c r="J36" i="46"/>
  <c r="J37" i="46"/>
  <c r="T37" i="46" s="1"/>
  <c r="J38" i="46"/>
  <c r="J39" i="46"/>
  <c r="J42" i="46"/>
  <c r="J43" i="46"/>
  <c r="J44" i="46"/>
  <c r="J45" i="46"/>
  <c r="J46" i="46"/>
  <c r="T24" i="46"/>
  <c r="T28" i="46"/>
  <c r="T39" i="46"/>
  <c r="T44" i="46"/>
  <c r="T46" i="46"/>
  <c r="I40" i="46" a="1"/>
  <c r="I40" i="46" s="1"/>
  <c r="A3" i="45"/>
  <c r="A4" i="45"/>
  <c r="G3" i="48" a="1"/>
  <c r="G3" i="48" s="1"/>
  <c r="H3" i="48"/>
  <c r="N3" i="48" s="1"/>
  <c r="I3" i="48"/>
  <c r="O3" i="48" s="1"/>
  <c r="U3" i="48"/>
  <c r="AA3" i="48" s="1"/>
  <c r="W3" i="48"/>
  <c r="X3" i="48"/>
  <c r="Y3" i="48"/>
  <c r="T35" i="46"/>
  <c r="T38" i="46"/>
  <c r="T27" i="46"/>
  <c r="U24" i="46"/>
  <c r="T25" i="46"/>
  <c r="U25" i="46"/>
  <c r="T26" i="46"/>
  <c r="U26" i="46"/>
  <c r="U27" i="46"/>
  <c r="U28" i="46"/>
  <c r="U29" i="46"/>
  <c r="U30" i="46"/>
  <c r="T31" i="46"/>
  <c r="U31" i="46"/>
  <c r="U32" i="46"/>
  <c r="T33" i="46"/>
  <c r="U33" i="46"/>
  <c r="T34" i="46"/>
  <c r="U34" i="46"/>
  <c r="U35" i="46"/>
  <c r="T36" i="46"/>
  <c r="U36" i="46"/>
  <c r="U37" i="46"/>
  <c r="U38" i="46"/>
  <c r="U39" i="46"/>
  <c r="T41" i="46"/>
  <c r="U41" i="46"/>
  <c r="T42" i="46"/>
  <c r="U42" i="46"/>
  <c r="T43" i="46"/>
  <c r="U43" i="46"/>
  <c r="U44" i="46"/>
  <c r="T45" i="46"/>
  <c r="U45" i="46"/>
  <c r="U46" i="46"/>
  <c r="U3" i="46"/>
  <c r="U4" i="46"/>
  <c r="U5" i="46"/>
  <c r="U6" i="46"/>
  <c r="U7" i="46"/>
  <c r="U8" i="46"/>
  <c r="U9" i="46"/>
  <c r="U10" i="46"/>
  <c r="U11" i="46"/>
  <c r="U12" i="46"/>
  <c r="U13" i="46"/>
  <c r="U14" i="46"/>
  <c r="U15" i="46"/>
  <c r="U16" i="46"/>
  <c r="U17" i="46"/>
  <c r="U18" i="46"/>
  <c r="U19" i="46"/>
  <c r="U20" i="46"/>
  <c r="U21" i="46"/>
  <c r="U23" i="46"/>
  <c r="T9" i="46"/>
  <c r="T10" i="46"/>
  <c r="T14" i="46"/>
  <c r="T17" i="46"/>
  <c r="T18" i="46"/>
  <c r="T19" i="46"/>
  <c r="A3" i="48"/>
  <c r="D3" i="48" s="1"/>
  <c r="O24" i="46"/>
  <c r="P24" i="46"/>
  <c r="O25" i="46"/>
  <c r="P25" i="46"/>
  <c r="O26" i="46"/>
  <c r="P26" i="46"/>
  <c r="O27" i="46"/>
  <c r="P27" i="46"/>
  <c r="O28" i="46"/>
  <c r="P28" i="46"/>
  <c r="O29" i="46"/>
  <c r="P29" i="46"/>
  <c r="O30" i="46"/>
  <c r="P30" i="46"/>
  <c r="O31" i="46"/>
  <c r="P31" i="46"/>
  <c r="O32" i="46"/>
  <c r="P32" i="46"/>
  <c r="O33" i="46"/>
  <c r="P33" i="46"/>
  <c r="O34" i="46"/>
  <c r="P34" i="46"/>
  <c r="O35" i="46"/>
  <c r="P35" i="46"/>
  <c r="O36" i="46"/>
  <c r="P36" i="46"/>
  <c r="O37" i="46"/>
  <c r="P37" i="46"/>
  <c r="O38" i="46"/>
  <c r="P38" i="46"/>
  <c r="O39" i="46"/>
  <c r="P39" i="46"/>
  <c r="O40" i="46"/>
  <c r="P40" i="46"/>
  <c r="O41" i="46"/>
  <c r="P41" i="46"/>
  <c r="O42" i="46"/>
  <c r="P42" i="46"/>
  <c r="O43" i="46"/>
  <c r="P43" i="46"/>
  <c r="O44" i="46"/>
  <c r="P44" i="46"/>
  <c r="O45" i="46"/>
  <c r="P45" i="46"/>
  <c r="O46" i="46"/>
  <c r="P46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F25" i="46"/>
  <c r="G25" i="46" s="1"/>
  <c r="F26" i="46"/>
  <c r="G26" i="46" s="1"/>
  <c r="F27" i="46"/>
  <c r="G27" i="46"/>
  <c r="F28" i="46"/>
  <c r="G28" i="46" s="1"/>
  <c r="H28" i="46" s="1"/>
  <c r="F29" i="46"/>
  <c r="G29" i="46" s="1"/>
  <c r="F30" i="46"/>
  <c r="G30" i="46" s="1"/>
  <c r="F31" i="46"/>
  <c r="G31" i="46"/>
  <c r="H31" i="46" s="1"/>
  <c r="F32" i="46"/>
  <c r="G32" i="46" s="1"/>
  <c r="F33" i="46"/>
  <c r="G33" i="46" s="1"/>
  <c r="F34" i="46"/>
  <c r="G34" i="46" s="1"/>
  <c r="F35" i="46"/>
  <c r="F36" i="46"/>
  <c r="G36" i="46" s="1"/>
  <c r="H36" i="46" s="1"/>
  <c r="F37" i="46"/>
  <c r="G37" i="46"/>
  <c r="F38" i="46"/>
  <c r="G38" i="46" s="1"/>
  <c r="F39" i="46"/>
  <c r="F40" i="46"/>
  <c r="G40" i="46" s="1"/>
  <c r="F41" i="46"/>
  <c r="G41" i="46" s="1"/>
  <c r="F42" i="46"/>
  <c r="G42" i="46"/>
  <c r="H42" i="46" s="1"/>
  <c r="F43" i="46"/>
  <c r="G43" i="46" s="1"/>
  <c r="F44" i="46"/>
  <c r="G44" i="46" s="1"/>
  <c r="H44" i="46" s="1"/>
  <c r="F45" i="46"/>
  <c r="G45" i="46" s="1"/>
  <c r="F46" i="46"/>
  <c r="G46" i="46" s="1"/>
  <c r="F24" i="46"/>
  <c r="G24" i="46" s="1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23" i="46"/>
  <c r="L76" i="46"/>
  <c r="L78" i="46"/>
  <c r="L80" i="46"/>
  <c r="L82" i="46"/>
  <c r="L84" i="46"/>
  <c r="L86" i="46"/>
  <c r="L88" i="46"/>
  <c r="L90" i="46"/>
  <c r="L92" i="46"/>
  <c r="L94" i="46"/>
  <c r="L96" i="46"/>
  <c r="L98" i="46"/>
  <c r="K75" i="46"/>
  <c r="P75" i="46" s="1"/>
  <c r="K76" i="46"/>
  <c r="P76" i="46" s="1"/>
  <c r="K77" i="46"/>
  <c r="L77" i="46" s="1"/>
  <c r="K78" i="46"/>
  <c r="P78" i="46" s="1"/>
  <c r="K79" i="46"/>
  <c r="P79" i="46" s="1"/>
  <c r="K80" i="46"/>
  <c r="P80" i="46" s="1"/>
  <c r="K81" i="46"/>
  <c r="L81" i="46" s="1"/>
  <c r="K82" i="46"/>
  <c r="P82" i="46" s="1"/>
  <c r="K83" i="46"/>
  <c r="P83" i="46" s="1"/>
  <c r="K84" i="46"/>
  <c r="P84" i="46" s="1"/>
  <c r="K85" i="46"/>
  <c r="L85" i="46" s="1"/>
  <c r="K86" i="46"/>
  <c r="P86" i="46" s="1"/>
  <c r="K87" i="46"/>
  <c r="P87" i="46" s="1"/>
  <c r="K88" i="46"/>
  <c r="P88" i="46" s="1"/>
  <c r="K89" i="46"/>
  <c r="L89" i="46" s="1"/>
  <c r="K90" i="46"/>
  <c r="P90" i="46" s="1"/>
  <c r="K91" i="46"/>
  <c r="P91" i="46" s="1"/>
  <c r="K92" i="46"/>
  <c r="P92" i="46" s="1"/>
  <c r="K93" i="46"/>
  <c r="L93" i="46" s="1"/>
  <c r="K94" i="46"/>
  <c r="P94" i="46" s="1"/>
  <c r="K95" i="46"/>
  <c r="P95" i="46" s="1"/>
  <c r="K96" i="46"/>
  <c r="P96" i="46" s="1"/>
  <c r="K97" i="46"/>
  <c r="L97" i="46" s="1"/>
  <c r="K98" i="46"/>
  <c r="P98" i="46" s="1"/>
  <c r="K99" i="46"/>
  <c r="P99" i="46" s="1"/>
  <c r="F75" i="46"/>
  <c r="G75" i="46" s="1"/>
  <c r="F76" i="46"/>
  <c r="G76" i="46" s="1"/>
  <c r="F77" i="46"/>
  <c r="G77" i="46" s="1"/>
  <c r="F78" i="46"/>
  <c r="G78" i="46" s="1"/>
  <c r="F79" i="46"/>
  <c r="G79" i="46" s="1"/>
  <c r="F80" i="46"/>
  <c r="G80" i="46" s="1"/>
  <c r="F81" i="46"/>
  <c r="G81" i="46" s="1"/>
  <c r="F82" i="46"/>
  <c r="G82" i="46" s="1"/>
  <c r="F83" i="46"/>
  <c r="G83" i="46" s="1"/>
  <c r="F84" i="46"/>
  <c r="G84" i="46" s="1"/>
  <c r="F85" i="46"/>
  <c r="G85" i="46" s="1"/>
  <c r="F86" i="46"/>
  <c r="G86" i="46" s="1"/>
  <c r="F87" i="46"/>
  <c r="G87" i="46" s="1"/>
  <c r="F88" i="46"/>
  <c r="G88" i="46" s="1"/>
  <c r="F89" i="46"/>
  <c r="G89" i="46" s="1"/>
  <c r="F90" i="46"/>
  <c r="G90" i="46" s="1"/>
  <c r="F91" i="46"/>
  <c r="G91" i="46" s="1"/>
  <c r="F92" i="46"/>
  <c r="G92" i="46" s="1"/>
  <c r="F93" i="46"/>
  <c r="G93" i="46" s="1"/>
  <c r="F94" i="46"/>
  <c r="G94" i="46" s="1"/>
  <c r="F95" i="46"/>
  <c r="G95" i="46" s="1"/>
  <c r="F96" i="46"/>
  <c r="G96" i="46" s="1"/>
  <c r="F97" i="46"/>
  <c r="G97" i="46" s="1"/>
  <c r="F98" i="46"/>
  <c r="G98" i="46" s="1"/>
  <c r="F99" i="46"/>
  <c r="G99" i="46" s="1"/>
  <c r="G33" i="31"/>
  <c r="I2" i="30"/>
  <c r="J2" i="30"/>
  <c r="D2" i="14"/>
  <c r="A2" i="48"/>
  <c r="D2" i="48" s="1"/>
  <c r="P7" i="46"/>
  <c r="P9" i="46"/>
  <c r="P15" i="46"/>
  <c r="P17" i="46"/>
  <c r="P23" i="46"/>
  <c r="P28" i="13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" i="46"/>
  <c r="O28" i="13"/>
  <c r="N2" i="26"/>
  <c r="AA50" i="15"/>
  <c r="AI2" i="31"/>
  <c r="AL2" i="31" s="1"/>
  <c r="AI3" i="27"/>
  <c r="AL3" i="27" s="1"/>
  <c r="L2" i="46"/>
  <c r="K3" i="46"/>
  <c r="P3" i="46" s="1"/>
  <c r="K4" i="46"/>
  <c r="P4" i="46" s="1"/>
  <c r="K5" i="46"/>
  <c r="P5" i="46" s="1"/>
  <c r="K6" i="46"/>
  <c r="P6" i="46" s="1"/>
  <c r="K7" i="46"/>
  <c r="L7" i="46" s="1"/>
  <c r="K8" i="46"/>
  <c r="L8" i="46" s="1"/>
  <c r="K9" i="46"/>
  <c r="L9" i="46" s="1"/>
  <c r="K10" i="46"/>
  <c r="P10" i="46" s="1"/>
  <c r="K11" i="46"/>
  <c r="P11" i="46" s="1"/>
  <c r="K12" i="46"/>
  <c r="P12" i="46" s="1"/>
  <c r="K13" i="46"/>
  <c r="P13" i="46" s="1"/>
  <c r="K14" i="46"/>
  <c r="L14" i="46" s="1"/>
  <c r="K15" i="46"/>
  <c r="L15" i="46" s="1"/>
  <c r="K16" i="46"/>
  <c r="L16" i="46" s="1"/>
  <c r="K17" i="46"/>
  <c r="L17" i="46" s="1"/>
  <c r="K18" i="46"/>
  <c r="P18" i="46" s="1"/>
  <c r="K19" i="46"/>
  <c r="P19" i="46" s="1"/>
  <c r="K20" i="46"/>
  <c r="L20" i="46" s="1"/>
  <c r="K21" i="46"/>
  <c r="L21" i="46" s="1"/>
  <c r="K22" i="46"/>
  <c r="P22" i="46" s="1"/>
  <c r="K23" i="46"/>
  <c r="K2" i="46"/>
  <c r="P2" i="46" s="1"/>
  <c r="J2" i="26"/>
  <c r="F3" i="46"/>
  <c r="G3" i="46" s="1"/>
  <c r="F4" i="46"/>
  <c r="G4" i="46" s="1"/>
  <c r="F5" i="46"/>
  <c r="G5" i="46" s="1"/>
  <c r="F6" i="46"/>
  <c r="G6" i="46" s="1"/>
  <c r="H6" i="46" s="1"/>
  <c r="F7" i="46"/>
  <c r="G7" i="46" s="1"/>
  <c r="F8" i="46"/>
  <c r="G8" i="46" s="1"/>
  <c r="F9" i="46"/>
  <c r="G9" i="46" s="1"/>
  <c r="F10" i="46"/>
  <c r="G10" i="46" s="1"/>
  <c r="H10" i="46" s="1"/>
  <c r="F11" i="46"/>
  <c r="G11" i="46" s="1"/>
  <c r="F12" i="46"/>
  <c r="G12" i="46" s="1"/>
  <c r="F13" i="46"/>
  <c r="G13" i="46" s="1"/>
  <c r="F14" i="46"/>
  <c r="G14" i="46" s="1"/>
  <c r="H14" i="46" s="1"/>
  <c r="F15" i="46"/>
  <c r="G15" i="46" s="1"/>
  <c r="F16" i="46"/>
  <c r="G16" i="46" s="1"/>
  <c r="F17" i="46"/>
  <c r="G17" i="46" s="1"/>
  <c r="F18" i="46"/>
  <c r="G18" i="46" s="1"/>
  <c r="F19" i="46"/>
  <c r="G19" i="46" s="1"/>
  <c r="F20" i="46"/>
  <c r="G20" i="46" s="1"/>
  <c r="F21" i="46"/>
  <c r="G21" i="46" s="1"/>
  <c r="F22" i="46"/>
  <c r="G22" i="46" s="1"/>
  <c r="H22" i="46" s="1"/>
  <c r="F23" i="46"/>
  <c r="G23" i="46" s="1"/>
  <c r="F2" i="46"/>
  <c r="I2" i="26" a="1"/>
  <c r="I2" i="26" s="1"/>
  <c r="H2" i="26"/>
  <c r="G2" i="26"/>
  <c r="F2" i="26"/>
  <c r="G2" i="18"/>
  <c r="D2" i="18"/>
  <c r="E9" i="18"/>
  <c r="I2168" i="26" a="1"/>
  <c r="I2168" i="26" s="1"/>
  <c r="E10" i="18"/>
  <c r="I2166" i="26" a="1"/>
  <c r="I2166" i="26" s="1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3" i="18"/>
  <c r="G4" i="18"/>
  <c r="G5" i="18"/>
  <c r="G6" i="18"/>
  <c r="G7" i="18"/>
  <c r="G8" i="18"/>
  <c r="G10" i="18"/>
  <c r="G11" i="18"/>
  <c r="G2" i="31"/>
  <c r="G3" i="31"/>
  <c r="G4" i="31"/>
  <c r="G5" i="31"/>
  <c r="G6" i="31"/>
  <c r="G7" i="31"/>
  <c r="G8" i="31"/>
  <c r="G9" i="31"/>
  <c r="G10" i="31"/>
  <c r="G11" i="31"/>
  <c r="G12" i="31"/>
  <c r="G13" i="31"/>
  <c r="G14" i="31"/>
  <c r="G15" i="31"/>
  <c r="G16" i="31"/>
  <c r="G17" i="31"/>
  <c r="G18" i="31"/>
  <c r="G19" i="31"/>
  <c r="G20" i="31"/>
  <c r="G21" i="31"/>
  <c r="G22" i="31"/>
  <c r="G23" i="31"/>
  <c r="G24" i="31"/>
  <c r="G25" i="31"/>
  <c r="G26" i="31"/>
  <c r="G27" i="31"/>
  <c r="G28" i="31"/>
  <c r="G29" i="31"/>
  <c r="G30" i="31"/>
  <c r="G31" i="31"/>
  <c r="G32" i="3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H2" i="19"/>
  <c r="G3" i="30"/>
  <c r="G4" i="30"/>
  <c r="G5" i="30"/>
  <c r="G6" i="30"/>
  <c r="G7" i="30"/>
  <c r="G9" i="30"/>
  <c r="G10" i="30"/>
  <c r="G11" i="30"/>
  <c r="G12" i="30"/>
  <c r="G13" i="30"/>
  <c r="G14" i="30"/>
  <c r="G15" i="30"/>
  <c r="G16" i="30"/>
  <c r="G17" i="30"/>
  <c r="G18" i="30"/>
  <c r="G20" i="30"/>
  <c r="G21" i="30"/>
  <c r="G22" i="30"/>
  <c r="G23" i="30"/>
  <c r="G24" i="30"/>
  <c r="G25" i="30"/>
  <c r="G26" i="30"/>
  <c r="G27" i="30"/>
  <c r="G28" i="30"/>
  <c r="G29" i="30"/>
  <c r="G2" i="30"/>
  <c r="I2" i="48" l="1"/>
  <c r="O2" i="48" s="1"/>
  <c r="W2" i="48"/>
  <c r="H2" i="48"/>
  <c r="N2" i="48" s="1"/>
  <c r="J2" i="46"/>
  <c r="T2" i="46" s="1"/>
  <c r="U2" i="46"/>
  <c r="S3" i="48"/>
  <c r="Z3" i="48" s="1"/>
  <c r="U40" i="46"/>
  <c r="V3" i="48" s="1"/>
  <c r="T3" i="48"/>
  <c r="M3" i="48"/>
  <c r="T2" i="48"/>
  <c r="U2" i="48"/>
  <c r="AA2" i="48" s="1"/>
  <c r="Y2" i="48"/>
  <c r="E3" i="48"/>
  <c r="S2" i="48"/>
  <c r="Z2" i="48" s="1"/>
  <c r="V2" i="48"/>
  <c r="AC2" i="48" s="1"/>
  <c r="X2" i="48"/>
  <c r="H37" i="46"/>
  <c r="H27" i="46"/>
  <c r="H45" i="46"/>
  <c r="G35" i="46"/>
  <c r="H39" i="46"/>
  <c r="I39" i="46" s="1" a="1"/>
  <c r="I39" i="46" s="1"/>
  <c r="H35" i="46"/>
  <c r="I35" i="46" s="1" a="1"/>
  <c r="I35" i="46" s="1"/>
  <c r="G39" i="46"/>
  <c r="H34" i="46"/>
  <c r="H43" i="46"/>
  <c r="I43" i="46" s="1" a="1"/>
  <c r="I43" i="46" s="1"/>
  <c r="H40" i="46"/>
  <c r="H32" i="46"/>
  <c r="H29" i="46"/>
  <c r="I29" i="46" s="1" a="1"/>
  <c r="I29" i="46" s="1"/>
  <c r="H26" i="46"/>
  <c r="I26" i="46" s="1" a="1"/>
  <c r="I26" i="46" s="1"/>
  <c r="H41" i="46"/>
  <c r="I41" i="46" s="1" a="1"/>
  <c r="I41" i="46" s="1"/>
  <c r="H33" i="46"/>
  <c r="I24" i="46" s="1" a="1"/>
  <c r="I24" i="46" s="1"/>
  <c r="H25" i="46"/>
  <c r="I25" i="46" s="1" a="1"/>
  <c r="I25" i="46" s="1"/>
  <c r="H46" i="46"/>
  <c r="H38" i="46"/>
  <c r="H30" i="46"/>
  <c r="H24" i="46"/>
  <c r="I31" i="46" s="1" a="1"/>
  <c r="I31" i="46" s="1"/>
  <c r="H78" i="46"/>
  <c r="H86" i="46"/>
  <c r="H90" i="46"/>
  <c r="H94" i="46"/>
  <c r="H82" i="46"/>
  <c r="H98" i="46"/>
  <c r="P16" i="46"/>
  <c r="P8" i="46"/>
  <c r="L99" i="46"/>
  <c r="L91" i="46"/>
  <c r="L83" i="46"/>
  <c r="L75" i="46"/>
  <c r="P97" i="46"/>
  <c r="P93" i="46"/>
  <c r="P89" i="46"/>
  <c r="P85" i="46"/>
  <c r="P81" i="46"/>
  <c r="P77" i="46"/>
  <c r="L13" i="46"/>
  <c r="L5" i="46"/>
  <c r="L12" i="46"/>
  <c r="L4" i="46"/>
  <c r="L11" i="46"/>
  <c r="L3" i="46"/>
  <c r="P21" i="46"/>
  <c r="P14" i="46"/>
  <c r="L10" i="46"/>
  <c r="L18" i="46"/>
  <c r="L19" i="46"/>
  <c r="P20" i="46"/>
  <c r="H97" i="46"/>
  <c r="H93" i="46"/>
  <c r="H89" i="46"/>
  <c r="H85" i="46"/>
  <c r="H81" i="46"/>
  <c r="L95" i="46"/>
  <c r="L87" i="46"/>
  <c r="L79" i="46"/>
  <c r="L6" i="46"/>
  <c r="H76" i="46"/>
  <c r="H96" i="46"/>
  <c r="H92" i="46"/>
  <c r="H88" i="46"/>
  <c r="H84" i="46"/>
  <c r="H80" i="46"/>
  <c r="H77" i="46"/>
  <c r="H99" i="46"/>
  <c r="H95" i="46"/>
  <c r="H91" i="46"/>
  <c r="H87" i="46"/>
  <c r="H83" i="46"/>
  <c r="H79" i="46"/>
  <c r="H75" i="46"/>
  <c r="H18" i="46"/>
  <c r="H7" i="46"/>
  <c r="H15" i="46"/>
  <c r="H12" i="46"/>
  <c r="H9" i="46"/>
  <c r="H23" i="46"/>
  <c r="H21" i="46"/>
  <c r="H17" i="46"/>
  <c r="H5" i="46"/>
  <c r="H20" i="46"/>
  <c r="H13" i="46"/>
  <c r="H4" i="46"/>
  <c r="H19" i="46"/>
  <c r="H11" i="46"/>
  <c r="H3" i="46"/>
  <c r="H16" i="46"/>
  <c r="H8" i="46"/>
  <c r="G2" i="46"/>
  <c r="H2" i="46" s="1"/>
  <c r="G9" i="18"/>
  <c r="A112" i="45"/>
  <c r="A113" i="45"/>
  <c r="A114" i="45"/>
  <c r="A78" i="45"/>
  <c r="A79" i="45"/>
  <c r="A80" i="45"/>
  <c r="A81" i="45"/>
  <c r="A82" i="45"/>
  <c r="A83" i="45"/>
  <c r="A84" i="45"/>
  <c r="A85" i="45"/>
  <c r="A86" i="45"/>
  <c r="A87" i="45"/>
  <c r="A88" i="45"/>
  <c r="A89" i="45"/>
  <c r="A90" i="45"/>
  <c r="A91" i="45"/>
  <c r="A92" i="45"/>
  <c r="A93" i="45"/>
  <c r="A94" i="45"/>
  <c r="A95" i="45"/>
  <c r="A96" i="45"/>
  <c r="A97" i="45"/>
  <c r="A98" i="45"/>
  <c r="A99" i="45"/>
  <c r="A100" i="45"/>
  <c r="A101" i="45"/>
  <c r="A102" i="45"/>
  <c r="A103" i="45"/>
  <c r="A104" i="45"/>
  <c r="A105" i="45"/>
  <c r="A106" i="45"/>
  <c r="A107" i="45"/>
  <c r="A108" i="45"/>
  <c r="A109" i="45"/>
  <c r="A110" i="45"/>
  <c r="A111" i="45"/>
  <c r="I2238" i="26" a="1"/>
  <c r="I2238" i="26"/>
  <c r="I2172" i="26" a="1"/>
  <c r="I2172" i="26"/>
  <c r="I2160" i="26" a="1"/>
  <c r="I2160" i="26"/>
  <c r="I2161" i="26" a="1"/>
  <c r="I2161" i="26"/>
  <c r="I2162" i="26" a="1"/>
  <c r="I2162" i="26"/>
  <c r="I2163" i="26" a="1"/>
  <c r="I2163" i="26"/>
  <c r="I2164" i="26" a="1"/>
  <c r="I2164" i="26"/>
  <c r="I2165" i="26" a="1"/>
  <c r="I2165" i="26"/>
  <c r="I2170" i="26" a="1"/>
  <c r="I2170" i="26"/>
  <c r="I2171" i="26" a="1"/>
  <c r="I2171" i="26"/>
  <c r="I2159" i="26" a="1"/>
  <c r="I2159" i="26"/>
  <c r="I1173" i="26" a="1"/>
  <c r="I1173" i="26"/>
  <c r="I1174" i="26" a="1"/>
  <c r="I1174" i="26"/>
  <c r="I1175" i="26" a="1"/>
  <c r="I1175" i="26"/>
  <c r="I1176" i="26" a="1"/>
  <c r="I1176" i="26"/>
  <c r="I1177" i="26" a="1"/>
  <c r="I1177" i="26"/>
  <c r="I1178" i="26" a="1"/>
  <c r="I1178" i="26"/>
  <c r="I1179" i="26" a="1"/>
  <c r="I1179" i="26"/>
  <c r="I1180" i="26" a="1"/>
  <c r="I1180" i="26"/>
  <c r="I1181" i="26" a="1"/>
  <c r="I1181" i="26"/>
  <c r="I1182" i="26" a="1"/>
  <c r="I1182" i="26"/>
  <c r="I1183" i="26" a="1"/>
  <c r="I1183" i="26"/>
  <c r="I1172" i="26" a="1"/>
  <c r="I1172" i="26"/>
  <c r="I1607" i="26" a="1"/>
  <c r="I1607" i="26"/>
  <c r="I1608" i="26" a="1"/>
  <c r="I1608" i="26"/>
  <c r="I1609" i="26" a="1"/>
  <c r="I1609" i="26"/>
  <c r="I1610" i="26" a="1"/>
  <c r="I1610" i="26"/>
  <c r="I1611" i="26" a="1"/>
  <c r="I1611" i="26"/>
  <c r="I1612" i="26" a="1"/>
  <c r="I1612" i="26"/>
  <c r="I1613" i="26" a="1"/>
  <c r="I1613" i="26"/>
  <c r="I1614" i="26" a="1"/>
  <c r="I1614" i="26"/>
  <c r="I1615" i="26" a="1"/>
  <c r="I1615" i="26"/>
  <c r="I1616" i="26" a="1"/>
  <c r="I1616" i="26"/>
  <c r="I1617" i="26" a="1"/>
  <c r="I1617" i="26"/>
  <c r="I1618" i="26" a="1"/>
  <c r="I1618" i="26"/>
  <c r="I1619" i="26" a="1"/>
  <c r="I1619" i="26"/>
  <c r="I1620" i="26" a="1"/>
  <c r="I1620" i="26"/>
  <c r="I1621" i="26" a="1"/>
  <c r="I1621" i="26"/>
  <c r="I1622" i="26" a="1"/>
  <c r="I1622" i="26"/>
  <c r="I1623" i="26" a="1"/>
  <c r="I1623" i="26"/>
  <c r="I1625" i="26" a="1"/>
  <c r="I1625" i="26"/>
  <c r="I1626" i="26" a="1"/>
  <c r="I1626" i="26"/>
  <c r="I1627" i="26" a="1"/>
  <c r="I1627" i="26"/>
  <c r="I1628" i="26" a="1"/>
  <c r="I1628" i="26"/>
  <c r="I1629" i="26" a="1"/>
  <c r="I1629" i="26"/>
  <c r="I1630" i="26" a="1"/>
  <c r="I1630" i="26"/>
  <c r="I1631" i="26" a="1"/>
  <c r="I1631" i="26"/>
  <c r="I1632" i="26" a="1"/>
  <c r="I1632" i="26"/>
  <c r="I1633" i="26" a="1"/>
  <c r="I1633" i="26"/>
  <c r="I1634" i="26" a="1"/>
  <c r="I1634" i="26"/>
  <c r="I1635" i="26" a="1"/>
  <c r="I1635" i="26"/>
  <c r="I1636" i="26" a="1"/>
  <c r="I1636" i="26"/>
  <c r="I1624" i="26" a="1"/>
  <c r="I1624" i="26"/>
  <c r="A56" i="15"/>
  <c r="A8" i="28"/>
  <c r="A11" i="35"/>
  <c r="A7" i="33"/>
  <c r="A6" i="28"/>
  <c r="A8" i="34"/>
  <c r="A6" i="34"/>
  <c r="A5" i="34"/>
  <c r="A38" i="27"/>
  <c r="A50" i="45"/>
  <c r="A51" i="45"/>
  <c r="A52" i="45"/>
  <c r="A53" i="45"/>
  <c r="A54" i="45"/>
  <c r="A55" i="45"/>
  <c r="A56" i="45"/>
  <c r="A57" i="45"/>
  <c r="A58" i="45"/>
  <c r="A59" i="45"/>
  <c r="A60" i="45"/>
  <c r="A61" i="45"/>
  <c r="A62" i="45"/>
  <c r="A63" i="45"/>
  <c r="A64" i="45"/>
  <c r="A65" i="45"/>
  <c r="A66" i="45"/>
  <c r="A67" i="45"/>
  <c r="A68" i="45"/>
  <c r="A69" i="45"/>
  <c r="A70" i="45"/>
  <c r="A71" i="45"/>
  <c r="A72" i="45"/>
  <c r="A73" i="45"/>
  <c r="A74" i="45"/>
  <c r="A75" i="45"/>
  <c r="A76" i="45"/>
  <c r="A77" i="45"/>
  <c r="A42" i="45"/>
  <c r="A43" i="45"/>
  <c r="A44" i="45"/>
  <c r="A45" i="45"/>
  <c r="A46" i="45"/>
  <c r="A47" i="45"/>
  <c r="A48" i="45"/>
  <c r="A49" i="45"/>
  <c r="A5" i="45"/>
  <c r="A6" i="45"/>
  <c r="A7" i="45"/>
  <c r="A8" i="45"/>
  <c r="A9" i="45"/>
  <c r="A10" i="45"/>
  <c r="A11" i="45"/>
  <c r="A12" i="45"/>
  <c r="A13" i="45"/>
  <c r="A14" i="45"/>
  <c r="A15" i="45"/>
  <c r="A16" i="45"/>
  <c r="A17" i="45"/>
  <c r="A18" i="45"/>
  <c r="A19" i="45"/>
  <c r="A20" i="45"/>
  <c r="A21" i="45"/>
  <c r="A22" i="45"/>
  <c r="A23" i="45"/>
  <c r="A24" i="45"/>
  <c r="A25" i="45"/>
  <c r="A26" i="45"/>
  <c r="A27" i="45"/>
  <c r="A28" i="45"/>
  <c r="A29" i="45"/>
  <c r="A30" i="45"/>
  <c r="A31" i="45"/>
  <c r="A32" i="45"/>
  <c r="A33" i="45"/>
  <c r="A34" i="45"/>
  <c r="A35" i="45"/>
  <c r="A36" i="45"/>
  <c r="A37" i="45"/>
  <c r="A38" i="45"/>
  <c r="A39" i="45"/>
  <c r="A40" i="45"/>
  <c r="A41" i="45"/>
  <c r="A2" i="45"/>
  <c r="A2" i="14"/>
  <c r="D23" i="18"/>
  <c r="D24" i="18"/>
  <c r="A23" i="18"/>
  <c r="A24" i="18"/>
  <c r="A21" i="18"/>
  <c r="D21" i="18" s="1"/>
  <c r="A22" i="18"/>
  <c r="A25" i="18"/>
  <c r="A17" i="18"/>
  <c r="D17" i="18" s="1"/>
  <c r="A18" i="18"/>
  <c r="A19" i="18"/>
  <c r="A20" i="18"/>
  <c r="A9" i="18"/>
  <c r="D9" i="18" s="1"/>
  <c r="A10" i="18"/>
  <c r="A11" i="18"/>
  <c r="A12" i="18"/>
  <c r="A13" i="18"/>
  <c r="A14" i="18"/>
  <c r="A15" i="18"/>
  <c r="A16" i="18"/>
  <c r="D16" i="18" s="1"/>
  <c r="A4" i="18"/>
  <c r="A5" i="18"/>
  <c r="A6" i="18"/>
  <c r="D6" i="18" s="1"/>
  <c r="A7" i="18"/>
  <c r="A8" i="18"/>
  <c r="A26" i="18"/>
  <c r="A2" i="18"/>
  <c r="A3" i="18"/>
  <c r="D3" i="18" s="1"/>
  <c r="F2093" i="26"/>
  <c r="G2093" i="26" s="1"/>
  <c r="J2093" i="26"/>
  <c r="L2093" i="26"/>
  <c r="N2093" i="26"/>
  <c r="P2093" i="26"/>
  <c r="F2094" i="26"/>
  <c r="G2094" i="26" s="1"/>
  <c r="J2094" i="26"/>
  <c r="L2094" i="26"/>
  <c r="N2094" i="26"/>
  <c r="P2094" i="26"/>
  <c r="F2095" i="26"/>
  <c r="G2095" i="26" s="1"/>
  <c r="J2095" i="26"/>
  <c r="L2095" i="26"/>
  <c r="N2095" i="26"/>
  <c r="P2095" i="26"/>
  <c r="F2096" i="26"/>
  <c r="G2096" i="26" s="1"/>
  <c r="J2096" i="26"/>
  <c r="L2096" i="26"/>
  <c r="N2096" i="26"/>
  <c r="P2096" i="26"/>
  <c r="F2097" i="26"/>
  <c r="G2097" i="26" s="1"/>
  <c r="J2097" i="26"/>
  <c r="L2097" i="26"/>
  <c r="N2097" i="26"/>
  <c r="P2097" i="26"/>
  <c r="F2098" i="26"/>
  <c r="G2098" i="26" s="1"/>
  <c r="J2098" i="26"/>
  <c r="L2098" i="26"/>
  <c r="N2098" i="26"/>
  <c r="P2098" i="26"/>
  <c r="F2099" i="26"/>
  <c r="G2099" i="26" s="1"/>
  <c r="J2099" i="26"/>
  <c r="L2099" i="26"/>
  <c r="N2099" i="26"/>
  <c r="P2099" i="26"/>
  <c r="F2100" i="26"/>
  <c r="G2100" i="26" s="1"/>
  <c r="J2100" i="26"/>
  <c r="O2100" i="26" s="1"/>
  <c r="F2101" i="26"/>
  <c r="J2101" i="26"/>
  <c r="O2101" i="26" s="1"/>
  <c r="F2102" i="26"/>
  <c r="G2102" i="26" s="1"/>
  <c r="J2102" i="26"/>
  <c r="L2102" i="26"/>
  <c r="N2102" i="26"/>
  <c r="P2102" i="26"/>
  <c r="F2103" i="26"/>
  <c r="G2103" i="26" s="1"/>
  <c r="J2103" i="26"/>
  <c r="L2103" i="26"/>
  <c r="N2103" i="26"/>
  <c r="P2103" i="26"/>
  <c r="F2104" i="26"/>
  <c r="G2104" i="26" s="1"/>
  <c r="J2104" i="26"/>
  <c r="L2104" i="26"/>
  <c r="N2104" i="26"/>
  <c r="P2104" i="26"/>
  <c r="F2105" i="26"/>
  <c r="G2105" i="26" s="1"/>
  <c r="J2105" i="26"/>
  <c r="L2105" i="26"/>
  <c r="N2105" i="26"/>
  <c r="P2105" i="26"/>
  <c r="F2106" i="26"/>
  <c r="G2106" i="26" s="1"/>
  <c r="J2106" i="26"/>
  <c r="L2106" i="26"/>
  <c r="N2106" i="26"/>
  <c r="P2106" i="26"/>
  <c r="F2107" i="26"/>
  <c r="G2107" i="26" s="1"/>
  <c r="J2107" i="26"/>
  <c r="O2107" i="26" s="1"/>
  <c r="F2108" i="26"/>
  <c r="J2108" i="26"/>
  <c r="O2108" i="26" s="1"/>
  <c r="F2109" i="26"/>
  <c r="J2109" i="26"/>
  <c r="L2109" i="26"/>
  <c r="N2109" i="26"/>
  <c r="P2109" i="26"/>
  <c r="F2110" i="26"/>
  <c r="G2110" i="26" s="1"/>
  <c r="J2110" i="26"/>
  <c r="L2110" i="26"/>
  <c r="N2110" i="26"/>
  <c r="P2110" i="26"/>
  <c r="F2111" i="26"/>
  <c r="G2111" i="26" s="1"/>
  <c r="J2111" i="26"/>
  <c r="L2111" i="26"/>
  <c r="N2111" i="26"/>
  <c r="P2111" i="26"/>
  <c r="F2112" i="26"/>
  <c r="G2112" i="26" s="1"/>
  <c r="J2112" i="26"/>
  <c r="L2112" i="26"/>
  <c r="N2112" i="26"/>
  <c r="P2112" i="26"/>
  <c r="F2113" i="26"/>
  <c r="J2113" i="26"/>
  <c r="O2113" i="26" s="1"/>
  <c r="L2113" i="26"/>
  <c r="N2113" i="26"/>
  <c r="P2113" i="26"/>
  <c r="F2114" i="26"/>
  <c r="J2114" i="26"/>
  <c r="L2114" i="26"/>
  <c r="N2114" i="26"/>
  <c r="P2114" i="26"/>
  <c r="F2115" i="26"/>
  <c r="G2115" i="26" s="1"/>
  <c r="J2115" i="26"/>
  <c r="O2115" i="26" s="1"/>
  <c r="F2116" i="26"/>
  <c r="J2116" i="26"/>
  <c r="L2116" i="26"/>
  <c r="N2116" i="26"/>
  <c r="P2116" i="26"/>
  <c r="F2117" i="26"/>
  <c r="J2117" i="26"/>
  <c r="O2117" i="26" s="1"/>
  <c r="L2117" i="26"/>
  <c r="N2117" i="26"/>
  <c r="P2117" i="26"/>
  <c r="F2118" i="26"/>
  <c r="G2118" i="26" s="1"/>
  <c r="J2118" i="26"/>
  <c r="O2118" i="26" s="1"/>
  <c r="L2118" i="26"/>
  <c r="N2118" i="26"/>
  <c r="P2118" i="26"/>
  <c r="F2119" i="26"/>
  <c r="G2119" i="26" s="1"/>
  <c r="H2119" i="26" s="1"/>
  <c r="J2119" i="26"/>
  <c r="L2119" i="26"/>
  <c r="N2119" i="26"/>
  <c r="P2119" i="26"/>
  <c r="F2120" i="26"/>
  <c r="J2120" i="26"/>
  <c r="O2120" i="26" s="1"/>
  <c r="L2120" i="26"/>
  <c r="N2120" i="26"/>
  <c r="P2120" i="26"/>
  <c r="F2121" i="26"/>
  <c r="G2121" i="26" s="1"/>
  <c r="H2121" i="26" s="1"/>
  <c r="J2121" i="26"/>
  <c r="K2121" i="26" s="1"/>
  <c r="L2121" i="26"/>
  <c r="N2121" i="26"/>
  <c r="P2121" i="26"/>
  <c r="F2122" i="26"/>
  <c r="G2122" i="26" s="1"/>
  <c r="J2122" i="26"/>
  <c r="L2122" i="26"/>
  <c r="N2122" i="26"/>
  <c r="P2122" i="26"/>
  <c r="F2123" i="26"/>
  <c r="J2123" i="26"/>
  <c r="L2123" i="26"/>
  <c r="N2123" i="26"/>
  <c r="P2123" i="26"/>
  <c r="F2124" i="26"/>
  <c r="G2124" i="26" s="1"/>
  <c r="J2124" i="26"/>
  <c r="O2124" i="26" s="1"/>
  <c r="L2124" i="26"/>
  <c r="N2124" i="26"/>
  <c r="P2124" i="26"/>
  <c r="F2125" i="26"/>
  <c r="G2125" i="26" s="1"/>
  <c r="H2125" i="26" s="1"/>
  <c r="J2125" i="26"/>
  <c r="K2125" i="26" s="1"/>
  <c r="L2125" i="26"/>
  <c r="N2125" i="26"/>
  <c r="P2125" i="26"/>
  <c r="F2126" i="26"/>
  <c r="G2126" i="26" s="1"/>
  <c r="J2126" i="26"/>
  <c r="L2126" i="26"/>
  <c r="N2126" i="26"/>
  <c r="P2126" i="26"/>
  <c r="F2127" i="26"/>
  <c r="G2127" i="26" s="1"/>
  <c r="J2127" i="26"/>
  <c r="O2127" i="26" s="1"/>
  <c r="F2128" i="26"/>
  <c r="J2128" i="26"/>
  <c r="L2128" i="26"/>
  <c r="N2128" i="26"/>
  <c r="P2128" i="26"/>
  <c r="F2129" i="26"/>
  <c r="G2129" i="26" s="1"/>
  <c r="J2129" i="26"/>
  <c r="O2129" i="26" s="1"/>
  <c r="F2130" i="26"/>
  <c r="G2130" i="26" s="1"/>
  <c r="J2130" i="26"/>
  <c r="L2130" i="26"/>
  <c r="N2130" i="26"/>
  <c r="P2130" i="26"/>
  <c r="F2131" i="26"/>
  <c r="G2131" i="26" s="1"/>
  <c r="J2131" i="26"/>
  <c r="L2131" i="26"/>
  <c r="N2131" i="26"/>
  <c r="P2131" i="26"/>
  <c r="F2132" i="26"/>
  <c r="G2132" i="26" s="1"/>
  <c r="J2132" i="26"/>
  <c r="L2132" i="26"/>
  <c r="N2132" i="26"/>
  <c r="P2132" i="26"/>
  <c r="F2133" i="26"/>
  <c r="G2133" i="26" s="1"/>
  <c r="J2133" i="26"/>
  <c r="L2133" i="26"/>
  <c r="N2133" i="26"/>
  <c r="P2133" i="26"/>
  <c r="F2134" i="26"/>
  <c r="G2134" i="26" s="1"/>
  <c r="J2134" i="26"/>
  <c r="O2134" i="26" s="1"/>
  <c r="L2134" i="26"/>
  <c r="N2134" i="26"/>
  <c r="P2134" i="26"/>
  <c r="F2135" i="26"/>
  <c r="J2135" i="26"/>
  <c r="L2135" i="26"/>
  <c r="N2135" i="26"/>
  <c r="P2135" i="26"/>
  <c r="F2136" i="26"/>
  <c r="J2136" i="26"/>
  <c r="L2136" i="26"/>
  <c r="N2136" i="26"/>
  <c r="P2136" i="26"/>
  <c r="F2137" i="26"/>
  <c r="J2137" i="26"/>
  <c r="L2137" i="26"/>
  <c r="N2137" i="26"/>
  <c r="P2137" i="26"/>
  <c r="F2138" i="26"/>
  <c r="G2138" i="26" s="1"/>
  <c r="J2138" i="26"/>
  <c r="O2138" i="26" s="1"/>
  <c r="L2138" i="26"/>
  <c r="N2138" i="26"/>
  <c r="P2138" i="26"/>
  <c r="F2139" i="26"/>
  <c r="G2139" i="26" s="1"/>
  <c r="J2139" i="26"/>
  <c r="O2139" i="26" s="1"/>
  <c r="F2140" i="26"/>
  <c r="G2140" i="26" s="1"/>
  <c r="J2140" i="26"/>
  <c r="O2140" i="26" s="1"/>
  <c r="L2140" i="26"/>
  <c r="N2140" i="26"/>
  <c r="P2140" i="26"/>
  <c r="F2141" i="26"/>
  <c r="G2141" i="26" s="1"/>
  <c r="J2141" i="26"/>
  <c r="K2141" i="26" s="1"/>
  <c r="L2141" i="26"/>
  <c r="N2141" i="26"/>
  <c r="P2141" i="26"/>
  <c r="F2142" i="26"/>
  <c r="G2142" i="26" s="1"/>
  <c r="J2142" i="26"/>
  <c r="L2142" i="26"/>
  <c r="N2142" i="26"/>
  <c r="P2142" i="26"/>
  <c r="F2143" i="26"/>
  <c r="G2143" i="26" s="1"/>
  <c r="J2143" i="26"/>
  <c r="L2143" i="26"/>
  <c r="N2143" i="26"/>
  <c r="P2143" i="26"/>
  <c r="F2144" i="26"/>
  <c r="J2144" i="26"/>
  <c r="O2144" i="26" s="1"/>
  <c r="L2144" i="26"/>
  <c r="N2144" i="26"/>
  <c r="P2144" i="26"/>
  <c r="F2145" i="26"/>
  <c r="J2145" i="26"/>
  <c r="L2145" i="26"/>
  <c r="N2145" i="26"/>
  <c r="P2145" i="26"/>
  <c r="F2146" i="26"/>
  <c r="G2146" i="26" s="1"/>
  <c r="J2146" i="26"/>
  <c r="L2146" i="26"/>
  <c r="N2146" i="26"/>
  <c r="P2146" i="26"/>
  <c r="F2147" i="26"/>
  <c r="J2147" i="26"/>
  <c r="O2147" i="26" s="1"/>
  <c r="L2147" i="26"/>
  <c r="N2147" i="26"/>
  <c r="P2147" i="26"/>
  <c r="F2148" i="26"/>
  <c r="J2148" i="26"/>
  <c r="O2148" i="26" s="1"/>
  <c r="L2148" i="26"/>
  <c r="N2148" i="26"/>
  <c r="P2148" i="26"/>
  <c r="F2149" i="26"/>
  <c r="G2149" i="26" s="1"/>
  <c r="H2149" i="26" s="1"/>
  <c r="J2149" i="26"/>
  <c r="L2149" i="26"/>
  <c r="N2149" i="26"/>
  <c r="P2149" i="26"/>
  <c r="F2150" i="26"/>
  <c r="G2150" i="26" s="1"/>
  <c r="J2150" i="26"/>
  <c r="L2150" i="26"/>
  <c r="N2150" i="26"/>
  <c r="P2150" i="26"/>
  <c r="F2151" i="26"/>
  <c r="J2151" i="26"/>
  <c r="L2151" i="26"/>
  <c r="N2151" i="26"/>
  <c r="P2151" i="26"/>
  <c r="F2152" i="26"/>
  <c r="J2152" i="26"/>
  <c r="L2152" i="26"/>
  <c r="N2152" i="26"/>
  <c r="P2152" i="26"/>
  <c r="F2153" i="26"/>
  <c r="J2153" i="26"/>
  <c r="O2153" i="26" s="1"/>
  <c r="L2153" i="26"/>
  <c r="N2153" i="26"/>
  <c r="P2153" i="26"/>
  <c r="F2154" i="26"/>
  <c r="G2154" i="26" s="1"/>
  <c r="J2154" i="26"/>
  <c r="O2154" i="26" s="1"/>
  <c r="L2154" i="26"/>
  <c r="N2154" i="26"/>
  <c r="P2154" i="26"/>
  <c r="F2155" i="26"/>
  <c r="G2155" i="26" s="1"/>
  <c r="J2155" i="26"/>
  <c r="L2155" i="26"/>
  <c r="N2155" i="26"/>
  <c r="P2155" i="26"/>
  <c r="F2156" i="26"/>
  <c r="G2156" i="26" s="1"/>
  <c r="H2156" i="26" s="1"/>
  <c r="J2156" i="26"/>
  <c r="L2156" i="26"/>
  <c r="N2156" i="26"/>
  <c r="P2156" i="26"/>
  <c r="F2157" i="26"/>
  <c r="G2157" i="26" s="1"/>
  <c r="H2157" i="26" s="1"/>
  <c r="J2157" i="26"/>
  <c r="L2157" i="26"/>
  <c r="N2157" i="26"/>
  <c r="P2157" i="26"/>
  <c r="F2158" i="26"/>
  <c r="G2158" i="26" s="1"/>
  <c r="J2158" i="26"/>
  <c r="O2158" i="26" s="1"/>
  <c r="F2159" i="26"/>
  <c r="J2159" i="26"/>
  <c r="K2159" i="26" s="1"/>
  <c r="L2159" i="26"/>
  <c r="N2159" i="26"/>
  <c r="P2159" i="26"/>
  <c r="F2160" i="26"/>
  <c r="J2160" i="26"/>
  <c r="L2160" i="26"/>
  <c r="N2160" i="26"/>
  <c r="P2160" i="26"/>
  <c r="F2161" i="26"/>
  <c r="J2161" i="26"/>
  <c r="L2161" i="26"/>
  <c r="N2161" i="26"/>
  <c r="P2161" i="26"/>
  <c r="F2162" i="26"/>
  <c r="G2162" i="26" s="1"/>
  <c r="J2162" i="26"/>
  <c r="O2162" i="26" s="1"/>
  <c r="L2162" i="26"/>
  <c r="N2162" i="26"/>
  <c r="P2162" i="26"/>
  <c r="F2163" i="26"/>
  <c r="G2163" i="26" s="1"/>
  <c r="J2163" i="26"/>
  <c r="L2163" i="26"/>
  <c r="N2163" i="26"/>
  <c r="P2163" i="26"/>
  <c r="F2164" i="26"/>
  <c r="G2164" i="26" s="1"/>
  <c r="H2164" i="26" s="1"/>
  <c r="J2164" i="26"/>
  <c r="O2164" i="26" s="1"/>
  <c r="L2164" i="26"/>
  <c r="N2164" i="26"/>
  <c r="P2164" i="26"/>
  <c r="F2165" i="26"/>
  <c r="G2165" i="26" s="1"/>
  <c r="J2165" i="26"/>
  <c r="O2165" i="26" s="1"/>
  <c r="L2165" i="26"/>
  <c r="N2165" i="26"/>
  <c r="P2165" i="26"/>
  <c r="F2166" i="26"/>
  <c r="J2166" i="26"/>
  <c r="O2166" i="26" s="1"/>
  <c r="L2166" i="26"/>
  <c r="N2166" i="26"/>
  <c r="P2166" i="26"/>
  <c r="F2167" i="26"/>
  <c r="J2167" i="26"/>
  <c r="O2167" i="26" s="1"/>
  <c r="L2167" i="26"/>
  <c r="N2167" i="26"/>
  <c r="P2167" i="26"/>
  <c r="F2168" i="26"/>
  <c r="G2168" i="26" s="1"/>
  <c r="J2168" i="26"/>
  <c r="L2168" i="26"/>
  <c r="N2168" i="26"/>
  <c r="P2168" i="26"/>
  <c r="F2169" i="26"/>
  <c r="G2169" i="26" s="1"/>
  <c r="J2169" i="26"/>
  <c r="O2169" i="26" s="1"/>
  <c r="L2169" i="26"/>
  <c r="N2169" i="26"/>
  <c r="P2169" i="26"/>
  <c r="F2170" i="26"/>
  <c r="G2170" i="26" s="1"/>
  <c r="J2170" i="26"/>
  <c r="O2170" i="26" s="1"/>
  <c r="L2170" i="26"/>
  <c r="N2170" i="26"/>
  <c r="P2170" i="26"/>
  <c r="F2171" i="26"/>
  <c r="J2171" i="26"/>
  <c r="O2171" i="26" s="1"/>
  <c r="L2171" i="26"/>
  <c r="N2171" i="26"/>
  <c r="P2171" i="26"/>
  <c r="F2172" i="26"/>
  <c r="G2172" i="26" s="1"/>
  <c r="J2172" i="26"/>
  <c r="L2172" i="26"/>
  <c r="N2172" i="26"/>
  <c r="P2172" i="26"/>
  <c r="F2173" i="26"/>
  <c r="G2173" i="26" s="1"/>
  <c r="H2173" i="26" s="1"/>
  <c r="J2173" i="26"/>
  <c r="L2173" i="26"/>
  <c r="N2173" i="26"/>
  <c r="P2173" i="26"/>
  <c r="F2174" i="26"/>
  <c r="G2174" i="26" s="1"/>
  <c r="J2174" i="26"/>
  <c r="O2174" i="26" s="1"/>
  <c r="L2174" i="26"/>
  <c r="N2174" i="26"/>
  <c r="P2174" i="26"/>
  <c r="F2175" i="26"/>
  <c r="G2175" i="26" s="1"/>
  <c r="J2175" i="26"/>
  <c r="O2175" i="26" s="1"/>
  <c r="L2175" i="26"/>
  <c r="N2175" i="26"/>
  <c r="P2175" i="26"/>
  <c r="F2176" i="26"/>
  <c r="J2176" i="26"/>
  <c r="L2176" i="26"/>
  <c r="N2176" i="26"/>
  <c r="P2176" i="26"/>
  <c r="F2177" i="26"/>
  <c r="G2177" i="26" s="1"/>
  <c r="J2177" i="26"/>
  <c r="L2177" i="26"/>
  <c r="N2177" i="26"/>
  <c r="P2177" i="26"/>
  <c r="F2178" i="26"/>
  <c r="G2178" i="26" s="1"/>
  <c r="J2178" i="26"/>
  <c r="K2178" i="26" s="1"/>
  <c r="L2178" i="26"/>
  <c r="N2178" i="26"/>
  <c r="P2178" i="26"/>
  <c r="F2179" i="26"/>
  <c r="G2179" i="26" s="1"/>
  <c r="H2179" i="26" s="1"/>
  <c r="J2179" i="26"/>
  <c r="O2179" i="26" s="1"/>
  <c r="L2179" i="26"/>
  <c r="N2179" i="26"/>
  <c r="P2179" i="26"/>
  <c r="F2180" i="26"/>
  <c r="G2180" i="26" s="1"/>
  <c r="J2180" i="26"/>
  <c r="K2180" i="26" s="1"/>
  <c r="L2180" i="26"/>
  <c r="N2180" i="26"/>
  <c r="P2180" i="26"/>
  <c r="F2181" i="26"/>
  <c r="J2181" i="26"/>
  <c r="O2181" i="26" s="1"/>
  <c r="F2182" i="26"/>
  <c r="G2182" i="26" s="1"/>
  <c r="J2182" i="26"/>
  <c r="L2182" i="26"/>
  <c r="N2182" i="26"/>
  <c r="P2182" i="26"/>
  <c r="F2183" i="26"/>
  <c r="J2183" i="26"/>
  <c r="L2183" i="26"/>
  <c r="N2183" i="26"/>
  <c r="P2183" i="26"/>
  <c r="F2184" i="26"/>
  <c r="J2184" i="26"/>
  <c r="L2184" i="26"/>
  <c r="N2184" i="26"/>
  <c r="P2184" i="26"/>
  <c r="F2185" i="26"/>
  <c r="J2185" i="26"/>
  <c r="O2185" i="26" s="1"/>
  <c r="L2185" i="26"/>
  <c r="N2185" i="26"/>
  <c r="P2185" i="26"/>
  <c r="F2186" i="26"/>
  <c r="G2186" i="26" s="1"/>
  <c r="J2186" i="26"/>
  <c r="O2186" i="26" s="1"/>
  <c r="L2186" i="26"/>
  <c r="N2186" i="26"/>
  <c r="P2186" i="26"/>
  <c r="F2187" i="26"/>
  <c r="G2187" i="26" s="1"/>
  <c r="J2187" i="26"/>
  <c r="O2187" i="26" s="1"/>
  <c r="L2187" i="26"/>
  <c r="N2187" i="26"/>
  <c r="P2187" i="26"/>
  <c r="F2188" i="26"/>
  <c r="J2188" i="26"/>
  <c r="O2188" i="26" s="1"/>
  <c r="L2188" i="26"/>
  <c r="N2188" i="26"/>
  <c r="P2188" i="26"/>
  <c r="F2189" i="26"/>
  <c r="G2189" i="26" s="1"/>
  <c r="J2189" i="26"/>
  <c r="O2189" i="26" s="1"/>
  <c r="F2190" i="26"/>
  <c r="G2190" i="26" s="1"/>
  <c r="H2190" i="26" s="1"/>
  <c r="J2190" i="26"/>
  <c r="O2190" i="26" s="1"/>
  <c r="L2190" i="26"/>
  <c r="N2190" i="26"/>
  <c r="P2190" i="26"/>
  <c r="F2191" i="26"/>
  <c r="J2191" i="26"/>
  <c r="L2191" i="26"/>
  <c r="N2191" i="26"/>
  <c r="P2191" i="26"/>
  <c r="F2192" i="26"/>
  <c r="J2192" i="26"/>
  <c r="L2192" i="26"/>
  <c r="N2192" i="26"/>
  <c r="P2192" i="26"/>
  <c r="F2193" i="26"/>
  <c r="G2193" i="26" s="1"/>
  <c r="J2193" i="26"/>
  <c r="O2193" i="26" s="1"/>
  <c r="L2193" i="26"/>
  <c r="N2193" i="26"/>
  <c r="P2193" i="26"/>
  <c r="F2194" i="26"/>
  <c r="G2194" i="26" s="1"/>
  <c r="H2194" i="26" s="1"/>
  <c r="J2194" i="26"/>
  <c r="O2194" i="26" s="1"/>
  <c r="L2194" i="26"/>
  <c r="N2194" i="26"/>
  <c r="P2194" i="26"/>
  <c r="F2195" i="26"/>
  <c r="G2195" i="26" s="1"/>
  <c r="J2195" i="26"/>
  <c r="O2195" i="26" s="1"/>
  <c r="L2195" i="26"/>
  <c r="N2195" i="26"/>
  <c r="P2195" i="26"/>
  <c r="F2196" i="26"/>
  <c r="J2196" i="26"/>
  <c r="O2196" i="26" s="1"/>
  <c r="L2196" i="26"/>
  <c r="N2196" i="26"/>
  <c r="P2196" i="26"/>
  <c r="F2197" i="26"/>
  <c r="J2197" i="26"/>
  <c r="O2197" i="26" s="1"/>
  <c r="L2197" i="26"/>
  <c r="N2197" i="26"/>
  <c r="P2197" i="26"/>
  <c r="F2198" i="26"/>
  <c r="G2198" i="26" s="1"/>
  <c r="J2198" i="26"/>
  <c r="O2198" i="26" s="1"/>
  <c r="L2198" i="26"/>
  <c r="N2198" i="26"/>
  <c r="P2198" i="26"/>
  <c r="F2199" i="26"/>
  <c r="G2199" i="26" s="1"/>
  <c r="J2199" i="26"/>
  <c r="O2199" i="26" s="1"/>
  <c r="L2199" i="26"/>
  <c r="N2199" i="26"/>
  <c r="P2199" i="26"/>
  <c r="F2200" i="26"/>
  <c r="G2200" i="26" s="1"/>
  <c r="H2200" i="26" s="1"/>
  <c r="J2200" i="26"/>
  <c r="L2200" i="26"/>
  <c r="N2200" i="26"/>
  <c r="P2200" i="26"/>
  <c r="F2201" i="26"/>
  <c r="G2201" i="26" s="1"/>
  <c r="H2201" i="26" s="1"/>
  <c r="J2201" i="26"/>
  <c r="L2201" i="26"/>
  <c r="N2201" i="26"/>
  <c r="P2201" i="26"/>
  <c r="F2202" i="26"/>
  <c r="G2202" i="26" s="1"/>
  <c r="J2202" i="26"/>
  <c r="O2202" i="26" s="1"/>
  <c r="F2203" i="26"/>
  <c r="G2203" i="26" s="1"/>
  <c r="J2203" i="26"/>
  <c r="L2203" i="26"/>
  <c r="N2203" i="26"/>
  <c r="P2203" i="26"/>
  <c r="F2204" i="26"/>
  <c r="G2204" i="26" s="1"/>
  <c r="J2204" i="26"/>
  <c r="O2204" i="26" s="1"/>
  <c r="L2204" i="26"/>
  <c r="N2204" i="26"/>
  <c r="P2204" i="26"/>
  <c r="F2205" i="26"/>
  <c r="J2205" i="26"/>
  <c r="L2205" i="26"/>
  <c r="N2205" i="26"/>
  <c r="P2205" i="26"/>
  <c r="F2206" i="26"/>
  <c r="G2206" i="26" s="1"/>
  <c r="H2206" i="26" s="1"/>
  <c r="J2206" i="26"/>
  <c r="K2206" i="26" s="1"/>
  <c r="L2206" i="26"/>
  <c r="N2206" i="26"/>
  <c r="P2206" i="26"/>
  <c r="F2207" i="26"/>
  <c r="G2207" i="26" s="1"/>
  <c r="J2207" i="26"/>
  <c r="L2207" i="26"/>
  <c r="N2207" i="26"/>
  <c r="P2207" i="26"/>
  <c r="F2208" i="26"/>
  <c r="G2208" i="26" s="1"/>
  <c r="H2208" i="26" s="1"/>
  <c r="J2208" i="26"/>
  <c r="L2208" i="26"/>
  <c r="N2208" i="26"/>
  <c r="P2208" i="26"/>
  <c r="F2209" i="26"/>
  <c r="G2209" i="26" s="1"/>
  <c r="J2209" i="26"/>
  <c r="O2209" i="26" s="1"/>
  <c r="L2209" i="26"/>
  <c r="N2209" i="26"/>
  <c r="P2209" i="26"/>
  <c r="F2210" i="26"/>
  <c r="G2210" i="26" s="1"/>
  <c r="H2210" i="26" s="1"/>
  <c r="J2210" i="26"/>
  <c r="O2210" i="26" s="1"/>
  <c r="L2210" i="26"/>
  <c r="N2210" i="26"/>
  <c r="P2210" i="26"/>
  <c r="F2211" i="26"/>
  <c r="J2211" i="26"/>
  <c r="O2211" i="26" s="1"/>
  <c r="F2212" i="26"/>
  <c r="G2212" i="26" s="1"/>
  <c r="J2212" i="26"/>
  <c r="O2212" i="26" s="1"/>
  <c r="L2212" i="26"/>
  <c r="N2212" i="26"/>
  <c r="P2212" i="26"/>
  <c r="F2213" i="26"/>
  <c r="J2213" i="26"/>
  <c r="L2213" i="26"/>
  <c r="N2213" i="26"/>
  <c r="P2213" i="26"/>
  <c r="F2214" i="26"/>
  <c r="G2214" i="26" s="1"/>
  <c r="J2214" i="26"/>
  <c r="O2214" i="26" s="1"/>
  <c r="L2214" i="26"/>
  <c r="N2214" i="26"/>
  <c r="P2214" i="26"/>
  <c r="F2215" i="26"/>
  <c r="G2215" i="26" s="1"/>
  <c r="H2215" i="26" s="1"/>
  <c r="J2215" i="26"/>
  <c r="O2215" i="26" s="1"/>
  <c r="L2215" i="26"/>
  <c r="N2215" i="26"/>
  <c r="P2215" i="26"/>
  <c r="F2216" i="26"/>
  <c r="J2216" i="26"/>
  <c r="L2216" i="26"/>
  <c r="N2216" i="26"/>
  <c r="P2216" i="26"/>
  <c r="F2217" i="26"/>
  <c r="G2217" i="26" s="1"/>
  <c r="J2217" i="26"/>
  <c r="L2217" i="26"/>
  <c r="N2217" i="26"/>
  <c r="P2217" i="26"/>
  <c r="F2218" i="26"/>
  <c r="G2218" i="26" s="1"/>
  <c r="H2218" i="26" s="1"/>
  <c r="J2218" i="26"/>
  <c r="O2218" i="26" s="1"/>
  <c r="L2218" i="26"/>
  <c r="N2218" i="26"/>
  <c r="P2218" i="26"/>
  <c r="F2219" i="26"/>
  <c r="G2219" i="26" s="1"/>
  <c r="H2219" i="26" s="1"/>
  <c r="J2219" i="26"/>
  <c r="K2219" i="26" s="1"/>
  <c r="L2219" i="26"/>
  <c r="N2219" i="26"/>
  <c r="P2219" i="26"/>
  <c r="F2220" i="26"/>
  <c r="G2220" i="26" s="1"/>
  <c r="J2220" i="26"/>
  <c r="K2220" i="26" s="1"/>
  <c r="L2220" i="26"/>
  <c r="N2220" i="26"/>
  <c r="P2220" i="26"/>
  <c r="F2221" i="26"/>
  <c r="J2221" i="26"/>
  <c r="O2221" i="26" s="1"/>
  <c r="L2221" i="26"/>
  <c r="N2221" i="26"/>
  <c r="P2221" i="26"/>
  <c r="F2222" i="26"/>
  <c r="G2222" i="26" s="1"/>
  <c r="J2222" i="26"/>
  <c r="L2222" i="26"/>
  <c r="N2222" i="26"/>
  <c r="P2222" i="26"/>
  <c r="F2223" i="26"/>
  <c r="G2223" i="26" s="1"/>
  <c r="J2223" i="26"/>
  <c r="O2223" i="26" s="1"/>
  <c r="L2223" i="26"/>
  <c r="N2223" i="26"/>
  <c r="P2223" i="26"/>
  <c r="F2224" i="26"/>
  <c r="G2224" i="26" s="1"/>
  <c r="J2224" i="26"/>
  <c r="O2224" i="26" s="1"/>
  <c r="L2224" i="26"/>
  <c r="N2224" i="26"/>
  <c r="P2224" i="26"/>
  <c r="F2225" i="26"/>
  <c r="G2225" i="26" s="1"/>
  <c r="J2225" i="26"/>
  <c r="O2225" i="26" s="1"/>
  <c r="F2226" i="26"/>
  <c r="G2226" i="26" s="1"/>
  <c r="H2226" i="26" s="1"/>
  <c r="J2226" i="26"/>
  <c r="L2226" i="26"/>
  <c r="N2226" i="26"/>
  <c r="P2226" i="26"/>
  <c r="F2227" i="26"/>
  <c r="J2227" i="26"/>
  <c r="O2227" i="26" s="1"/>
  <c r="L2227" i="26"/>
  <c r="N2227" i="26"/>
  <c r="P2227" i="26"/>
  <c r="F2228" i="26"/>
  <c r="G2228" i="26" s="1"/>
  <c r="J2228" i="26"/>
  <c r="O2228" i="26" s="1"/>
  <c r="L2228" i="26"/>
  <c r="N2228" i="26"/>
  <c r="P2228" i="26"/>
  <c r="F2229" i="26"/>
  <c r="J2229" i="26"/>
  <c r="K2229" i="26" s="1"/>
  <c r="L2229" i="26"/>
  <c r="N2229" i="26"/>
  <c r="P2229" i="26"/>
  <c r="F2230" i="26"/>
  <c r="G2230" i="26" s="1"/>
  <c r="J2230" i="26"/>
  <c r="O2230" i="26" s="1"/>
  <c r="L2230" i="26"/>
  <c r="N2230" i="26"/>
  <c r="P2230" i="26"/>
  <c r="F2231" i="26"/>
  <c r="G2231" i="26" s="1"/>
  <c r="J2231" i="26"/>
  <c r="L2231" i="26"/>
  <c r="N2231" i="26"/>
  <c r="P2231" i="26"/>
  <c r="F2232" i="26"/>
  <c r="G2232" i="26" s="1"/>
  <c r="J2232" i="26"/>
  <c r="O2232" i="26" s="1"/>
  <c r="L2232" i="26"/>
  <c r="N2232" i="26"/>
  <c r="P2232" i="26"/>
  <c r="F2233" i="26"/>
  <c r="J2233" i="26"/>
  <c r="L2233" i="26"/>
  <c r="N2233" i="26"/>
  <c r="P2233" i="26"/>
  <c r="F2234" i="26"/>
  <c r="G2234" i="26" s="1"/>
  <c r="J2234" i="26"/>
  <c r="L2234" i="26"/>
  <c r="N2234" i="26"/>
  <c r="P2234" i="26"/>
  <c r="F2235" i="26"/>
  <c r="J2235" i="26"/>
  <c r="L2235" i="26"/>
  <c r="N2235" i="26"/>
  <c r="P2235" i="26"/>
  <c r="F2236" i="26"/>
  <c r="G2236" i="26" s="1"/>
  <c r="J2236" i="26"/>
  <c r="O2236" i="26" s="1"/>
  <c r="L2236" i="26"/>
  <c r="N2236" i="26"/>
  <c r="P2236" i="26"/>
  <c r="F2237" i="26"/>
  <c r="G2237" i="26" s="1"/>
  <c r="J2237" i="26"/>
  <c r="O2237" i="26" s="1"/>
  <c r="F2238" i="26"/>
  <c r="G2238" i="26" s="1"/>
  <c r="J2238" i="26"/>
  <c r="L2238" i="26"/>
  <c r="N2238" i="26"/>
  <c r="P2238" i="26"/>
  <c r="F2239" i="26"/>
  <c r="J2239" i="26"/>
  <c r="L2239" i="26"/>
  <c r="N2239" i="26"/>
  <c r="P2239" i="26"/>
  <c r="F2240" i="26"/>
  <c r="J2240" i="26"/>
  <c r="O2240" i="26" s="1"/>
  <c r="L2240" i="26"/>
  <c r="N2240" i="26"/>
  <c r="P2240" i="26"/>
  <c r="F2241" i="26"/>
  <c r="G2241" i="26" s="1"/>
  <c r="J2241" i="26"/>
  <c r="L2241" i="26"/>
  <c r="N2241" i="26"/>
  <c r="P2241" i="26"/>
  <c r="F2242" i="26"/>
  <c r="J2242" i="26"/>
  <c r="O2242" i="26" s="1"/>
  <c r="L2242" i="26"/>
  <c r="N2242" i="26"/>
  <c r="P2242" i="26"/>
  <c r="F2243" i="26"/>
  <c r="G2243" i="26" s="1"/>
  <c r="H2243" i="26" s="1"/>
  <c r="J2243" i="26"/>
  <c r="L2243" i="26"/>
  <c r="N2243" i="26"/>
  <c r="P2243" i="26"/>
  <c r="F2244" i="26"/>
  <c r="G2244" i="26" s="1"/>
  <c r="J2244" i="26"/>
  <c r="O2244" i="26" s="1"/>
  <c r="L2244" i="26"/>
  <c r="N2244" i="26"/>
  <c r="P2244" i="26"/>
  <c r="F2245" i="26"/>
  <c r="G2245" i="26" s="1"/>
  <c r="J2245" i="26"/>
  <c r="L2245" i="26"/>
  <c r="N2245" i="26"/>
  <c r="P2245" i="26"/>
  <c r="F2246" i="26"/>
  <c r="G2246" i="26" s="1"/>
  <c r="J2246" i="26"/>
  <c r="O2246" i="26" s="1"/>
  <c r="L2246" i="26"/>
  <c r="N2246" i="26"/>
  <c r="P2246" i="26"/>
  <c r="F2247" i="26"/>
  <c r="G2247" i="26" s="1"/>
  <c r="J2247" i="26"/>
  <c r="K2247" i="26" s="1"/>
  <c r="F2248" i="26"/>
  <c r="G2248" i="26" s="1"/>
  <c r="J2248" i="26"/>
  <c r="O2248" i="26" s="1"/>
  <c r="L2248" i="26"/>
  <c r="N2248" i="26"/>
  <c r="P2248" i="26"/>
  <c r="F2249" i="26"/>
  <c r="J2249" i="26"/>
  <c r="L2249" i="26"/>
  <c r="N2249" i="26"/>
  <c r="P2249" i="26"/>
  <c r="F2250" i="26"/>
  <c r="G2250" i="26" s="1"/>
  <c r="J2250" i="26"/>
  <c r="L2250" i="26"/>
  <c r="N2250" i="26"/>
  <c r="P2250" i="26"/>
  <c r="F2251" i="26"/>
  <c r="G2251" i="26" s="1"/>
  <c r="J2251" i="26"/>
  <c r="L2251" i="26"/>
  <c r="N2251" i="26"/>
  <c r="P2251" i="26"/>
  <c r="F2252" i="26"/>
  <c r="J2252" i="26"/>
  <c r="O2252" i="26" s="1"/>
  <c r="L2252" i="26"/>
  <c r="N2252" i="26"/>
  <c r="P2252" i="26"/>
  <c r="F2253" i="26"/>
  <c r="J2253" i="26"/>
  <c r="L2253" i="26"/>
  <c r="N2253" i="26"/>
  <c r="P2253" i="26"/>
  <c r="F2254" i="26"/>
  <c r="G2254" i="26" s="1"/>
  <c r="J2254" i="26"/>
  <c r="L2254" i="26"/>
  <c r="N2254" i="26"/>
  <c r="P2254" i="26"/>
  <c r="F2255" i="26"/>
  <c r="J2255" i="26"/>
  <c r="L2255" i="26"/>
  <c r="N2255" i="26"/>
  <c r="P2255" i="26"/>
  <c r="F2256" i="26"/>
  <c r="G2256" i="26" s="1"/>
  <c r="J2256" i="26"/>
  <c r="O2256" i="26" s="1"/>
  <c r="L2256" i="26"/>
  <c r="N2256" i="26"/>
  <c r="P2256" i="26"/>
  <c r="F2257" i="26"/>
  <c r="G2257" i="26" s="1"/>
  <c r="J2257" i="26"/>
  <c r="L2257" i="26"/>
  <c r="N2257" i="26"/>
  <c r="P2257" i="26"/>
  <c r="F2258" i="26"/>
  <c r="J2258" i="26"/>
  <c r="L2258" i="26"/>
  <c r="N2258" i="26"/>
  <c r="P2258" i="26"/>
  <c r="F2259" i="26"/>
  <c r="G2259" i="26" s="1"/>
  <c r="J2259" i="26"/>
  <c r="K2259" i="26" s="1"/>
  <c r="L2259" i="26"/>
  <c r="N2259" i="26"/>
  <c r="P2259" i="26"/>
  <c r="F2260" i="26"/>
  <c r="J2260" i="26"/>
  <c r="O2260" i="26" s="1"/>
  <c r="L2260" i="26"/>
  <c r="N2260" i="26"/>
  <c r="P2260" i="26"/>
  <c r="F2261" i="26"/>
  <c r="G2261" i="26" s="1"/>
  <c r="J2261" i="26"/>
  <c r="L2261" i="26"/>
  <c r="N2261" i="26"/>
  <c r="P2261" i="26"/>
  <c r="F2262" i="26"/>
  <c r="G2262" i="26" s="1"/>
  <c r="J2262" i="26"/>
  <c r="O2262" i="26" s="1"/>
  <c r="F2263" i="26"/>
  <c r="G2263" i="26" s="1"/>
  <c r="J2263" i="26"/>
  <c r="L2263" i="26"/>
  <c r="N2263" i="26"/>
  <c r="P2263" i="26"/>
  <c r="F2264" i="26"/>
  <c r="G2264" i="26" s="1"/>
  <c r="J2264" i="26"/>
  <c r="O2264" i="26" s="1"/>
  <c r="L2264" i="26"/>
  <c r="N2264" i="26"/>
  <c r="P2264" i="26"/>
  <c r="F2265" i="26"/>
  <c r="G2265" i="26" s="1"/>
  <c r="H2265" i="26" s="1"/>
  <c r="J2265" i="26"/>
  <c r="L2265" i="26"/>
  <c r="N2265" i="26"/>
  <c r="P2265" i="26"/>
  <c r="F2266" i="26"/>
  <c r="G2266" i="26" s="1"/>
  <c r="J2266" i="26"/>
  <c r="L2266" i="26"/>
  <c r="N2266" i="26"/>
  <c r="P2266" i="26"/>
  <c r="F2267" i="26"/>
  <c r="J2267" i="26"/>
  <c r="L2267" i="26"/>
  <c r="N2267" i="26"/>
  <c r="P2267" i="26"/>
  <c r="F2268" i="26"/>
  <c r="G2268" i="26" s="1"/>
  <c r="J2268" i="26"/>
  <c r="O2268" i="26" s="1"/>
  <c r="L2268" i="26"/>
  <c r="N2268" i="26"/>
  <c r="P2268" i="26"/>
  <c r="F2269" i="26"/>
  <c r="G2269" i="26" s="1"/>
  <c r="H2269" i="26" s="1"/>
  <c r="J2269" i="26"/>
  <c r="K2269" i="26" s="1"/>
  <c r="L2269" i="26"/>
  <c r="N2269" i="26"/>
  <c r="P2269" i="26"/>
  <c r="F2270" i="26"/>
  <c r="G2270" i="26" s="1"/>
  <c r="J2270" i="26"/>
  <c r="O2270" i="26" s="1"/>
  <c r="L2270" i="26"/>
  <c r="N2270" i="26"/>
  <c r="P2270" i="26"/>
  <c r="F2271" i="26"/>
  <c r="J2271" i="26"/>
  <c r="L2271" i="26"/>
  <c r="N2271" i="26"/>
  <c r="P2271" i="26"/>
  <c r="F2272" i="26"/>
  <c r="J2272" i="26"/>
  <c r="O2272" i="26" s="1"/>
  <c r="L2272" i="26"/>
  <c r="N2272" i="26"/>
  <c r="P2272" i="26"/>
  <c r="F2273" i="26"/>
  <c r="G2273" i="26" s="1"/>
  <c r="J2273" i="26"/>
  <c r="K2273" i="26" s="1"/>
  <c r="L2273" i="26"/>
  <c r="N2273" i="26"/>
  <c r="P2273" i="26"/>
  <c r="F2274" i="26"/>
  <c r="J2274" i="26"/>
  <c r="O2274" i="26" s="1"/>
  <c r="L2274" i="26"/>
  <c r="N2274" i="26"/>
  <c r="P2274" i="26"/>
  <c r="F2275" i="26"/>
  <c r="J2275" i="26"/>
  <c r="L2275" i="26"/>
  <c r="N2275" i="26"/>
  <c r="P2275" i="26"/>
  <c r="F2276" i="26"/>
  <c r="J2276" i="26"/>
  <c r="O2276" i="26" s="1"/>
  <c r="L2276" i="26"/>
  <c r="N2276" i="26"/>
  <c r="P2276" i="26"/>
  <c r="F2277" i="26"/>
  <c r="G2277" i="26" s="1"/>
  <c r="J2277" i="26"/>
  <c r="L2277" i="26"/>
  <c r="N2277" i="26"/>
  <c r="P2277" i="26"/>
  <c r="F2278" i="26"/>
  <c r="J2278" i="26"/>
  <c r="O2278" i="26" s="1"/>
  <c r="L2278" i="26"/>
  <c r="N2278" i="26"/>
  <c r="P2278" i="26"/>
  <c r="F2279" i="26"/>
  <c r="G2279" i="26" s="1"/>
  <c r="J2279" i="26"/>
  <c r="K2279" i="26" s="1"/>
  <c r="L2279" i="26"/>
  <c r="N2279" i="26"/>
  <c r="P2279" i="26"/>
  <c r="F2280" i="26"/>
  <c r="J2280" i="26"/>
  <c r="O2280" i="26" s="1"/>
  <c r="L2280" i="26"/>
  <c r="N2280" i="26"/>
  <c r="P2280" i="26"/>
  <c r="F2281" i="26"/>
  <c r="J2281" i="26"/>
  <c r="O2281" i="26" s="1"/>
  <c r="L2281" i="26"/>
  <c r="N2281" i="26"/>
  <c r="P2281" i="26"/>
  <c r="F2282" i="26"/>
  <c r="J2282" i="26"/>
  <c r="L2282" i="26"/>
  <c r="N2282" i="26"/>
  <c r="P2282" i="26"/>
  <c r="F2283" i="26"/>
  <c r="G2283" i="26" s="1"/>
  <c r="J2283" i="26"/>
  <c r="O2283" i="26" s="1"/>
  <c r="L2283" i="26"/>
  <c r="N2283" i="26"/>
  <c r="P2283" i="26"/>
  <c r="F2284" i="26"/>
  <c r="J2284" i="26"/>
  <c r="O2284" i="26" s="1"/>
  <c r="L2284" i="26"/>
  <c r="N2284" i="26"/>
  <c r="P2284" i="26"/>
  <c r="F2285" i="26"/>
  <c r="G2285" i="26" s="1"/>
  <c r="J2285" i="26"/>
  <c r="O2285" i="26" s="1"/>
  <c r="L2285" i="26"/>
  <c r="N2285" i="26"/>
  <c r="P2285" i="26"/>
  <c r="F2286" i="26"/>
  <c r="J2286" i="26"/>
  <c r="O2286" i="26" s="1"/>
  <c r="L2286" i="26"/>
  <c r="N2286" i="26"/>
  <c r="P2286" i="26"/>
  <c r="F2287" i="26"/>
  <c r="J2287" i="26"/>
  <c r="K2287" i="26" s="1"/>
  <c r="L2287" i="26"/>
  <c r="N2287" i="26"/>
  <c r="P2287" i="26"/>
  <c r="F2288" i="26"/>
  <c r="J2288" i="26"/>
  <c r="L2288" i="26"/>
  <c r="N2288" i="26"/>
  <c r="P2288" i="26"/>
  <c r="F2289" i="26"/>
  <c r="G2289" i="26" s="1"/>
  <c r="H2289" i="26" s="1"/>
  <c r="J2289" i="26"/>
  <c r="O2289" i="26" s="1"/>
  <c r="L2289" i="26"/>
  <c r="N2289" i="26"/>
  <c r="P2289" i="26"/>
  <c r="F2290" i="26"/>
  <c r="G2290" i="26" s="1"/>
  <c r="J2290" i="26"/>
  <c r="L2290" i="26"/>
  <c r="N2290" i="26"/>
  <c r="P2290" i="26"/>
  <c r="F2291" i="26"/>
  <c r="G2291" i="26" s="1"/>
  <c r="J2291" i="26"/>
  <c r="L2291" i="26"/>
  <c r="N2291" i="26"/>
  <c r="P2291" i="26"/>
  <c r="F2292" i="26"/>
  <c r="G2292" i="26" s="1"/>
  <c r="J2292" i="26"/>
  <c r="L2292" i="26"/>
  <c r="N2292" i="26"/>
  <c r="P2292" i="26"/>
  <c r="F2293" i="26"/>
  <c r="G2293" i="26" s="1"/>
  <c r="J2293" i="26"/>
  <c r="K2293" i="26" s="1"/>
  <c r="L2293" i="26"/>
  <c r="N2293" i="26"/>
  <c r="P2293" i="26"/>
  <c r="F2294" i="26"/>
  <c r="G2294" i="26" s="1"/>
  <c r="J2294" i="26"/>
  <c r="K2294" i="26" s="1"/>
  <c r="L2294" i="26"/>
  <c r="N2294" i="26"/>
  <c r="P2294" i="26"/>
  <c r="F2295" i="26"/>
  <c r="J2295" i="26"/>
  <c r="K2295" i="26" s="1"/>
  <c r="L2295" i="26"/>
  <c r="N2295" i="26"/>
  <c r="P2295" i="26"/>
  <c r="F2296" i="26"/>
  <c r="J2296" i="26"/>
  <c r="O2296" i="26" s="1"/>
  <c r="L2296" i="26"/>
  <c r="N2296" i="26"/>
  <c r="P2296" i="26"/>
  <c r="F2297" i="26"/>
  <c r="G2297" i="26" s="1"/>
  <c r="J2297" i="26"/>
  <c r="O2297" i="26" s="1"/>
  <c r="L2297" i="26"/>
  <c r="N2297" i="26"/>
  <c r="P2297" i="26"/>
  <c r="F2298" i="26"/>
  <c r="G2298" i="26" s="1"/>
  <c r="J2298" i="26"/>
  <c r="O2298" i="26" s="1"/>
  <c r="F2299" i="26"/>
  <c r="G2299" i="26" s="1"/>
  <c r="H2299" i="26" s="1"/>
  <c r="J2299" i="26"/>
  <c r="O2299" i="26" s="1"/>
  <c r="L2299" i="26"/>
  <c r="N2299" i="26"/>
  <c r="P2299" i="26"/>
  <c r="F2300" i="26"/>
  <c r="J2300" i="26"/>
  <c r="O2300" i="26" s="1"/>
  <c r="L2300" i="26"/>
  <c r="N2300" i="26"/>
  <c r="P2300" i="26"/>
  <c r="F2301" i="26"/>
  <c r="G2301" i="26" s="1"/>
  <c r="J2301" i="26"/>
  <c r="L2301" i="26"/>
  <c r="N2301" i="26"/>
  <c r="P2301" i="26"/>
  <c r="F2302" i="26"/>
  <c r="J2302" i="26"/>
  <c r="O2302" i="26" s="1"/>
  <c r="L2302" i="26"/>
  <c r="N2302" i="26"/>
  <c r="P2302" i="26"/>
  <c r="F2303" i="26"/>
  <c r="G2303" i="26" s="1"/>
  <c r="J2303" i="26"/>
  <c r="O2303" i="26" s="1"/>
  <c r="L2303" i="26"/>
  <c r="N2303" i="26"/>
  <c r="P2303" i="26"/>
  <c r="F2304" i="26"/>
  <c r="G2304" i="26" s="1"/>
  <c r="J2304" i="26"/>
  <c r="L2304" i="26"/>
  <c r="N2304" i="26"/>
  <c r="P2304" i="26"/>
  <c r="F2305" i="26"/>
  <c r="G2305" i="26" s="1"/>
  <c r="J2305" i="26"/>
  <c r="L2305" i="26"/>
  <c r="N2305" i="26"/>
  <c r="P2305" i="26"/>
  <c r="F2306" i="26"/>
  <c r="G2306" i="26" s="1"/>
  <c r="J2306" i="26"/>
  <c r="O2306" i="26" s="1"/>
  <c r="L2306" i="26"/>
  <c r="N2306" i="26"/>
  <c r="P2306" i="26"/>
  <c r="F2307" i="26"/>
  <c r="G2307" i="26" s="1"/>
  <c r="J2307" i="26"/>
  <c r="O2307" i="26" s="1"/>
  <c r="L2307" i="26"/>
  <c r="N2307" i="26"/>
  <c r="P2307" i="26"/>
  <c r="F2308" i="26"/>
  <c r="J2308" i="26"/>
  <c r="K2308" i="26" s="1"/>
  <c r="L2308" i="26"/>
  <c r="N2308" i="26"/>
  <c r="P2308" i="26"/>
  <c r="F2309" i="26"/>
  <c r="J2309" i="26"/>
  <c r="L2309" i="26"/>
  <c r="N2309" i="26"/>
  <c r="P2309" i="26"/>
  <c r="F2310" i="26"/>
  <c r="G2310" i="26" s="1"/>
  <c r="J2310" i="26"/>
  <c r="O2310" i="26" s="1"/>
  <c r="F2311" i="26"/>
  <c r="J2311" i="26"/>
  <c r="O2311" i="26" s="1"/>
  <c r="L2311" i="26"/>
  <c r="N2311" i="26"/>
  <c r="P2311" i="26"/>
  <c r="F2312" i="26"/>
  <c r="G2312" i="26" s="1"/>
  <c r="J2312" i="26"/>
  <c r="O2312" i="26" s="1"/>
  <c r="L2312" i="26"/>
  <c r="N2312" i="26"/>
  <c r="P2312" i="26"/>
  <c r="F2313" i="26"/>
  <c r="G2313" i="26" s="1"/>
  <c r="H2313" i="26" s="1"/>
  <c r="J2313" i="26"/>
  <c r="K2313" i="26" s="1"/>
  <c r="L2313" i="26"/>
  <c r="N2313" i="26"/>
  <c r="P2313" i="26"/>
  <c r="F2314" i="26"/>
  <c r="J2314" i="26"/>
  <c r="O2314" i="26" s="1"/>
  <c r="L2314" i="26"/>
  <c r="N2314" i="26"/>
  <c r="P2314" i="26"/>
  <c r="F2315" i="26"/>
  <c r="G2315" i="26" s="1"/>
  <c r="H2315" i="26" s="1"/>
  <c r="J2315" i="26"/>
  <c r="K2315" i="26" s="1"/>
  <c r="L2315" i="26"/>
  <c r="N2315" i="26"/>
  <c r="P2315" i="26"/>
  <c r="F2316" i="26"/>
  <c r="G2316" i="26" s="1"/>
  <c r="J2316" i="26"/>
  <c r="O2316" i="26" s="1"/>
  <c r="L2316" i="26"/>
  <c r="N2316" i="26"/>
  <c r="P2316" i="26"/>
  <c r="F2317" i="26"/>
  <c r="G2317" i="26" s="1"/>
  <c r="H2317" i="26" s="1"/>
  <c r="J2317" i="26"/>
  <c r="O2317" i="26" s="1"/>
  <c r="L2317" i="26"/>
  <c r="N2317" i="26"/>
  <c r="P2317" i="26"/>
  <c r="F2318" i="26"/>
  <c r="G2318" i="26" s="1"/>
  <c r="J2318" i="26"/>
  <c r="L2318" i="26"/>
  <c r="N2318" i="26"/>
  <c r="P2318" i="26"/>
  <c r="F2319" i="26"/>
  <c r="G2319" i="26" s="1"/>
  <c r="J2319" i="26"/>
  <c r="K2319" i="26" s="1"/>
  <c r="L2319" i="26"/>
  <c r="N2319" i="26"/>
  <c r="P2319" i="26"/>
  <c r="F2320" i="26"/>
  <c r="G2320" i="26" s="1"/>
  <c r="J2320" i="26"/>
  <c r="L2320" i="26"/>
  <c r="N2320" i="26"/>
  <c r="P2320" i="26"/>
  <c r="F2321" i="26"/>
  <c r="G2321" i="26" s="1"/>
  <c r="H2321" i="26" s="1"/>
  <c r="J2321" i="26"/>
  <c r="O2321" i="26" s="1"/>
  <c r="F2322" i="26"/>
  <c r="G2322" i="26" s="1"/>
  <c r="J2322" i="26"/>
  <c r="O2322" i="26" s="1"/>
  <c r="L2322" i="26"/>
  <c r="N2322" i="26"/>
  <c r="P2322" i="26"/>
  <c r="F2323" i="26"/>
  <c r="G2323" i="26" s="1"/>
  <c r="J2323" i="26"/>
  <c r="O2323" i="26" s="1"/>
  <c r="L2323" i="26"/>
  <c r="N2323" i="26"/>
  <c r="P2323" i="26"/>
  <c r="F2324" i="26"/>
  <c r="J2324" i="26"/>
  <c r="L2324" i="26"/>
  <c r="N2324" i="26"/>
  <c r="P2324" i="26"/>
  <c r="F2325" i="26"/>
  <c r="J2325" i="26"/>
  <c r="O2325" i="26" s="1"/>
  <c r="L2325" i="26"/>
  <c r="N2325" i="26"/>
  <c r="P2325" i="26"/>
  <c r="F2326" i="26"/>
  <c r="G2326" i="26" s="1"/>
  <c r="J2326" i="26"/>
  <c r="O2326" i="26" s="1"/>
  <c r="L2326" i="26"/>
  <c r="N2326" i="26"/>
  <c r="P2326" i="26"/>
  <c r="F2327" i="26"/>
  <c r="G2327" i="26" s="1"/>
  <c r="J2327" i="26"/>
  <c r="K2327" i="26" s="1"/>
  <c r="L2327" i="26"/>
  <c r="N2327" i="26"/>
  <c r="P2327" i="26"/>
  <c r="F2328" i="26"/>
  <c r="G2328" i="26" s="1"/>
  <c r="J2328" i="26"/>
  <c r="O2328" i="26" s="1"/>
  <c r="L2328" i="26"/>
  <c r="N2328" i="26"/>
  <c r="P2328" i="26"/>
  <c r="F2329" i="26"/>
  <c r="G2329" i="26" s="1"/>
  <c r="J2329" i="26"/>
  <c r="O2329" i="26" s="1"/>
  <c r="L2329" i="26"/>
  <c r="N2329" i="26"/>
  <c r="P2329" i="26"/>
  <c r="F2330" i="26"/>
  <c r="G2330" i="26" s="1"/>
  <c r="J2330" i="26"/>
  <c r="O2330" i="26" s="1"/>
  <c r="L2330" i="26"/>
  <c r="N2330" i="26"/>
  <c r="P2330" i="26"/>
  <c r="F2331" i="26"/>
  <c r="G2331" i="26" s="1"/>
  <c r="J2331" i="26"/>
  <c r="O2331" i="26" s="1"/>
  <c r="F2332" i="26"/>
  <c r="G2332" i="26" s="1"/>
  <c r="J2332" i="26"/>
  <c r="L2332" i="26"/>
  <c r="N2332" i="26"/>
  <c r="P2332" i="26"/>
  <c r="F2333" i="26"/>
  <c r="G2333" i="26" s="1"/>
  <c r="H2333" i="26" s="1"/>
  <c r="J2333" i="26"/>
  <c r="O2333" i="26" s="1"/>
  <c r="L2333" i="26"/>
  <c r="N2333" i="26"/>
  <c r="P2333" i="26"/>
  <c r="F2334" i="26"/>
  <c r="G2334" i="26" s="1"/>
  <c r="J2334" i="26"/>
  <c r="L2334" i="26"/>
  <c r="N2334" i="26"/>
  <c r="P2334" i="26"/>
  <c r="F2335" i="26"/>
  <c r="G2335" i="26" s="1"/>
  <c r="J2335" i="26"/>
  <c r="K2335" i="26" s="1"/>
  <c r="L2335" i="26"/>
  <c r="N2335" i="26"/>
  <c r="P2335" i="26"/>
  <c r="F2336" i="26"/>
  <c r="J2336" i="26"/>
  <c r="K2336" i="26" s="1"/>
  <c r="L2336" i="26"/>
  <c r="N2336" i="26"/>
  <c r="P2336" i="26"/>
  <c r="F2337" i="26"/>
  <c r="G2337" i="26" s="1"/>
  <c r="H2337" i="26" s="1"/>
  <c r="J2337" i="26"/>
  <c r="O2337" i="26" s="1"/>
  <c r="L2337" i="26"/>
  <c r="N2337" i="26"/>
  <c r="P2337" i="26"/>
  <c r="F2338" i="26"/>
  <c r="G2338" i="26" s="1"/>
  <c r="J2338" i="26"/>
  <c r="K2338" i="26" s="1"/>
  <c r="L2338" i="26"/>
  <c r="N2338" i="26"/>
  <c r="P2338" i="26"/>
  <c r="F2339" i="26"/>
  <c r="G2339" i="26" s="1"/>
  <c r="J2339" i="26"/>
  <c r="L2339" i="26"/>
  <c r="N2339" i="26"/>
  <c r="P2339" i="26"/>
  <c r="F2340" i="26"/>
  <c r="G2340" i="26" s="1"/>
  <c r="J2340" i="26"/>
  <c r="K2340" i="26" s="1"/>
  <c r="L2340" i="26"/>
  <c r="N2340" i="26"/>
  <c r="P2340" i="26"/>
  <c r="F2341" i="26"/>
  <c r="J2341" i="26"/>
  <c r="O2341" i="26" s="1"/>
  <c r="L2341" i="26"/>
  <c r="N2341" i="26"/>
  <c r="P2341" i="26"/>
  <c r="F2342" i="26"/>
  <c r="G2342" i="26" s="1"/>
  <c r="J2342" i="26"/>
  <c r="O2342" i="26" s="1"/>
  <c r="L2342" i="26"/>
  <c r="N2342" i="26"/>
  <c r="P2342" i="26"/>
  <c r="F2343" i="26"/>
  <c r="G2343" i="26" s="1"/>
  <c r="J2343" i="26"/>
  <c r="K2343" i="26" s="1"/>
  <c r="L2343" i="26"/>
  <c r="N2343" i="26"/>
  <c r="P2343" i="26"/>
  <c r="F2344" i="26"/>
  <c r="G2344" i="26" s="1"/>
  <c r="J2344" i="26"/>
  <c r="L2344" i="26"/>
  <c r="N2344" i="26"/>
  <c r="P2344" i="26"/>
  <c r="F2345" i="26"/>
  <c r="G2345" i="26" s="1"/>
  <c r="H2345" i="26" s="1"/>
  <c r="J2345" i="26"/>
  <c r="L2345" i="26"/>
  <c r="N2345" i="26"/>
  <c r="P2345" i="26"/>
  <c r="F2346" i="26"/>
  <c r="G2346" i="26" s="1"/>
  <c r="H2346" i="26" s="1"/>
  <c r="J2346" i="26"/>
  <c r="O2346" i="26" s="1"/>
  <c r="L2346" i="26"/>
  <c r="N2346" i="26"/>
  <c r="P2346" i="26"/>
  <c r="F2347" i="26"/>
  <c r="G2347" i="26" s="1"/>
  <c r="H2347" i="26" s="1"/>
  <c r="J2347" i="26"/>
  <c r="L2347" i="26"/>
  <c r="N2347" i="26"/>
  <c r="P2347" i="26"/>
  <c r="F2348" i="26"/>
  <c r="G2348" i="26" s="1"/>
  <c r="H2348" i="26" s="1"/>
  <c r="J2348" i="26"/>
  <c r="O2348" i="26" s="1"/>
  <c r="F2349" i="26"/>
  <c r="G2349" i="26" s="1"/>
  <c r="J2349" i="26"/>
  <c r="K2349" i="26" s="1"/>
  <c r="L2349" i="26"/>
  <c r="N2349" i="26"/>
  <c r="P2349" i="26"/>
  <c r="F2350" i="26"/>
  <c r="G2350" i="26" s="1"/>
  <c r="H2350" i="26" s="1"/>
  <c r="J2350" i="26"/>
  <c r="O2350" i="26" s="1"/>
  <c r="L2350" i="26"/>
  <c r="N2350" i="26"/>
  <c r="P2350" i="26"/>
  <c r="F2351" i="26"/>
  <c r="G2351" i="26" s="1"/>
  <c r="J2351" i="26"/>
  <c r="L2351" i="26"/>
  <c r="N2351" i="26"/>
  <c r="P2351" i="26"/>
  <c r="F2352" i="26"/>
  <c r="G2352" i="26" s="1"/>
  <c r="H2352" i="26" s="1"/>
  <c r="J2352" i="26"/>
  <c r="O2352" i="26" s="1"/>
  <c r="L2352" i="26"/>
  <c r="N2352" i="26"/>
  <c r="P2352" i="26"/>
  <c r="F2353" i="26"/>
  <c r="J2353" i="26"/>
  <c r="K2353" i="26" s="1"/>
  <c r="L2353" i="26"/>
  <c r="N2353" i="26"/>
  <c r="P2353" i="26"/>
  <c r="F2354" i="26"/>
  <c r="G2354" i="26" s="1"/>
  <c r="H2354" i="26" s="1"/>
  <c r="J2354" i="26"/>
  <c r="L2354" i="26"/>
  <c r="N2354" i="26"/>
  <c r="P2354" i="26"/>
  <c r="F2355" i="26"/>
  <c r="G2355" i="26" s="1"/>
  <c r="J2355" i="26"/>
  <c r="L2355" i="26"/>
  <c r="N2355" i="26"/>
  <c r="P2355" i="26"/>
  <c r="F2356" i="26"/>
  <c r="G2356" i="26" s="1"/>
  <c r="H2356" i="26" s="1"/>
  <c r="J2356" i="26"/>
  <c r="O2356" i="26" s="1"/>
  <c r="L2356" i="26"/>
  <c r="N2356" i="26"/>
  <c r="P2356" i="26"/>
  <c r="F2357" i="26"/>
  <c r="G2357" i="26" s="1"/>
  <c r="J2357" i="26"/>
  <c r="K2357" i="26" s="1"/>
  <c r="L2357" i="26"/>
  <c r="N2357" i="26"/>
  <c r="P2357" i="26"/>
  <c r="F2358" i="26"/>
  <c r="G2358" i="26" s="1"/>
  <c r="H2358" i="26" s="1"/>
  <c r="J2358" i="26"/>
  <c r="L2358" i="26"/>
  <c r="N2358" i="26"/>
  <c r="P2358" i="26"/>
  <c r="F2359" i="26"/>
  <c r="J2359" i="26"/>
  <c r="K2359" i="26" s="1"/>
  <c r="L2359" i="26"/>
  <c r="N2359" i="26"/>
  <c r="P2359" i="26"/>
  <c r="F2360" i="26"/>
  <c r="G2360" i="26" s="1"/>
  <c r="H2360" i="26" s="1"/>
  <c r="J2360" i="26"/>
  <c r="O2360" i="26" s="1"/>
  <c r="P2092" i="26"/>
  <c r="N2092" i="26"/>
  <c r="L2092" i="26"/>
  <c r="J2092" i="26"/>
  <c r="O2092" i="26" s="1"/>
  <c r="F2092" i="26"/>
  <c r="D31" i="31"/>
  <c r="D32" i="31"/>
  <c r="D33" i="31"/>
  <c r="A30" i="31"/>
  <c r="D30" i="31" s="1"/>
  <c r="A31" i="31"/>
  <c r="A32" i="31"/>
  <c r="A33" i="31"/>
  <c r="A29" i="31"/>
  <c r="D29" i="31" s="1"/>
  <c r="A28" i="31"/>
  <c r="D28" i="31" s="1"/>
  <c r="A27" i="31"/>
  <c r="D27" i="31" s="1"/>
  <c r="A26" i="31"/>
  <c r="D26" i="31" s="1"/>
  <c r="A25" i="31"/>
  <c r="D25" i="31" s="1"/>
  <c r="A17" i="31"/>
  <c r="D17" i="31" s="1"/>
  <c r="A18" i="31"/>
  <c r="D18" i="31" s="1"/>
  <c r="A19" i="31"/>
  <c r="D19" i="31" s="1"/>
  <c r="A20" i="31"/>
  <c r="D20" i="31" s="1"/>
  <c r="A21" i="31"/>
  <c r="D21" i="31" s="1"/>
  <c r="A22" i="31"/>
  <c r="D22" i="31" s="1"/>
  <c r="A23" i="31"/>
  <c r="D23" i="31" s="1"/>
  <c r="A24" i="31"/>
  <c r="D24" i="31" s="1"/>
  <c r="F2079" i="26"/>
  <c r="G2079" i="26" s="1"/>
  <c r="J2079" i="26"/>
  <c r="O2079" i="26" s="1"/>
  <c r="L2079" i="26"/>
  <c r="N2079" i="26"/>
  <c r="P2079" i="26"/>
  <c r="F2080" i="26"/>
  <c r="G2080" i="26" s="1"/>
  <c r="J2080" i="26"/>
  <c r="K2080" i="26" s="1"/>
  <c r="L2080" i="26"/>
  <c r="N2080" i="26"/>
  <c r="P2080" i="26"/>
  <c r="F2081" i="26"/>
  <c r="G2081" i="26" s="1"/>
  <c r="J2081" i="26"/>
  <c r="O2081" i="26" s="1"/>
  <c r="L2081" i="26"/>
  <c r="N2081" i="26"/>
  <c r="P2081" i="26"/>
  <c r="F2082" i="26"/>
  <c r="G2082" i="26" s="1"/>
  <c r="J2082" i="26"/>
  <c r="K2082" i="26" s="1"/>
  <c r="L2082" i="26"/>
  <c r="N2082" i="26"/>
  <c r="P2082" i="26"/>
  <c r="F2083" i="26"/>
  <c r="G2083" i="26" s="1"/>
  <c r="J2083" i="26"/>
  <c r="O2083" i="26" s="1"/>
  <c r="L2083" i="26"/>
  <c r="N2083" i="26"/>
  <c r="P2083" i="26"/>
  <c r="F2084" i="26"/>
  <c r="G2084" i="26" s="1"/>
  <c r="J2084" i="26"/>
  <c r="K2084" i="26" s="1"/>
  <c r="L2084" i="26"/>
  <c r="N2084" i="26"/>
  <c r="P2084" i="26"/>
  <c r="F2085" i="26"/>
  <c r="G2085" i="26" s="1"/>
  <c r="J2085" i="26"/>
  <c r="O2085" i="26" s="1"/>
  <c r="L2085" i="26"/>
  <c r="N2085" i="26"/>
  <c r="P2085" i="26"/>
  <c r="F2086" i="26"/>
  <c r="G2086" i="26" s="1"/>
  <c r="J2086" i="26"/>
  <c r="K2086" i="26" s="1"/>
  <c r="L2086" i="26"/>
  <c r="N2086" i="26"/>
  <c r="P2086" i="26"/>
  <c r="F2087" i="26"/>
  <c r="G2087" i="26" s="1"/>
  <c r="J2087" i="26"/>
  <c r="O2087" i="26" s="1"/>
  <c r="L2087" i="26"/>
  <c r="N2087" i="26"/>
  <c r="P2087" i="26"/>
  <c r="F2088" i="26"/>
  <c r="G2088" i="26" s="1"/>
  <c r="J2088" i="26"/>
  <c r="K2088" i="26" s="1"/>
  <c r="L2088" i="26"/>
  <c r="N2088" i="26"/>
  <c r="P2088" i="26"/>
  <c r="F2089" i="26"/>
  <c r="G2089" i="26" s="1"/>
  <c r="J2089" i="26"/>
  <c r="O2089" i="26" s="1"/>
  <c r="L2089" i="26"/>
  <c r="N2089" i="26"/>
  <c r="P2089" i="26"/>
  <c r="F2090" i="26"/>
  <c r="G2090" i="26" s="1"/>
  <c r="J2090" i="26"/>
  <c r="K2090" i="26" s="1"/>
  <c r="L2090" i="26"/>
  <c r="N2090" i="26"/>
  <c r="P2090" i="26"/>
  <c r="F2091" i="26"/>
  <c r="G2091" i="26" s="1"/>
  <c r="J2091" i="26"/>
  <c r="O2091" i="26" s="1"/>
  <c r="A7" i="31"/>
  <c r="A8" i="31"/>
  <c r="D8" i="31" s="1"/>
  <c r="A9" i="31"/>
  <c r="D9" i="31" s="1"/>
  <c r="A10" i="31"/>
  <c r="A11" i="31"/>
  <c r="A12" i="31"/>
  <c r="D12" i="31" s="1"/>
  <c r="A13" i="31"/>
  <c r="A14" i="31"/>
  <c r="A15" i="31"/>
  <c r="A16" i="31"/>
  <c r="D16" i="31" s="1"/>
  <c r="L1740" i="26"/>
  <c r="A6" i="31"/>
  <c r="D6" i="31" s="1"/>
  <c r="A4" i="31"/>
  <c r="A5" i="31"/>
  <c r="F1665" i="26"/>
  <c r="G1665" i="26" s="1"/>
  <c r="A2" i="31"/>
  <c r="D2" i="31" s="1"/>
  <c r="A3" i="31"/>
  <c r="J1666" i="26"/>
  <c r="O1666" i="26" s="1"/>
  <c r="L1666" i="26"/>
  <c r="N1666" i="26"/>
  <c r="P1666" i="26"/>
  <c r="J1667" i="26"/>
  <c r="K1667" i="26" s="1"/>
  <c r="L1667" i="26"/>
  <c r="N1667" i="26"/>
  <c r="P1667" i="26"/>
  <c r="J1668" i="26"/>
  <c r="O1668" i="26" s="1"/>
  <c r="L1668" i="26"/>
  <c r="N1668" i="26"/>
  <c r="P1668" i="26"/>
  <c r="J1669" i="26"/>
  <c r="K1669" i="26" s="1"/>
  <c r="L1669" i="26"/>
  <c r="N1669" i="26"/>
  <c r="P1669" i="26"/>
  <c r="J1670" i="26"/>
  <c r="O1670" i="26" s="1"/>
  <c r="L1670" i="26"/>
  <c r="N1670" i="26"/>
  <c r="P1670" i="26"/>
  <c r="J1671" i="26"/>
  <c r="K1671" i="26" s="1"/>
  <c r="L1671" i="26"/>
  <c r="N1671" i="26"/>
  <c r="P1671" i="26"/>
  <c r="J1672" i="26"/>
  <c r="O1672" i="26" s="1"/>
  <c r="L1672" i="26"/>
  <c r="N1672" i="26"/>
  <c r="P1672" i="26"/>
  <c r="J1673" i="26"/>
  <c r="K1673" i="26" s="1"/>
  <c r="L1673" i="26"/>
  <c r="N1673" i="26"/>
  <c r="P1673" i="26"/>
  <c r="J1674" i="26"/>
  <c r="O1674" i="26" s="1"/>
  <c r="J1675" i="26"/>
  <c r="L1675" i="26"/>
  <c r="N1675" i="26"/>
  <c r="P1675" i="26"/>
  <c r="J1676" i="26"/>
  <c r="O1676" i="26" s="1"/>
  <c r="J1677" i="26"/>
  <c r="K1677" i="26" s="1"/>
  <c r="L1677" i="26"/>
  <c r="N1677" i="26"/>
  <c r="P1677" i="26"/>
  <c r="J1678" i="26"/>
  <c r="L1678" i="26"/>
  <c r="N1678" i="26"/>
  <c r="P1678" i="26"/>
  <c r="F1679" i="26"/>
  <c r="G1679" i="26" s="1"/>
  <c r="H1679" i="26" s="1"/>
  <c r="J1679" i="26"/>
  <c r="K1679" i="26" s="1"/>
  <c r="L1679" i="26"/>
  <c r="N1679" i="26"/>
  <c r="P1679" i="26"/>
  <c r="F1680" i="26"/>
  <c r="G1680" i="26" s="1"/>
  <c r="J1680" i="26"/>
  <c r="O1680" i="26" s="1"/>
  <c r="L1680" i="26"/>
  <c r="N1680" i="26"/>
  <c r="P1680" i="26"/>
  <c r="F1681" i="26"/>
  <c r="G1681" i="26" s="1"/>
  <c r="H1681" i="26" s="1"/>
  <c r="J1681" i="26"/>
  <c r="L1681" i="26"/>
  <c r="N1681" i="26"/>
  <c r="P1681" i="26"/>
  <c r="F1682" i="26"/>
  <c r="G1682" i="26" s="1"/>
  <c r="J1682" i="26"/>
  <c r="O1682" i="26" s="1"/>
  <c r="L1682" i="26"/>
  <c r="N1682" i="26"/>
  <c r="P1682" i="26"/>
  <c r="F1683" i="26"/>
  <c r="J1683" i="26"/>
  <c r="K1683" i="26" s="1"/>
  <c r="L1683" i="26"/>
  <c r="N1683" i="26"/>
  <c r="P1683" i="26"/>
  <c r="F1684" i="26"/>
  <c r="G1684" i="26" s="1"/>
  <c r="J1684" i="26"/>
  <c r="O1684" i="26" s="1"/>
  <c r="L1684" i="26"/>
  <c r="N1684" i="26"/>
  <c r="P1684" i="26"/>
  <c r="F1685" i="26"/>
  <c r="J1685" i="26"/>
  <c r="K1685" i="26" s="1"/>
  <c r="L1685" i="26"/>
  <c r="N1685" i="26"/>
  <c r="P1685" i="26"/>
  <c r="F1686" i="26"/>
  <c r="J1686" i="26"/>
  <c r="L1686" i="26"/>
  <c r="N1686" i="26"/>
  <c r="P1686" i="26"/>
  <c r="F1687" i="26"/>
  <c r="G1687" i="26" s="1"/>
  <c r="J1687" i="26"/>
  <c r="F1688" i="26"/>
  <c r="G1688" i="26" s="1"/>
  <c r="J1688" i="26"/>
  <c r="O1688" i="26" s="1"/>
  <c r="L1688" i="26"/>
  <c r="N1688" i="26"/>
  <c r="P1688" i="26"/>
  <c r="F1689" i="26"/>
  <c r="G1689" i="26" s="1"/>
  <c r="J1689" i="26"/>
  <c r="K1689" i="26" s="1"/>
  <c r="L1689" i="26"/>
  <c r="N1689" i="26"/>
  <c r="P1689" i="26"/>
  <c r="F1690" i="26"/>
  <c r="J1690" i="26"/>
  <c r="O1690" i="26" s="1"/>
  <c r="L1690" i="26"/>
  <c r="N1690" i="26"/>
  <c r="P1690" i="26"/>
  <c r="F1691" i="26"/>
  <c r="G1691" i="26" s="1"/>
  <c r="J1691" i="26"/>
  <c r="L1691" i="26"/>
  <c r="N1691" i="26"/>
  <c r="P1691" i="26"/>
  <c r="F1692" i="26"/>
  <c r="G1692" i="26" s="1"/>
  <c r="J1692" i="26"/>
  <c r="O1692" i="26" s="1"/>
  <c r="L1692" i="26"/>
  <c r="N1692" i="26"/>
  <c r="P1692" i="26"/>
  <c r="F1693" i="26"/>
  <c r="G1693" i="26" s="1"/>
  <c r="H1693" i="26" s="1"/>
  <c r="J1693" i="26"/>
  <c r="K1693" i="26" s="1"/>
  <c r="L1693" i="26"/>
  <c r="N1693" i="26"/>
  <c r="P1693" i="26"/>
  <c r="F1694" i="26"/>
  <c r="G1694" i="26" s="1"/>
  <c r="J1694" i="26"/>
  <c r="L1694" i="26"/>
  <c r="N1694" i="26"/>
  <c r="P1694" i="26"/>
  <c r="F1695" i="26"/>
  <c r="G1695" i="26" s="1"/>
  <c r="H1695" i="26" s="1"/>
  <c r="J1695" i="26"/>
  <c r="L1695" i="26"/>
  <c r="N1695" i="26"/>
  <c r="P1695" i="26"/>
  <c r="F1696" i="26"/>
  <c r="G1696" i="26" s="1"/>
  <c r="J1696" i="26"/>
  <c r="L1696" i="26"/>
  <c r="N1696" i="26"/>
  <c r="P1696" i="26"/>
  <c r="F1697" i="26"/>
  <c r="G1697" i="26" s="1"/>
  <c r="H1697" i="26" s="1"/>
  <c r="J1697" i="26"/>
  <c r="L1697" i="26"/>
  <c r="N1697" i="26"/>
  <c r="P1697" i="26"/>
  <c r="F1698" i="26"/>
  <c r="G1698" i="26" s="1"/>
  <c r="J1698" i="26"/>
  <c r="O1698" i="26" s="1"/>
  <c r="F1699" i="26"/>
  <c r="J1699" i="26"/>
  <c r="L1699" i="26"/>
  <c r="N1699" i="26"/>
  <c r="P1699" i="26"/>
  <c r="F1700" i="26"/>
  <c r="G1700" i="26" s="1"/>
  <c r="J1700" i="26"/>
  <c r="O1700" i="26" s="1"/>
  <c r="L1700" i="26"/>
  <c r="N1700" i="26"/>
  <c r="P1700" i="26"/>
  <c r="F1701" i="26"/>
  <c r="G1701" i="26" s="1"/>
  <c r="J1701" i="26"/>
  <c r="L1701" i="26"/>
  <c r="N1701" i="26"/>
  <c r="P1701" i="26"/>
  <c r="F1702" i="26"/>
  <c r="J1702" i="26"/>
  <c r="O1702" i="26" s="1"/>
  <c r="L1702" i="26"/>
  <c r="N1702" i="26"/>
  <c r="P1702" i="26"/>
  <c r="F1703" i="26"/>
  <c r="G1703" i="26" s="1"/>
  <c r="J1703" i="26"/>
  <c r="L1703" i="26"/>
  <c r="N1703" i="26"/>
  <c r="P1703" i="26"/>
  <c r="F1704" i="26"/>
  <c r="J1704" i="26"/>
  <c r="O1704" i="26" s="1"/>
  <c r="L1704" i="26"/>
  <c r="N1704" i="26"/>
  <c r="P1704" i="26"/>
  <c r="F1705" i="26"/>
  <c r="J1705" i="26"/>
  <c r="K1705" i="26" s="1"/>
  <c r="L1705" i="26"/>
  <c r="N1705" i="26"/>
  <c r="P1705" i="26"/>
  <c r="F1706" i="26"/>
  <c r="J1706" i="26"/>
  <c r="L1706" i="26"/>
  <c r="N1706" i="26"/>
  <c r="P1706" i="26"/>
  <c r="F1707" i="26"/>
  <c r="J1707" i="26"/>
  <c r="L1707" i="26"/>
  <c r="N1707" i="26"/>
  <c r="P1707" i="26"/>
  <c r="F1708" i="26"/>
  <c r="G1708" i="26" s="1"/>
  <c r="J1708" i="26"/>
  <c r="L1708" i="26"/>
  <c r="N1708" i="26"/>
  <c r="P1708" i="26"/>
  <c r="F1709" i="26"/>
  <c r="G1709" i="26" s="1"/>
  <c r="J1709" i="26"/>
  <c r="K1709" i="26" s="1"/>
  <c r="F1710" i="26"/>
  <c r="G1710" i="26" s="1"/>
  <c r="J1710" i="26"/>
  <c r="O1710" i="26" s="1"/>
  <c r="F1711" i="26"/>
  <c r="G1711" i="26" s="1"/>
  <c r="H1711" i="26" s="1"/>
  <c r="J1711" i="26"/>
  <c r="L1711" i="26"/>
  <c r="N1711" i="26"/>
  <c r="P1711" i="26"/>
  <c r="F1712" i="26"/>
  <c r="G1712" i="26" s="1"/>
  <c r="J1712" i="26"/>
  <c r="L1712" i="26"/>
  <c r="N1712" i="26"/>
  <c r="P1712" i="26"/>
  <c r="F1713" i="26"/>
  <c r="J1713" i="26"/>
  <c r="K1713" i="26" s="1"/>
  <c r="L1713" i="26"/>
  <c r="N1713" i="26"/>
  <c r="P1713" i="26"/>
  <c r="F1714" i="26"/>
  <c r="G1714" i="26" s="1"/>
  <c r="J1714" i="26"/>
  <c r="O1714" i="26" s="1"/>
  <c r="L1714" i="26"/>
  <c r="N1714" i="26"/>
  <c r="P1714" i="26"/>
  <c r="F1715" i="26"/>
  <c r="J1715" i="26"/>
  <c r="L1715" i="26"/>
  <c r="N1715" i="26"/>
  <c r="P1715" i="26"/>
  <c r="F1716" i="26"/>
  <c r="G1716" i="26" s="1"/>
  <c r="J1716" i="26"/>
  <c r="L1716" i="26"/>
  <c r="N1716" i="26"/>
  <c r="P1716" i="26"/>
  <c r="F1717" i="26"/>
  <c r="J1717" i="26"/>
  <c r="L1717" i="26"/>
  <c r="N1717" i="26"/>
  <c r="P1717" i="26"/>
  <c r="F1718" i="26"/>
  <c r="G1718" i="26" s="1"/>
  <c r="J1718" i="26"/>
  <c r="L1718" i="26"/>
  <c r="N1718" i="26"/>
  <c r="P1718" i="26"/>
  <c r="F1719" i="26"/>
  <c r="G1719" i="26" s="1"/>
  <c r="H1719" i="26" s="1"/>
  <c r="J1719" i="26"/>
  <c r="L1719" i="26"/>
  <c r="N1719" i="26"/>
  <c r="P1719" i="26"/>
  <c r="F1720" i="26"/>
  <c r="J1720" i="26"/>
  <c r="L1720" i="26"/>
  <c r="N1720" i="26"/>
  <c r="P1720" i="26"/>
  <c r="F1721" i="26"/>
  <c r="G1721" i="26" s="1"/>
  <c r="J1721" i="26"/>
  <c r="K1721" i="26" s="1"/>
  <c r="F1722" i="26"/>
  <c r="J1722" i="26"/>
  <c r="O1722" i="26" s="1"/>
  <c r="L1722" i="26"/>
  <c r="N1722" i="26"/>
  <c r="P1722" i="26"/>
  <c r="F1723" i="26"/>
  <c r="G1723" i="26" s="1"/>
  <c r="J1723" i="26"/>
  <c r="F1724" i="26"/>
  <c r="G1724" i="26" s="1"/>
  <c r="H1724" i="26" s="1"/>
  <c r="J1724" i="26"/>
  <c r="L1724" i="26"/>
  <c r="N1724" i="26"/>
  <c r="P1724" i="26"/>
  <c r="F1725" i="26"/>
  <c r="J1725" i="26"/>
  <c r="O1725" i="26" s="1"/>
  <c r="L1725" i="26"/>
  <c r="N1725" i="26"/>
  <c r="P1725" i="26"/>
  <c r="F1726" i="26"/>
  <c r="G1726" i="26" s="1"/>
  <c r="J1726" i="26"/>
  <c r="L1726" i="26"/>
  <c r="N1726" i="26"/>
  <c r="P1726" i="26"/>
  <c r="F1727" i="26"/>
  <c r="J1727" i="26"/>
  <c r="L1727" i="26"/>
  <c r="N1727" i="26"/>
  <c r="P1727" i="26"/>
  <c r="F1728" i="26"/>
  <c r="G1728" i="26" s="1"/>
  <c r="J1728" i="26"/>
  <c r="O1728" i="26" s="1"/>
  <c r="L1728" i="26"/>
  <c r="N1728" i="26"/>
  <c r="P1728" i="26"/>
  <c r="F1729" i="26"/>
  <c r="J1729" i="26"/>
  <c r="O1729" i="26" s="1"/>
  <c r="L1729" i="26"/>
  <c r="N1729" i="26"/>
  <c r="P1729" i="26"/>
  <c r="F1730" i="26"/>
  <c r="G1730" i="26" s="1"/>
  <c r="H1730" i="26" s="1"/>
  <c r="J1730" i="26"/>
  <c r="L1730" i="26"/>
  <c r="N1730" i="26"/>
  <c r="P1730" i="26"/>
  <c r="F1731" i="26"/>
  <c r="J1731" i="26"/>
  <c r="L1731" i="26"/>
  <c r="N1731" i="26"/>
  <c r="P1731" i="26"/>
  <c r="F1732" i="26"/>
  <c r="G1732" i="26" s="1"/>
  <c r="J1732" i="26"/>
  <c r="L1732" i="26"/>
  <c r="N1732" i="26"/>
  <c r="P1732" i="26"/>
  <c r="F1733" i="26"/>
  <c r="G1733" i="26" s="1"/>
  <c r="J1733" i="26"/>
  <c r="K1733" i="26" s="1"/>
  <c r="L1733" i="26"/>
  <c r="N1733" i="26"/>
  <c r="P1733" i="26"/>
  <c r="F1734" i="26"/>
  <c r="G1734" i="26" s="1"/>
  <c r="H1734" i="26" s="1"/>
  <c r="J1734" i="26"/>
  <c r="F1735" i="26"/>
  <c r="J1735" i="26"/>
  <c r="K1735" i="26" s="1"/>
  <c r="L1735" i="26"/>
  <c r="N1735" i="26"/>
  <c r="P1735" i="26"/>
  <c r="F1736" i="26"/>
  <c r="J1736" i="26"/>
  <c r="O1736" i="26" s="1"/>
  <c r="L1736" i="26"/>
  <c r="N1736" i="26"/>
  <c r="P1736" i="26"/>
  <c r="F1737" i="26"/>
  <c r="J1737" i="26"/>
  <c r="K1737" i="26" s="1"/>
  <c r="L1737" i="26"/>
  <c r="N1737" i="26"/>
  <c r="P1737" i="26"/>
  <c r="F1738" i="26"/>
  <c r="J1738" i="26"/>
  <c r="K1738" i="26" s="1"/>
  <c r="L1738" i="26"/>
  <c r="N1738" i="26"/>
  <c r="P1738" i="26"/>
  <c r="F1739" i="26"/>
  <c r="J1739" i="26"/>
  <c r="K1739" i="26" s="1"/>
  <c r="L1739" i="26"/>
  <c r="N1739" i="26"/>
  <c r="P1739" i="26"/>
  <c r="F1740" i="26"/>
  <c r="J1740" i="26"/>
  <c r="O1740" i="26" s="1"/>
  <c r="N1740" i="26"/>
  <c r="P1740" i="26"/>
  <c r="F1741" i="26"/>
  <c r="J1741" i="26"/>
  <c r="O1741" i="26" s="1"/>
  <c r="L1741" i="26"/>
  <c r="N1741" i="26"/>
  <c r="P1741" i="26"/>
  <c r="F1742" i="26"/>
  <c r="J1742" i="26"/>
  <c r="L1742" i="26"/>
  <c r="N1742" i="26"/>
  <c r="P1742" i="26"/>
  <c r="F1743" i="26"/>
  <c r="G1743" i="26" s="1"/>
  <c r="J1743" i="26"/>
  <c r="K1743" i="26" s="1"/>
  <c r="L1743" i="26"/>
  <c r="N1743" i="26"/>
  <c r="P1743" i="26"/>
  <c r="F1744" i="26"/>
  <c r="J1744" i="26"/>
  <c r="K1744" i="26" s="1"/>
  <c r="L1744" i="26"/>
  <c r="N1744" i="26"/>
  <c r="P1744" i="26"/>
  <c r="F1745" i="26"/>
  <c r="J1745" i="26"/>
  <c r="L1745" i="26"/>
  <c r="N1745" i="26"/>
  <c r="P1745" i="26"/>
  <c r="F1746" i="26"/>
  <c r="J1746" i="26"/>
  <c r="L1746" i="26"/>
  <c r="N1746" i="26"/>
  <c r="P1746" i="26"/>
  <c r="F1747" i="26"/>
  <c r="J1747" i="26"/>
  <c r="O1747" i="26" s="1"/>
  <c r="L1747" i="26"/>
  <c r="N1747" i="26"/>
  <c r="P1747" i="26"/>
  <c r="F1748" i="26"/>
  <c r="J1748" i="26"/>
  <c r="O1748" i="26" s="1"/>
  <c r="F1749" i="26"/>
  <c r="J1749" i="26"/>
  <c r="K1749" i="26" s="1"/>
  <c r="L1749" i="26"/>
  <c r="N1749" i="26"/>
  <c r="P1749" i="26"/>
  <c r="F1750" i="26"/>
  <c r="J1750" i="26"/>
  <c r="L1750" i="26"/>
  <c r="N1750" i="26"/>
  <c r="P1750" i="26"/>
  <c r="F1751" i="26"/>
  <c r="G1751" i="26" s="1"/>
  <c r="J1751" i="26"/>
  <c r="L1751" i="26"/>
  <c r="N1751" i="26"/>
  <c r="P1751" i="26"/>
  <c r="F1752" i="26"/>
  <c r="G1752" i="26" s="1"/>
  <c r="J1752" i="26"/>
  <c r="K1752" i="26" s="1"/>
  <c r="L1752" i="26"/>
  <c r="N1752" i="26"/>
  <c r="P1752" i="26"/>
  <c r="F1753" i="26"/>
  <c r="G1753" i="26" s="1"/>
  <c r="J1753" i="26"/>
  <c r="K1753" i="26" s="1"/>
  <c r="L1753" i="26"/>
  <c r="N1753" i="26"/>
  <c r="P1753" i="26"/>
  <c r="F1754" i="26"/>
  <c r="G1754" i="26" s="1"/>
  <c r="J1754" i="26"/>
  <c r="O1754" i="26" s="1"/>
  <c r="L1754" i="26"/>
  <c r="N1754" i="26"/>
  <c r="P1754" i="26"/>
  <c r="F1755" i="26"/>
  <c r="J1755" i="26"/>
  <c r="L1755" i="26"/>
  <c r="N1755" i="26"/>
  <c r="P1755" i="26"/>
  <c r="F1756" i="26"/>
  <c r="G1756" i="26" s="1"/>
  <c r="H1756" i="26" s="1"/>
  <c r="J1756" i="26"/>
  <c r="K1756" i="26" s="1"/>
  <c r="L1756" i="26"/>
  <c r="N1756" i="26"/>
  <c r="P1756" i="26"/>
  <c r="F1757" i="26"/>
  <c r="J1757" i="26"/>
  <c r="K1757" i="26" s="1"/>
  <c r="L1757" i="26"/>
  <c r="N1757" i="26"/>
  <c r="P1757" i="26"/>
  <c r="F1758" i="26"/>
  <c r="G1758" i="26" s="1"/>
  <c r="H1758" i="26" s="1"/>
  <c r="J1758" i="26"/>
  <c r="F1759" i="26"/>
  <c r="G1759" i="26" s="1"/>
  <c r="J1759" i="26"/>
  <c r="K1759" i="26" s="1"/>
  <c r="L1759" i="26"/>
  <c r="N1759" i="26"/>
  <c r="P1759" i="26"/>
  <c r="F1760" i="26"/>
  <c r="G1760" i="26" s="1"/>
  <c r="J1760" i="26"/>
  <c r="K1760" i="26" s="1"/>
  <c r="L1760" i="26"/>
  <c r="N1760" i="26"/>
  <c r="P1760" i="26"/>
  <c r="F1761" i="26"/>
  <c r="J1761" i="26"/>
  <c r="L1761" i="26"/>
  <c r="N1761" i="26"/>
  <c r="P1761" i="26"/>
  <c r="F1762" i="26"/>
  <c r="G1762" i="26" s="1"/>
  <c r="H1762" i="26" s="1"/>
  <c r="J1762" i="26"/>
  <c r="K1762" i="26" s="1"/>
  <c r="L1762" i="26"/>
  <c r="N1762" i="26"/>
  <c r="P1762" i="26"/>
  <c r="F1763" i="26"/>
  <c r="J1763" i="26"/>
  <c r="L1763" i="26"/>
  <c r="N1763" i="26"/>
  <c r="P1763" i="26"/>
  <c r="F1764" i="26"/>
  <c r="G1764" i="26" s="1"/>
  <c r="J1764" i="26"/>
  <c r="O1764" i="26" s="1"/>
  <c r="L1764" i="26"/>
  <c r="N1764" i="26"/>
  <c r="P1764" i="26"/>
  <c r="F1765" i="26"/>
  <c r="G1765" i="26" s="1"/>
  <c r="J1765" i="26"/>
  <c r="O1765" i="26" s="1"/>
  <c r="L1765" i="26"/>
  <c r="N1765" i="26"/>
  <c r="P1765" i="26"/>
  <c r="F1766" i="26"/>
  <c r="G1766" i="26" s="1"/>
  <c r="J1766" i="26"/>
  <c r="L1766" i="26"/>
  <c r="N1766" i="26"/>
  <c r="P1766" i="26"/>
  <c r="F1767" i="26"/>
  <c r="J1767" i="26"/>
  <c r="O1767" i="26" s="1"/>
  <c r="L1767" i="26"/>
  <c r="N1767" i="26"/>
  <c r="P1767" i="26"/>
  <c r="F1768" i="26"/>
  <c r="G1768" i="26" s="1"/>
  <c r="J1768" i="26"/>
  <c r="O1768" i="26" s="1"/>
  <c r="F1769" i="26"/>
  <c r="J1769" i="26"/>
  <c r="L1769" i="26"/>
  <c r="N1769" i="26"/>
  <c r="P1769" i="26"/>
  <c r="F1770" i="26"/>
  <c r="J1770" i="26"/>
  <c r="K1770" i="26" s="1"/>
  <c r="L1770" i="26"/>
  <c r="N1770" i="26"/>
  <c r="P1770" i="26"/>
  <c r="F1771" i="26"/>
  <c r="G1771" i="26" s="1"/>
  <c r="J1771" i="26"/>
  <c r="L1771" i="26"/>
  <c r="N1771" i="26"/>
  <c r="P1771" i="26"/>
  <c r="F1772" i="26"/>
  <c r="G1772" i="26" s="1"/>
  <c r="H1772" i="26" s="1"/>
  <c r="J1772" i="26"/>
  <c r="O1772" i="26" s="1"/>
  <c r="L1772" i="26"/>
  <c r="N1772" i="26"/>
  <c r="P1772" i="26"/>
  <c r="F1773" i="26"/>
  <c r="G1773" i="26" s="1"/>
  <c r="J1773" i="26"/>
  <c r="O1773" i="26" s="1"/>
  <c r="L1773" i="26"/>
  <c r="N1773" i="26"/>
  <c r="P1773" i="26"/>
  <c r="F1774" i="26"/>
  <c r="G1774" i="26" s="1"/>
  <c r="J1774" i="26"/>
  <c r="O1774" i="26" s="1"/>
  <c r="L1774" i="26"/>
  <c r="N1774" i="26"/>
  <c r="P1774" i="26"/>
  <c r="F1775" i="26"/>
  <c r="G1775" i="26" s="1"/>
  <c r="J1775" i="26"/>
  <c r="L1775" i="26"/>
  <c r="N1775" i="26"/>
  <c r="P1775" i="26"/>
  <c r="F1776" i="26"/>
  <c r="G1776" i="26" s="1"/>
  <c r="H1776" i="26" s="1"/>
  <c r="J1776" i="26"/>
  <c r="O1776" i="26" s="1"/>
  <c r="L1776" i="26"/>
  <c r="N1776" i="26"/>
  <c r="P1776" i="26"/>
  <c r="F1777" i="26"/>
  <c r="J1777" i="26"/>
  <c r="L1777" i="26"/>
  <c r="N1777" i="26"/>
  <c r="P1777" i="26"/>
  <c r="F1778" i="26"/>
  <c r="J1778" i="26"/>
  <c r="K1778" i="26" s="1"/>
  <c r="L1778" i="26"/>
  <c r="N1778" i="26"/>
  <c r="P1778" i="26"/>
  <c r="F1779" i="26"/>
  <c r="J1779" i="26"/>
  <c r="K1779" i="26" s="1"/>
  <c r="L1779" i="26"/>
  <c r="N1779" i="26"/>
  <c r="P1779" i="26"/>
  <c r="F1780" i="26"/>
  <c r="J1780" i="26"/>
  <c r="O1780" i="26" s="1"/>
  <c r="F1781" i="26"/>
  <c r="J1781" i="26"/>
  <c r="K1781" i="26" s="1"/>
  <c r="L1781" i="26"/>
  <c r="N1781" i="26"/>
  <c r="P1781" i="26"/>
  <c r="F1782" i="26"/>
  <c r="G1782" i="26" s="1"/>
  <c r="J1782" i="26"/>
  <c r="O1782" i="26" s="1"/>
  <c r="L1782" i="26"/>
  <c r="N1782" i="26"/>
  <c r="P1782" i="26"/>
  <c r="F1783" i="26"/>
  <c r="J1783" i="26"/>
  <c r="O1783" i="26" s="1"/>
  <c r="L1783" i="26"/>
  <c r="N1783" i="26"/>
  <c r="P1783" i="26"/>
  <c r="F1784" i="26"/>
  <c r="J1784" i="26"/>
  <c r="O1784" i="26" s="1"/>
  <c r="L1784" i="26"/>
  <c r="N1784" i="26"/>
  <c r="P1784" i="26"/>
  <c r="F1785" i="26"/>
  <c r="G1785" i="26" s="1"/>
  <c r="J1785" i="26"/>
  <c r="L1785" i="26"/>
  <c r="N1785" i="26"/>
  <c r="P1785" i="26"/>
  <c r="F1786" i="26"/>
  <c r="G1786" i="26" s="1"/>
  <c r="J1786" i="26"/>
  <c r="K1786" i="26" s="1"/>
  <c r="L1786" i="26"/>
  <c r="N1786" i="26"/>
  <c r="P1786" i="26"/>
  <c r="F1787" i="26"/>
  <c r="J1787" i="26"/>
  <c r="L1787" i="26"/>
  <c r="N1787" i="26"/>
  <c r="P1787" i="26"/>
  <c r="F1788" i="26"/>
  <c r="G1788" i="26" s="1"/>
  <c r="J1788" i="26"/>
  <c r="L1788" i="26"/>
  <c r="N1788" i="26"/>
  <c r="P1788" i="26"/>
  <c r="F1789" i="26"/>
  <c r="G1789" i="26" s="1"/>
  <c r="J1789" i="26"/>
  <c r="K1789" i="26" s="1"/>
  <c r="L1789" i="26"/>
  <c r="N1789" i="26"/>
  <c r="P1789" i="26"/>
  <c r="F1790" i="26"/>
  <c r="J1790" i="26"/>
  <c r="K1790" i="26" s="1"/>
  <c r="L1790" i="26"/>
  <c r="N1790" i="26"/>
  <c r="P1790" i="26"/>
  <c r="F1791" i="26"/>
  <c r="G1791" i="26" s="1"/>
  <c r="J1791" i="26"/>
  <c r="L1791" i="26"/>
  <c r="N1791" i="26"/>
  <c r="P1791" i="26"/>
  <c r="F1792" i="26"/>
  <c r="G1792" i="26" s="1"/>
  <c r="H1792" i="26" s="1"/>
  <c r="J1792" i="26"/>
  <c r="O1792" i="26" s="1"/>
  <c r="L1792" i="26"/>
  <c r="N1792" i="26"/>
  <c r="P1792" i="26"/>
  <c r="F1793" i="26"/>
  <c r="J1793" i="26"/>
  <c r="O1793" i="26" s="1"/>
  <c r="L1793" i="26"/>
  <c r="N1793" i="26"/>
  <c r="P1793" i="26"/>
  <c r="F1794" i="26"/>
  <c r="G1794" i="26" s="1"/>
  <c r="J1794" i="26"/>
  <c r="O1794" i="26" s="1"/>
  <c r="L1794" i="26"/>
  <c r="N1794" i="26"/>
  <c r="P1794" i="26"/>
  <c r="F1795" i="26"/>
  <c r="J1795" i="26"/>
  <c r="L1795" i="26"/>
  <c r="N1795" i="26"/>
  <c r="P1795" i="26"/>
  <c r="F1796" i="26"/>
  <c r="G1796" i="26" s="1"/>
  <c r="H1796" i="26" s="1"/>
  <c r="J1796" i="26"/>
  <c r="K1796" i="26" s="1"/>
  <c r="L1796" i="26"/>
  <c r="N1796" i="26"/>
  <c r="P1796" i="26"/>
  <c r="F1797" i="26"/>
  <c r="J1797" i="26"/>
  <c r="L1797" i="26"/>
  <c r="N1797" i="26"/>
  <c r="P1797" i="26"/>
  <c r="F1798" i="26"/>
  <c r="G1798" i="26" s="1"/>
  <c r="H1798" i="26" s="1"/>
  <c r="J1798" i="26"/>
  <c r="L1798" i="26"/>
  <c r="N1798" i="26"/>
  <c r="P1798" i="26"/>
  <c r="F1799" i="26"/>
  <c r="J1799" i="26"/>
  <c r="O1799" i="26" s="1"/>
  <c r="L1799" i="26"/>
  <c r="N1799" i="26"/>
  <c r="P1799" i="26"/>
  <c r="F1800" i="26"/>
  <c r="G1800" i="26" s="1"/>
  <c r="J1800" i="26"/>
  <c r="O1800" i="26" s="1"/>
  <c r="F1801" i="26"/>
  <c r="J1801" i="26"/>
  <c r="K1801" i="26" s="1"/>
  <c r="L1801" i="26"/>
  <c r="N1801" i="26"/>
  <c r="P1801" i="26"/>
  <c r="F1802" i="26"/>
  <c r="J1802" i="26"/>
  <c r="K1802" i="26" s="1"/>
  <c r="L1802" i="26"/>
  <c r="N1802" i="26"/>
  <c r="P1802" i="26"/>
  <c r="F1803" i="26"/>
  <c r="G1803" i="26" s="1"/>
  <c r="J1803" i="26"/>
  <c r="K1803" i="26" s="1"/>
  <c r="L1803" i="26"/>
  <c r="N1803" i="26"/>
  <c r="P1803" i="26"/>
  <c r="F1804" i="26"/>
  <c r="J1804" i="26"/>
  <c r="O1804" i="26" s="1"/>
  <c r="L1804" i="26"/>
  <c r="N1804" i="26"/>
  <c r="P1804" i="26"/>
  <c r="F1805" i="26"/>
  <c r="J1805" i="26"/>
  <c r="L1805" i="26"/>
  <c r="N1805" i="26"/>
  <c r="P1805" i="26"/>
  <c r="F1806" i="26"/>
  <c r="G1806" i="26" s="1"/>
  <c r="H1806" i="26" s="1"/>
  <c r="J1806" i="26"/>
  <c r="L1806" i="26"/>
  <c r="N1806" i="26"/>
  <c r="P1806" i="26"/>
  <c r="F1807" i="26"/>
  <c r="G1807" i="26" s="1"/>
  <c r="J1807" i="26"/>
  <c r="L1807" i="26"/>
  <c r="N1807" i="26"/>
  <c r="P1807" i="26"/>
  <c r="F1808" i="26"/>
  <c r="G1808" i="26" s="1"/>
  <c r="J1808" i="26"/>
  <c r="L1808" i="26"/>
  <c r="N1808" i="26"/>
  <c r="P1808" i="26"/>
  <c r="F1809" i="26"/>
  <c r="J1809" i="26"/>
  <c r="K1809" i="26" s="1"/>
  <c r="L1809" i="26"/>
  <c r="N1809" i="26"/>
  <c r="P1809" i="26"/>
  <c r="F1810" i="26"/>
  <c r="J1810" i="26"/>
  <c r="O1810" i="26" s="1"/>
  <c r="L1810" i="26"/>
  <c r="N1810" i="26"/>
  <c r="P1810" i="26"/>
  <c r="F1811" i="26"/>
  <c r="J1811" i="26"/>
  <c r="O1811" i="26" s="1"/>
  <c r="L1811" i="26"/>
  <c r="N1811" i="26"/>
  <c r="P1811" i="26"/>
  <c r="F1812" i="26"/>
  <c r="G1812" i="26" s="1"/>
  <c r="H1812" i="26" s="1"/>
  <c r="J1812" i="26"/>
  <c r="L1812" i="26"/>
  <c r="N1812" i="26"/>
  <c r="P1812" i="26"/>
  <c r="F1813" i="26"/>
  <c r="G1813" i="26" s="1"/>
  <c r="J1813" i="26"/>
  <c r="O1813" i="26" s="1"/>
  <c r="F1814" i="26"/>
  <c r="G1814" i="26" s="1"/>
  <c r="J1814" i="26"/>
  <c r="L1814" i="26"/>
  <c r="N1814" i="26"/>
  <c r="P1814" i="26"/>
  <c r="F1815" i="26"/>
  <c r="J1815" i="26"/>
  <c r="O1815" i="26" s="1"/>
  <c r="F1816" i="26"/>
  <c r="G1816" i="26" s="1"/>
  <c r="J1816" i="26"/>
  <c r="L1816" i="26"/>
  <c r="N1816" i="26"/>
  <c r="P1816" i="26"/>
  <c r="F1817" i="26"/>
  <c r="J1817" i="26"/>
  <c r="K1817" i="26" s="1"/>
  <c r="L1817" i="26"/>
  <c r="N1817" i="26"/>
  <c r="P1817" i="26"/>
  <c r="F1818" i="26"/>
  <c r="J1818" i="26"/>
  <c r="O1818" i="26" s="1"/>
  <c r="L1818" i="26"/>
  <c r="N1818" i="26"/>
  <c r="P1818" i="26"/>
  <c r="F1819" i="26"/>
  <c r="J1819" i="26"/>
  <c r="O1819" i="26" s="1"/>
  <c r="L1819" i="26"/>
  <c r="N1819" i="26"/>
  <c r="P1819" i="26"/>
  <c r="F1820" i="26"/>
  <c r="G1820" i="26" s="1"/>
  <c r="J1820" i="26"/>
  <c r="K1820" i="26" s="1"/>
  <c r="L1820" i="26"/>
  <c r="N1820" i="26"/>
  <c r="P1820" i="26"/>
  <c r="F1821" i="26"/>
  <c r="G1821" i="26" s="1"/>
  <c r="J1821" i="26"/>
  <c r="L1821" i="26"/>
  <c r="N1821" i="26"/>
  <c r="P1821" i="26"/>
  <c r="F1822" i="26"/>
  <c r="G1822" i="26" s="1"/>
  <c r="J1822" i="26"/>
  <c r="L1822" i="26"/>
  <c r="N1822" i="26"/>
  <c r="P1822" i="26"/>
  <c r="F1823" i="26"/>
  <c r="J1823" i="26"/>
  <c r="L1823" i="26"/>
  <c r="N1823" i="26"/>
  <c r="P1823" i="26"/>
  <c r="F1824" i="26"/>
  <c r="J1824" i="26"/>
  <c r="O1824" i="26" s="1"/>
  <c r="L1824" i="26"/>
  <c r="N1824" i="26"/>
  <c r="P1824" i="26"/>
  <c r="F1825" i="26"/>
  <c r="J1825" i="26"/>
  <c r="K1825" i="26" s="1"/>
  <c r="L1825" i="26"/>
  <c r="N1825" i="26"/>
  <c r="P1825" i="26"/>
  <c r="F1826" i="26"/>
  <c r="G1826" i="26" s="1"/>
  <c r="H1826" i="26" s="1"/>
  <c r="J1826" i="26"/>
  <c r="O1826" i="26" s="1"/>
  <c r="L1826" i="26"/>
  <c r="N1826" i="26"/>
  <c r="P1826" i="26"/>
  <c r="F1827" i="26"/>
  <c r="J1827" i="26"/>
  <c r="L1827" i="26"/>
  <c r="N1827" i="26"/>
  <c r="P1827" i="26"/>
  <c r="F1828" i="26"/>
  <c r="G1828" i="26" s="1"/>
  <c r="J1828" i="26"/>
  <c r="O1828" i="26" s="1"/>
  <c r="L1828" i="26"/>
  <c r="N1828" i="26"/>
  <c r="P1828" i="26"/>
  <c r="F1829" i="26"/>
  <c r="J1829" i="26"/>
  <c r="O1829" i="26" s="1"/>
  <c r="L1829" i="26"/>
  <c r="N1829" i="26"/>
  <c r="P1829" i="26"/>
  <c r="F1830" i="26"/>
  <c r="J1830" i="26"/>
  <c r="O1830" i="26" s="1"/>
  <c r="F1831" i="26"/>
  <c r="J1831" i="26"/>
  <c r="L1831" i="26"/>
  <c r="N1831" i="26"/>
  <c r="P1831" i="26"/>
  <c r="F1832" i="26"/>
  <c r="G1832" i="26" s="1"/>
  <c r="J1832" i="26"/>
  <c r="O1832" i="26" s="1"/>
  <c r="L1832" i="26"/>
  <c r="N1832" i="26"/>
  <c r="P1832" i="26"/>
  <c r="F1833" i="26"/>
  <c r="J1833" i="26"/>
  <c r="L1833" i="26"/>
  <c r="N1833" i="26"/>
  <c r="P1833" i="26"/>
  <c r="F1834" i="26"/>
  <c r="J1834" i="26"/>
  <c r="K1834" i="26" s="1"/>
  <c r="L1834" i="26"/>
  <c r="N1834" i="26"/>
  <c r="P1834" i="26"/>
  <c r="F1835" i="26"/>
  <c r="G1835" i="26" s="1"/>
  <c r="J1835" i="26"/>
  <c r="K1835" i="26" s="1"/>
  <c r="L1835" i="26"/>
  <c r="N1835" i="26"/>
  <c r="P1835" i="26"/>
  <c r="F1836" i="26"/>
  <c r="G1836" i="26" s="1"/>
  <c r="H1836" i="26" s="1"/>
  <c r="J1836" i="26"/>
  <c r="O1836" i="26" s="1"/>
  <c r="L1836" i="26"/>
  <c r="N1836" i="26"/>
  <c r="P1836" i="26"/>
  <c r="F1837" i="26"/>
  <c r="G1837" i="26" s="1"/>
  <c r="J1837" i="26"/>
  <c r="L1837" i="26"/>
  <c r="N1837" i="26"/>
  <c r="P1837" i="26"/>
  <c r="F1838" i="26"/>
  <c r="G1838" i="26" s="1"/>
  <c r="J1838" i="26"/>
  <c r="O1838" i="26" s="1"/>
  <c r="L1838" i="26"/>
  <c r="N1838" i="26"/>
  <c r="P1838" i="26"/>
  <c r="F1839" i="26"/>
  <c r="J1839" i="26"/>
  <c r="L1839" i="26"/>
  <c r="N1839" i="26"/>
  <c r="P1839" i="26"/>
  <c r="F1840" i="26"/>
  <c r="G1840" i="26" s="1"/>
  <c r="J1840" i="26"/>
  <c r="K1840" i="26" s="1"/>
  <c r="L1840" i="26"/>
  <c r="N1840" i="26"/>
  <c r="P1840" i="26"/>
  <c r="F1841" i="26"/>
  <c r="J1841" i="26"/>
  <c r="L1841" i="26"/>
  <c r="N1841" i="26"/>
  <c r="P1841" i="26"/>
  <c r="F1842" i="26"/>
  <c r="J1842" i="26"/>
  <c r="K1842" i="26" s="1"/>
  <c r="L1842" i="26"/>
  <c r="N1842" i="26"/>
  <c r="P1842" i="26"/>
  <c r="F1843" i="26"/>
  <c r="J1843" i="26"/>
  <c r="K1843" i="26" s="1"/>
  <c r="F1844" i="26"/>
  <c r="G1844" i="26" s="1"/>
  <c r="H1844" i="26" s="1"/>
  <c r="J1844" i="26"/>
  <c r="L1844" i="26"/>
  <c r="N1844" i="26"/>
  <c r="P1844" i="26"/>
  <c r="F1845" i="26"/>
  <c r="J1845" i="26"/>
  <c r="K1845" i="26" s="1"/>
  <c r="L1845" i="26"/>
  <c r="N1845" i="26"/>
  <c r="P1845" i="26"/>
  <c r="F1846" i="26"/>
  <c r="J1846" i="26"/>
  <c r="O1846" i="26" s="1"/>
  <c r="L1846" i="26"/>
  <c r="N1846" i="26"/>
  <c r="P1846" i="26"/>
  <c r="F1847" i="26"/>
  <c r="G1847" i="26" s="1"/>
  <c r="J1847" i="26"/>
  <c r="K1847" i="26" s="1"/>
  <c r="L1847" i="26"/>
  <c r="N1847" i="26"/>
  <c r="P1847" i="26"/>
  <c r="F1848" i="26"/>
  <c r="G1848" i="26" s="1"/>
  <c r="H1848" i="26" s="1"/>
  <c r="J1848" i="26"/>
  <c r="K1848" i="26" s="1"/>
  <c r="L1848" i="26"/>
  <c r="N1848" i="26"/>
  <c r="P1848" i="26"/>
  <c r="F1849" i="26"/>
  <c r="J1849" i="26"/>
  <c r="L1849" i="26"/>
  <c r="N1849" i="26"/>
  <c r="P1849" i="26"/>
  <c r="F1850" i="26"/>
  <c r="G1850" i="26" s="1"/>
  <c r="J1850" i="26"/>
  <c r="L1850" i="26"/>
  <c r="N1850" i="26"/>
  <c r="P1850" i="26"/>
  <c r="F1851" i="26"/>
  <c r="G1851" i="26" s="1"/>
  <c r="J1851" i="26"/>
  <c r="K1851" i="26" s="1"/>
  <c r="L1851" i="26"/>
  <c r="N1851" i="26"/>
  <c r="P1851" i="26"/>
  <c r="F1852" i="26"/>
  <c r="J1852" i="26"/>
  <c r="O1852" i="26" s="1"/>
  <c r="L1852" i="26"/>
  <c r="N1852" i="26"/>
  <c r="P1852" i="26"/>
  <c r="F1853" i="26"/>
  <c r="G1853" i="26" s="1"/>
  <c r="J1853" i="26"/>
  <c r="L1853" i="26"/>
  <c r="N1853" i="26"/>
  <c r="P1853" i="26"/>
  <c r="F1854" i="26"/>
  <c r="G1854" i="26" s="1"/>
  <c r="H1854" i="26" s="1"/>
  <c r="J1854" i="26"/>
  <c r="K1854" i="26" s="1"/>
  <c r="L1854" i="26"/>
  <c r="N1854" i="26"/>
  <c r="P1854" i="26"/>
  <c r="F1855" i="26"/>
  <c r="J1855" i="26"/>
  <c r="O1855" i="26" s="1"/>
  <c r="L1855" i="26"/>
  <c r="N1855" i="26"/>
  <c r="P1855" i="26"/>
  <c r="F1856" i="26"/>
  <c r="J1856" i="26"/>
  <c r="F1857" i="26"/>
  <c r="G1857" i="26" s="1"/>
  <c r="J1857" i="26"/>
  <c r="K1857" i="26" s="1"/>
  <c r="L1857" i="26"/>
  <c r="N1857" i="26"/>
  <c r="P1857" i="26"/>
  <c r="F1858" i="26"/>
  <c r="G1858" i="26" s="1"/>
  <c r="H1858" i="26" s="1"/>
  <c r="J1858" i="26"/>
  <c r="L1858" i="26"/>
  <c r="N1858" i="26"/>
  <c r="P1858" i="26"/>
  <c r="F1859" i="26"/>
  <c r="G1859" i="26" s="1"/>
  <c r="J1859" i="26"/>
  <c r="L1859" i="26"/>
  <c r="N1859" i="26"/>
  <c r="P1859" i="26"/>
  <c r="F1860" i="26"/>
  <c r="G1860" i="26" s="1"/>
  <c r="J1860" i="26"/>
  <c r="L1860" i="26"/>
  <c r="N1860" i="26"/>
  <c r="P1860" i="26"/>
  <c r="F1861" i="26"/>
  <c r="J1861" i="26"/>
  <c r="K1861" i="26" s="1"/>
  <c r="L1861" i="26"/>
  <c r="N1861" i="26"/>
  <c r="P1861" i="26"/>
  <c r="F1862" i="26"/>
  <c r="J1862" i="26"/>
  <c r="K1862" i="26" s="1"/>
  <c r="L1862" i="26"/>
  <c r="N1862" i="26"/>
  <c r="P1862" i="26"/>
  <c r="F1863" i="26"/>
  <c r="J1863" i="26"/>
  <c r="O1863" i="26" s="1"/>
  <c r="L1863" i="26"/>
  <c r="N1863" i="26"/>
  <c r="P1863" i="26"/>
  <c r="F1864" i="26"/>
  <c r="J1864" i="26"/>
  <c r="L1864" i="26"/>
  <c r="N1864" i="26"/>
  <c r="P1864" i="26"/>
  <c r="F1865" i="26"/>
  <c r="J1865" i="26"/>
  <c r="O1865" i="26" s="1"/>
  <c r="L1865" i="26"/>
  <c r="N1865" i="26"/>
  <c r="P1865" i="26"/>
  <c r="F1866" i="26"/>
  <c r="J1866" i="26"/>
  <c r="K1866" i="26" s="1"/>
  <c r="L1866" i="26"/>
  <c r="N1866" i="26"/>
  <c r="P1866" i="26"/>
  <c r="F1867" i="26"/>
  <c r="J1867" i="26"/>
  <c r="L1867" i="26"/>
  <c r="N1867" i="26"/>
  <c r="P1867" i="26"/>
  <c r="F1868" i="26"/>
  <c r="G1868" i="26" s="1"/>
  <c r="J1868" i="26"/>
  <c r="O1868" i="26" s="1"/>
  <c r="F1869" i="26"/>
  <c r="G1869" i="26" s="1"/>
  <c r="H1869" i="26" s="1"/>
  <c r="J1869" i="26"/>
  <c r="O1869" i="26" s="1"/>
  <c r="L1869" i="26"/>
  <c r="N1869" i="26"/>
  <c r="P1869" i="26"/>
  <c r="F1870" i="26"/>
  <c r="J1870" i="26"/>
  <c r="K1870" i="26" s="1"/>
  <c r="L1870" i="26"/>
  <c r="N1870" i="26"/>
  <c r="P1870" i="26"/>
  <c r="F1871" i="26"/>
  <c r="J1871" i="26"/>
  <c r="K1871" i="26" s="1"/>
  <c r="L1871" i="26"/>
  <c r="N1871" i="26"/>
  <c r="P1871" i="26"/>
  <c r="F1872" i="26"/>
  <c r="G1872" i="26" s="1"/>
  <c r="J1872" i="26"/>
  <c r="K1872" i="26" s="1"/>
  <c r="L1872" i="26"/>
  <c r="N1872" i="26"/>
  <c r="P1872" i="26"/>
  <c r="F1873" i="26"/>
  <c r="G1873" i="26" s="1"/>
  <c r="H1873" i="26" s="1"/>
  <c r="J1873" i="26"/>
  <c r="L1873" i="26"/>
  <c r="N1873" i="26"/>
  <c r="P1873" i="26"/>
  <c r="F1874" i="26"/>
  <c r="G1874" i="26" s="1"/>
  <c r="J1874" i="26"/>
  <c r="O1874" i="26" s="1"/>
  <c r="L1874" i="26"/>
  <c r="N1874" i="26"/>
  <c r="P1874" i="26"/>
  <c r="F1875" i="26"/>
  <c r="G1875" i="26" s="1"/>
  <c r="J1875" i="26"/>
  <c r="L1875" i="26"/>
  <c r="N1875" i="26"/>
  <c r="P1875" i="26"/>
  <c r="F1876" i="26"/>
  <c r="J1876" i="26"/>
  <c r="L1876" i="26"/>
  <c r="N1876" i="26"/>
  <c r="P1876" i="26"/>
  <c r="F1877" i="26"/>
  <c r="G1877" i="26" s="1"/>
  <c r="J1877" i="26"/>
  <c r="K1877" i="26" s="1"/>
  <c r="L1877" i="26"/>
  <c r="N1877" i="26"/>
  <c r="P1877" i="26"/>
  <c r="F1878" i="26"/>
  <c r="G1878" i="26" s="1"/>
  <c r="J1878" i="26"/>
  <c r="K1878" i="26" s="1"/>
  <c r="L1878" i="26"/>
  <c r="N1878" i="26"/>
  <c r="P1878" i="26"/>
  <c r="F1879" i="26"/>
  <c r="G1879" i="26" s="1"/>
  <c r="J1879" i="26"/>
  <c r="O1879" i="26" s="1"/>
  <c r="L1879" i="26"/>
  <c r="N1879" i="26"/>
  <c r="P1879" i="26"/>
  <c r="F1880" i="26"/>
  <c r="J1880" i="26"/>
  <c r="O1880" i="26" s="1"/>
  <c r="L1880" i="26"/>
  <c r="N1880" i="26"/>
  <c r="P1880" i="26"/>
  <c r="F1881" i="26"/>
  <c r="J1881" i="26"/>
  <c r="K1881" i="26" s="1"/>
  <c r="L1881" i="26"/>
  <c r="N1881" i="26"/>
  <c r="P1881" i="26"/>
  <c r="F1882" i="26"/>
  <c r="G1882" i="26" s="1"/>
  <c r="J1882" i="26"/>
  <c r="L1882" i="26"/>
  <c r="N1882" i="26"/>
  <c r="P1882" i="26"/>
  <c r="F1883" i="26"/>
  <c r="G1883" i="26" s="1"/>
  <c r="J1883" i="26"/>
  <c r="L1883" i="26"/>
  <c r="N1883" i="26"/>
  <c r="P1883" i="26"/>
  <c r="F1884" i="26"/>
  <c r="J1884" i="26"/>
  <c r="O1884" i="26" s="1"/>
  <c r="L1884" i="26"/>
  <c r="N1884" i="26"/>
  <c r="P1884" i="26"/>
  <c r="F1885" i="26"/>
  <c r="G1885" i="26" s="1"/>
  <c r="H1885" i="26" s="1"/>
  <c r="J1885" i="26"/>
  <c r="K1885" i="26" s="1"/>
  <c r="L1885" i="26"/>
  <c r="N1885" i="26"/>
  <c r="P1885" i="26"/>
  <c r="F1886" i="26"/>
  <c r="J1886" i="26"/>
  <c r="K1886" i="26" s="1"/>
  <c r="L1886" i="26"/>
  <c r="N1886" i="26"/>
  <c r="P1886" i="26"/>
  <c r="F1887" i="26"/>
  <c r="J1887" i="26"/>
  <c r="O1887" i="26" s="1"/>
  <c r="L1887" i="26"/>
  <c r="N1887" i="26"/>
  <c r="P1887" i="26"/>
  <c r="F1888" i="26"/>
  <c r="J1888" i="26"/>
  <c r="K1888" i="26" s="1"/>
  <c r="L1888" i="26"/>
  <c r="N1888" i="26"/>
  <c r="P1888" i="26"/>
  <c r="F1889" i="26"/>
  <c r="G1889" i="26" s="1"/>
  <c r="H1889" i="26" s="1"/>
  <c r="J1889" i="26"/>
  <c r="L1889" i="26"/>
  <c r="N1889" i="26"/>
  <c r="P1889" i="26"/>
  <c r="F1890" i="26"/>
  <c r="J1890" i="26"/>
  <c r="L1890" i="26"/>
  <c r="N1890" i="26"/>
  <c r="P1890" i="26"/>
  <c r="F1891" i="26"/>
  <c r="J1891" i="26"/>
  <c r="O1891" i="26" s="1"/>
  <c r="L1891" i="26"/>
  <c r="N1891" i="26"/>
  <c r="P1891" i="26"/>
  <c r="F1892" i="26"/>
  <c r="G1892" i="26" s="1"/>
  <c r="J1892" i="26"/>
  <c r="K1892" i="26" s="1"/>
  <c r="L1892" i="26"/>
  <c r="N1892" i="26"/>
  <c r="P1892" i="26"/>
  <c r="F1893" i="26"/>
  <c r="J1893" i="26"/>
  <c r="O1893" i="26" s="1"/>
  <c r="L1893" i="26"/>
  <c r="N1893" i="26"/>
  <c r="P1893" i="26"/>
  <c r="F1894" i="26"/>
  <c r="G1894" i="26" s="1"/>
  <c r="J1894" i="26"/>
  <c r="L1894" i="26"/>
  <c r="N1894" i="26"/>
  <c r="P1894" i="26"/>
  <c r="F1895" i="26"/>
  <c r="G1895" i="26" s="1"/>
  <c r="H1895" i="26" s="1"/>
  <c r="J1895" i="26"/>
  <c r="O1895" i="26" s="1"/>
  <c r="L1895" i="26"/>
  <c r="N1895" i="26"/>
  <c r="P1895" i="26"/>
  <c r="F1896" i="26"/>
  <c r="J1896" i="26"/>
  <c r="L1896" i="26"/>
  <c r="N1896" i="26"/>
  <c r="P1896" i="26"/>
  <c r="F1897" i="26"/>
  <c r="G1897" i="26" s="1"/>
  <c r="J1897" i="26"/>
  <c r="L1897" i="26"/>
  <c r="N1897" i="26"/>
  <c r="P1897" i="26"/>
  <c r="F1898" i="26"/>
  <c r="G1898" i="26" s="1"/>
  <c r="J1898" i="26"/>
  <c r="L1898" i="26"/>
  <c r="N1898" i="26"/>
  <c r="P1898" i="26"/>
  <c r="F1899" i="26"/>
  <c r="G1899" i="26" s="1"/>
  <c r="H1899" i="26" s="1"/>
  <c r="J1899" i="26"/>
  <c r="O1899" i="26" s="1"/>
  <c r="L1899" i="26"/>
  <c r="N1899" i="26"/>
  <c r="P1899" i="26"/>
  <c r="F1900" i="26"/>
  <c r="J1900" i="26"/>
  <c r="L1900" i="26"/>
  <c r="N1900" i="26"/>
  <c r="P1900" i="26"/>
  <c r="F1901" i="26"/>
  <c r="G1901" i="26" s="1"/>
  <c r="H1901" i="26" s="1"/>
  <c r="J1901" i="26"/>
  <c r="O1901" i="26" s="1"/>
  <c r="L1901" i="26"/>
  <c r="N1901" i="26"/>
  <c r="P1901" i="26"/>
  <c r="F1902" i="26"/>
  <c r="J1902" i="26"/>
  <c r="O1902" i="26" s="1"/>
  <c r="L1902" i="26"/>
  <c r="N1902" i="26"/>
  <c r="P1902" i="26"/>
  <c r="F1903" i="26"/>
  <c r="J1903" i="26"/>
  <c r="L1903" i="26"/>
  <c r="N1903" i="26"/>
  <c r="P1903" i="26"/>
  <c r="F1904" i="26"/>
  <c r="J1904" i="26"/>
  <c r="K1904" i="26" s="1"/>
  <c r="L1904" i="26"/>
  <c r="N1904" i="26"/>
  <c r="P1904" i="26"/>
  <c r="F1905" i="26"/>
  <c r="G1905" i="26" s="1"/>
  <c r="H1905" i="26" s="1"/>
  <c r="J1905" i="26"/>
  <c r="K1905" i="26" s="1"/>
  <c r="L1905" i="26"/>
  <c r="N1905" i="26"/>
  <c r="P1905" i="26"/>
  <c r="F1906" i="26"/>
  <c r="J1906" i="26"/>
  <c r="L1906" i="26"/>
  <c r="N1906" i="26"/>
  <c r="P1906" i="26"/>
  <c r="F1907" i="26"/>
  <c r="J1907" i="26"/>
  <c r="O1907" i="26" s="1"/>
  <c r="L1907" i="26"/>
  <c r="N1907" i="26"/>
  <c r="P1907" i="26"/>
  <c r="F1908" i="26"/>
  <c r="J1908" i="26"/>
  <c r="L1908" i="26"/>
  <c r="N1908" i="26"/>
  <c r="P1908" i="26"/>
  <c r="F1909" i="26"/>
  <c r="J1909" i="26"/>
  <c r="K1909" i="26" s="1"/>
  <c r="L1909" i="26"/>
  <c r="N1909" i="26"/>
  <c r="P1909" i="26"/>
  <c r="F1910" i="26"/>
  <c r="J1910" i="26"/>
  <c r="O1910" i="26" s="1"/>
  <c r="L1910" i="26"/>
  <c r="N1910" i="26"/>
  <c r="P1910" i="26"/>
  <c r="F1911" i="26"/>
  <c r="G1911" i="26" s="1"/>
  <c r="J1911" i="26"/>
  <c r="K1911" i="26" s="1"/>
  <c r="L1911" i="26"/>
  <c r="N1911" i="26"/>
  <c r="P1911" i="26"/>
  <c r="F1912" i="26"/>
  <c r="J1912" i="26"/>
  <c r="L1912" i="26"/>
  <c r="N1912" i="26"/>
  <c r="P1912" i="26"/>
  <c r="F1913" i="26"/>
  <c r="J1913" i="26"/>
  <c r="O1913" i="26" s="1"/>
  <c r="L1913" i="26"/>
  <c r="N1913" i="26"/>
  <c r="P1913" i="26"/>
  <c r="F1914" i="26"/>
  <c r="G1914" i="26" s="1"/>
  <c r="J1914" i="26"/>
  <c r="O1914" i="26" s="1"/>
  <c r="L1914" i="26"/>
  <c r="N1914" i="26"/>
  <c r="P1914" i="26"/>
  <c r="F1915" i="26"/>
  <c r="G1915" i="26" s="1"/>
  <c r="H1915" i="26" s="1"/>
  <c r="J1915" i="26"/>
  <c r="L1915" i="26"/>
  <c r="N1915" i="26"/>
  <c r="P1915" i="26"/>
  <c r="F1916" i="26"/>
  <c r="J1916" i="26"/>
  <c r="O1916" i="26" s="1"/>
  <c r="L1916" i="26"/>
  <c r="N1916" i="26"/>
  <c r="P1916" i="26"/>
  <c r="F1917" i="26"/>
  <c r="G1917" i="26" s="1"/>
  <c r="H1917" i="26" s="1"/>
  <c r="J1917" i="26"/>
  <c r="O1917" i="26" s="1"/>
  <c r="L1917" i="26"/>
  <c r="N1917" i="26"/>
  <c r="P1917" i="26"/>
  <c r="F1918" i="26"/>
  <c r="J1918" i="26"/>
  <c r="K1918" i="26" s="1"/>
  <c r="L1918" i="26"/>
  <c r="N1918" i="26"/>
  <c r="P1918" i="26"/>
  <c r="F1919" i="26"/>
  <c r="G1919" i="26" s="1"/>
  <c r="J1919" i="26"/>
  <c r="L1919" i="26"/>
  <c r="N1919" i="26"/>
  <c r="P1919" i="26"/>
  <c r="F1920" i="26"/>
  <c r="G1920" i="26" s="1"/>
  <c r="J1920" i="26"/>
  <c r="K1920" i="26" s="1"/>
  <c r="L1920" i="26"/>
  <c r="N1920" i="26"/>
  <c r="P1920" i="26"/>
  <c r="F1921" i="26"/>
  <c r="G1921" i="26" s="1"/>
  <c r="H1921" i="26" s="1"/>
  <c r="J1921" i="26"/>
  <c r="K1921" i="26" s="1"/>
  <c r="L1921" i="26"/>
  <c r="N1921" i="26"/>
  <c r="P1921" i="26"/>
  <c r="F1922" i="26"/>
  <c r="J1922" i="26"/>
  <c r="L1922" i="26"/>
  <c r="N1922" i="26"/>
  <c r="P1922" i="26"/>
  <c r="F1923" i="26"/>
  <c r="J1923" i="26"/>
  <c r="L1923" i="26"/>
  <c r="N1923" i="26"/>
  <c r="P1923" i="26"/>
  <c r="F1924" i="26"/>
  <c r="G1924" i="26" s="1"/>
  <c r="J1924" i="26"/>
  <c r="K1924" i="26" s="1"/>
  <c r="L1924" i="26"/>
  <c r="N1924" i="26"/>
  <c r="P1924" i="26"/>
  <c r="F1925" i="26"/>
  <c r="J1925" i="26"/>
  <c r="O1925" i="26" s="1"/>
  <c r="L1925" i="26"/>
  <c r="N1925" i="26"/>
  <c r="P1925" i="26"/>
  <c r="F1926" i="26"/>
  <c r="G1926" i="26" s="1"/>
  <c r="J1926" i="26"/>
  <c r="L1926" i="26"/>
  <c r="N1926" i="26"/>
  <c r="P1926" i="26"/>
  <c r="F1927" i="26"/>
  <c r="J1927" i="26"/>
  <c r="O1927" i="26" s="1"/>
  <c r="L1927" i="26"/>
  <c r="N1927" i="26"/>
  <c r="P1927" i="26"/>
  <c r="F1928" i="26"/>
  <c r="J1928" i="26"/>
  <c r="O1928" i="26" s="1"/>
  <c r="L1928" i="26"/>
  <c r="N1928" i="26"/>
  <c r="P1928" i="26"/>
  <c r="F1929" i="26"/>
  <c r="J1929" i="26"/>
  <c r="L1929" i="26"/>
  <c r="N1929" i="26"/>
  <c r="P1929" i="26"/>
  <c r="F1930" i="26"/>
  <c r="G1930" i="26" s="1"/>
  <c r="J1930" i="26"/>
  <c r="L1930" i="26"/>
  <c r="N1930" i="26"/>
  <c r="P1930" i="26"/>
  <c r="F1931" i="26"/>
  <c r="J1931" i="26"/>
  <c r="K1931" i="26" s="1"/>
  <c r="L1931" i="26"/>
  <c r="N1931" i="26"/>
  <c r="P1931" i="26"/>
  <c r="F1932" i="26"/>
  <c r="J1932" i="26"/>
  <c r="O1932" i="26" s="1"/>
  <c r="L1932" i="26"/>
  <c r="N1932" i="26"/>
  <c r="P1932" i="26"/>
  <c r="F1933" i="26"/>
  <c r="G1933" i="26" s="1"/>
  <c r="H1933" i="26" s="1"/>
  <c r="J1933" i="26"/>
  <c r="K1933" i="26" s="1"/>
  <c r="L1933" i="26"/>
  <c r="N1933" i="26"/>
  <c r="P1933" i="26"/>
  <c r="F1934" i="26"/>
  <c r="J1934" i="26"/>
  <c r="O1934" i="26" s="1"/>
  <c r="L1934" i="26"/>
  <c r="N1934" i="26"/>
  <c r="P1934" i="26"/>
  <c r="F1935" i="26"/>
  <c r="J1935" i="26"/>
  <c r="L1935" i="26"/>
  <c r="N1935" i="26"/>
  <c r="P1935" i="26"/>
  <c r="F1936" i="26"/>
  <c r="G1936" i="26" s="1"/>
  <c r="J1936" i="26"/>
  <c r="K1936" i="26" s="1"/>
  <c r="L1936" i="26"/>
  <c r="N1936" i="26"/>
  <c r="P1936" i="26"/>
  <c r="F1937" i="26"/>
  <c r="J1937" i="26"/>
  <c r="K1937" i="26" s="1"/>
  <c r="L1937" i="26"/>
  <c r="N1937" i="26"/>
  <c r="P1937" i="26"/>
  <c r="F1938" i="26"/>
  <c r="G1938" i="26" s="1"/>
  <c r="J1938" i="26"/>
  <c r="K1938" i="26" s="1"/>
  <c r="L1938" i="26"/>
  <c r="N1938" i="26"/>
  <c r="P1938" i="26"/>
  <c r="F1939" i="26"/>
  <c r="J1939" i="26"/>
  <c r="O1939" i="26" s="1"/>
  <c r="L1939" i="26"/>
  <c r="N1939" i="26"/>
  <c r="P1939" i="26"/>
  <c r="F1940" i="26"/>
  <c r="G1940" i="26" s="1"/>
  <c r="J1940" i="26"/>
  <c r="L1940" i="26"/>
  <c r="N1940" i="26"/>
  <c r="P1940" i="26"/>
  <c r="F1941" i="26"/>
  <c r="J1941" i="26"/>
  <c r="O1941" i="26" s="1"/>
  <c r="L1941" i="26"/>
  <c r="N1941" i="26"/>
  <c r="P1941" i="26"/>
  <c r="F1942" i="26"/>
  <c r="G1942" i="26" s="1"/>
  <c r="J1942" i="26"/>
  <c r="L1942" i="26"/>
  <c r="N1942" i="26"/>
  <c r="P1942" i="26"/>
  <c r="F1943" i="26"/>
  <c r="G1943" i="26" s="1"/>
  <c r="J1943" i="26"/>
  <c r="K1943" i="26" s="1"/>
  <c r="L1943" i="26"/>
  <c r="N1943" i="26"/>
  <c r="P1943" i="26"/>
  <c r="F1944" i="26"/>
  <c r="J1944" i="26"/>
  <c r="O1944" i="26" s="1"/>
  <c r="L1944" i="26"/>
  <c r="N1944" i="26"/>
  <c r="P1944" i="26"/>
  <c r="F1945" i="26"/>
  <c r="G1945" i="26" s="1"/>
  <c r="J1945" i="26"/>
  <c r="O1945" i="26" s="1"/>
  <c r="L1945" i="26"/>
  <c r="N1945" i="26"/>
  <c r="P1945" i="26"/>
  <c r="F1946" i="26"/>
  <c r="G1946" i="26" s="1"/>
  <c r="J1946" i="26"/>
  <c r="K1946" i="26" s="1"/>
  <c r="L1946" i="26"/>
  <c r="N1946" i="26"/>
  <c r="P1946" i="26"/>
  <c r="F1947" i="26"/>
  <c r="G1947" i="26" s="1"/>
  <c r="J1947" i="26"/>
  <c r="O1947" i="26" s="1"/>
  <c r="L1947" i="26"/>
  <c r="N1947" i="26"/>
  <c r="P1947" i="26"/>
  <c r="F1948" i="26"/>
  <c r="J1948" i="26"/>
  <c r="O1948" i="26" s="1"/>
  <c r="L1948" i="26"/>
  <c r="N1948" i="26"/>
  <c r="P1948" i="26"/>
  <c r="F1949" i="26"/>
  <c r="G1949" i="26" s="1"/>
  <c r="J1949" i="26"/>
  <c r="K1949" i="26" s="1"/>
  <c r="L1949" i="26"/>
  <c r="N1949" i="26"/>
  <c r="P1949" i="26"/>
  <c r="F1950" i="26"/>
  <c r="J1950" i="26"/>
  <c r="K1950" i="26" s="1"/>
  <c r="L1950" i="26"/>
  <c r="N1950" i="26"/>
  <c r="P1950" i="26"/>
  <c r="F1951" i="26"/>
  <c r="J1951" i="26"/>
  <c r="K1951" i="26" s="1"/>
  <c r="L1951" i="26"/>
  <c r="N1951" i="26"/>
  <c r="P1951" i="26"/>
  <c r="F1952" i="26"/>
  <c r="G1952" i="26" s="1"/>
  <c r="J1952" i="26"/>
  <c r="L1952" i="26"/>
  <c r="N1952" i="26"/>
  <c r="P1952" i="26"/>
  <c r="F1953" i="26"/>
  <c r="G1953" i="26" s="1"/>
  <c r="H1953" i="26" s="1"/>
  <c r="J1953" i="26"/>
  <c r="K1953" i="26" s="1"/>
  <c r="L1953" i="26"/>
  <c r="N1953" i="26"/>
  <c r="P1953" i="26"/>
  <c r="F1954" i="26"/>
  <c r="J1954" i="26"/>
  <c r="O1954" i="26" s="1"/>
  <c r="L1954" i="26"/>
  <c r="N1954" i="26"/>
  <c r="P1954" i="26"/>
  <c r="F1955" i="26"/>
  <c r="J1955" i="26"/>
  <c r="K1955" i="26" s="1"/>
  <c r="L1955" i="26"/>
  <c r="N1955" i="26"/>
  <c r="P1955" i="26"/>
  <c r="F1956" i="26"/>
  <c r="G1956" i="26" s="1"/>
  <c r="J1956" i="26"/>
  <c r="O1956" i="26" s="1"/>
  <c r="F1957" i="26"/>
  <c r="G1957" i="26" s="1"/>
  <c r="J1957" i="26"/>
  <c r="O1957" i="26" s="1"/>
  <c r="L1957" i="26"/>
  <c r="N1957" i="26"/>
  <c r="P1957" i="26"/>
  <c r="F1958" i="26"/>
  <c r="G1958" i="26" s="1"/>
  <c r="J1958" i="26"/>
  <c r="L1958" i="26"/>
  <c r="N1958" i="26"/>
  <c r="P1958" i="26"/>
  <c r="F1959" i="26"/>
  <c r="G1959" i="26" s="1"/>
  <c r="H1959" i="26" s="1"/>
  <c r="J1959" i="26"/>
  <c r="O1959" i="26" s="1"/>
  <c r="L1959" i="26"/>
  <c r="N1959" i="26"/>
  <c r="P1959" i="26"/>
  <c r="F1960" i="26"/>
  <c r="J1960" i="26"/>
  <c r="O1960" i="26" s="1"/>
  <c r="L1960" i="26"/>
  <c r="N1960" i="26"/>
  <c r="P1960" i="26"/>
  <c r="F1961" i="26"/>
  <c r="G1961" i="26" s="1"/>
  <c r="J1961" i="26"/>
  <c r="K1961" i="26" s="1"/>
  <c r="L1961" i="26"/>
  <c r="N1961" i="26"/>
  <c r="P1961" i="26"/>
  <c r="F1962" i="26"/>
  <c r="G1962" i="26" s="1"/>
  <c r="J1962" i="26"/>
  <c r="L1962" i="26"/>
  <c r="N1962" i="26"/>
  <c r="P1962" i="26"/>
  <c r="F1963" i="26"/>
  <c r="G1963" i="26" s="1"/>
  <c r="H1963" i="26" s="1"/>
  <c r="J1963" i="26"/>
  <c r="O1963" i="26" s="1"/>
  <c r="L1963" i="26"/>
  <c r="N1963" i="26"/>
  <c r="P1963" i="26"/>
  <c r="F1964" i="26"/>
  <c r="J1964" i="26"/>
  <c r="O1964" i="26" s="1"/>
  <c r="L1964" i="26"/>
  <c r="N1964" i="26"/>
  <c r="P1964" i="26"/>
  <c r="F1965" i="26"/>
  <c r="G1965" i="26" s="1"/>
  <c r="H1965" i="26" s="1"/>
  <c r="J1965" i="26"/>
  <c r="O1965" i="26" s="1"/>
  <c r="L1965" i="26"/>
  <c r="N1965" i="26"/>
  <c r="P1965" i="26"/>
  <c r="F1966" i="26"/>
  <c r="J1966" i="26"/>
  <c r="O1966" i="26" s="1"/>
  <c r="L1966" i="26"/>
  <c r="N1966" i="26"/>
  <c r="P1966" i="26"/>
  <c r="F1967" i="26"/>
  <c r="G1967" i="26" s="1"/>
  <c r="J1967" i="26"/>
  <c r="O1967" i="26" s="1"/>
  <c r="L1967" i="26"/>
  <c r="N1967" i="26"/>
  <c r="P1967" i="26"/>
  <c r="F1968" i="26"/>
  <c r="J1968" i="26"/>
  <c r="O1968" i="26" s="1"/>
  <c r="L1968" i="26"/>
  <c r="N1968" i="26"/>
  <c r="P1968" i="26"/>
  <c r="F1969" i="26"/>
  <c r="G1969" i="26" s="1"/>
  <c r="H1969" i="26" s="1"/>
  <c r="J1969" i="26"/>
  <c r="O1969" i="26" s="1"/>
  <c r="L1969" i="26"/>
  <c r="N1969" i="26"/>
  <c r="P1969" i="26"/>
  <c r="F1970" i="26"/>
  <c r="G1970" i="26" s="1"/>
  <c r="J1970" i="26"/>
  <c r="O1970" i="26" s="1"/>
  <c r="L1970" i="26"/>
  <c r="N1970" i="26"/>
  <c r="P1970" i="26"/>
  <c r="F1971" i="26"/>
  <c r="J1971" i="26"/>
  <c r="L1971" i="26"/>
  <c r="N1971" i="26"/>
  <c r="P1971" i="26"/>
  <c r="F1972" i="26"/>
  <c r="G1972" i="26" s="1"/>
  <c r="J1972" i="26"/>
  <c r="L1972" i="26"/>
  <c r="N1972" i="26"/>
  <c r="P1972" i="26"/>
  <c r="F1973" i="26"/>
  <c r="G1973" i="26" s="1"/>
  <c r="J1973" i="26"/>
  <c r="O1973" i="26" s="1"/>
  <c r="L1973" i="26"/>
  <c r="N1973" i="26"/>
  <c r="P1973" i="26"/>
  <c r="F1974" i="26"/>
  <c r="J1974" i="26"/>
  <c r="L1974" i="26"/>
  <c r="N1974" i="26"/>
  <c r="P1974" i="26"/>
  <c r="F1975" i="26"/>
  <c r="J1975" i="26"/>
  <c r="L1975" i="26"/>
  <c r="N1975" i="26"/>
  <c r="P1975" i="26"/>
  <c r="F1976" i="26"/>
  <c r="G1976" i="26" s="1"/>
  <c r="J1976" i="26"/>
  <c r="L1976" i="26"/>
  <c r="N1976" i="26"/>
  <c r="P1976" i="26"/>
  <c r="F1977" i="26"/>
  <c r="G1977" i="26" s="1"/>
  <c r="H1977" i="26" s="1"/>
  <c r="J1977" i="26"/>
  <c r="O1977" i="26" s="1"/>
  <c r="L1977" i="26"/>
  <c r="N1977" i="26"/>
  <c r="P1977" i="26"/>
  <c r="F1978" i="26"/>
  <c r="G1978" i="26" s="1"/>
  <c r="J1978" i="26"/>
  <c r="O1978" i="26" s="1"/>
  <c r="L1978" i="26"/>
  <c r="N1978" i="26"/>
  <c r="P1978" i="26"/>
  <c r="F1979" i="26"/>
  <c r="J1979" i="26"/>
  <c r="K1979" i="26" s="1"/>
  <c r="L1979" i="26"/>
  <c r="N1979" i="26"/>
  <c r="P1979" i="26"/>
  <c r="F1980" i="26"/>
  <c r="J1980" i="26"/>
  <c r="L1980" i="26"/>
  <c r="N1980" i="26"/>
  <c r="P1980" i="26"/>
  <c r="F1981" i="26"/>
  <c r="G1981" i="26" s="1"/>
  <c r="J1981" i="26"/>
  <c r="L1981" i="26"/>
  <c r="N1981" i="26"/>
  <c r="P1981" i="26"/>
  <c r="F1982" i="26"/>
  <c r="J1982" i="26"/>
  <c r="K1982" i="26" s="1"/>
  <c r="L1982" i="26"/>
  <c r="N1982" i="26"/>
  <c r="P1982" i="26"/>
  <c r="F1983" i="26"/>
  <c r="J1983" i="26"/>
  <c r="L1983" i="26"/>
  <c r="N1983" i="26"/>
  <c r="P1983" i="26"/>
  <c r="F1984" i="26"/>
  <c r="G1984" i="26" s="1"/>
  <c r="J1984" i="26"/>
  <c r="K1984" i="26" s="1"/>
  <c r="L1984" i="26"/>
  <c r="N1984" i="26"/>
  <c r="P1984" i="26"/>
  <c r="F1985" i="26"/>
  <c r="G1985" i="26" s="1"/>
  <c r="H1985" i="26" s="1"/>
  <c r="J1985" i="26"/>
  <c r="K1985" i="26" s="1"/>
  <c r="L1985" i="26"/>
  <c r="N1985" i="26"/>
  <c r="P1985" i="26"/>
  <c r="F1986" i="26"/>
  <c r="J1986" i="26"/>
  <c r="L1986" i="26"/>
  <c r="N1986" i="26"/>
  <c r="P1986" i="26"/>
  <c r="F1987" i="26"/>
  <c r="G1987" i="26" s="1"/>
  <c r="H1987" i="26" s="1"/>
  <c r="J1987" i="26"/>
  <c r="L1987" i="26"/>
  <c r="N1987" i="26"/>
  <c r="P1987" i="26"/>
  <c r="F1988" i="26"/>
  <c r="G1988" i="26" s="1"/>
  <c r="H1988" i="26" s="1"/>
  <c r="J1988" i="26"/>
  <c r="O1988" i="26" s="1"/>
  <c r="L1988" i="26"/>
  <c r="N1988" i="26"/>
  <c r="P1988" i="26"/>
  <c r="F1989" i="26"/>
  <c r="G1989" i="26" s="1"/>
  <c r="J1989" i="26"/>
  <c r="L1989" i="26"/>
  <c r="N1989" i="26"/>
  <c r="P1989" i="26"/>
  <c r="F1990" i="26"/>
  <c r="J1990" i="26"/>
  <c r="K1990" i="26" s="1"/>
  <c r="L1990" i="26"/>
  <c r="N1990" i="26"/>
  <c r="P1990" i="26"/>
  <c r="F1991" i="26"/>
  <c r="G1991" i="26" s="1"/>
  <c r="H1991" i="26" s="1"/>
  <c r="J1991" i="26"/>
  <c r="O1991" i="26" s="1"/>
  <c r="L1991" i="26"/>
  <c r="N1991" i="26"/>
  <c r="P1991" i="26"/>
  <c r="F1992" i="26"/>
  <c r="G1992" i="26" s="1"/>
  <c r="J1992" i="26"/>
  <c r="K1992" i="26" s="1"/>
  <c r="L1992" i="26"/>
  <c r="N1992" i="26"/>
  <c r="P1992" i="26"/>
  <c r="F1993" i="26"/>
  <c r="J1993" i="26"/>
  <c r="K1993" i="26" s="1"/>
  <c r="L1993" i="26"/>
  <c r="N1993" i="26"/>
  <c r="P1993" i="26"/>
  <c r="F1994" i="26"/>
  <c r="J1994" i="26"/>
  <c r="O1994" i="26" s="1"/>
  <c r="L1994" i="26"/>
  <c r="N1994" i="26"/>
  <c r="P1994" i="26"/>
  <c r="F1995" i="26"/>
  <c r="G1995" i="26" s="1"/>
  <c r="H1995" i="26" s="1"/>
  <c r="J1995" i="26"/>
  <c r="L1995" i="26"/>
  <c r="N1995" i="26"/>
  <c r="P1995" i="26"/>
  <c r="F1996" i="26"/>
  <c r="G1996" i="26" s="1"/>
  <c r="H1996" i="26" s="1"/>
  <c r="J1996" i="26"/>
  <c r="O1996" i="26" s="1"/>
  <c r="L1996" i="26"/>
  <c r="N1996" i="26"/>
  <c r="P1996" i="26"/>
  <c r="F1997" i="26"/>
  <c r="G1997" i="26" s="1"/>
  <c r="J1997" i="26"/>
  <c r="K1997" i="26" s="1"/>
  <c r="L1997" i="26"/>
  <c r="N1997" i="26"/>
  <c r="P1997" i="26"/>
  <c r="F1998" i="26"/>
  <c r="J1998" i="26"/>
  <c r="K1998" i="26" s="1"/>
  <c r="L1998" i="26"/>
  <c r="N1998" i="26"/>
  <c r="P1998" i="26"/>
  <c r="F1999" i="26"/>
  <c r="G1999" i="26" s="1"/>
  <c r="H1999" i="26" s="1"/>
  <c r="J1999" i="26"/>
  <c r="O1999" i="26" s="1"/>
  <c r="L1999" i="26"/>
  <c r="N1999" i="26"/>
  <c r="P1999" i="26"/>
  <c r="F2000" i="26"/>
  <c r="J2000" i="26"/>
  <c r="K2000" i="26" s="1"/>
  <c r="L2000" i="26"/>
  <c r="N2000" i="26"/>
  <c r="P2000" i="26"/>
  <c r="F2001" i="26"/>
  <c r="G2001" i="26" s="1"/>
  <c r="H2001" i="26" s="1"/>
  <c r="J2001" i="26"/>
  <c r="K2001" i="26" s="1"/>
  <c r="L2001" i="26"/>
  <c r="N2001" i="26"/>
  <c r="P2001" i="26"/>
  <c r="F2002" i="26"/>
  <c r="J2002" i="26"/>
  <c r="L2002" i="26"/>
  <c r="N2002" i="26"/>
  <c r="P2002" i="26"/>
  <c r="F2003" i="26"/>
  <c r="G2003" i="26" s="1"/>
  <c r="H2003" i="26" s="1"/>
  <c r="J2003" i="26"/>
  <c r="K2003" i="26" s="1"/>
  <c r="L2003" i="26"/>
  <c r="N2003" i="26"/>
  <c r="P2003" i="26"/>
  <c r="F2004" i="26"/>
  <c r="J2004" i="26"/>
  <c r="O2004" i="26" s="1"/>
  <c r="L2004" i="26"/>
  <c r="N2004" i="26"/>
  <c r="P2004" i="26"/>
  <c r="F2005" i="26"/>
  <c r="J2005" i="26"/>
  <c r="O2005" i="26" s="1"/>
  <c r="L2005" i="26"/>
  <c r="N2005" i="26"/>
  <c r="P2005" i="26"/>
  <c r="F2006" i="26"/>
  <c r="G2006" i="26" s="1"/>
  <c r="J2006" i="26"/>
  <c r="K2006" i="26" s="1"/>
  <c r="L2006" i="26"/>
  <c r="N2006" i="26"/>
  <c r="P2006" i="26"/>
  <c r="F2007" i="26"/>
  <c r="G2007" i="26" s="1"/>
  <c r="H2007" i="26" s="1"/>
  <c r="J2007" i="26"/>
  <c r="O2007" i="26" s="1"/>
  <c r="L2007" i="26"/>
  <c r="N2007" i="26"/>
  <c r="P2007" i="26"/>
  <c r="F2008" i="26"/>
  <c r="G2008" i="26" s="1"/>
  <c r="J2008" i="26"/>
  <c r="O2008" i="26" s="1"/>
  <c r="L2008" i="26"/>
  <c r="N2008" i="26"/>
  <c r="P2008" i="26"/>
  <c r="F2009" i="26"/>
  <c r="J2009" i="26"/>
  <c r="K2009" i="26" s="1"/>
  <c r="L2009" i="26"/>
  <c r="N2009" i="26"/>
  <c r="P2009" i="26"/>
  <c r="F2010" i="26"/>
  <c r="J2010" i="26"/>
  <c r="L2010" i="26"/>
  <c r="N2010" i="26"/>
  <c r="P2010" i="26"/>
  <c r="F2011" i="26"/>
  <c r="G2011" i="26" s="1"/>
  <c r="J2011" i="26"/>
  <c r="K2011" i="26" s="1"/>
  <c r="L2011" i="26"/>
  <c r="N2011" i="26"/>
  <c r="P2011" i="26"/>
  <c r="F2012" i="26"/>
  <c r="G2012" i="26" s="1"/>
  <c r="J2012" i="26"/>
  <c r="K2012" i="26" s="1"/>
  <c r="L2012" i="26"/>
  <c r="N2012" i="26"/>
  <c r="P2012" i="26"/>
  <c r="F2013" i="26"/>
  <c r="G2013" i="26" s="1"/>
  <c r="H2013" i="26" s="1"/>
  <c r="J2013" i="26"/>
  <c r="L2013" i="26"/>
  <c r="N2013" i="26"/>
  <c r="P2013" i="26"/>
  <c r="F2014" i="26"/>
  <c r="J2014" i="26"/>
  <c r="O2014" i="26" s="1"/>
  <c r="F2015" i="26"/>
  <c r="G2015" i="26" s="1"/>
  <c r="H2015" i="26" s="1"/>
  <c r="J2015" i="26"/>
  <c r="O2015" i="26" s="1"/>
  <c r="L2015" i="26"/>
  <c r="N2015" i="26"/>
  <c r="P2015" i="26"/>
  <c r="F2016" i="26"/>
  <c r="G2016" i="26" s="1"/>
  <c r="J2016" i="26"/>
  <c r="K2016" i="26" s="1"/>
  <c r="L2016" i="26"/>
  <c r="N2016" i="26"/>
  <c r="P2016" i="26"/>
  <c r="F2017" i="26"/>
  <c r="G2017" i="26" s="1"/>
  <c r="J2017" i="26"/>
  <c r="O2017" i="26" s="1"/>
  <c r="L2017" i="26"/>
  <c r="N2017" i="26"/>
  <c r="P2017" i="26"/>
  <c r="F2018" i="26"/>
  <c r="J2018" i="26"/>
  <c r="L2018" i="26"/>
  <c r="N2018" i="26"/>
  <c r="P2018" i="26"/>
  <c r="F2019" i="26"/>
  <c r="G2019" i="26" s="1"/>
  <c r="H2019" i="26" s="1"/>
  <c r="J2019" i="26"/>
  <c r="O2019" i="26" s="1"/>
  <c r="L2019" i="26"/>
  <c r="N2019" i="26"/>
  <c r="P2019" i="26"/>
  <c r="F2020" i="26"/>
  <c r="J2020" i="26"/>
  <c r="O2020" i="26" s="1"/>
  <c r="L2020" i="26"/>
  <c r="N2020" i="26"/>
  <c r="P2020" i="26"/>
  <c r="F2021" i="26"/>
  <c r="J2021" i="26"/>
  <c r="K2021" i="26" s="1"/>
  <c r="L2021" i="26"/>
  <c r="N2021" i="26"/>
  <c r="P2021" i="26"/>
  <c r="F2022" i="26"/>
  <c r="G2022" i="26" s="1"/>
  <c r="J2022" i="26"/>
  <c r="K2022" i="26" s="1"/>
  <c r="L2022" i="26"/>
  <c r="N2022" i="26"/>
  <c r="P2022" i="26"/>
  <c r="F2023" i="26"/>
  <c r="G2023" i="26" s="1"/>
  <c r="H2023" i="26" s="1"/>
  <c r="J2023" i="26"/>
  <c r="O2023" i="26" s="1"/>
  <c r="L2023" i="26"/>
  <c r="N2023" i="26"/>
  <c r="P2023" i="26"/>
  <c r="F2024" i="26"/>
  <c r="G2024" i="26" s="1"/>
  <c r="J2024" i="26"/>
  <c r="L2024" i="26"/>
  <c r="N2024" i="26"/>
  <c r="P2024" i="26"/>
  <c r="F2025" i="26"/>
  <c r="J2025" i="26"/>
  <c r="O2025" i="26" s="1"/>
  <c r="L2025" i="26"/>
  <c r="N2025" i="26"/>
  <c r="P2025" i="26"/>
  <c r="F2026" i="26"/>
  <c r="J2026" i="26"/>
  <c r="L2026" i="26"/>
  <c r="N2026" i="26"/>
  <c r="P2026" i="26"/>
  <c r="F2027" i="26"/>
  <c r="G2027" i="26" s="1"/>
  <c r="J2027" i="26"/>
  <c r="K2027" i="26" s="1"/>
  <c r="L2027" i="26"/>
  <c r="N2027" i="26"/>
  <c r="P2027" i="26"/>
  <c r="F2028" i="26"/>
  <c r="G2028" i="26" s="1"/>
  <c r="J2028" i="26"/>
  <c r="K2028" i="26" s="1"/>
  <c r="L2028" i="26"/>
  <c r="N2028" i="26"/>
  <c r="P2028" i="26"/>
  <c r="F2029" i="26"/>
  <c r="J2029" i="26"/>
  <c r="O2029" i="26" s="1"/>
  <c r="L2029" i="26"/>
  <c r="N2029" i="26"/>
  <c r="P2029" i="26"/>
  <c r="F2030" i="26"/>
  <c r="J2030" i="26"/>
  <c r="O2030" i="26" s="1"/>
  <c r="L2030" i="26"/>
  <c r="N2030" i="26"/>
  <c r="P2030" i="26"/>
  <c r="F2031" i="26"/>
  <c r="G2031" i="26" s="1"/>
  <c r="J2031" i="26"/>
  <c r="O2031" i="26" s="1"/>
  <c r="L2031" i="26"/>
  <c r="N2031" i="26"/>
  <c r="P2031" i="26"/>
  <c r="F2032" i="26"/>
  <c r="G2032" i="26" s="1"/>
  <c r="J2032" i="26"/>
  <c r="L2032" i="26"/>
  <c r="N2032" i="26"/>
  <c r="P2032" i="26"/>
  <c r="F2033" i="26"/>
  <c r="G2033" i="26" s="1"/>
  <c r="J2033" i="26"/>
  <c r="O2033" i="26" s="1"/>
  <c r="L2033" i="26"/>
  <c r="N2033" i="26"/>
  <c r="P2033" i="26"/>
  <c r="F2034" i="26"/>
  <c r="J2034" i="26"/>
  <c r="L2034" i="26"/>
  <c r="N2034" i="26"/>
  <c r="P2034" i="26"/>
  <c r="F2035" i="26"/>
  <c r="G2035" i="26" s="1"/>
  <c r="H2035" i="26" s="1"/>
  <c r="J2035" i="26"/>
  <c r="L2035" i="26"/>
  <c r="N2035" i="26"/>
  <c r="P2035" i="26"/>
  <c r="F2036" i="26"/>
  <c r="J2036" i="26"/>
  <c r="L2036" i="26"/>
  <c r="N2036" i="26"/>
  <c r="P2036" i="26"/>
  <c r="F2037" i="26"/>
  <c r="J2037" i="26"/>
  <c r="K2037" i="26" s="1"/>
  <c r="L2037" i="26"/>
  <c r="N2037" i="26"/>
  <c r="P2037" i="26"/>
  <c r="F2038" i="26"/>
  <c r="G2038" i="26" s="1"/>
  <c r="J2038" i="26"/>
  <c r="K2038" i="26" s="1"/>
  <c r="L2038" i="26"/>
  <c r="N2038" i="26"/>
  <c r="P2038" i="26"/>
  <c r="F2039" i="26"/>
  <c r="G2039" i="26" s="1"/>
  <c r="H2039" i="26" s="1"/>
  <c r="J2039" i="26"/>
  <c r="O2039" i="26" s="1"/>
  <c r="L2039" i="26"/>
  <c r="N2039" i="26"/>
  <c r="P2039" i="26"/>
  <c r="F2040" i="26"/>
  <c r="G2040" i="26" s="1"/>
  <c r="J2040" i="26"/>
  <c r="O2040" i="26" s="1"/>
  <c r="L2040" i="26"/>
  <c r="N2040" i="26"/>
  <c r="P2040" i="26"/>
  <c r="F2041" i="26"/>
  <c r="J2041" i="26"/>
  <c r="O2041" i="26" s="1"/>
  <c r="F2042" i="26"/>
  <c r="J2042" i="26"/>
  <c r="L2042" i="26"/>
  <c r="N2042" i="26"/>
  <c r="P2042" i="26"/>
  <c r="F2043" i="26"/>
  <c r="G2043" i="26" s="1"/>
  <c r="J2043" i="26"/>
  <c r="K2043" i="26" s="1"/>
  <c r="L2043" i="26"/>
  <c r="N2043" i="26"/>
  <c r="P2043" i="26"/>
  <c r="F2044" i="26"/>
  <c r="G2044" i="26" s="1"/>
  <c r="J2044" i="26"/>
  <c r="L2044" i="26"/>
  <c r="N2044" i="26"/>
  <c r="P2044" i="26"/>
  <c r="F2045" i="26"/>
  <c r="G2045" i="26" s="1"/>
  <c r="J2045" i="26"/>
  <c r="O2045" i="26" s="1"/>
  <c r="L2045" i="26"/>
  <c r="N2045" i="26"/>
  <c r="P2045" i="26"/>
  <c r="F2046" i="26"/>
  <c r="J2046" i="26"/>
  <c r="O2046" i="26" s="1"/>
  <c r="L2046" i="26"/>
  <c r="N2046" i="26"/>
  <c r="P2046" i="26"/>
  <c r="F2047" i="26"/>
  <c r="G2047" i="26" s="1"/>
  <c r="J2047" i="26"/>
  <c r="O2047" i="26" s="1"/>
  <c r="L2047" i="26"/>
  <c r="N2047" i="26"/>
  <c r="P2047" i="26"/>
  <c r="F2048" i="26"/>
  <c r="G2048" i="26" s="1"/>
  <c r="J2048" i="26"/>
  <c r="O2048" i="26" s="1"/>
  <c r="L2048" i="26"/>
  <c r="N2048" i="26"/>
  <c r="P2048" i="26"/>
  <c r="F2049" i="26"/>
  <c r="G2049" i="26" s="1"/>
  <c r="J2049" i="26"/>
  <c r="O2049" i="26" s="1"/>
  <c r="L2049" i="26"/>
  <c r="N2049" i="26"/>
  <c r="P2049" i="26"/>
  <c r="F2050" i="26"/>
  <c r="J2050" i="26"/>
  <c r="L2050" i="26"/>
  <c r="N2050" i="26"/>
  <c r="P2050" i="26"/>
  <c r="F2051" i="26"/>
  <c r="G2051" i="26" s="1"/>
  <c r="H2051" i="26" s="1"/>
  <c r="J2051" i="26"/>
  <c r="K2051" i="26" s="1"/>
  <c r="L2051" i="26"/>
  <c r="N2051" i="26"/>
  <c r="P2051" i="26"/>
  <c r="F2052" i="26"/>
  <c r="J2052" i="26"/>
  <c r="K2052" i="26" s="1"/>
  <c r="L2052" i="26"/>
  <c r="N2052" i="26"/>
  <c r="P2052" i="26"/>
  <c r="F2053" i="26"/>
  <c r="J2053" i="26"/>
  <c r="F2054" i="26"/>
  <c r="G2054" i="26" s="1"/>
  <c r="J2054" i="26"/>
  <c r="F2055" i="26"/>
  <c r="G2055" i="26" s="1"/>
  <c r="H2055" i="26" s="1"/>
  <c r="J2055" i="26"/>
  <c r="O2055" i="26" s="1"/>
  <c r="L2055" i="26"/>
  <c r="N2055" i="26"/>
  <c r="P2055" i="26"/>
  <c r="F2056" i="26"/>
  <c r="G2056" i="26" s="1"/>
  <c r="J2056" i="26"/>
  <c r="O2056" i="26" s="1"/>
  <c r="L2056" i="26"/>
  <c r="N2056" i="26"/>
  <c r="P2056" i="26"/>
  <c r="F2057" i="26"/>
  <c r="J2057" i="26"/>
  <c r="L2057" i="26"/>
  <c r="N2057" i="26"/>
  <c r="P2057" i="26"/>
  <c r="F2058" i="26"/>
  <c r="G2058" i="26" s="1"/>
  <c r="J2058" i="26"/>
  <c r="K2058" i="26" s="1"/>
  <c r="L2058" i="26"/>
  <c r="N2058" i="26"/>
  <c r="P2058" i="26"/>
  <c r="F2059" i="26"/>
  <c r="G2059" i="26" s="1"/>
  <c r="J2059" i="26"/>
  <c r="O2059" i="26" s="1"/>
  <c r="L2059" i="26"/>
  <c r="N2059" i="26"/>
  <c r="P2059" i="26"/>
  <c r="F2060" i="26"/>
  <c r="G2060" i="26" s="1"/>
  <c r="J2060" i="26"/>
  <c r="K2060" i="26" s="1"/>
  <c r="L2060" i="26"/>
  <c r="N2060" i="26"/>
  <c r="P2060" i="26"/>
  <c r="F2061" i="26"/>
  <c r="G2061" i="26" s="1"/>
  <c r="J2061" i="26"/>
  <c r="O2061" i="26" s="1"/>
  <c r="L2061" i="26"/>
  <c r="N2061" i="26"/>
  <c r="P2061" i="26"/>
  <c r="F2062" i="26"/>
  <c r="J2062" i="26"/>
  <c r="O2062" i="26" s="1"/>
  <c r="L2062" i="26"/>
  <c r="N2062" i="26"/>
  <c r="P2062" i="26"/>
  <c r="F2063" i="26"/>
  <c r="J2063" i="26"/>
  <c r="K2063" i="26" s="1"/>
  <c r="L2063" i="26"/>
  <c r="N2063" i="26"/>
  <c r="P2063" i="26"/>
  <c r="F2064" i="26"/>
  <c r="G2064" i="26" s="1"/>
  <c r="J2064" i="26"/>
  <c r="L2064" i="26"/>
  <c r="N2064" i="26"/>
  <c r="P2064" i="26"/>
  <c r="F2065" i="26"/>
  <c r="J2065" i="26"/>
  <c r="L2065" i="26"/>
  <c r="N2065" i="26"/>
  <c r="P2065" i="26"/>
  <c r="F2066" i="26"/>
  <c r="J2066" i="26"/>
  <c r="O2066" i="26" s="1"/>
  <c r="L2066" i="26"/>
  <c r="N2066" i="26"/>
  <c r="P2066" i="26"/>
  <c r="F2067" i="26"/>
  <c r="G2067" i="26" s="1"/>
  <c r="H2067" i="26" s="1"/>
  <c r="J2067" i="26"/>
  <c r="L2067" i="26"/>
  <c r="N2067" i="26"/>
  <c r="P2067" i="26"/>
  <c r="F2068" i="26"/>
  <c r="J2068" i="26"/>
  <c r="O2068" i="26" s="1"/>
  <c r="L2068" i="26"/>
  <c r="N2068" i="26"/>
  <c r="P2068" i="26"/>
  <c r="F2069" i="26"/>
  <c r="G2069" i="26" s="1"/>
  <c r="J2069" i="26"/>
  <c r="O2069" i="26" s="1"/>
  <c r="L2069" i="26"/>
  <c r="N2069" i="26"/>
  <c r="P2069" i="26"/>
  <c r="F2070" i="26"/>
  <c r="G2070" i="26" s="1"/>
  <c r="J2070" i="26"/>
  <c r="O2070" i="26" s="1"/>
  <c r="L2070" i="26"/>
  <c r="N2070" i="26"/>
  <c r="P2070" i="26"/>
  <c r="F2071" i="26"/>
  <c r="G2071" i="26" s="1"/>
  <c r="J2071" i="26"/>
  <c r="L2071" i="26"/>
  <c r="N2071" i="26"/>
  <c r="P2071" i="26"/>
  <c r="F2072" i="26"/>
  <c r="G2072" i="26" s="1"/>
  <c r="J2072" i="26"/>
  <c r="O2072" i="26" s="1"/>
  <c r="L2072" i="26"/>
  <c r="N2072" i="26"/>
  <c r="P2072" i="26"/>
  <c r="F2073" i="26"/>
  <c r="G2073" i="26" s="1"/>
  <c r="J2073" i="26"/>
  <c r="O2073" i="26" s="1"/>
  <c r="L2073" i="26"/>
  <c r="N2073" i="26"/>
  <c r="P2073" i="26"/>
  <c r="F2074" i="26"/>
  <c r="J2074" i="26"/>
  <c r="O2074" i="26" s="1"/>
  <c r="L2074" i="26"/>
  <c r="N2074" i="26"/>
  <c r="P2074" i="26"/>
  <c r="F2075" i="26"/>
  <c r="G2075" i="26" s="1"/>
  <c r="J2075" i="26"/>
  <c r="K2075" i="26" s="1"/>
  <c r="L2075" i="26"/>
  <c r="N2075" i="26"/>
  <c r="P2075" i="26"/>
  <c r="F2076" i="26"/>
  <c r="G2076" i="26" s="1"/>
  <c r="J2076" i="26"/>
  <c r="O2076" i="26" s="1"/>
  <c r="L2076" i="26"/>
  <c r="N2076" i="26"/>
  <c r="P2076" i="26"/>
  <c r="F2077" i="26"/>
  <c r="G2077" i="26" s="1"/>
  <c r="H2077" i="26" s="1"/>
  <c r="J2077" i="26"/>
  <c r="O2077" i="26" s="1"/>
  <c r="L2077" i="26"/>
  <c r="N2077" i="26"/>
  <c r="P2077" i="26"/>
  <c r="F2078" i="26"/>
  <c r="G2078" i="26" s="1"/>
  <c r="J2078" i="26"/>
  <c r="L2078" i="26"/>
  <c r="N2078" i="26"/>
  <c r="P2078" i="26"/>
  <c r="F1657" i="26"/>
  <c r="G1657" i="26" s="1"/>
  <c r="F1662" i="26"/>
  <c r="G1662" i="26" s="1"/>
  <c r="F1664" i="26"/>
  <c r="G1664" i="26" s="1"/>
  <c r="G7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K1280" i="13"/>
  <c r="G1280" i="13"/>
  <c r="G1279" i="13"/>
  <c r="L2" i="26"/>
  <c r="J1651" i="26"/>
  <c r="O1651" i="26" s="1"/>
  <c r="L1651" i="26"/>
  <c r="N1651" i="26"/>
  <c r="P1651" i="26"/>
  <c r="F1652" i="26"/>
  <c r="G1652" i="26" s="1"/>
  <c r="J1652" i="26"/>
  <c r="K1652" i="26" s="1"/>
  <c r="L1652" i="26"/>
  <c r="N1652" i="26"/>
  <c r="P1652" i="26"/>
  <c r="J1653" i="26"/>
  <c r="O1653" i="26" s="1"/>
  <c r="L1653" i="26"/>
  <c r="N1653" i="26"/>
  <c r="P1653" i="26"/>
  <c r="J1654" i="26"/>
  <c r="K1654" i="26" s="1"/>
  <c r="L1654" i="26"/>
  <c r="N1654" i="26"/>
  <c r="P1654" i="26"/>
  <c r="J1655" i="26"/>
  <c r="O1655" i="26" s="1"/>
  <c r="L1655" i="26"/>
  <c r="N1655" i="26"/>
  <c r="P1655" i="26"/>
  <c r="J1656" i="26"/>
  <c r="K1656" i="26" s="1"/>
  <c r="L1656" i="26"/>
  <c r="N1656" i="26"/>
  <c r="P1656" i="26"/>
  <c r="J1657" i="26"/>
  <c r="O1657" i="26" s="1"/>
  <c r="L1657" i="26"/>
  <c r="N1657" i="26"/>
  <c r="P1657" i="26"/>
  <c r="J1658" i="26"/>
  <c r="K1658" i="26" s="1"/>
  <c r="L1658" i="26"/>
  <c r="N1658" i="26"/>
  <c r="P1658" i="26"/>
  <c r="J1659" i="26"/>
  <c r="O1659" i="26" s="1"/>
  <c r="L1659" i="26"/>
  <c r="N1659" i="26"/>
  <c r="P1659" i="26"/>
  <c r="J1660" i="26"/>
  <c r="K1660" i="26" s="1"/>
  <c r="L1660" i="26"/>
  <c r="N1660" i="26"/>
  <c r="P1660" i="26"/>
  <c r="J1661" i="26"/>
  <c r="O1661" i="26" s="1"/>
  <c r="L1661" i="26"/>
  <c r="N1661" i="26"/>
  <c r="P1661" i="26"/>
  <c r="J1662" i="26"/>
  <c r="K1662" i="26" s="1"/>
  <c r="L1662" i="26"/>
  <c r="N1662" i="26"/>
  <c r="P1662" i="26"/>
  <c r="F1663" i="26"/>
  <c r="G1663" i="26" s="1"/>
  <c r="J1663" i="26"/>
  <c r="O1663" i="26" s="1"/>
  <c r="L1663" i="26"/>
  <c r="N1663" i="26"/>
  <c r="P1663" i="26"/>
  <c r="J1664" i="26"/>
  <c r="K1664" i="26" s="1"/>
  <c r="J1665" i="26"/>
  <c r="O1665" i="26" s="1"/>
  <c r="L1665" i="26"/>
  <c r="N1665" i="26"/>
  <c r="P1665" i="26"/>
  <c r="AB2" i="48" l="1"/>
  <c r="AB3" i="48"/>
  <c r="AC3" i="48"/>
  <c r="J3" i="48"/>
  <c r="K3" i="48" s="1" a="1"/>
  <c r="K3" i="48" s="1"/>
  <c r="T40" i="46"/>
  <c r="F3" i="48" s="1"/>
  <c r="L3" i="48" s="1"/>
  <c r="AD2" i="48"/>
  <c r="AE2" i="48" s="1"/>
  <c r="I33" i="46" a="1"/>
  <c r="I33" i="46" s="1"/>
  <c r="I28" i="46" a="1"/>
  <c r="I28" i="46" s="1"/>
  <c r="I30" i="46" a="1"/>
  <c r="I30" i="46" s="1"/>
  <c r="I38" i="46" a="1"/>
  <c r="I38" i="46" s="1"/>
  <c r="I46" i="46" a="1"/>
  <c r="I46" i="46" s="1"/>
  <c r="I36" i="46" a="1"/>
  <c r="I36" i="46" s="1"/>
  <c r="I44" i="46" a="1"/>
  <c r="I44" i="46" s="1"/>
  <c r="I37" i="46" a="1"/>
  <c r="I37" i="46" s="1"/>
  <c r="I27" i="46" a="1"/>
  <c r="I27" i="46" s="1"/>
  <c r="I32" i="46" a="1"/>
  <c r="I32" i="46" s="1"/>
  <c r="I34" i="46" a="1"/>
  <c r="I34" i="46" s="1"/>
  <c r="I45" i="46" a="1"/>
  <c r="I45" i="46" s="1"/>
  <c r="I42" i="46" a="1"/>
  <c r="I42" i="46" s="1"/>
  <c r="I99" i="46" a="1"/>
  <c r="I99" i="46" s="1"/>
  <c r="I97" i="46" a="1"/>
  <c r="I97" i="46" s="1"/>
  <c r="I82" i="46" a="1"/>
  <c r="I82" i="46" s="1"/>
  <c r="I84" i="46" a="1"/>
  <c r="I84" i="46" s="1"/>
  <c r="J84" i="46" s="1"/>
  <c r="I83" i="46" a="1"/>
  <c r="I83" i="46" s="1"/>
  <c r="J83" i="46" s="1"/>
  <c r="I88" i="46" a="1"/>
  <c r="I88" i="46" s="1"/>
  <c r="I87" i="46" a="1"/>
  <c r="I87" i="46" s="1"/>
  <c r="I91" i="46" a="1"/>
  <c r="I91" i="46" s="1"/>
  <c r="I96" i="46" a="1"/>
  <c r="I96" i="46" s="1"/>
  <c r="I89" i="46" a="1"/>
  <c r="I89" i="46" s="1"/>
  <c r="J89" i="46" s="1"/>
  <c r="I95" i="46" a="1"/>
  <c r="I95" i="46" s="1"/>
  <c r="I76" i="46" a="1"/>
  <c r="I76" i="46" s="1"/>
  <c r="J76" i="46" s="1"/>
  <c r="I93" i="46" a="1"/>
  <c r="I93" i="46" s="1"/>
  <c r="I92" i="46" a="1"/>
  <c r="I92" i="46" s="1"/>
  <c r="I80" i="46" a="1"/>
  <c r="I80" i="46" s="1"/>
  <c r="J80" i="46" s="1"/>
  <c r="I75" i="46" a="1"/>
  <c r="I75" i="46" s="1"/>
  <c r="J75" i="46" s="1"/>
  <c r="I77" i="46" a="1"/>
  <c r="I77" i="46" s="1"/>
  <c r="J77" i="46" s="1"/>
  <c r="I78" i="46" a="1"/>
  <c r="I78" i="46" s="1"/>
  <c r="J78" i="46" s="1"/>
  <c r="I98" i="46" a="1"/>
  <c r="I98" i="46" s="1"/>
  <c r="I85" i="46" a="1"/>
  <c r="I85" i="46" s="1"/>
  <c r="I86" i="46" a="1"/>
  <c r="I86" i="46" s="1"/>
  <c r="I79" i="46" a="1"/>
  <c r="I79" i="46" s="1"/>
  <c r="J79" i="46" s="1"/>
  <c r="I81" i="46" a="1"/>
  <c r="I81" i="46" s="1"/>
  <c r="J81" i="46" s="1"/>
  <c r="I94" i="46" a="1"/>
  <c r="I94" i="46" s="1"/>
  <c r="I90" i="46" a="1"/>
  <c r="I90" i="46" s="1"/>
  <c r="I11" i="46" a="1"/>
  <c r="I11" i="46" s="1"/>
  <c r="I21" i="46" a="1"/>
  <c r="I21" i="46" s="1"/>
  <c r="I5" i="46" a="1"/>
  <c r="I5" i="46" s="1"/>
  <c r="T22" i="46"/>
  <c r="I17" i="46" a="1"/>
  <c r="I17" i="46" s="1"/>
  <c r="I19" i="46" a="1"/>
  <c r="I19" i="46" s="1"/>
  <c r="I4" i="46" a="1"/>
  <c r="I4" i="46" s="1"/>
  <c r="I16" i="46" a="1"/>
  <c r="I16" i="46" s="1"/>
  <c r="I15" i="46" a="1"/>
  <c r="I15" i="46" s="1"/>
  <c r="I13" i="46" a="1"/>
  <c r="I13" i="46" s="1"/>
  <c r="I8" i="46" a="1"/>
  <c r="I8" i="46" s="1"/>
  <c r="I12" i="46" a="1"/>
  <c r="I12" i="46" s="1"/>
  <c r="I3" i="46" a="1"/>
  <c r="I3" i="46" s="1"/>
  <c r="I7" i="46" a="1"/>
  <c r="I7" i="46" s="1"/>
  <c r="I14" i="46" a="1"/>
  <c r="I14" i="46" s="1"/>
  <c r="I20" i="46" a="1"/>
  <c r="I20" i="46" s="1"/>
  <c r="I9" i="46" a="1"/>
  <c r="I9" i="46" s="1"/>
  <c r="I10" i="46" a="1"/>
  <c r="I10" i="46" s="1"/>
  <c r="I23" i="46" a="1"/>
  <c r="I23" i="46" s="1"/>
  <c r="I18" i="46" a="1"/>
  <c r="I18" i="46" s="1"/>
  <c r="I6" i="46" a="1"/>
  <c r="I6" i="46" s="1"/>
  <c r="K1799" i="26"/>
  <c r="H2322" i="26"/>
  <c r="K1994" i="26"/>
  <c r="K1991" i="26"/>
  <c r="K2341" i="26"/>
  <c r="K2260" i="26"/>
  <c r="K1768" i="26"/>
  <c r="K2059" i="26"/>
  <c r="K2056" i="26"/>
  <c r="K2041" i="26"/>
  <c r="K1954" i="26"/>
  <c r="K2333" i="26"/>
  <c r="K2331" i="26"/>
  <c r="K2077" i="26"/>
  <c r="K2074" i="26"/>
  <c r="K2033" i="26"/>
  <c r="K2030" i="26"/>
  <c r="K1846" i="26"/>
  <c r="K2286" i="26"/>
  <c r="K2264" i="26"/>
  <c r="K2262" i="26"/>
  <c r="K2248" i="26"/>
  <c r="K2228" i="26"/>
  <c r="K1934" i="26"/>
  <c r="K1928" i="26"/>
  <c r="K1869" i="26"/>
  <c r="K1792" i="26"/>
  <c r="K2189" i="26"/>
  <c r="K2147" i="26"/>
  <c r="K1836" i="26"/>
  <c r="O2295" i="26"/>
  <c r="K2223" i="26"/>
  <c r="K2015" i="26"/>
  <c r="K1863" i="26"/>
  <c r="K1811" i="26"/>
  <c r="O1778" i="26"/>
  <c r="K1651" i="26"/>
  <c r="O2027" i="26"/>
  <c r="K1879" i="26"/>
  <c r="K2317" i="26"/>
  <c r="K2314" i="26"/>
  <c r="O1762" i="26"/>
  <c r="K1747" i="26"/>
  <c r="K2306" i="26"/>
  <c r="K2197" i="26"/>
  <c r="K2017" i="26"/>
  <c r="K1966" i="26"/>
  <c r="K1963" i="26"/>
  <c r="K1960" i="26"/>
  <c r="K1939" i="26"/>
  <c r="K1927" i="26"/>
  <c r="K1884" i="26"/>
  <c r="K2297" i="26"/>
  <c r="K2210" i="26"/>
  <c r="K2352" i="26"/>
  <c r="K2118" i="26"/>
  <c r="K2069" i="26"/>
  <c r="K1852" i="26"/>
  <c r="K1804" i="26"/>
  <c r="K1728" i="26"/>
  <c r="K1725" i="26"/>
  <c r="K2140" i="26"/>
  <c r="K2298" i="26"/>
  <c r="K2268" i="26"/>
  <c r="K2323" i="26"/>
  <c r="H2320" i="26"/>
  <c r="K2281" i="26"/>
  <c r="K2278" i="26"/>
  <c r="O2273" i="26"/>
  <c r="K2154" i="26"/>
  <c r="K2049" i="26"/>
  <c r="O1851" i="26"/>
  <c r="O1835" i="26"/>
  <c r="K1819" i="26"/>
  <c r="K1690" i="26"/>
  <c r="K2337" i="26"/>
  <c r="K2329" i="26"/>
  <c r="K2321" i="26"/>
  <c r="O2220" i="26"/>
  <c r="K2170" i="26"/>
  <c r="O2125" i="26"/>
  <c r="K2070" i="26"/>
  <c r="K1902" i="26"/>
  <c r="K1899" i="26"/>
  <c r="K2312" i="26"/>
  <c r="O2294" i="26"/>
  <c r="K2204" i="26"/>
  <c r="K2196" i="26"/>
  <c r="K2162" i="26"/>
  <c r="H2203" i="26"/>
  <c r="K2175" i="26"/>
  <c r="K2169" i="26"/>
  <c r="K2124" i="26"/>
  <c r="H24" i="18"/>
  <c r="N24" i="18" s="1"/>
  <c r="H23" i="18"/>
  <c r="N23" i="18" s="1"/>
  <c r="O1870" i="26"/>
  <c r="K2068" i="26"/>
  <c r="O2063" i="26"/>
  <c r="K2039" i="26"/>
  <c r="K1973" i="26"/>
  <c r="K1970" i="26"/>
  <c r="K1967" i="26"/>
  <c r="O1933" i="26"/>
  <c r="K1932" i="26"/>
  <c r="O1881" i="26"/>
  <c r="O1877" i="26"/>
  <c r="K1800" i="26"/>
  <c r="O1756" i="26"/>
  <c r="K1740" i="26"/>
  <c r="O1733" i="26"/>
  <c r="K2079" i="26"/>
  <c r="O2336" i="26"/>
  <c r="K2289" i="26"/>
  <c r="K2270" i="26"/>
  <c r="H2237" i="26"/>
  <c r="K2224" i="26"/>
  <c r="O2180" i="26"/>
  <c r="K2179" i="26"/>
  <c r="K2167" i="26"/>
  <c r="O2159" i="26"/>
  <c r="O2247" i="26"/>
  <c r="H13" i="18"/>
  <c r="N13" i="18" s="1"/>
  <c r="O1786" i="26"/>
  <c r="O2353" i="26"/>
  <c r="K2072" i="26"/>
  <c r="K1947" i="26"/>
  <c r="K1914" i="26"/>
  <c r="K1880" i="26"/>
  <c r="K1865" i="26"/>
  <c r="O1738" i="26"/>
  <c r="K1722" i="26"/>
  <c r="K2356" i="26"/>
  <c r="K2307" i="26"/>
  <c r="K2274" i="26"/>
  <c r="O1951" i="26"/>
  <c r="O1924" i="26"/>
  <c r="O1921" i="26"/>
  <c r="O1918" i="26"/>
  <c r="O2313" i="26"/>
  <c r="O2287" i="26"/>
  <c r="O2259" i="26"/>
  <c r="K2048" i="26"/>
  <c r="K2045" i="26"/>
  <c r="K2007" i="26"/>
  <c r="K1874" i="26"/>
  <c r="K1826" i="26"/>
  <c r="K2350" i="26"/>
  <c r="K2328" i="26"/>
  <c r="K2325" i="26"/>
  <c r="K2316" i="26"/>
  <c r="K2227" i="26"/>
  <c r="H25" i="18"/>
  <c r="N25" i="18" s="1"/>
  <c r="D25" i="18"/>
  <c r="H21" i="18"/>
  <c r="N21" i="18" s="1"/>
  <c r="D22" i="18"/>
  <c r="H22" i="18"/>
  <c r="N22" i="18" s="1"/>
  <c r="H17" i="18"/>
  <c r="N17" i="18" s="1"/>
  <c r="D20" i="18"/>
  <c r="H19" i="18"/>
  <c r="N19" i="18" s="1"/>
  <c r="H20" i="18"/>
  <c r="N20" i="18" s="1"/>
  <c r="D19" i="18"/>
  <c r="H18" i="18"/>
  <c r="N18" i="18" s="1"/>
  <c r="D18" i="18"/>
  <c r="D12" i="18"/>
  <c r="H16" i="18"/>
  <c r="N16" i="18" s="1"/>
  <c r="D14" i="18"/>
  <c r="H9" i="18"/>
  <c r="N9" i="18" s="1"/>
  <c r="H15" i="18"/>
  <c r="N15" i="18" s="1"/>
  <c r="D15" i="18"/>
  <c r="H14" i="18"/>
  <c r="N14" i="18" s="1"/>
  <c r="D13" i="18"/>
  <c r="H12" i="18"/>
  <c r="N12" i="18" s="1"/>
  <c r="H11" i="18"/>
  <c r="N11" i="18" s="1"/>
  <c r="D11" i="18"/>
  <c r="D10" i="18"/>
  <c r="H10" i="18"/>
  <c r="N10" i="18" s="1"/>
  <c r="H3" i="18"/>
  <c r="N3" i="18" s="1"/>
  <c r="H6" i="18"/>
  <c r="N6" i="18" s="1"/>
  <c r="H4" i="18"/>
  <c r="N4" i="18" s="1"/>
  <c r="H7" i="18"/>
  <c r="N7" i="18" s="1"/>
  <c r="D8" i="18"/>
  <c r="D5" i="18"/>
  <c r="D7" i="18"/>
  <c r="D4" i="18"/>
  <c r="H5" i="18"/>
  <c r="N5" i="18" s="1"/>
  <c r="H8" i="18"/>
  <c r="N8" i="18" s="1"/>
  <c r="H2" i="18"/>
  <c r="N2" i="18" s="1"/>
  <c r="H2133" i="26"/>
  <c r="H2017" i="26"/>
  <c r="H2172" i="26"/>
  <c r="G2311" i="26"/>
  <c r="H2311" i="26" s="1"/>
  <c r="H2294" i="26"/>
  <c r="H2291" i="26"/>
  <c r="G2213" i="26"/>
  <c r="H2213" i="26" s="1"/>
  <c r="G2211" i="26"/>
  <c r="H2211" i="26" s="1"/>
  <c r="G2196" i="26"/>
  <c r="H2196" i="26" s="1"/>
  <c r="G2128" i="26"/>
  <c r="H2128" i="26" s="1"/>
  <c r="H2351" i="26"/>
  <c r="H2222" i="26"/>
  <c r="G2188" i="26"/>
  <c r="H2188" i="26" s="1"/>
  <c r="G2153" i="26"/>
  <c r="H2153" i="26" s="1"/>
  <c r="G2252" i="26"/>
  <c r="H2252" i="26" s="1"/>
  <c r="H2129" i="26"/>
  <c r="G2113" i="26"/>
  <c r="H2113" i="26" s="1"/>
  <c r="H2259" i="26"/>
  <c r="H2224" i="26"/>
  <c r="H2158" i="26"/>
  <c r="H2357" i="26"/>
  <c r="H2330" i="26"/>
  <c r="H2305" i="26"/>
  <c r="G2152" i="26"/>
  <c r="H2152" i="26" s="1"/>
  <c r="H30" i="31"/>
  <c r="AG30" i="31" s="1"/>
  <c r="O1796" i="26"/>
  <c r="O2327" i="26"/>
  <c r="O2319" i="26"/>
  <c r="O1885" i="26"/>
  <c r="O1866" i="26"/>
  <c r="O1790" i="26"/>
  <c r="O1781" i="26"/>
  <c r="O2028" i="26"/>
  <c r="O1997" i="26"/>
  <c r="O1820" i="26"/>
  <c r="O1693" i="26"/>
  <c r="O1673" i="26"/>
  <c r="O2308" i="26"/>
  <c r="O2121" i="26"/>
  <c r="K2055" i="26"/>
  <c r="O2043" i="26"/>
  <c r="K2040" i="26"/>
  <c r="K2031" i="26"/>
  <c r="K2019" i="26"/>
  <c r="K2008" i="26"/>
  <c r="K1913" i="26"/>
  <c r="K1810" i="26"/>
  <c r="K1784" i="26"/>
  <c r="O1737" i="26"/>
  <c r="O2359" i="26"/>
  <c r="K2311" i="26"/>
  <c r="K2285" i="26"/>
  <c r="O2279" i="26"/>
  <c r="H2212" i="26"/>
  <c r="H2199" i="26"/>
  <c r="K2195" i="26"/>
  <c r="O2141" i="26"/>
  <c r="K2134" i="26"/>
  <c r="H17" i="31"/>
  <c r="N17" i="31" s="1"/>
  <c r="H2349" i="26"/>
  <c r="H2263" i="26"/>
  <c r="H2165" i="26"/>
  <c r="K2073" i="26"/>
  <c r="O1979" i="26"/>
  <c r="K1978" i="26"/>
  <c r="K1969" i="26"/>
  <c r="K1959" i="26"/>
  <c r="O1955" i="26"/>
  <c r="K1830" i="26"/>
  <c r="O1770" i="26"/>
  <c r="K1767" i="26"/>
  <c r="K1764" i="26"/>
  <c r="K2360" i="26"/>
  <c r="O2357" i="26"/>
  <c r="H2340" i="26"/>
  <c r="O2338" i="26"/>
  <c r="K2330" i="26"/>
  <c r="K2322" i="26"/>
  <c r="K2299" i="26"/>
  <c r="H2298" i="26"/>
  <c r="K2280" i="26"/>
  <c r="K2244" i="26"/>
  <c r="K2232" i="26"/>
  <c r="H2228" i="26"/>
  <c r="K2186" i="26"/>
  <c r="K2166" i="26"/>
  <c r="K2174" i="26"/>
  <c r="K2148" i="26"/>
  <c r="K2116" i="26"/>
  <c r="O2116" i="26"/>
  <c r="O2064" i="26"/>
  <c r="K2064" i="26"/>
  <c r="H28" i="31"/>
  <c r="AG28" i="31" s="1"/>
  <c r="K1816" i="26"/>
  <c r="O1816" i="26"/>
  <c r="O1971" i="26"/>
  <c r="K1971" i="26"/>
  <c r="K1707" i="26"/>
  <c r="O1707" i="26"/>
  <c r="G2359" i="26"/>
  <c r="H2359" i="26" s="1"/>
  <c r="K2351" i="26"/>
  <c r="O2351" i="26"/>
  <c r="O2254" i="26"/>
  <c r="K2254" i="26"/>
  <c r="O2156" i="26"/>
  <c r="K2156" i="26"/>
  <c r="O2071" i="26"/>
  <c r="K2071" i="26"/>
  <c r="H25" i="31"/>
  <c r="AG25" i="31" s="1"/>
  <c r="G2324" i="26"/>
  <c r="H2324" i="26" s="1"/>
  <c r="O2226" i="26"/>
  <c r="K2226" i="26"/>
  <c r="G2145" i="26"/>
  <c r="H2145" i="26" s="1"/>
  <c r="O2078" i="26"/>
  <c r="K2078" i="26"/>
  <c r="K2065" i="26"/>
  <c r="O2065" i="26"/>
  <c r="K1837" i="26"/>
  <c r="O1837" i="26"/>
  <c r="O2304" i="26"/>
  <c r="K2304" i="26"/>
  <c r="K2301" i="26"/>
  <c r="O2301" i="26"/>
  <c r="K2275" i="26"/>
  <c r="O2275" i="26"/>
  <c r="H2257" i="26"/>
  <c r="G2171" i="26"/>
  <c r="H2171" i="26" s="1"/>
  <c r="K2168" i="26"/>
  <c r="O2168" i="26"/>
  <c r="H2163" i="26"/>
  <c r="K2127" i="26"/>
  <c r="K1981" i="26"/>
  <c r="O1981" i="26"/>
  <c r="K1975" i="26"/>
  <c r="O1975" i="26"/>
  <c r="K1903" i="26"/>
  <c r="O1903" i="26"/>
  <c r="O1788" i="26"/>
  <c r="K1788" i="26"/>
  <c r="K1750" i="26"/>
  <c r="O1750" i="26"/>
  <c r="O2305" i="26"/>
  <c r="K2305" i="26"/>
  <c r="K2146" i="26"/>
  <c r="O2146" i="26"/>
  <c r="O1943" i="26"/>
  <c r="O1906" i="26"/>
  <c r="K1906" i="26"/>
  <c r="K1889" i="26"/>
  <c r="O1889" i="26"/>
  <c r="H19" i="31"/>
  <c r="AG19" i="31" s="1"/>
  <c r="O2315" i="26"/>
  <c r="O2229" i="26"/>
  <c r="K2035" i="26"/>
  <c r="O2035" i="26"/>
  <c r="O1744" i="26"/>
  <c r="O1706" i="26"/>
  <c r="K1706" i="26"/>
  <c r="O2335" i="26"/>
  <c r="K2334" i="26"/>
  <c r="O2334" i="26"/>
  <c r="O2238" i="26"/>
  <c r="K2238" i="26"/>
  <c r="O2053" i="26"/>
  <c r="K2053" i="26"/>
  <c r="K2047" i="26"/>
  <c r="K2023" i="26"/>
  <c r="K2020" i="26"/>
  <c r="O1912" i="26"/>
  <c r="K1912" i="26"/>
  <c r="K1814" i="26"/>
  <c r="O1814" i="26"/>
  <c r="K1783" i="26"/>
  <c r="O1721" i="26"/>
  <c r="O2343" i="26"/>
  <c r="K2288" i="26"/>
  <c r="O2288" i="26"/>
  <c r="K2241" i="26"/>
  <c r="O2241" i="26"/>
  <c r="O2191" i="26"/>
  <c r="K2191" i="26"/>
  <c r="K2184" i="26"/>
  <c r="O2184" i="26"/>
  <c r="G2181" i="26"/>
  <c r="H2181" i="26" s="1"/>
  <c r="K2173" i="26"/>
  <c r="O2173" i="26"/>
  <c r="K2155" i="26"/>
  <c r="O2155" i="26"/>
  <c r="H2127" i="26"/>
  <c r="O2344" i="26"/>
  <c r="K2344" i="26"/>
  <c r="K1923" i="26"/>
  <c r="O1923" i="26"/>
  <c r="O1708" i="26"/>
  <c r="K1708" i="26"/>
  <c r="K2355" i="26"/>
  <c r="O2355" i="26"/>
  <c r="K2318" i="26"/>
  <c r="O2318" i="26"/>
  <c r="H2297" i="26"/>
  <c r="G2287" i="26"/>
  <c r="H2287" i="26" s="1"/>
  <c r="K2235" i="26"/>
  <c r="O2235" i="26"/>
  <c r="O2219" i="26"/>
  <c r="H2209" i="26"/>
  <c r="H2182" i="26"/>
  <c r="O2067" i="26"/>
  <c r="H33" i="31"/>
  <c r="AG33" i="31" s="1"/>
  <c r="K1730" i="26"/>
  <c r="O1730" i="26"/>
  <c r="K2309" i="26"/>
  <c r="O2309" i="26"/>
  <c r="K2290" i="26"/>
  <c r="O2290" i="26"/>
  <c r="K2013" i="26"/>
  <c r="O2013" i="26"/>
  <c r="K1821" i="26"/>
  <c r="O1821" i="26"/>
  <c r="K1755" i="26"/>
  <c r="O1755" i="26"/>
  <c r="H16" i="31"/>
  <c r="AG16" i="31" s="1"/>
  <c r="O2358" i="26"/>
  <c r="K2358" i="26"/>
  <c r="O2160" i="26"/>
  <c r="K2160" i="26"/>
  <c r="K1883" i="26"/>
  <c r="O1883" i="26"/>
  <c r="O2057" i="26"/>
  <c r="H32" i="31"/>
  <c r="AG32" i="31" s="1"/>
  <c r="O2032" i="26"/>
  <c r="K2032" i="26"/>
  <c r="K1942" i="26"/>
  <c r="H24" i="31"/>
  <c r="AG24" i="31" s="1"/>
  <c r="O1842" i="26"/>
  <c r="O2060" i="26"/>
  <c r="O2006" i="26"/>
  <c r="K2005" i="26"/>
  <c r="K1901" i="26"/>
  <c r="K1895" i="26"/>
  <c r="O1849" i="26"/>
  <c r="K1849" i="26"/>
  <c r="K1780" i="26"/>
  <c r="K1774" i="26"/>
  <c r="H18" i="31"/>
  <c r="AG18" i="31" s="1"/>
  <c r="K2303" i="26"/>
  <c r="G2249" i="26"/>
  <c r="H2249" i="26" s="1"/>
  <c r="K2236" i="26"/>
  <c r="K2222" i="26"/>
  <c r="O2222" i="26"/>
  <c r="K2211" i="26"/>
  <c r="K2202" i="26"/>
  <c r="K2187" i="26"/>
  <c r="H2186" i="26"/>
  <c r="K2150" i="26"/>
  <c r="O2150" i="26"/>
  <c r="K2212" i="26"/>
  <c r="H2202" i="26"/>
  <c r="K2188" i="26"/>
  <c r="K2165" i="26"/>
  <c r="K2164" i="26"/>
  <c r="K2135" i="26"/>
  <c r="O2135" i="26"/>
  <c r="H2131" i="26"/>
  <c r="H2355" i="26"/>
  <c r="G2227" i="26"/>
  <c r="H2227" i="26" s="1"/>
  <c r="O1915" i="26"/>
  <c r="K1915" i="26"/>
  <c r="K1856" i="26"/>
  <c r="O1856" i="26"/>
  <c r="K1758" i="26"/>
  <c r="O1758" i="26"/>
  <c r="H29" i="31"/>
  <c r="AG29" i="31" s="1"/>
  <c r="O2016" i="26"/>
  <c r="K2345" i="26"/>
  <c r="O2345" i="26"/>
  <c r="O2332" i="26"/>
  <c r="K2332" i="26"/>
  <c r="H2331" i="26"/>
  <c r="H2329" i="26"/>
  <c r="G2314" i="26"/>
  <c r="H2314" i="26" s="1"/>
  <c r="K2291" i="26"/>
  <c r="O2291" i="26"/>
  <c r="G2275" i="26"/>
  <c r="H2275" i="26" s="1"/>
  <c r="G2233" i="26"/>
  <c r="H2233" i="26" s="1"/>
  <c r="K2213" i="26"/>
  <c r="O2213" i="26"/>
  <c r="K2061" i="26"/>
  <c r="K2057" i="26"/>
  <c r="O2024" i="26"/>
  <c r="K2024" i="26"/>
  <c r="H2016" i="26"/>
  <c r="O2009" i="26"/>
  <c r="O1986" i="26"/>
  <c r="K1986" i="26"/>
  <c r="K1977" i="26"/>
  <c r="O1961" i="26"/>
  <c r="O1949" i="26"/>
  <c r="K1945" i="26"/>
  <c r="O1942" i="26"/>
  <c r="K1941" i="26"/>
  <c r="K1935" i="26"/>
  <c r="O1935" i="26"/>
  <c r="O1931" i="26"/>
  <c r="H23" i="31"/>
  <c r="AG23" i="31" s="1"/>
  <c r="K1922" i="26"/>
  <c r="O1922" i="26"/>
  <c r="K1919" i="26"/>
  <c r="H22" i="31"/>
  <c r="AG22" i="31" s="1"/>
  <c r="K1916" i="26"/>
  <c r="O1909" i="26"/>
  <c r="H21" i="31"/>
  <c r="AG21" i="31" s="1"/>
  <c r="K1890" i="26"/>
  <c r="O1890" i="26"/>
  <c r="K1887" i="26"/>
  <c r="O1873" i="26"/>
  <c r="K1873" i="26"/>
  <c r="K1833" i="26"/>
  <c r="O1833" i="26"/>
  <c r="K1828" i="26"/>
  <c r="K1818" i="26"/>
  <c r="K1772" i="26"/>
  <c r="K1742" i="26"/>
  <c r="O1742" i="26"/>
  <c r="K1736" i="26"/>
  <c r="K1734" i="26"/>
  <c r="O1734" i="26"/>
  <c r="K1723" i="26"/>
  <c r="O1723" i="26"/>
  <c r="O1709" i="26"/>
  <c r="H10" i="31"/>
  <c r="N10" i="31" s="1"/>
  <c r="H27" i="31"/>
  <c r="N27" i="31" s="1"/>
  <c r="G2353" i="26"/>
  <c r="H2353" i="26" s="1"/>
  <c r="O2349" i="26"/>
  <c r="K2346" i="26"/>
  <c r="K2272" i="26"/>
  <c r="K2263" i="26"/>
  <c r="O2263" i="26"/>
  <c r="H2251" i="26"/>
  <c r="K2194" i="26"/>
  <c r="H2174" i="26"/>
  <c r="K2157" i="26"/>
  <c r="O2157" i="26"/>
  <c r="O2143" i="26"/>
  <c r="K2143" i="26"/>
  <c r="O2136" i="26"/>
  <c r="K2136" i="26"/>
  <c r="K2119" i="26"/>
  <c r="O2119" i="26"/>
  <c r="K2036" i="26"/>
  <c r="O2036" i="26"/>
  <c r="K1908" i="26"/>
  <c r="O1908" i="26"/>
  <c r="O1875" i="26"/>
  <c r="K1875" i="26"/>
  <c r="K2324" i="26"/>
  <c r="O2324" i="26"/>
  <c r="H2283" i="26"/>
  <c r="K1727" i="26"/>
  <c r="O1727" i="26"/>
  <c r="K2054" i="26"/>
  <c r="O2054" i="26"/>
  <c r="O1983" i="26"/>
  <c r="K1983" i="26"/>
  <c r="K1989" i="26"/>
  <c r="O1989" i="26"/>
  <c r="K1822" i="26"/>
  <c r="O1822" i="26"/>
  <c r="H26" i="31"/>
  <c r="AG26" i="31" s="1"/>
  <c r="O2354" i="26"/>
  <c r="K2354" i="26"/>
  <c r="K2347" i="26"/>
  <c r="O2347" i="26"/>
  <c r="G2336" i="26"/>
  <c r="H2336" i="26" s="1"/>
  <c r="G2281" i="26"/>
  <c r="H2281" i="26" s="1"/>
  <c r="K2277" i="26"/>
  <c r="O2277" i="26"/>
  <c r="K2231" i="26"/>
  <c r="O2231" i="26"/>
  <c r="G2216" i="26"/>
  <c r="H2216" i="26" s="1"/>
  <c r="K2208" i="26"/>
  <c r="O2208" i="26"/>
  <c r="O2205" i="26"/>
  <c r="K2205" i="26"/>
  <c r="H2175" i="26"/>
  <c r="G2147" i="26"/>
  <c r="H2147" i="26" s="1"/>
  <c r="K2062" i="26"/>
  <c r="O2051" i="26"/>
  <c r="K2025" i="26"/>
  <c r="K2004" i="26"/>
  <c r="K1952" i="26"/>
  <c r="O1952" i="26"/>
  <c r="K1929" i="26"/>
  <c r="O1929" i="26"/>
  <c r="O1900" i="26"/>
  <c r="K1900" i="26"/>
  <c r="K1897" i="26"/>
  <c r="O1897" i="26"/>
  <c r="O1892" i="26"/>
  <c r="K1891" i="26"/>
  <c r="K1838" i="26"/>
  <c r="K1829" i="26"/>
  <c r="K1773" i="26"/>
  <c r="K1751" i="26"/>
  <c r="O1751" i="26"/>
  <c r="O1746" i="26"/>
  <c r="K1746" i="26"/>
  <c r="K1687" i="26"/>
  <c r="O1687" i="26"/>
  <c r="K1668" i="26"/>
  <c r="K2348" i="26"/>
  <c r="K2339" i="26"/>
  <c r="O2339" i="26"/>
  <c r="H2338" i="26"/>
  <c r="G2296" i="26"/>
  <c r="H2296" i="26" s="1"/>
  <c r="O2293" i="26"/>
  <c r="K2292" i="26"/>
  <c r="O2292" i="26"/>
  <c r="K2283" i="26"/>
  <c r="O2217" i="26"/>
  <c r="K2217" i="26"/>
  <c r="K2182" i="26"/>
  <c r="O2182" i="26"/>
  <c r="K2158" i="26"/>
  <c r="G2148" i="26"/>
  <c r="H2148" i="26" s="1"/>
  <c r="K2144" i="26"/>
  <c r="O1761" i="26"/>
  <c r="K1761" i="26"/>
  <c r="K1968" i="26"/>
  <c r="K1907" i="26"/>
  <c r="K1882" i="26"/>
  <c r="O1882" i="26"/>
  <c r="K1855" i="26"/>
  <c r="K1794" i="26"/>
  <c r="K1782" i="26"/>
  <c r="K1776" i="26"/>
  <c r="K1754" i="26"/>
  <c r="K1748" i="26"/>
  <c r="K1741" i="26"/>
  <c r="O1726" i="26"/>
  <c r="K1726" i="26"/>
  <c r="K1704" i="26"/>
  <c r="K1675" i="26"/>
  <c r="O1675" i="26"/>
  <c r="O1843" i="26"/>
  <c r="K2253" i="26"/>
  <c r="O2253" i="26"/>
  <c r="K2221" i="26"/>
  <c r="K2161" i="26"/>
  <c r="O2161" i="26"/>
  <c r="K2138" i="26"/>
  <c r="O2122" i="26"/>
  <c r="K2122" i="26"/>
  <c r="G2116" i="26"/>
  <c r="H2116" i="26" s="1"/>
  <c r="K2320" i="26"/>
  <c r="O2320" i="26"/>
  <c r="O1896" i="26"/>
  <c r="K1896" i="26"/>
  <c r="O1808" i="26"/>
  <c r="K1808" i="26"/>
  <c r="O1686" i="26"/>
  <c r="K1686" i="26"/>
  <c r="K2137" i="26"/>
  <c r="O2137" i="26"/>
  <c r="K2044" i="26"/>
  <c r="H31" i="31"/>
  <c r="AG31" i="31" s="1"/>
  <c r="K1824" i="26"/>
  <c r="H20" i="31"/>
  <c r="AG20" i="31" s="1"/>
  <c r="G2308" i="26"/>
  <c r="H2308" i="26" s="1"/>
  <c r="K2257" i="26"/>
  <c r="O2257" i="26"/>
  <c r="K2123" i="26"/>
  <c r="O2123" i="26"/>
  <c r="K2120" i="26"/>
  <c r="K2113" i="26"/>
  <c r="H2343" i="26"/>
  <c r="K2342" i="26"/>
  <c r="G2341" i="26"/>
  <c r="H2341" i="26" s="1"/>
  <c r="H2334" i="26"/>
  <c r="H2327" i="26"/>
  <c r="K2326" i="26"/>
  <c r="G2325" i="26"/>
  <c r="H2325" i="26" s="1"/>
  <c r="H2318" i="26"/>
  <c r="K2310" i="26"/>
  <c r="G2309" i="26"/>
  <c r="H2309" i="26" s="1"/>
  <c r="H2306" i="26"/>
  <c r="H2303" i="26"/>
  <c r="K2302" i="26"/>
  <c r="K2296" i="26"/>
  <c r="H2285" i="26"/>
  <c r="H2279" i="26"/>
  <c r="O2258" i="26"/>
  <c r="K2258" i="26"/>
  <c r="K2255" i="26"/>
  <c r="O2255" i="26"/>
  <c r="K2243" i="26"/>
  <c r="O2243" i="26"/>
  <c r="K2230" i="26"/>
  <c r="K2216" i="26"/>
  <c r="O2216" i="26"/>
  <c r="K2215" i="26"/>
  <c r="K2200" i="26"/>
  <c r="O2200" i="26"/>
  <c r="K2198" i="26"/>
  <c r="K2181" i="26"/>
  <c r="H2177" i="26"/>
  <c r="G2176" i="26"/>
  <c r="H2176" i="26" s="1"/>
  <c r="O2151" i="26"/>
  <c r="K2151" i="26"/>
  <c r="K2172" i="26"/>
  <c r="O2172" i="26"/>
  <c r="K2171" i="26"/>
  <c r="H2150" i="26"/>
  <c r="O2266" i="26"/>
  <c r="K2266" i="26"/>
  <c r="K2251" i="26"/>
  <c r="O2251" i="26"/>
  <c r="K2237" i="26"/>
  <c r="K2225" i="26"/>
  <c r="G2183" i="26"/>
  <c r="H2183" i="26" s="1"/>
  <c r="O2163" i="26"/>
  <c r="K2163" i="26"/>
  <c r="K2245" i="26"/>
  <c r="O2245" i="26"/>
  <c r="O2203" i="26"/>
  <c r="K2203" i="26"/>
  <c r="G2288" i="26"/>
  <c r="H2288" i="26" s="1"/>
  <c r="G2258" i="26"/>
  <c r="H2258" i="26" s="1"/>
  <c r="H2342" i="26"/>
  <c r="H2335" i="26"/>
  <c r="H2326" i="26"/>
  <c r="H2319" i="26"/>
  <c r="H2310" i="26"/>
  <c r="G2302" i="26"/>
  <c r="H2302" i="26" s="1"/>
  <c r="H2277" i="26"/>
  <c r="G2276" i="26"/>
  <c r="H2276" i="26" s="1"/>
  <c r="H2264" i="26"/>
  <c r="K2261" i="26"/>
  <c r="O2261" i="26"/>
  <c r="G2260" i="26"/>
  <c r="H2260" i="26" s="1"/>
  <c r="H2245" i="26"/>
  <c r="H2232" i="26"/>
  <c r="H2217" i="26"/>
  <c r="H2207" i="26"/>
  <c r="O2250" i="26"/>
  <c r="K2250" i="26"/>
  <c r="K2207" i="26"/>
  <c r="O2207" i="26"/>
  <c r="K2201" i="26"/>
  <c r="O2201" i="26"/>
  <c r="H2344" i="26"/>
  <c r="H2328" i="26"/>
  <c r="H2312" i="26"/>
  <c r="H2307" i="26"/>
  <c r="H2304" i="26"/>
  <c r="K2300" i="26"/>
  <c r="H2290" i="26"/>
  <c r="G2282" i="26"/>
  <c r="H2282" i="26" s="1"/>
  <c r="G2271" i="26"/>
  <c r="H2271" i="26" s="1"/>
  <c r="H2270" i="26"/>
  <c r="K2267" i="26"/>
  <c r="O2267" i="26"/>
  <c r="H2234" i="26"/>
  <c r="H2223" i="26"/>
  <c r="G2184" i="26"/>
  <c r="H2184" i="26" s="1"/>
  <c r="G2166" i="26"/>
  <c r="H2166" i="26" s="1"/>
  <c r="K2149" i="26"/>
  <c r="O2149" i="26"/>
  <c r="G2278" i="26"/>
  <c r="H2278" i="26" s="1"/>
  <c r="K2249" i="26"/>
  <c r="O2249" i="26"/>
  <c r="H2339" i="26"/>
  <c r="H2323" i="26"/>
  <c r="H2301" i="26"/>
  <c r="H2293" i="26"/>
  <c r="G2286" i="26"/>
  <c r="H2286" i="26" s="1"/>
  <c r="G2280" i="26"/>
  <c r="H2280" i="26" s="1"/>
  <c r="G2272" i="26"/>
  <c r="H2272" i="26" s="1"/>
  <c r="H2247" i="26"/>
  <c r="G2235" i="26"/>
  <c r="H2235" i="26" s="1"/>
  <c r="O2178" i="26"/>
  <c r="O2176" i="26"/>
  <c r="K2176" i="26"/>
  <c r="G2160" i="26"/>
  <c r="H2160" i="26" s="1"/>
  <c r="G2300" i="26"/>
  <c r="H2300" i="26" s="1"/>
  <c r="H2241" i="26"/>
  <c r="O2282" i="26"/>
  <c r="K2282" i="26"/>
  <c r="O2340" i="26"/>
  <c r="H2332" i="26"/>
  <c r="H2316" i="26"/>
  <c r="G2295" i="26"/>
  <c r="H2295" i="26" s="1"/>
  <c r="H2292" i="26"/>
  <c r="K2284" i="26"/>
  <c r="H2273" i="26"/>
  <c r="O2269" i="26"/>
  <c r="K2256" i="26"/>
  <c r="G2253" i="26"/>
  <c r="H2253" i="26" s="1"/>
  <c r="G2240" i="26"/>
  <c r="H2240" i="26" s="1"/>
  <c r="G2239" i="26"/>
  <c r="H2239" i="26" s="1"/>
  <c r="H2238" i="26"/>
  <c r="K2199" i="26"/>
  <c r="K2177" i="26"/>
  <c r="O2177" i="26"/>
  <c r="G2161" i="26"/>
  <c r="H2161" i="26" s="1"/>
  <c r="G2159" i="26"/>
  <c r="H2159" i="26" s="1"/>
  <c r="H2134" i="26"/>
  <c r="O2128" i="26"/>
  <c r="K2128" i="26"/>
  <c r="G2135" i="26"/>
  <c r="H2135" i="26" s="1"/>
  <c r="O2130" i="26"/>
  <c r="K2130" i="26"/>
  <c r="K2129" i="26"/>
  <c r="K2131" i="26"/>
  <c r="O2131" i="26"/>
  <c r="G2284" i="26"/>
  <c r="H2284" i="26" s="1"/>
  <c r="K2276" i="26"/>
  <c r="K2265" i="26"/>
  <c r="O2265" i="26"/>
  <c r="H2250" i="26"/>
  <c r="K2242" i="26"/>
  <c r="H2231" i="26"/>
  <c r="H2225" i="26"/>
  <c r="K2214" i="26"/>
  <c r="K2209" i="26"/>
  <c r="O2206" i="26"/>
  <c r="H2204" i="26"/>
  <c r="H2195" i="26"/>
  <c r="K2193" i="26"/>
  <c r="K2192" i="26"/>
  <c r="O2192" i="26"/>
  <c r="H2189" i="26"/>
  <c r="H2180" i="26"/>
  <c r="K2145" i="26"/>
  <c r="O2145" i="26"/>
  <c r="K2139" i="26"/>
  <c r="O2132" i="26"/>
  <c r="K2132" i="26"/>
  <c r="G2274" i="26"/>
  <c r="H2274" i="26" s="1"/>
  <c r="K2271" i="26"/>
  <c r="O2271" i="26"/>
  <c r="G2267" i="26"/>
  <c r="H2267" i="26" s="1"/>
  <c r="H2256" i="26"/>
  <c r="G2255" i="26"/>
  <c r="H2255" i="26" s="1"/>
  <c r="K2252" i="26"/>
  <c r="K2246" i="26"/>
  <c r="H2244" i="26"/>
  <c r="K2240" i="26"/>
  <c r="O2234" i="26"/>
  <c r="K2234" i="26"/>
  <c r="G2221" i="26"/>
  <c r="H2221" i="26" s="1"/>
  <c r="H2187" i="26"/>
  <c r="K2185" i="26"/>
  <c r="O2183" i="26"/>
  <c r="K2183" i="26"/>
  <c r="H2170" i="26"/>
  <c r="H2168" i="26"/>
  <c r="K2153" i="26"/>
  <c r="O2142" i="26"/>
  <c r="K2142" i="26"/>
  <c r="H2261" i="26"/>
  <c r="H2254" i="26"/>
  <c r="H2248" i="26"/>
  <c r="K2233" i="26"/>
  <c r="O2233" i="26"/>
  <c r="K2218" i="26"/>
  <c r="G2197" i="26"/>
  <c r="H2197" i="26" s="1"/>
  <c r="G2191" i="26"/>
  <c r="H2191" i="26" s="1"/>
  <c r="K2190" i="26"/>
  <c r="H2169" i="26"/>
  <c r="H2162" i="26"/>
  <c r="K2152" i="26"/>
  <c r="O2152" i="26"/>
  <c r="H2266" i="26"/>
  <c r="G2242" i="26"/>
  <c r="H2242" i="26" s="1"/>
  <c r="K2239" i="26"/>
  <c r="O2239" i="26"/>
  <c r="G2229" i="26"/>
  <c r="H2229" i="26" s="1"/>
  <c r="H2220" i="26"/>
  <c r="H2214" i="26"/>
  <c r="H2193" i="26"/>
  <c r="G2192" i="26"/>
  <c r="H2192" i="26" s="1"/>
  <c r="G2185" i="26"/>
  <c r="H2185" i="26" s="1"/>
  <c r="G2167" i="26"/>
  <c r="H2167" i="26" s="1"/>
  <c r="H2155" i="26"/>
  <c r="H2154" i="26"/>
  <c r="H2143" i="26"/>
  <c r="O2126" i="26"/>
  <c r="K2126" i="26"/>
  <c r="K2114" i="26"/>
  <c r="O2114" i="26"/>
  <c r="H2146" i="26"/>
  <c r="G2114" i="26"/>
  <c r="H2114" i="26" s="1"/>
  <c r="H2141" i="26"/>
  <c r="H2140" i="26"/>
  <c r="H2139" i="26"/>
  <c r="H2126" i="26"/>
  <c r="G2123" i="26"/>
  <c r="H2123" i="26" s="1"/>
  <c r="H2262" i="26"/>
  <c r="H2246" i="26"/>
  <c r="H2230" i="26"/>
  <c r="G2205" i="26"/>
  <c r="H2205" i="26" s="1"/>
  <c r="H2198" i="26"/>
  <c r="G2144" i="26"/>
  <c r="H2144" i="26" s="1"/>
  <c r="G2137" i="26"/>
  <c r="H2137" i="26" s="1"/>
  <c r="G2136" i="26"/>
  <c r="H2136" i="26" s="1"/>
  <c r="K2133" i="26"/>
  <c r="O2133" i="26"/>
  <c r="H2122" i="26"/>
  <c r="H2268" i="26"/>
  <c r="H2236" i="26"/>
  <c r="H2178" i="26"/>
  <c r="G2151" i="26"/>
  <c r="H2151" i="26" s="1"/>
  <c r="G2120" i="26"/>
  <c r="H2120" i="26" s="1"/>
  <c r="K2110" i="26"/>
  <c r="O2110" i="26"/>
  <c r="K2117" i="26"/>
  <c r="K2104" i="26"/>
  <c r="O2104" i="26"/>
  <c r="H2142" i="26"/>
  <c r="H2138" i="26"/>
  <c r="G2108" i="26"/>
  <c r="H2108" i="26" s="1"/>
  <c r="H2132" i="26"/>
  <c r="H2118" i="26"/>
  <c r="G2117" i="26"/>
  <c r="H2117" i="26" s="1"/>
  <c r="K2115" i="26"/>
  <c r="K2112" i="26"/>
  <c r="O2112" i="26"/>
  <c r="O2111" i="26"/>
  <c r="K2111" i="26"/>
  <c r="O2109" i="26"/>
  <c r="K2109" i="26"/>
  <c r="O2105" i="26"/>
  <c r="K2105" i="26"/>
  <c r="O2097" i="26"/>
  <c r="K2097" i="26"/>
  <c r="H2100" i="26"/>
  <c r="K2096" i="26"/>
  <c r="O2096" i="26"/>
  <c r="H2107" i="26"/>
  <c r="O2103" i="26"/>
  <c r="K2103" i="26"/>
  <c r="H2099" i="26"/>
  <c r="O2095" i="26"/>
  <c r="K2095" i="26"/>
  <c r="H2106" i="26"/>
  <c r="K2102" i="26"/>
  <c r="O2102" i="26"/>
  <c r="H2098" i="26"/>
  <c r="K2094" i="26"/>
  <c r="O2094" i="26"/>
  <c r="H2105" i="26"/>
  <c r="K2101" i="26"/>
  <c r="H2097" i="26"/>
  <c r="O2093" i="26"/>
  <c r="K2093" i="26"/>
  <c r="H2112" i="26"/>
  <c r="K2108" i="26"/>
  <c r="H2104" i="26"/>
  <c r="K2100" i="26"/>
  <c r="H2096" i="26"/>
  <c r="H2124" i="26"/>
  <c r="H2115" i="26"/>
  <c r="H2111" i="26"/>
  <c r="K2107" i="26"/>
  <c r="H2103" i="26"/>
  <c r="O2099" i="26"/>
  <c r="K2099" i="26"/>
  <c r="H2095" i="26"/>
  <c r="H2130" i="26"/>
  <c r="H2110" i="26"/>
  <c r="G2109" i="26"/>
  <c r="H2109" i="26" s="1"/>
  <c r="K2106" i="26"/>
  <c r="O2106" i="26"/>
  <c r="H2102" i="26"/>
  <c r="G2101" i="26"/>
  <c r="H2101" i="26" s="1"/>
  <c r="K2098" i="26"/>
  <c r="O2098" i="26"/>
  <c r="H2094" i="26"/>
  <c r="H2093" i="26"/>
  <c r="K2092" i="26"/>
  <c r="G2092" i="26"/>
  <c r="H2092" i="26" s="1"/>
  <c r="H1949" i="26"/>
  <c r="H2044" i="26"/>
  <c r="AJ2" i="31"/>
  <c r="AJ31" i="31"/>
  <c r="AJ23" i="31"/>
  <c r="AJ22" i="31"/>
  <c r="AJ20" i="31"/>
  <c r="AJ18" i="31"/>
  <c r="AJ16" i="31"/>
  <c r="AJ13" i="31"/>
  <c r="AJ17" i="31"/>
  <c r="AJ33" i="31"/>
  <c r="AJ25" i="31"/>
  <c r="AJ19" i="31"/>
  <c r="AJ27" i="31"/>
  <c r="AJ26" i="31"/>
  <c r="AJ24" i="31"/>
  <c r="AJ9" i="31"/>
  <c r="AJ7" i="31"/>
  <c r="AJ4" i="31"/>
  <c r="AJ3" i="31"/>
  <c r="AJ12" i="31"/>
  <c r="AJ29" i="31"/>
  <c r="AJ32" i="31"/>
  <c r="AJ28" i="31"/>
  <c r="AJ15" i="31"/>
  <c r="AJ14" i="31"/>
  <c r="AJ11" i="31"/>
  <c r="AJ5" i="31"/>
  <c r="AJ8" i="31"/>
  <c r="AJ6" i="31"/>
  <c r="AJ30" i="31"/>
  <c r="AJ21" i="31"/>
  <c r="AJ10" i="31"/>
  <c r="H1936" i="26"/>
  <c r="K2091" i="26"/>
  <c r="O2090" i="26"/>
  <c r="H2090" i="26"/>
  <c r="K2089" i="26"/>
  <c r="O2088" i="26"/>
  <c r="H2088" i="26"/>
  <c r="K2087" i="26"/>
  <c r="O2086" i="26"/>
  <c r="H2086" i="26"/>
  <c r="K2085" i="26"/>
  <c r="O2084" i="26"/>
  <c r="H2084" i="26"/>
  <c r="K2083" i="26"/>
  <c r="O2082" i="26"/>
  <c r="H2082" i="26"/>
  <c r="K2081" i="26"/>
  <c r="O2080" i="26"/>
  <c r="H2080" i="26"/>
  <c r="H2091" i="26"/>
  <c r="H2089" i="26"/>
  <c r="H2087" i="26"/>
  <c r="H2085" i="26"/>
  <c r="H2083" i="26"/>
  <c r="H2081" i="26"/>
  <c r="H2079" i="26"/>
  <c r="H1978" i="26"/>
  <c r="H1942" i="26"/>
  <c r="H1976" i="26"/>
  <c r="H1803" i="26"/>
  <c r="H1791" i="26"/>
  <c r="H1920" i="26"/>
  <c r="H1894" i="26"/>
  <c r="H1874" i="26"/>
  <c r="H2064" i="26"/>
  <c r="H2040" i="26"/>
  <c r="H1859" i="26"/>
  <c r="H1850" i="26"/>
  <c r="H1759" i="26"/>
  <c r="H1760" i="26"/>
  <c r="G1937" i="26"/>
  <c r="H1937" i="26" s="1"/>
  <c r="G1863" i="26"/>
  <c r="H1863" i="26" s="1"/>
  <c r="H1860" i="26"/>
  <c r="G1842" i="26"/>
  <c r="H1842" i="26" s="1"/>
  <c r="H2047" i="26"/>
  <c r="H2048" i="26"/>
  <c r="H1822" i="26"/>
  <c r="G1993" i="26"/>
  <c r="H1993" i="26" s="1"/>
  <c r="H1952" i="26"/>
  <c r="H1813" i="26"/>
  <c r="H1785" i="26"/>
  <c r="G2065" i="26"/>
  <c r="H2065" i="26" s="1"/>
  <c r="H2008" i="26"/>
  <c r="H1984" i="26"/>
  <c r="G1975" i="26"/>
  <c r="H1975" i="26" s="1"/>
  <c r="H1945" i="26"/>
  <c r="H1940" i="26"/>
  <c r="G1750" i="26"/>
  <c r="H1750" i="26" s="1"/>
  <c r="D10" i="31"/>
  <c r="H7" i="31"/>
  <c r="H8" i="31"/>
  <c r="H9" i="31"/>
  <c r="D7" i="31"/>
  <c r="H12" i="31"/>
  <c r="D15" i="31"/>
  <c r="H15" i="31"/>
  <c r="H14" i="31"/>
  <c r="H13" i="31"/>
  <c r="D11" i="31"/>
  <c r="D14" i="31"/>
  <c r="D13" i="31"/>
  <c r="H11" i="31"/>
  <c r="H4" i="31"/>
  <c r="H6" i="31"/>
  <c r="E2" i="31"/>
  <c r="H5" i="31"/>
  <c r="D4" i="31"/>
  <c r="H3" i="31"/>
  <c r="D3" i="31"/>
  <c r="D5" i="31"/>
  <c r="H2" i="31"/>
  <c r="H1665" i="26"/>
  <c r="H2031" i="26"/>
  <c r="H1997" i="26"/>
  <c r="H2049" i="26"/>
  <c r="H2032" i="26"/>
  <c r="H2022" i="26"/>
  <c r="H1972" i="26"/>
  <c r="H1962" i="26"/>
  <c r="H1938" i="26"/>
  <c r="H1851" i="26"/>
  <c r="H1753" i="26"/>
  <c r="H1743" i="26"/>
  <c r="H1723" i="26"/>
  <c r="H2071" i="26"/>
  <c r="H2060" i="26"/>
  <c r="H2054" i="26"/>
  <c r="H2012" i="26"/>
  <c r="H1967" i="26"/>
  <c r="H1926" i="26"/>
  <c r="H1857" i="26"/>
  <c r="H1820" i="26"/>
  <c r="H1766" i="26"/>
  <c r="H1732" i="26"/>
  <c r="H2024" i="26"/>
  <c r="H1958" i="26"/>
  <c r="H1898" i="26"/>
  <c r="H1872" i="26"/>
  <c r="H1821" i="26"/>
  <c r="H1807" i="26"/>
  <c r="H1800" i="26"/>
  <c r="H1771" i="26"/>
  <c r="H2056" i="26"/>
  <c r="H1992" i="26"/>
  <c r="H1970" i="26"/>
  <c r="H1946" i="26"/>
  <c r="H1882" i="26"/>
  <c r="H1775" i="26"/>
  <c r="H1773" i="26"/>
  <c r="H1768" i="26"/>
  <c r="H1751" i="26"/>
  <c r="H1721" i="26"/>
  <c r="K1867" i="26"/>
  <c r="O1867" i="26"/>
  <c r="H1981" i="26"/>
  <c r="G1862" i="26"/>
  <c r="H1862" i="26" s="1"/>
  <c r="O1864" i="26"/>
  <c r="K1864" i="26"/>
  <c r="K1860" i="26"/>
  <c r="O1860" i="26"/>
  <c r="H1774" i="26"/>
  <c r="G1829" i="26"/>
  <c r="H1829" i="26" s="1"/>
  <c r="O2052" i="26"/>
  <c r="O2021" i="26"/>
  <c r="O2012" i="26"/>
  <c r="O2011" i="26"/>
  <c r="O1950" i="26"/>
  <c r="O1938" i="26"/>
  <c r="O1937" i="26"/>
  <c r="O1936" i="26"/>
  <c r="O1919" i="26"/>
  <c r="K1917" i="26"/>
  <c r="H1914" i="26"/>
  <c r="O1911" i="26"/>
  <c r="O1905" i="26"/>
  <c r="O1886" i="26"/>
  <c r="H1875" i="26"/>
  <c r="O1848" i="26"/>
  <c r="O1840" i="26"/>
  <c r="G1783" i="26"/>
  <c r="H1783" i="26" s="1"/>
  <c r="H1782" i="26"/>
  <c r="O1779" i="26"/>
  <c r="O1760" i="26"/>
  <c r="O1759" i="26"/>
  <c r="O1749" i="26"/>
  <c r="O1735" i="26"/>
  <c r="K1732" i="26"/>
  <c r="O1732" i="26"/>
  <c r="K1715" i="26"/>
  <c r="O1715" i="26"/>
  <c r="K1695" i="26"/>
  <c r="O1695" i="26"/>
  <c r="K1812" i="26"/>
  <c r="O1812" i="26"/>
  <c r="G2000" i="26"/>
  <c r="H2000" i="26" s="1"/>
  <c r="H1911" i="26"/>
  <c r="K1850" i="26"/>
  <c r="O1850" i="26"/>
  <c r="K1813" i="26"/>
  <c r="G2062" i="26"/>
  <c r="H2062" i="26" s="1"/>
  <c r="O2075" i="26"/>
  <c r="O1862" i="26"/>
  <c r="G1819" i="26"/>
  <c r="H1819" i="26" s="1"/>
  <c r="G1805" i="26"/>
  <c r="H1805" i="26" s="1"/>
  <c r="O1802" i="26"/>
  <c r="G1755" i="26"/>
  <c r="H1755" i="26" s="1"/>
  <c r="O1752" i="26"/>
  <c r="O1713" i="26"/>
  <c r="O1705" i="26"/>
  <c r="G1910" i="26"/>
  <c r="H1910" i="26" s="1"/>
  <c r="G1797" i="26"/>
  <c r="H1797" i="26" s="1"/>
  <c r="O1745" i="26"/>
  <c r="K1745" i="26"/>
  <c r="K1798" i="26"/>
  <c r="O1798" i="26"/>
  <c r="K1731" i="26"/>
  <c r="O1731" i="26"/>
  <c r="H2061" i="26"/>
  <c r="G1888" i="26"/>
  <c r="H1888" i="26" s="1"/>
  <c r="H1828" i="26"/>
  <c r="O2037" i="26"/>
  <c r="O2003" i="26"/>
  <c r="O2022" i="26"/>
  <c r="H1989" i="26"/>
  <c r="K1956" i="26"/>
  <c r="H2078" i="26"/>
  <c r="K2067" i="26"/>
  <c r="O2038" i="26"/>
  <c r="K2029" i="26"/>
  <c r="K1999" i="26"/>
  <c r="K1964" i="26"/>
  <c r="K1957" i="26"/>
  <c r="H1956" i="26"/>
  <c r="K1925" i="26"/>
  <c r="H1924" i="26"/>
  <c r="K1910" i="26"/>
  <c r="O1871" i="26"/>
  <c r="G1865" i="26"/>
  <c r="H1865" i="26" s="1"/>
  <c r="K1858" i="26"/>
  <c r="O1858" i="26"/>
  <c r="O1854" i="26"/>
  <c r="H1847" i="26"/>
  <c r="H1838" i="26"/>
  <c r="H1837" i="26"/>
  <c r="K1832" i="26"/>
  <c r="O1817" i="26"/>
  <c r="K1806" i="26"/>
  <c r="O1806" i="26"/>
  <c r="O1803" i="26"/>
  <c r="K1793" i="26"/>
  <c r="K1766" i="26"/>
  <c r="O1766" i="26"/>
  <c r="H1765" i="26"/>
  <c r="O1753" i="26"/>
  <c r="G1727" i="26"/>
  <c r="H1727" i="26" s="1"/>
  <c r="K1724" i="26"/>
  <c r="O1724" i="26"/>
  <c r="K1859" i="26"/>
  <c r="O1859" i="26"/>
  <c r="G1780" i="26"/>
  <c r="H1780" i="26" s="1"/>
  <c r="G2074" i="26"/>
  <c r="H2074" i="26" s="1"/>
  <c r="H2073" i="26"/>
  <c r="H2028" i="26"/>
  <c r="K1965" i="26"/>
  <c r="O1953" i="26"/>
  <c r="H1930" i="26"/>
  <c r="K1893" i="26"/>
  <c r="H1892" i="26"/>
  <c r="O1888" i="26"/>
  <c r="H1883" i="26"/>
  <c r="H1878" i="26"/>
  <c r="O1872" i="26"/>
  <c r="G1866" i="26"/>
  <c r="H1866" i="26" s="1"/>
  <c r="K1844" i="26"/>
  <c r="O1844" i="26"/>
  <c r="O1834" i="26"/>
  <c r="O1789" i="26"/>
  <c r="G1739" i="26"/>
  <c r="H1739" i="26" s="1"/>
  <c r="H1733" i="26"/>
  <c r="H1709" i="26"/>
  <c r="K1711" i="26"/>
  <c r="O1711" i="26"/>
  <c r="K1691" i="26"/>
  <c r="O1691" i="26"/>
  <c r="O1857" i="26"/>
  <c r="H1808" i="26"/>
  <c r="H1691" i="26"/>
  <c r="O1689" i="26"/>
  <c r="K1684" i="26"/>
  <c r="K1688" i="26"/>
  <c r="K1672" i="26"/>
  <c r="H1689" i="26"/>
  <c r="K1674" i="26"/>
  <c r="K1666" i="26"/>
  <c r="O1671" i="26"/>
  <c r="O1677" i="26"/>
  <c r="K1670" i="26"/>
  <c r="G2063" i="26"/>
  <c r="H2063" i="26" s="1"/>
  <c r="G2050" i="26"/>
  <c r="H2050" i="26" s="1"/>
  <c r="K2026" i="26"/>
  <c r="O2026" i="26"/>
  <c r="O1998" i="26"/>
  <c r="O1990" i="26"/>
  <c r="K1958" i="26"/>
  <c r="O1958" i="26"/>
  <c r="G1928" i="26"/>
  <c r="H1928" i="26" s="1"/>
  <c r="K2042" i="26"/>
  <c r="O2042" i="26"/>
  <c r="H2038" i="26"/>
  <c r="H2033" i="26"/>
  <c r="K2014" i="26"/>
  <c r="G1944" i="26"/>
  <c r="H1944" i="26" s="1"/>
  <c r="H2075" i="26"/>
  <c r="G2068" i="26"/>
  <c r="H2068" i="26" s="1"/>
  <c r="G2010" i="26"/>
  <c r="H2010" i="26" s="1"/>
  <c r="G2005" i="26"/>
  <c r="H2005" i="26" s="1"/>
  <c r="K1995" i="26"/>
  <c r="O1995" i="26"/>
  <c r="K1987" i="26"/>
  <c r="O1987" i="26"/>
  <c r="O1980" i="26"/>
  <c r="K1980" i="26"/>
  <c r="O1974" i="26"/>
  <c r="K1974" i="26"/>
  <c r="K2076" i="26"/>
  <c r="H2070" i="26"/>
  <c r="K2066" i="26"/>
  <c r="H2059" i="26"/>
  <c r="H2058" i="26"/>
  <c r="K2046" i="26"/>
  <c r="O2044" i="26"/>
  <c r="G2026" i="26"/>
  <c r="H2026" i="26" s="1"/>
  <c r="G2021" i="26"/>
  <c r="H2021" i="26" s="1"/>
  <c r="H2011" i="26"/>
  <c r="O2002" i="26"/>
  <c r="K2002" i="26"/>
  <c r="K1996" i="26"/>
  <c r="K1988" i="26"/>
  <c r="G1980" i="26"/>
  <c r="H1980" i="26" s="1"/>
  <c r="K1976" i="26"/>
  <c r="O1976" i="26"/>
  <c r="G1974" i="26"/>
  <c r="H1974" i="26" s="1"/>
  <c r="G1971" i="26"/>
  <c r="H1971" i="26" s="1"/>
  <c r="G1903" i="26"/>
  <c r="H1903" i="26" s="1"/>
  <c r="G1893" i="26"/>
  <c r="H1893" i="26" s="1"/>
  <c r="G1881" i="26"/>
  <c r="H1881" i="26" s="1"/>
  <c r="G2042" i="26"/>
  <c r="H2042" i="26" s="1"/>
  <c r="G2037" i="26"/>
  <c r="H2037" i="26" s="1"/>
  <c r="H2027" i="26"/>
  <c r="O2018" i="26"/>
  <c r="K2018" i="26"/>
  <c r="G2014" i="26"/>
  <c r="H2014" i="26" s="1"/>
  <c r="G2009" i="26"/>
  <c r="H2009" i="26" s="1"/>
  <c r="G2004" i="26"/>
  <c r="H2004" i="26" s="1"/>
  <c r="G1983" i="26"/>
  <c r="H1983" i="26" s="1"/>
  <c r="H2072" i="26"/>
  <c r="O2058" i="26"/>
  <c r="G2053" i="26"/>
  <c r="H2053" i="26" s="1"/>
  <c r="H2043" i="26"/>
  <c r="O2034" i="26"/>
  <c r="K2034" i="26"/>
  <c r="G2030" i="26"/>
  <c r="H2030" i="26" s="1"/>
  <c r="G2025" i="26"/>
  <c r="H2025" i="26" s="1"/>
  <c r="G2020" i="26"/>
  <c r="H2020" i="26" s="1"/>
  <c r="G2002" i="26"/>
  <c r="H2002" i="26" s="1"/>
  <c r="G1994" i="26"/>
  <c r="H1994" i="26" s="1"/>
  <c r="G1986" i="26"/>
  <c r="H1986" i="26" s="1"/>
  <c r="G1979" i="26"/>
  <c r="H1979" i="26" s="1"/>
  <c r="H1961" i="26"/>
  <c r="H2069" i="26"/>
  <c r="G2057" i="26"/>
  <c r="H2057" i="26" s="1"/>
  <c r="O2050" i="26"/>
  <c r="K2050" i="26"/>
  <c r="G2046" i="26"/>
  <c r="H2046" i="26" s="1"/>
  <c r="G2041" i="26"/>
  <c r="H2041" i="26" s="1"/>
  <c r="G2036" i="26"/>
  <c r="H2036" i="26" s="1"/>
  <c r="G2018" i="26"/>
  <c r="H2018" i="26" s="1"/>
  <c r="G1998" i="26"/>
  <c r="H1998" i="26" s="1"/>
  <c r="G1990" i="26"/>
  <c r="H1990" i="26" s="1"/>
  <c r="O1982" i="26"/>
  <c r="G1968" i="26"/>
  <c r="H1968" i="26" s="1"/>
  <c r="K1940" i="26"/>
  <c r="O1940" i="26"/>
  <c r="H2076" i="26"/>
  <c r="G2066" i="26"/>
  <c r="H2066" i="26" s="1"/>
  <c r="G2052" i="26"/>
  <c r="H2052" i="26" s="1"/>
  <c r="H2045" i="26"/>
  <c r="G2034" i="26"/>
  <c r="H2034" i="26" s="1"/>
  <c r="G2029" i="26"/>
  <c r="H2029" i="26" s="1"/>
  <c r="K2010" i="26"/>
  <c r="O2010" i="26"/>
  <c r="H2006" i="26"/>
  <c r="O2001" i="26"/>
  <c r="O2000" i="26"/>
  <c r="O1993" i="26"/>
  <c r="O1992" i="26"/>
  <c r="O1985" i="26"/>
  <c r="O1984" i="26"/>
  <c r="G1950" i="26"/>
  <c r="H1950" i="26" s="1"/>
  <c r="G1913" i="26"/>
  <c r="H1913" i="26" s="1"/>
  <c r="G1900" i="26"/>
  <c r="H1900" i="26" s="1"/>
  <c r="H1897" i="26"/>
  <c r="G1890" i="26"/>
  <c r="H1890" i="26" s="1"/>
  <c r="K1795" i="26"/>
  <c r="O1795" i="26"/>
  <c r="H1973" i="26"/>
  <c r="G1925" i="26"/>
  <c r="H1925" i="26" s="1"/>
  <c r="G1923" i="26"/>
  <c r="H1923" i="26" s="1"/>
  <c r="K1894" i="26"/>
  <c r="O1894" i="26"/>
  <c r="O1878" i="26"/>
  <c r="G1846" i="26"/>
  <c r="H1846" i="26" s="1"/>
  <c r="G1935" i="26"/>
  <c r="H1935" i="26" s="1"/>
  <c r="G1922" i="26"/>
  <c r="H1922" i="26" s="1"/>
  <c r="G1896" i="26"/>
  <c r="H1896" i="26" s="1"/>
  <c r="G1887" i="26"/>
  <c r="H1887" i="26" s="1"/>
  <c r="K1868" i="26"/>
  <c r="G1856" i="26"/>
  <c r="H1856" i="26" s="1"/>
  <c r="G1855" i="26"/>
  <c r="H1855" i="26" s="1"/>
  <c r="H1957" i="26"/>
  <c r="H1947" i="26"/>
  <c r="H1919" i="26"/>
  <c r="G1909" i="26"/>
  <c r="H1909" i="26" s="1"/>
  <c r="G1908" i="26"/>
  <c r="H1908" i="26" s="1"/>
  <c r="G1886" i="26"/>
  <c r="H1886" i="26" s="1"/>
  <c r="G1966" i="26"/>
  <c r="H1966" i="26" s="1"/>
  <c r="K1962" i="26"/>
  <c r="O1962" i="26"/>
  <c r="G1934" i="26"/>
  <c r="H1934" i="26" s="1"/>
  <c r="O1930" i="26"/>
  <c r="K1930" i="26"/>
  <c r="O1926" i="26"/>
  <c r="K1926" i="26"/>
  <c r="G1906" i="26"/>
  <c r="H1906" i="26" s="1"/>
  <c r="G1823" i="26"/>
  <c r="H1823" i="26" s="1"/>
  <c r="K1972" i="26"/>
  <c r="O1972" i="26"/>
  <c r="G1964" i="26"/>
  <c r="H1964" i="26" s="1"/>
  <c r="G1954" i="26"/>
  <c r="H1954" i="26" s="1"/>
  <c r="O1946" i="26"/>
  <c r="G1941" i="26"/>
  <c r="H1941" i="26" s="1"/>
  <c r="O1920" i="26"/>
  <c r="G1918" i="26"/>
  <c r="H1918" i="26" s="1"/>
  <c r="G1904" i="26"/>
  <c r="H1904" i="26" s="1"/>
  <c r="G1880" i="26"/>
  <c r="H1880" i="26" s="1"/>
  <c r="G1876" i="26"/>
  <c r="H1876" i="26" s="1"/>
  <c r="G1982" i="26"/>
  <c r="H1982" i="26" s="1"/>
  <c r="G1960" i="26"/>
  <c r="H1960" i="26" s="1"/>
  <c r="G1951" i="26"/>
  <c r="H1951" i="26" s="1"/>
  <c r="K1948" i="26"/>
  <c r="K1944" i="26"/>
  <c r="G1931" i="26"/>
  <c r="H1931" i="26" s="1"/>
  <c r="G1929" i="26"/>
  <c r="H1929" i="26" s="1"/>
  <c r="G1927" i="26"/>
  <c r="H1927" i="26" s="1"/>
  <c r="G1912" i="26"/>
  <c r="H1912" i="26" s="1"/>
  <c r="O1904" i="26"/>
  <c r="G1902" i="26"/>
  <c r="H1902" i="26" s="1"/>
  <c r="K1898" i="26"/>
  <c r="O1898" i="26"/>
  <c r="G1871" i="26"/>
  <c r="H1871" i="26" s="1"/>
  <c r="G1870" i="26"/>
  <c r="H1870" i="26" s="1"/>
  <c r="G1864" i="26"/>
  <c r="H1864" i="26" s="1"/>
  <c r="G1861" i="26"/>
  <c r="H1861" i="26" s="1"/>
  <c r="O1805" i="26"/>
  <c r="K1805" i="26"/>
  <c r="G1939" i="26"/>
  <c r="H1939" i="26" s="1"/>
  <c r="G1916" i="26"/>
  <c r="H1916" i="26" s="1"/>
  <c r="K1876" i="26"/>
  <c r="O1876" i="26"/>
  <c r="G1867" i="26"/>
  <c r="H1867" i="26" s="1"/>
  <c r="O1841" i="26"/>
  <c r="K1841" i="26"/>
  <c r="O1827" i="26"/>
  <c r="K1827" i="26"/>
  <c r="G1825" i="26"/>
  <c r="H1825" i="26" s="1"/>
  <c r="G1824" i="26"/>
  <c r="H1824" i="26" s="1"/>
  <c r="G1784" i="26"/>
  <c r="H1784" i="26" s="1"/>
  <c r="G1729" i="26"/>
  <c r="H1729" i="26" s="1"/>
  <c r="O1853" i="26"/>
  <c r="K1853" i="26"/>
  <c r="G1827" i="26"/>
  <c r="H1827" i="26" s="1"/>
  <c r="G1787" i="26"/>
  <c r="H1787" i="26" s="1"/>
  <c r="G1744" i="26"/>
  <c r="H1744" i="26" s="1"/>
  <c r="G1843" i="26"/>
  <c r="H1843" i="26" s="1"/>
  <c r="G1834" i="26"/>
  <c r="H1834" i="26" s="1"/>
  <c r="G1830" i="26"/>
  <c r="H1830" i="26" s="1"/>
  <c r="G1849" i="26"/>
  <c r="H1849" i="26" s="1"/>
  <c r="G1845" i="26"/>
  <c r="H1845" i="26" s="1"/>
  <c r="G1811" i="26"/>
  <c r="H1811" i="26" s="1"/>
  <c r="G1810" i="26"/>
  <c r="H1810" i="26" s="1"/>
  <c r="O1791" i="26"/>
  <c r="K1791" i="26"/>
  <c r="K1769" i="26"/>
  <c r="O1769" i="26"/>
  <c r="G1746" i="26"/>
  <c r="H1746" i="26" s="1"/>
  <c r="G1948" i="26"/>
  <c r="H1948" i="26" s="1"/>
  <c r="G1907" i="26"/>
  <c r="H1907" i="26" s="1"/>
  <c r="G1884" i="26"/>
  <c r="H1884" i="26" s="1"/>
  <c r="H1877" i="26"/>
  <c r="G1852" i="26"/>
  <c r="H1852" i="26" s="1"/>
  <c r="O1825" i="26"/>
  <c r="O1823" i="26"/>
  <c r="K1823" i="26"/>
  <c r="G1779" i="26"/>
  <c r="H1779" i="26" s="1"/>
  <c r="G1778" i="26"/>
  <c r="H1778" i="26" s="1"/>
  <c r="G1769" i="26"/>
  <c r="H1769" i="26" s="1"/>
  <c r="G1735" i="26"/>
  <c r="H1735" i="26" s="1"/>
  <c r="G1749" i="26"/>
  <c r="H1749" i="26" s="1"/>
  <c r="G1955" i="26"/>
  <c r="H1955" i="26" s="1"/>
  <c r="H1943" i="26"/>
  <c r="G1932" i="26"/>
  <c r="H1932" i="26" s="1"/>
  <c r="G1891" i="26"/>
  <c r="H1891" i="26" s="1"/>
  <c r="H1879" i="26"/>
  <c r="O1847" i="26"/>
  <c r="K1775" i="26"/>
  <c r="O1775" i="26"/>
  <c r="O1771" i="26"/>
  <c r="K1771" i="26"/>
  <c r="G1833" i="26"/>
  <c r="H1833" i="26" s="1"/>
  <c r="K1831" i="26"/>
  <c r="O1831" i="26"/>
  <c r="G1799" i="26"/>
  <c r="H1799" i="26" s="1"/>
  <c r="G1795" i="26"/>
  <c r="H1795" i="26" s="1"/>
  <c r="G1790" i="26"/>
  <c r="H1790" i="26" s="1"/>
  <c r="K1785" i="26"/>
  <c r="O1785" i="26"/>
  <c r="G1770" i="26"/>
  <c r="H1770" i="26" s="1"/>
  <c r="H1840" i="26"/>
  <c r="G1839" i="26"/>
  <c r="H1839" i="26" s="1"/>
  <c r="H1835" i="26"/>
  <c r="G1817" i="26"/>
  <c r="H1817" i="26" s="1"/>
  <c r="K1815" i="26"/>
  <c r="G1804" i="26"/>
  <c r="H1804" i="26" s="1"/>
  <c r="H1794" i="26"/>
  <c r="G1793" i="26"/>
  <c r="H1793" i="26" s="1"/>
  <c r="H1788" i="26"/>
  <c r="G1781" i="26"/>
  <c r="H1781" i="26" s="1"/>
  <c r="K1765" i="26"/>
  <c r="H1752" i="26"/>
  <c r="G1717" i="26"/>
  <c r="H1717" i="26" s="1"/>
  <c r="O1861" i="26"/>
  <c r="O1845" i="26"/>
  <c r="H1832" i="26"/>
  <c r="G1831" i="26"/>
  <c r="H1831" i="26" s="1"/>
  <c r="O1809" i="26"/>
  <c r="G1809" i="26"/>
  <c r="H1809" i="26" s="1"/>
  <c r="O1807" i="26"/>
  <c r="K1807" i="26"/>
  <c r="K1763" i="26"/>
  <c r="O1763" i="26"/>
  <c r="G1748" i="26"/>
  <c r="H1748" i="26" s="1"/>
  <c r="G1767" i="26"/>
  <c r="H1767" i="26" s="1"/>
  <c r="G1741" i="26"/>
  <c r="H1741" i="26" s="1"/>
  <c r="G1737" i="26"/>
  <c r="H1737" i="26" s="1"/>
  <c r="H1816" i="26"/>
  <c r="G1815" i="26"/>
  <c r="H1815" i="26" s="1"/>
  <c r="G1802" i="26"/>
  <c r="H1802" i="26" s="1"/>
  <c r="G1801" i="26"/>
  <c r="H1801" i="26" s="1"/>
  <c r="K1797" i="26"/>
  <c r="O1797" i="26"/>
  <c r="O1777" i="26"/>
  <c r="K1777" i="26"/>
  <c r="G1757" i="26"/>
  <c r="H1757" i="26" s="1"/>
  <c r="G1742" i="26"/>
  <c r="H1742" i="26" s="1"/>
  <c r="G1740" i="26"/>
  <c r="H1740" i="26" s="1"/>
  <c r="G1738" i="26"/>
  <c r="H1738" i="26" s="1"/>
  <c r="O1720" i="26"/>
  <c r="K1720" i="26"/>
  <c r="H1868" i="26"/>
  <c r="H1853" i="26"/>
  <c r="G1841" i="26"/>
  <c r="H1841" i="26" s="1"/>
  <c r="O1839" i="26"/>
  <c r="K1839" i="26"/>
  <c r="G1818" i="26"/>
  <c r="H1818" i="26" s="1"/>
  <c r="H1814" i="26"/>
  <c r="O1801" i="26"/>
  <c r="H1789" i="26"/>
  <c r="O1787" i="26"/>
  <c r="K1787" i="26"/>
  <c r="H1764" i="26"/>
  <c r="G1761" i="26"/>
  <c r="H1761" i="26" s="1"/>
  <c r="O1757" i="26"/>
  <c r="G1747" i="26"/>
  <c r="H1747" i="26" s="1"/>
  <c r="G1736" i="26"/>
  <c r="H1736" i="26" s="1"/>
  <c r="G1731" i="26"/>
  <c r="H1731" i="26" s="1"/>
  <c r="G1725" i="26"/>
  <c r="H1725" i="26" s="1"/>
  <c r="K1719" i="26"/>
  <c r="O1719" i="26"/>
  <c r="O1718" i="26"/>
  <c r="K1718" i="26"/>
  <c r="H1786" i="26"/>
  <c r="G1777" i="26"/>
  <c r="H1777" i="26" s="1"/>
  <c r="G1763" i="26"/>
  <c r="H1763" i="26" s="1"/>
  <c r="O1743" i="26"/>
  <c r="O1739" i="26"/>
  <c r="G1720" i="26"/>
  <c r="H1720" i="26" s="1"/>
  <c r="H1754" i="26"/>
  <c r="G1745" i="26"/>
  <c r="H1745" i="26" s="1"/>
  <c r="H1728" i="26"/>
  <c r="G1722" i="26"/>
  <c r="H1722" i="26" s="1"/>
  <c r="O1716" i="26"/>
  <c r="K1716" i="26"/>
  <c r="K1729" i="26"/>
  <c r="H1726" i="26"/>
  <c r="K1717" i="26"/>
  <c r="O1717" i="26"/>
  <c r="G1715" i="26"/>
  <c r="H1715" i="26" s="1"/>
  <c r="G1713" i="26"/>
  <c r="H1713" i="26" s="1"/>
  <c r="G1706" i="26"/>
  <c r="H1706" i="26" s="1"/>
  <c r="G1702" i="26"/>
  <c r="H1702" i="26" s="1"/>
  <c r="G1704" i="26"/>
  <c r="H1704" i="26" s="1"/>
  <c r="G1699" i="26"/>
  <c r="H1699" i="26" s="1"/>
  <c r="O1678" i="26"/>
  <c r="K1678" i="26"/>
  <c r="G1686" i="26"/>
  <c r="H1686" i="26" s="1"/>
  <c r="O1712" i="26"/>
  <c r="K1712" i="26"/>
  <c r="H1710" i="26"/>
  <c r="G1683" i="26"/>
  <c r="H1683" i="26" s="1"/>
  <c r="H1718" i="26"/>
  <c r="K1703" i="26"/>
  <c r="O1703" i="26"/>
  <c r="K1702" i="26"/>
  <c r="K1701" i="26"/>
  <c r="O1701" i="26"/>
  <c r="K1700" i="26"/>
  <c r="H1708" i="26"/>
  <c r="K1699" i="26"/>
  <c r="O1699" i="26"/>
  <c r="K1698" i="26"/>
  <c r="K1697" i="26"/>
  <c r="O1697" i="26"/>
  <c r="O1696" i="26"/>
  <c r="K1696" i="26"/>
  <c r="O1694" i="26"/>
  <c r="K1694" i="26"/>
  <c r="K1681" i="26"/>
  <c r="O1681" i="26"/>
  <c r="H1716" i="26"/>
  <c r="K1714" i="26"/>
  <c r="H1712" i="26"/>
  <c r="K1710" i="26"/>
  <c r="G1707" i="26"/>
  <c r="H1707" i="26" s="1"/>
  <c r="G1705" i="26"/>
  <c r="H1705" i="26" s="1"/>
  <c r="H1703" i="26"/>
  <c r="H1701" i="26"/>
  <c r="G1690" i="26"/>
  <c r="H1690" i="26" s="1"/>
  <c r="H1714" i="26"/>
  <c r="H1698" i="26"/>
  <c r="O1685" i="26"/>
  <c r="G1685" i="26"/>
  <c r="H1685" i="26" s="1"/>
  <c r="H1682" i="26"/>
  <c r="K1680" i="26"/>
  <c r="O1669" i="26"/>
  <c r="H1688" i="26"/>
  <c r="H1694" i="26"/>
  <c r="K1692" i="26"/>
  <c r="H1687" i="26"/>
  <c r="K1676" i="26"/>
  <c r="H1700" i="26"/>
  <c r="H1684" i="26"/>
  <c r="K1682" i="26"/>
  <c r="I2" i="31"/>
  <c r="O2" i="31" s="1"/>
  <c r="M1674" i="26"/>
  <c r="H1696" i="26"/>
  <c r="O1683" i="26"/>
  <c r="H1680" i="26"/>
  <c r="O1667" i="26"/>
  <c r="H1692" i="26"/>
  <c r="O1679" i="26"/>
  <c r="M1676" i="26"/>
  <c r="F1659" i="26"/>
  <c r="G1659" i="26" s="1"/>
  <c r="F1656" i="26"/>
  <c r="G1656" i="26" s="1"/>
  <c r="F1655" i="26"/>
  <c r="G1655" i="26" s="1"/>
  <c r="F1660" i="26"/>
  <c r="G1660" i="26" s="1"/>
  <c r="F1654" i="26"/>
  <c r="G1654" i="26" s="1"/>
  <c r="F1651" i="26"/>
  <c r="G1651" i="26" s="1"/>
  <c r="F1658" i="26"/>
  <c r="G1658" i="26" s="1"/>
  <c r="F1661" i="26"/>
  <c r="G1661" i="26" s="1"/>
  <c r="F1653" i="26"/>
  <c r="G1653" i="26" s="1"/>
  <c r="O1664" i="26"/>
  <c r="K1665" i="26"/>
  <c r="H1664" i="26"/>
  <c r="K1663" i="26"/>
  <c r="O1662" i="26"/>
  <c r="H1662" i="26"/>
  <c r="K1661" i="26"/>
  <c r="O1660" i="26"/>
  <c r="K1659" i="26"/>
  <c r="O1658" i="26"/>
  <c r="K1657" i="26"/>
  <c r="O1656" i="26"/>
  <c r="K1655" i="26"/>
  <c r="O1654" i="26"/>
  <c r="K1653" i="26"/>
  <c r="O1652" i="26"/>
  <c r="H1652" i="26"/>
  <c r="H1663" i="26"/>
  <c r="H1657" i="26"/>
  <c r="A45" i="15"/>
  <c r="A46" i="15"/>
  <c r="A47" i="15"/>
  <c r="G47" i="15" s="1"/>
  <c r="A48" i="15"/>
  <c r="G48" i="15" s="1"/>
  <c r="A37" i="15"/>
  <c r="A38" i="15"/>
  <c r="A39" i="15"/>
  <c r="G39" i="15" s="1"/>
  <c r="A40" i="15"/>
  <c r="G40" i="15" s="1"/>
  <c r="A41" i="15"/>
  <c r="A42" i="15"/>
  <c r="G42" i="15" s="1"/>
  <c r="A43" i="15"/>
  <c r="A44" i="15"/>
  <c r="G44" i="15" s="1"/>
  <c r="A26" i="15"/>
  <c r="A27" i="15"/>
  <c r="A28" i="15"/>
  <c r="A29" i="15"/>
  <c r="G29" i="15" s="1"/>
  <c r="A30" i="15"/>
  <c r="A31" i="15"/>
  <c r="A32" i="15"/>
  <c r="G32" i="15" s="1"/>
  <c r="A33" i="15"/>
  <c r="G33" i="15" s="1"/>
  <c r="A34" i="15"/>
  <c r="G34" i="15" s="1"/>
  <c r="A35" i="15"/>
  <c r="G35" i="15" s="1"/>
  <c r="A36" i="15"/>
  <c r="L1101" i="26"/>
  <c r="A24" i="15"/>
  <c r="G24" i="15" s="1"/>
  <c r="A18" i="15"/>
  <c r="A19" i="15"/>
  <c r="A20" i="15"/>
  <c r="A21" i="15"/>
  <c r="A22" i="15"/>
  <c r="A23" i="15"/>
  <c r="A25" i="15"/>
  <c r="G25" i="15" s="1"/>
  <c r="M1065" i="26"/>
  <c r="F1580" i="26"/>
  <c r="G1580" i="26" s="1"/>
  <c r="J1580" i="26"/>
  <c r="O1580" i="26" s="1"/>
  <c r="L1580" i="26"/>
  <c r="N1580" i="26"/>
  <c r="P1580" i="26"/>
  <c r="F1581" i="26"/>
  <c r="G1581" i="26" s="1"/>
  <c r="J1581" i="26"/>
  <c r="K1581" i="26" s="1"/>
  <c r="L1581" i="26"/>
  <c r="N1581" i="26"/>
  <c r="P1581" i="26"/>
  <c r="F1582" i="26"/>
  <c r="G1582" i="26" s="1"/>
  <c r="J1582" i="26"/>
  <c r="O1582" i="26" s="1"/>
  <c r="L1582" i="26"/>
  <c r="N1582" i="26"/>
  <c r="P1582" i="26"/>
  <c r="F1583" i="26"/>
  <c r="J1583" i="26"/>
  <c r="K1583" i="26" s="1"/>
  <c r="L1583" i="26"/>
  <c r="N1583" i="26"/>
  <c r="P1583" i="26"/>
  <c r="F1584" i="26"/>
  <c r="G1584" i="26" s="1"/>
  <c r="J1584" i="26"/>
  <c r="O1584" i="26" s="1"/>
  <c r="L1584" i="26"/>
  <c r="N1584" i="26"/>
  <c r="P1584" i="26"/>
  <c r="F1585" i="26"/>
  <c r="G1585" i="26" s="1"/>
  <c r="J1585" i="26"/>
  <c r="K1585" i="26" s="1"/>
  <c r="L1585" i="26"/>
  <c r="N1585" i="26"/>
  <c r="P1585" i="26"/>
  <c r="F1586" i="26"/>
  <c r="G1586" i="26" s="1"/>
  <c r="J1586" i="26"/>
  <c r="O1586" i="26" s="1"/>
  <c r="L1586" i="26"/>
  <c r="N1586" i="26"/>
  <c r="P1586" i="26"/>
  <c r="F1587" i="26"/>
  <c r="G1587" i="26" s="1"/>
  <c r="J1587" i="26"/>
  <c r="K1587" i="26" s="1"/>
  <c r="L1587" i="26"/>
  <c r="N1587" i="26"/>
  <c r="P1587" i="26"/>
  <c r="F1588" i="26"/>
  <c r="G1588" i="26" s="1"/>
  <c r="J1588" i="26"/>
  <c r="O1588" i="26" s="1"/>
  <c r="L1588" i="26"/>
  <c r="N1588" i="26"/>
  <c r="P1588" i="26"/>
  <c r="F1589" i="26"/>
  <c r="G1589" i="26" s="1"/>
  <c r="J1589" i="26"/>
  <c r="K1589" i="26" s="1"/>
  <c r="L1589" i="26"/>
  <c r="N1589" i="26"/>
  <c r="P1589" i="26"/>
  <c r="F1590" i="26"/>
  <c r="G1590" i="26" s="1"/>
  <c r="J1590" i="26"/>
  <c r="O1590" i="26" s="1"/>
  <c r="L1590" i="26"/>
  <c r="N1590" i="26"/>
  <c r="P1590" i="26"/>
  <c r="F1591" i="26"/>
  <c r="G1591" i="26" s="1"/>
  <c r="H1591" i="26" s="1"/>
  <c r="J1591" i="26"/>
  <c r="K1591" i="26" s="1"/>
  <c r="L1591" i="26"/>
  <c r="N1591" i="26"/>
  <c r="P1591" i="26"/>
  <c r="F1592" i="26"/>
  <c r="G1592" i="26" s="1"/>
  <c r="J1592" i="26"/>
  <c r="O1592" i="26" s="1"/>
  <c r="L1592" i="26"/>
  <c r="N1592" i="26"/>
  <c r="P1592" i="26"/>
  <c r="F1593" i="26"/>
  <c r="G1593" i="26" s="1"/>
  <c r="J1593" i="26"/>
  <c r="K1593" i="26" s="1"/>
  <c r="L1593" i="26"/>
  <c r="N1593" i="26"/>
  <c r="P1593" i="26"/>
  <c r="F1594" i="26"/>
  <c r="G1594" i="26" s="1"/>
  <c r="J1594" i="26"/>
  <c r="O1594" i="26" s="1"/>
  <c r="L1594" i="26"/>
  <c r="N1594" i="26"/>
  <c r="P1594" i="26"/>
  <c r="F1595" i="26"/>
  <c r="G1595" i="26" s="1"/>
  <c r="J1595" i="26"/>
  <c r="K1595" i="26" s="1"/>
  <c r="L1595" i="26"/>
  <c r="N1595" i="26"/>
  <c r="P1595" i="26"/>
  <c r="F1596" i="26"/>
  <c r="J1596" i="26"/>
  <c r="O1596" i="26" s="1"/>
  <c r="L1596" i="26"/>
  <c r="N1596" i="26"/>
  <c r="P1596" i="26"/>
  <c r="F1597" i="26"/>
  <c r="G1597" i="26" s="1"/>
  <c r="H1597" i="26" s="1"/>
  <c r="J1597" i="26"/>
  <c r="K1597" i="26" s="1"/>
  <c r="L1597" i="26"/>
  <c r="N1597" i="26"/>
  <c r="P1597" i="26"/>
  <c r="F1598" i="26"/>
  <c r="G1598" i="26" s="1"/>
  <c r="J1598" i="26"/>
  <c r="O1598" i="26" s="1"/>
  <c r="L1598" i="26"/>
  <c r="N1598" i="26"/>
  <c r="P1598" i="26"/>
  <c r="F1599" i="26"/>
  <c r="J1599" i="26"/>
  <c r="K1599" i="26" s="1"/>
  <c r="L1599" i="26"/>
  <c r="N1599" i="26"/>
  <c r="P1599" i="26"/>
  <c r="F1600" i="26"/>
  <c r="G1600" i="26" s="1"/>
  <c r="J1600" i="26"/>
  <c r="O1600" i="26" s="1"/>
  <c r="L1600" i="26"/>
  <c r="N1600" i="26"/>
  <c r="P1600" i="26"/>
  <c r="F1601" i="26"/>
  <c r="G1601" i="26" s="1"/>
  <c r="J1601" i="26"/>
  <c r="K1601" i="26" s="1"/>
  <c r="L1601" i="26"/>
  <c r="N1601" i="26"/>
  <c r="P1601" i="26"/>
  <c r="F1602" i="26"/>
  <c r="G1602" i="26" s="1"/>
  <c r="J1602" i="26"/>
  <c r="O1602" i="26" s="1"/>
  <c r="L1602" i="26"/>
  <c r="N1602" i="26"/>
  <c r="P1602" i="26"/>
  <c r="F1603" i="26"/>
  <c r="G1603" i="26" s="1"/>
  <c r="J1603" i="26"/>
  <c r="K1603" i="26" s="1"/>
  <c r="L1603" i="26"/>
  <c r="N1603" i="26"/>
  <c r="P1603" i="26"/>
  <c r="F1604" i="26"/>
  <c r="G1604" i="26" s="1"/>
  <c r="J1604" i="26"/>
  <c r="O1604" i="26" s="1"/>
  <c r="L1604" i="26"/>
  <c r="N1604" i="26"/>
  <c r="P1604" i="26"/>
  <c r="F1605" i="26"/>
  <c r="G1605" i="26" s="1"/>
  <c r="H1605" i="26" s="1"/>
  <c r="J1605" i="26"/>
  <c r="K1605" i="26" s="1"/>
  <c r="L1605" i="26"/>
  <c r="N1605" i="26"/>
  <c r="P1605" i="26"/>
  <c r="F1606" i="26"/>
  <c r="J1606" i="26"/>
  <c r="O1606" i="26" s="1"/>
  <c r="L1606" i="26"/>
  <c r="N1606" i="26"/>
  <c r="P1606" i="26"/>
  <c r="F1607" i="26"/>
  <c r="G1607" i="26" s="1"/>
  <c r="J1607" i="26"/>
  <c r="K1607" i="26" s="1"/>
  <c r="L1607" i="26"/>
  <c r="N1607" i="26"/>
  <c r="P1607" i="26"/>
  <c r="F1608" i="26"/>
  <c r="G1608" i="26" s="1"/>
  <c r="J1608" i="26"/>
  <c r="O1608" i="26" s="1"/>
  <c r="L1608" i="26"/>
  <c r="N1608" i="26"/>
  <c r="P1608" i="26"/>
  <c r="F1609" i="26"/>
  <c r="G1609" i="26" s="1"/>
  <c r="J1609" i="26"/>
  <c r="K1609" i="26" s="1"/>
  <c r="L1609" i="26"/>
  <c r="N1609" i="26"/>
  <c r="P1609" i="26"/>
  <c r="F1610" i="26"/>
  <c r="G1610" i="26" s="1"/>
  <c r="J1610" i="26"/>
  <c r="O1610" i="26" s="1"/>
  <c r="L1610" i="26"/>
  <c r="N1610" i="26"/>
  <c r="P1610" i="26"/>
  <c r="F1611" i="26"/>
  <c r="G1611" i="26" s="1"/>
  <c r="J1611" i="26"/>
  <c r="K1611" i="26" s="1"/>
  <c r="L1611" i="26"/>
  <c r="N1611" i="26"/>
  <c r="P1611" i="26"/>
  <c r="F1612" i="26"/>
  <c r="J1612" i="26"/>
  <c r="O1612" i="26" s="1"/>
  <c r="L1612" i="26"/>
  <c r="N1612" i="26"/>
  <c r="P1612" i="26"/>
  <c r="F1613" i="26"/>
  <c r="G1613" i="26" s="1"/>
  <c r="H1613" i="26" s="1"/>
  <c r="J1613" i="26"/>
  <c r="K1613" i="26" s="1"/>
  <c r="L1613" i="26"/>
  <c r="N1613" i="26"/>
  <c r="P1613" i="26"/>
  <c r="F1614" i="26"/>
  <c r="G1614" i="26" s="1"/>
  <c r="J1614" i="26"/>
  <c r="O1614" i="26" s="1"/>
  <c r="L1614" i="26"/>
  <c r="N1614" i="26"/>
  <c r="P1614" i="26"/>
  <c r="F1615" i="26"/>
  <c r="J1615" i="26"/>
  <c r="K1615" i="26" s="1"/>
  <c r="L1615" i="26"/>
  <c r="N1615" i="26"/>
  <c r="P1615" i="26"/>
  <c r="F1616" i="26"/>
  <c r="G1616" i="26" s="1"/>
  <c r="J1616" i="26"/>
  <c r="O1616" i="26" s="1"/>
  <c r="L1616" i="26"/>
  <c r="N1616" i="26"/>
  <c r="P1616" i="26"/>
  <c r="F1617" i="26"/>
  <c r="G1617" i="26" s="1"/>
  <c r="J1617" i="26"/>
  <c r="K1617" i="26" s="1"/>
  <c r="L1617" i="26"/>
  <c r="N1617" i="26"/>
  <c r="P1617" i="26"/>
  <c r="F1618" i="26"/>
  <c r="G1618" i="26" s="1"/>
  <c r="J1618" i="26"/>
  <c r="O1618" i="26" s="1"/>
  <c r="L1618" i="26"/>
  <c r="N1618" i="26"/>
  <c r="P1618" i="26"/>
  <c r="F1619" i="26"/>
  <c r="G1619" i="26" s="1"/>
  <c r="J1619" i="26"/>
  <c r="K1619" i="26" s="1"/>
  <c r="L1619" i="26"/>
  <c r="N1619" i="26"/>
  <c r="P1619" i="26"/>
  <c r="F1620" i="26"/>
  <c r="G1620" i="26" s="1"/>
  <c r="J1620" i="26"/>
  <c r="O1620" i="26" s="1"/>
  <c r="L1620" i="26"/>
  <c r="N1620" i="26"/>
  <c r="P1620" i="26"/>
  <c r="F1621" i="26"/>
  <c r="G1621" i="26" s="1"/>
  <c r="J1621" i="26"/>
  <c r="K1621" i="26" s="1"/>
  <c r="L1621" i="26"/>
  <c r="N1621" i="26"/>
  <c r="P1621" i="26"/>
  <c r="F1622" i="26"/>
  <c r="J1622" i="26"/>
  <c r="O1622" i="26" s="1"/>
  <c r="L1622" i="26"/>
  <c r="N1622" i="26"/>
  <c r="P1622" i="26"/>
  <c r="F1623" i="26"/>
  <c r="J1623" i="26"/>
  <c r="K1623" i="26" s="1"/>
  <c r="L1623" i="26"/>
  <c r="N1623" i="26"/>
  <c r="P1623" i="26"/>
  <c r="F1624" i="26"/>
  <c r="G1624" i="26" s="1"/>
  <c r="J1624" i="26"/>
  <c r="O1624" i="26" s="1"/>
  <c r="L1624" i="26"/>
  <c r="N1624" i="26"/>
  <c r="P1624" i="26"/>
  <c r="F1625" i="26"/>
  <c r="G1625" i="26" s="1"/>
  <c r="J1625" i="26"/>
  <c r="K1625" i="26" s="1"/>
  <c r="L1625" i="26"/>
  <c r="N1625" i="26"/>
  <c r="P1625" i="26"/>
  <c r="F1626" i="26"/>
  <c r="G1626" i="26" s="1"/>
  <c r="J1626" i="26"/>
  <c r="O1626" i="26" s="1"/>
  <c r="L1626" i="26"/>
  <c r="N1626" i="26"/>
  <c r="P1626" i="26"/>
  <c r="F1627" i="26"/>
  <c r="G1627" i="26" s="1"/>
  <c r="J1627" i="26"/>
  <c r="K1627" i="26" s="1"/>
  <c r="L1627" i="26"/>
  <c r="N1627" i="26"/>
  <c r="P1627" i="26"/>
  <c r="F1628" i="26"/>
  <c r="J1628" i="26"/>
  <c r="L1628" i="26"/>
  <c r="N1628" i="26"/>
  <c r="P1628" i="26"/>
  <c r="F1629" i="26"/>
  <c r="G1629" i="26" s="1"/>
  <c r="H1629" i="26" s="1"/>
  <c r="J1629" i="26"/>
  <c r="K1629" i="26" s="1"/>
  <c r="L1629" i="26"/>
  <c r="N1629" i="26"/>
  <c r="P1629" i="26"/>
  <c r="F1630" i="26"/>
  <c r="G1630" i="26" s="1"/>
  <c r="J1630" i="26"/>
  <c r="O1630" i="26" s="1"/>
  <c r="L1630" i="26"/>
  <c r="N1630" i="26"/>
  <c r="P1630" i="26"/>
  <c r="F1631" i="26"/>
  <c r="G1631" i="26" s="1"/>
  <c r="J1631" i="26"/>
  <c r="L1631" i="26"/>
  <c r="N1631" i="26"/>
  <c r="P1631" i="26"/>
  <c r="F1632" i="26"/>
  <c r="G1632" i="26" s="1"/>
  <c r="J1632" i="26"/>
  <c r="O1632" i="26" s="1"/>
  <c r="L1632" i="26"/>
  <c r="N1632" i="26"/>
  <c r="P1632" i="26"/>
  <c r="F1633" i="26"/>
  <c r="G1633" i="26" s="1"/>
  <c r="H1633" i="26" s="1"/>
  <c r="J1633" i="26"/>
  <c r="K1633" i="26" s="1"/>
  <c r="L1633" i="26"/>
  <c r="N1633" i="26"/>
  <c r="P1633" i="26"/>
  <c r="F1634" i="26"/>
  <c r="G1634" i="26" s="1"/>
  <c r="J1634" i="26"/>
  <c r="O1634" i="26" s="1"/>
  <c r="L1634" i="26"/>
  <c r="N1634" i="26"/>
  <c r="P1634" i="26"/>
  <c r="F1635" i="26"/>
  <c r="G1635" i="26" s="1"/>
  <c r="H1635" i="26" s="1"/>
  <c r="J1635" i="26"/>
  <c r="F1636" i="26"/>
  <c r="G1636" i="26" s="1"/>
  <c r="J1636" i="26"/>
  <c r="K1636" i="26" s="1"/>
  <c r="L1636" i="26"/>
  <c r="N1636" i="26"/>
  <c r="P1636" i="26"/>
  <c r="F1637" i="26"/>
  <c r="J1637" i="26"/>
  <c r="K1637" i="26" s="1"/>
  <c r="L1637" i="26"/>
  <c r="N1637" i="26"/>
  <c r="P1637" i="26"/>
  <c r="F1638" i="26"/>
  <c r="G1638" i="26" s="1"/>
  <c r="J1638" i="26"/>
  <c r="L1638" i="26"/>
  <c r="N1638" i="26"/>
  <c r="P1638" i="26"/>
  <c r="F1639" i="26"/>
  <c r="J1639" i="26"/>
  <c r="K1639" i="26" s="1"/>
  <c r="L1639" i="26"/>
  <c r="N1639" i="26"/>
  <c r="P1639" i="26"/>
  <c r="F1640" i="26"/>
  <c r="G1640" i="26" s="1"/>
  <c r="J1640" i="26"/>
  <c r="O1640" i="26" s="1"/>
  <c r="L1640" i="26"/>
  <c r="N1640" i="26"/>
  <c r="P1640" i="26"/>
  <c r="F1641" i="26"/>
  <c r="J1641" i="26"/>
  <c r="O1641" i="26" s="1"/>
  <c r="L1641" i="26"/>
  <c r="N1641" i="26"/>
  <c r="P1641" i="26"/>
  <c r="F1642" i="26"/>
  <c r="G1642" i="26" s="1"/>
  <c r="J1642" i="26"/>
  <c r="K1642" i="26" s="1"/>
  <c r="L1642" i="26"/>
  <c r="N1642" i="26"/>
  <c r="P1642" i="26"/>
  <c r="F1643" i="26"/>
  <c r="J1643" i="26"/>
  <c r="K1643" i="26" s="1"/>
  <c r="L1643" i="26"/>
  <c r="N1643" i="26"/>
  <c r="P1643" i="26"/>
  <c r="F1644" i="26"/>
  <c r="G1644" i="26" s="1"/>
  <c r="J1644" i="26"/>
  <c r="K1644" i="26" s="1"/>
  <c r="L1644" i="26"/>
  <c r="N1644" i="26"/>
  <c r="P1644" i="26"/>
  <c r="F1645" i="26"/>
  <c r="J1645" i="26"/>
  <c r="K1645" i="26" s="1"/>
  <c r="L1645" i="26"/>
  <c r="N1645" i="26"/>
  <c r="P1645" i="26"/>
  <c r="F1646" i="26"/>
  <c r="G1646" i="26" s="1"/>
  <c r="J1646" i="26"/>
  <c r="L1646" i="26"/>
  <c r="N1646" i="26"/>
  <c r="P1646" i="26"/>
  <c r="F1647" i="26"/>
  <c r="J1647" i="26"/>
  <c r="O1647" i="26" s="1"/>
  <c r="L1647" i="26"/>
  <c r="N1647" i="26"/>
  <c r="P1647" i="26"/>
  <c r="F1648" i="26"/>
  <c r="G1648" i="26" s="1"/>
  <c r="J1648" i="26"/>
  <c r="O1648" i="26" s="1"/>
  <c r="L1648" i="26"/>
  <c r="N1648" i="26"/>
  <c r="P1648" i="26"/>
  <c r="F1649" i="26"/>
  <c r="J1649" i="26"/>
  <c r="O1649" i="26" s="1"/>
  <c r="F1650" i="26"/>
  <c r="G1650" i="26" s="1"/>
  <c r="J1650" i="26"/>
  <c r="L1650" i="26"/>
  <c r="N1650" i="26"/>
  <c r="P1650" i="26"/>
  <c r="F1043" i="26"/>
  <c r="G1043" i="26" s="1"/>
  <c r="J1043" i="26"/>
  <c r="L1043" i="26"/>
  <c r="N1043" i="26"/>
  <c r="P1043" i="26"/>
  <c r="F1044" i="26"/>
  <c r="G1044" i="26" s="1"/>
  <c r="J1044" i="26"/>
  <c r="L1044" i="26"/>
  <c r="N1044" i="26"/>
  <c r="P1044" i="26"/>
  <c r="F1045" i="26"/>
  <c r="J1045" i="26"/>
  <c r="L1045" i="26"/>
  <c r="N1045" i="26"/>
  <c r="P1045" i="26"/>
  <c r="F1046" i="26"/>
  <c r="G1046" i="26" s="1"/>
  <c r="J1046" i="26"/>
  <c r="L1046" i="26"/>
  <c r="N1046" i="26"/>
  <c r="P1046" i="26"/>
  <c r="F1047" i="26"/>
  <c r="J1047" i="26"/>
  <c r="L1047" i="26"/>
  <c r="N1047" i="26"/>
  <c r="P1047" i="26"/>
  <c r="F1048" i="26"/>
  <c r="J1048" i="26"/>
  <c r="L1048" i="26"/>
  <c r="N1048" i="26"/>
  <c r="P1048" i="26"/>
  <c r="F1049" i="26"/>
  <c r="G1049" i="26" s="1"/>
  <c r="J1049" i="26"/>
  <c r="L1049" i="26"/>
  <c r="N1049" i="26"/>
  <c r="P1049" i="26"/>
  <c r="F1050" i="26"/>
  <c r="J1050" i="26"/>
  <c r="L1050" i="26"/>
  <c r="N1050" i="26"/>
  <c r="P1050" i="26"/>
  <c r="F1051" i="26"/>
  <c r="J1051" i="26"/>
  <c r="L1051" i="26"/>
  <c r="N1051" i="26"/>
  <c r="P1051" i="26"/>
  <c r="F1052" i="26"/>
  <c r="G1052" i="26" s="1"/>
  <c r="J1052" i="26"/>
  <c r="L1052" i="26"/>
  <c r="N1052" i="26"/>
  <c r="P1052" i="26"/>
  <c r="F1053" i="26"/>
  <c r="G1053" i="26" s="1"/>
  <c r="J1053" i="26"/>
  <c r="L1053" i="26"/>
  <c r="N1053" i="26"/>
  <c r="P1053" i="26"/>
  <c r="F1054" i="26"/>
  <c r="G1054" i="26" s="1"/>
  <c r="J1054" i="26"/>
  <c r="L1054" i="26"/>
  <c r="N1054" i="26"/>
  <c r="P1054" i="26"/>
  <c r="J1055" i="26"/>
  <c r="L1055" i="26"/>
  <c r="N1055" i="26"/>
  <c r="P1055" i="26"/>
  <c r="J1056" i="26"/>
  <c r="L1056" i="26"/>
  <c r="N1056" i="26"/>
  <c r="P1056" i="26"/>
  <c r="J1057" i="26"/>
  <c r="L1057" i="26"/>
  <c r="N1057" i="26"/>
  <c r="P1057" i="26"/>
  <c r="J1058" i="26"/>
  <c r="L1058" i="26"/>
  <c r="N1058" i="26"/>
  <c r="P1058" i="26"/>
  <c r="J1059" i="26"/>
  <c r="L1059" i="26"/>
  <c r="N1059" i="26"/>
  <c r="P1059" i="26"/>
  <c r="J1060" i="26"/>
  <c r="L1060" i="26"/>
  <c r="N1060" i="26"/>
  <c r="P1060" i="26"/>
  <c r="J1061" i="26"/>
  <c r="L1061" i="26"/>
  <c r="N1061" i="26"/>
  <c r="P1061" i="26"/>
  <c r="J1062" i="26"/>
  <c r="L1062" i="26"/>
  <c r="N1062" i="26"/>
  <c r="P1062" i="26"/>
  <c r="J1063" i="26"/>
  <c r="L1063" i="26"/>
  <c r="N1063" i="26"/>
  <c r="P1063" i="26"/>
  <c r="J1064" i="26"/>
  <c r="L1064" i="26"/>
  <c r="N1064" i="26"/>
  <c r="P1064" i="26"/>
  <c r="J1065" i="26"/>
  <c r="O1065" i="26" s="1"/>
  <c r="J1066" i="26"/>
  <c r="K1066" i="26" s="1"/>
  <c r="L1066" i="26"/>
  <c r="N1066" i="26"/>
  <c r="P1066" i="26"/>
  <c r="F1067" i="26"/>
  <c r="G1067" i="26" s="1"/>
  <c r="J1067" i="26"/>
  <c r="O1067" i="26" s="1"/>
  <c r="L1067" i="26"/>
  <c r="N1067" i="26"/>
  <c r="P1067" i="26"/>
  <c r="F1068" i="26"/>
  <c r="J1068" i="26"/>
  <c r="K1068" i="26" s="1"/>
  <c r="L1068" i="26"/>
  <c r="N1068" i="26"/>
  <c r="P1068" i="26"/>
  <c r="F1069" i="26"/>
  <c r="J1069" i="26"/>
  <c r="L1069" i="26"/>
  <c r="N1069" i="26"/>
  <c r="P1069" i="26"/>
  <c r="F1070" i="26"/>
  <c r="G1070" i="26" s="1"/>
  <c r="H1070" i="26" s="1"/>
  <c r="J1070" i="26"/>
  <c r="K1070" i="26" s="1"/>
  <c r="L1070" i="26"/>
  <c r="N1070" i="26"/>
  <c r="P1070" i="26"/>
  <c r="F1071" i="26"/>
  <c r="J1071" i="26"/>
  <c r="O1071" i="26" s="1"/>
  <c r="L1071" i="26"/>
  <c r="N1071" i="26"/>
  <c r="P1071" i="26"/>
  <c r="F1072" i="26"/>
  <c r="J1072" i="26"/>
  <c r="K1072" i="26" s="1"/>
  <c r="L1072" i="26"/>
  <c r="N1072" i="26"/>
  <c r="P1072" i="26"/>
  <c r="F1073" i="26"/>
  <c r="J1073" i="26"/>
  <c r="O1073" i="26" s="1"/>
  <c r="L1073" i="26"/>
  <c r="N1073" i="26"/>
  <c r="P1073" i="26"/>
  <c r="F1074" i="26"/>
  <c r="G1074" i="26" s="1"/>
  <c r="H1074" i="26" s="1"/>
  <c r="J1074" i="26"/>
  <c r="K1074" i="26" s="1"/>
  <c r="L1074" i="26"/>
  <c r="N1074" i="26"/>
  <c r="P1074" i="26"/>
  <c r="F1075" i="26"/>
  <c r="G1075" i="26" s="1"/>
  <c r="J1075" i="26"/>
  <c r="L1075" i="26"/>
  <c r="N1075" i="26"/>
  <c r="P1075" i="26"/>
  <c r="F1076" i="26"/>
  <c r="J1076" i="26"/>
  <c r="K1076" i="26" s="1"/>
  <c r="L1076" i="26"/>
  <c r="N1076" i="26"/>
  <c r="P1076" i="26"/>
  <c r="F1077" i="26"/>
  <c r="G1077" i="26" s="1"/>
  <c r="J1077" i="26"/>
  <c r="L1077" i="26"/>
  <c r="N1077" i="26"/>
  <c r="P1077" i="26"/>
  <c r="F1078" i="26"/>
  <c r="G1078" i="26" s="1"/>
  <c r="H1078" i="26" s="1"/>
  <c r="J1078" i="26"/>
  <c r="K1078" i="26" s="1"/>
  <c r="L1078" i="26"/>
  <c r="N1078" i="26"/>
  <c r="P1078" i="26"/>
  <c r="F1079" i="26"/>
  <c r="J1079" i="26"/>
  <c r="L1079" i="26"/>
  <c r="N1079" i="26"/>
  <c r="P1079" i="26"/>
  <c r="F1080" i="26"/>
  <c r="G1080" i="26" s="1"/>
  <c r="H1080" i="26" s="1"/>
  <c r="J1080" i="26"/>
  <c r="K1080" i="26" s="1"/>
  <c r="L1080" i="26"/>
  <c r="N1080" i="26"/>
  <c r="P1080" i="26"/>
  <c r="F1081" i="26"/>
  <c r="G1081" i="26" s="1"/>
  <c r="J1081" i="26"/>
  <c r="L1081" i="26"/>
  <c r="N1081" i="26"/>
  <c r="P1081" i="26"/>
  <c r="F1082" i="26"/>
  <c r="J1082" i="26"/>
  <c r="L1082" i="26"/>
  <c r="N1082" i="26"/>
  <c r="P1082" i="26"/>
  <c r="F1083" i="26"/>
  <c r="J1083" i="26"/>
  <c r="L1083" i="26"/>
  <c r="N1083" i="26"/>
  <c r="P1083" i="26"/>
  <c r="F1084" i="26"/>
  <c r="J1084" i="26"/>
  <c r="L1084" i="26"/>
  <c r="N1084" i="26"/>
  <c r="P1084" i="26"/>
  <c r="F1085" i="26"/>
  <c r="J1085" i="26"/>
  <c r="L1085" i="26"/>
  <c r="N1085" i="26"/>
  <c r="P1085" i="26"/>
  <c r="J1086" i="26"/>
  <c r="L1086" i="26"/>
  <c r="N1086" i="26"/>
  <c r="P1086" i="26"/>
  <c r="J1087" i="26"/>
  <c r="O1087" i="26" s="1"/>
  <c r="L1087" i="26"/>
  <c r="N1087" i="26"/>
  <c r="P1087" i="26"/>
  <c r="J1088" i="26"/>
  <c r="K1088" i="26" s="1"/>
  <c r="L1088" i="26"/>
  <c r="N1088" i="26"/>
  <c r="P1088" i="26"/>
  <c r="J1089" i="26"/>
  <c r="L1089" i="26"/>
  <c r="N1089" i="26"/>
  <c r="P1089" i="26"/>
  <c r="J1090" i="26"/>
  <c r="K1090" i="26" s="1"/>
  <c r="L1090" i="26"/>
  <c r="N1090" i="26"/>
  <c r="P1090" i="26"/>
  <c r="J1091" i="26"/>
  <c r="L1091" i="26"/>
  <c r="N1091" i="26"/>
  <c r="P1091" i="26"/>
  <c r="J1092" i="26"/>
  <c r="K1092" i="26" s="1"/>
  <c r="L1092" i="26"/>
  <c r="N1092" i="26"/>
  <c r="P1092" i="26"/>
  <c r="J1093" i="26"/>
  <c r="L1093" i="26"/>
  <c r="N1093" i="26"/>
  <c r="P1093" i="26"/>
  <c r="F1094" i="26"/>
  <c r="G1094" i="26" s="1"/>
  <c r="H1094" i="26" s="1"/>
  <c r="J1094" i="26"/>
  <c r="L1094" i="26"/>
  <c r="N1094" i="26"/>
  <c r="P1094" i="26"/>
  <c r="F1095" i="26"/>
  <c r="G1095" i="26" s="1"/>
  <c r="J1095" i="26"/>
  <c r="O1095" i="26" s="1"/>
  <c r="L1095" i="26"/>
  <c r="N1095" i="26"/>
  <c r="P1095" i="26"/>
  <c r="F1096" i="26"/>
  <c r="G1096" i="26" s="1"/>
  <c r="H1096" i="26" s="1"/>
  <c r="J1096" i="26"/>
  <c r="L1096" i="26"/>
  <c r="N1096" i="26"/>
  <c r="P1096" i="26"/>
  <c r="F1097" i="26"/>
  <c r="G1097" i="26" s="1"/>
  <c r="J1097" i="26"/>
  <c r="L1097" i="26"/>
  <c r="N1097" i="26"/>
  <c r="P1097" i="26"/>
  <c r="F1098" i="26"/>
  <c r="J1098" i="26"/>
  <c r="L1098" i="26"/>
  <c r="N1098" i="26"/>
  <c r="P1098" i="26"/>
  <c r="F1099" i="26"/>
  <c r="G1099" i="26" s="1"/>
  <c r="J1099" i="26"/>
  <c r="L1099" i="26"/>
  <c r="N1099" i="26"/>
  <c r="P1099" i="26"/>
  <c r="F1100" i="26"/>
  <c r="G1100" i="26" s="1"/>
  <c r="J1100" i="26"/>
  <c r="O1100" i="26" s="1"/>
  <c r="L1100" i="26"/>
  <c r="N1100" i="26"/>
  <c r="P1100" i="26"/>
  <c r="F1101" i="26"/>
  <c r="G1101" i="26" s="1"/>
  <c r="J1101" i="26"/>
  <c r="O1101" i="26" s="1"/>
  <c r="N1101" i="26"/>
  <c r="P1101" i="26"/>
  <c r="F1102" i="26"/>
  <c r="J1102" i="26"/>
  <c r="L1102" i="26"/>
  <c r="N1102" i="26"/>
  <c r="P1102" i="26"/>
  <c r="F1103" i="26"/>
  <c r="J1103" i="26"/>
  <c r="O1103" i="26" s="1"/>
  <c r="L1103" i="26"/>
  <c r="N1103" i="26"/>
  <c r="P1103" i="26"/>
  <c r="F1104" i="26"/>
  <c r="J1104" i="26"/>
  <c r="L1104" i="26"/>
  <c r="N1104" i="26"/>
  <c r="P1104" i="26"/>
  <c r="F1105" i="26"/>
  <c r="J1105" i="26"/>
  <c r="O1105" i="26" s="1"/>
  <c r="F1106" i="26"/>
  <c r="G1106" i="26" s="1"/>
  <c r="H1106" i="26" s="1"/>
  <c r="J1106" i="26"/>
  <c r="O1106" i="26" s="1"/>
  <c r="L1106" i="26"/>
  <c r="N1106" i="26"/>
  <c r="P1106" i="26"/>
  <c r="F1107" i="26"/>
  <c r="J1107" i="26"/>
  <c r="O1107" i="26" s="1"/>
  <c r="L1107" i="26"/>
  <c r="N1107" i="26"/>
  <c r="P1107" i="26"/>
  <c r="F1108" i="26"/>
  <c r="G1108" i="26" s="1"/>
  <c r="J1108" i="26"/>
  <c r="O1108" i="26" s="1"/>
  <c r="L1108" i="26"/>
  <c r="N1108" i="26"/>
  <c r="P1108" i="26"/>
  <c r="F1109" i="26"/>
  <c r="G1109" i="26" s="1"/>
  <c r="J1109" i="26"/>
  <c r="F1110" i="26"/>
  <c r="J1110" i="26"/>
  <c r="L1110" i="26"/>
  <c r="N1110" i="26"/>
  <c r="P1110" i="26"/>
  <c r="F1111" i="26"/>
  <c r="J1111" i="26"/>
  <c r="L1111" i="26"/>
  <c r="N1111" i="26"/>
  <c r="P1111" i="26"/>
  <c r="F1112" i="26"/>
  <c r="J1112" i="26"/>
  <c r="L1112" i="26"/>
  <c r="N1112" i="26"/>
  <c r="P1112" i="26"/>
  <c r="F1113" i="26"/>
  <c r="J1113" i="26"/>
  <c r="L1113" i="26"/>
  <c r="N1113" i="26"/>
  <c r="P1113" i="26"/>
  <c r="F1114" i="26"/>
  <c r="J1114" i="26"/>
  <c r="K1114" i="26" s="1"/>
  <c r="L1114" i="26"/>
  <c r="N1114" i="26"/>
  <c r="P1114" i="26"/>
  <c r="F1115" i="26"/>
  <c r="J1115" i="26"/>
  <c r="O1115" i="26" s="1"/>
  <c r="L1115" i="26"/>
  <c r="N1115" i="26"/>
  <c r="P1115" i="26"/>
  <c r="F1116" i="26"/>
  <c r="J1116" i="26"/>
  <c r="L1116" i="26"/>
  <c r="N1116" i="26"/>
  <c r="P1116" i="26"/>
  <c r="F1117" i="26"/>
  <c r="J1117" i="26"/>
  <c r="O1117" i="26" s="1"/>
  <c r="L1117" i="26"/>
  <c r="N1117" i="26"/>
  <c r="P1117" i="26"/>
  <c r="F1118" i="26"/>
  <c r="J1118" i="26"/>
  <c r="K1118" i="26" s="1"/>
  <c r="L1118" i="26"/>
  <c r="N1118" i="26"/>
  <c r="P1118" i="26"/>
  <c r="F1119" i="26"/>
  <c r="J1119" i="26"/>
  <c r="L1119" i="26"/>
  <c r="N1119" i="26"/>
  <c r="P1119" i="26"/>
  <c r="F1120" i="26"/>
  <c r="G1120" i="26" s="1"/>
  <c r="J1120" i="26"/>
  <c r="K1120" i="26" s="1"/>
  <c r="L1120" i="26"/>
  <c r="N1120" i="26"/>
  <c r="P1120" i="26"/>
  <c r="F1121" i="26"/>
  <c r="G1121" i="26" s="1"/>
  <c r="J1121" i="26"/>
  <c r="L1121" i="26"/>
  <c r="N1121" i="26"/>
  <c r="P1121" i="26"/>
  <c r="F1122" i="26"/>
  <c r="G1122" i="26" s="1"/>
  <c r="H1122" i="26" s="1"/>
  <c r="J1122" i="26"/>
  <c r="O1122" i="26" s="1"/>
  <c r="F1123" i="26"/>
  <c r="J1123" i="26"/>
  <c r="O1123" i="26" s="1"/>
  <c r="L1123" i="26"/>
  <c r="N1123" i="26"/>
  <c r="P1123" i="26"/>
  <c r="F1124" i="26"/>
  <c r="J1124" i="26"/>
  <c r="L1124" i="26"/>
  <c r="N1124" i="26"/>
  <c r="P1124" i="26"/>
  <c r="F1125" i="26"/>
  <c r="J1125" i="26"/>
  <c r="O1125" i="26" s="1"/>
  <c r="L1125" i="26"/>
  <c r="N1125" i="26"/>
  <c r="P1125" i="26"/>
  <c r="F1126" i="26"/>
  <c r="J1126" i="26"/>
  <c r="L1126" i="26"/>
  <c r="N1126" i="26"/>
  <c r="P1126" i="26"/>
  <c r="F1127" i="26"/>
  <c r="J1127" i="26"/>
  <c r="O1127" i="26" s="1"/>
  <c r="L1127" i="26"/>
  <c r="N1127" i="26"/>
  <c r="P1127" i="26"/>
  <c r="F1128" i="26"/>
  <c r="J1128" i="26"/>
  <c r="K1128" i="26" s="1"/>
  <c r="L1128" i="26"/>
  <c r="N1128" i="26"/>
  <c r="P1128" i="26"/>
  <c r="F1129" i="26"/>
  <c r="J1129" i="26"/>
  <c r="L1129" i="26"/>
  <c r="N1129" i="26"/>
  <c r="P1129" i="26"/>
  <c r="F1130" i="26"/>
  <c r="J1130" i="26"/>
  <c r="O1130" i="26" s="1"/>
  <c r="L1130" i="26"/>
  <c r="N1130" i="26"/>
  <c r="P1130" i="26"/>
  <c r="F1131" i="26"/>
  <c r="G1131" i="26" s="1"/>
  <c r="J1131" i="26"/>
  <c r="L1131" i="26"/>
  <c r="N1131" i="26"/>
  <c r="P1131" i="26"/>
  <c r="F1132" i="26"/>
  <c r="J1132" i="26"/>
  <c r="O1132" i="26" s="1"/>
  <c r="L1132" i="26"/>
  <c r="N1132" i="26"/>
  <c r="P1132" i="26"/>
  <c r="F1133" i="26"/>
  <c r="G1133" i="26" s="1"/>
  <c r="J1133" i="26"/>
  <c r="K1133" i="26" s="1"/>
  <c r="L1133" i="26"/>
  <c r="N1133" i="26"/>
  <c r="P1133" i="26"/>
  <c r="F1134" i="26"/>
  <c r="J1134" i="26"/>
  <c r="L1134" i="26"/>
  <c r="N1134" i="26"/>
  <c r="P1134" i="26"/>
  <c r="F1135" i="26"/>
  <c r="J1135" i="26"/>
  <c r="L1135" i="26"/>
  <c r="N1135" i="26"/>
  <c r="P1135" i="26"/>
  <c r="F1136" i="26"/>
  <c r="J1136" i="26"/>
  <c r="O1136" i="26" s="1"/>
  <c r="F1137" i="26"/>
  <c r="G1137" i="26" s="1"/>
  <c r="H1137" i="26" s="1"/>
  <c r="J1137" i="26"/>
  <c r="O1137" i="26" s="1"/>
  <c r="L1137" i="26"/>
  <c r="N1137" i="26"/>
  <c r="P1137" i="26"/>
  <c r="F1138" i="26"/>
  <c r="G1138" i="26" s="1"/>
  <c r="J1138" i="26"/>
  <c r="O1138" i="26" s="1"/>
  <c r="L1138" i="26"/>
  <c r="N1138" i="26"/>
  <c r="P1138" i="26"/>
  <c r="F1139" i="26"/>
  <c r="G1139" i="26" s="1"/>
  <c r="H1139" i="26" s="1"/>
  <c r="J1139" i="26"/>
  <c r="L1139" i="26"/>
  <c r="N1139" i="26"/>
  <c r="P1139" i="26"/>
  <c r="F1140" i="26"/>
  <c r="J1140" i="26"/>
  <c r="O1140" i="26" s="1"/>
  <c r="L1140" i="26"/>
  <c r="N1140" i="26"/>
  <c r="P1140" i="26"/>
  <c r="F1141" i="26"/>
  <c r="J1141" i="26"/>
  <c r="L1141" i="26"/>
  <c r="N1141" i="26"/>
  <c r="P1141" i="26"/>
  <c r="F1142" i="26"/>
  <c r="G1142" i="26" s="1"/>
  <c r="H1142" i="26" s="1"/>
  <c r="J1142" i="26"/>
  <c r="K1142" i="26" s="1"/>
  <c r="L1142" i="26"/>
  <c r="N1142" i="26"/>
  <c r="P1142" i="26"/>
  <c r="F1143" i="26"/>
  <c r="J1143" i="26"/>
  <c r="L1143" i="26"/>
  <c r="N1143" i="26"/>
  <c r="P1143" i="26"/>
  <c r="F1144" i="26"/>
  <c r="J1144" i="26"/>
  <c r="L1144" i="26"/>
  <c r="N1144" i="26"/>
  <c r="P1144" i="26"/>
  <c r="F1145" i="26"/>
  <c r="J1145" i="26"/>
  <c r="K1145" i="26" s="1"/>
  <c r="L1145" i="26"/>
  <c r="N1145" i="26"/>
  <c r="P1145" i="26"/>
  <c r="F1146" i="26"/>
  <c r="J1146" i="26"/>
  <c r="L1146" i="26"/>
  <c r="N1146" i="26"/>
  <c r="P1146" i="26"/>
  <c r="F1147" i="26"/>
  <c r="G1147" i="26" s="1"/>
  <c r="H1147" i="26" s="1"/>
  <c r="J1147" i="26"/>
  <c r="K1147" i="26" s="1"/>
  <c r="L1147" i="26"/>
  <c r="N1147" i="26"/>
  <c r="P1147" i="26"/>
  <c r="F1148" i="26"/>
  <c r="G1148" i="26" s="1"/>
  <c r="J1148" i="26"/>
  <c r="L1148" i="26"/>
  <c r="N1148" i="26"/>
  <c r="P1148" i="26"/>
  <c r="F1149" i="26"/>
  <c r="G1149" i="26" s="1"/>
  <c r="J1149" i="26"/>
  <c r="K1149" i="26" s="1"/>
  <c r="L1149" i="26"/>
  <c r="N1149" i="26"/>
  <c r="P1149" i="26"/>
  <c r="F1150" i="26"/>
  <c r="J1150" i="26"/>
  <c r="O1150" i="26" s="1"/>
  <c r="F1151" i="26"/>
  <c r="J1151" i="26"/>
  <c r="K1151" i="26" s="1"/>
  <c r="L1151" i="26"/>
  <c r="N1151" i="26"/>
  <c r="P1151" i="26"/>
  <c r="F1152" i="26"/>
  <c r="J1152" i="26"/>
  <c r="O1152" i="26" s="1"/>
  <c r="L1152" i="26"/>
  <c r="N1152" i="26"/>
  <c r="P1152" i="26"/>
  <c r="F1153" i="26"/>
  <c r="J1153" i="26"/>
  <c r="O1153" i="26" s="1"/>
  <c r="L1153" i="26"/>
  <c r="N1153" i="26"/>
  <c r="P1153" i="26"/>
  <c r="F1154" i="26"/>
  <c r="J1154" i="26"/>
  <c r="O1154" i="26" s="1"/>
  <c r="L1154" i="26"/>
  <c r="N1154" i="26"/>
  <c r="P1154" i="26"/>
  <c r="F1155" i="26"/>
  <c r="G1155" i="26" s="1"/>
  <c r="J1155" i="26"/>
  <c r="O1155" i="26" s="1"/>
  <c r="L1155" i="26"/>
  <c r="N1155" i="26"/>
  <c r="P1155" i="26"/>
  <c r="F1156" i="26"/>
  <c r="J1156" i="26"/>
  <c r="L1156" i="26"/>
  <c r="N1156" i="26"/>
  <c r="P1156" i="26"/>
  <c r="F1157" i="26"/>
  <c r="J1157" i="26"/>
  <c r="L1157" i="26"/>
  <c r="N1157" i="26"/>
  <c r="P1157" i="26"/>
  <c r="F1158" i="26"/>
  <c r="J1158" i="26"/>
  <c r="L1158" i="26"/>
  <c r="N1158" i="26"/>
  <c r="P1158" i="26"/>
  <c r="F1159" i="26"/>
  <c r="J1159" i="26"/>
  <c r="L1159" i="26"/>
  <c r="N1159" i="26"/>
  <c r="P1159" i="26"/>
  <c r="F1160" i="26"/>
  <c r="G1160" i="26" s="1"/>
  <c r="H1160" i="26" s="1"/>
  <c r="J1160" i="26"/>
  <c r="K1160" i="26" s="1"/>
  <c r="L1160" i="26"/>
  <c r="N1160" i="26"/>
  <c r="P1160" i="26"/>
  <c r="F1161" i="26"/>
  <c r="J1161" i="26"/>
  <c r="O1161" i="26" s="1"/>
  <c r="L1161" i="26"/>
  <c r="N1161" i="26"/>
  <c r="P1161" i="26"/>
  <c r="F1162" i="26"/>
  <c r="J1162" i="26"/>
  <c r="O1162" i="26" s="1"/>
  <c r="L1162" i="26"/>
  <c r="N1162" i="26"/>
  <c r="P1162" i="26"/>
  <c r="F1163" i="26"/>
  <c r="J1163" i="26"/>
  <c r="K1163" i="26" s="1"/>
  <c r="L1163" i="26"/>
  <c r="N1163" i="26"/>
  <c r="P1163" i="26"/>
  <c r="F1164" i="26"/>
  <c r="G1164" i="26" s="1"/>
  <c r="J1164" i="26"/>
  <c r="O1164" i="26" s="1"/>
  <c r="L1164" i="26"/>
  <c r="N1164" i="26"/>
  <c r="P1164" i="26"/>
  <c r="F1165" i="26"/>
  <c r="J1165" i="26"/>
  <c r="K1165" i="26" s="1"/>
  <c r="L1165" i="26"/>
  <c r="N1165" i="26"/>
  <c r="P1165" i="26"/>
  <c r="F1166" i="26"/>
  <c r="J1166" i="26"/>
  <c r="O1166" i="26" s="1"/>
  <c r="L1166" i="26"/>
  <c r="N1166" i="26"/>
  <c r="P1166" i="26"/>
  <c r="F1167" i="26"/>
  <c r="J1167" i="26"/>
  <c r="L1167" i="26"/>
  <c r="N1167" i="26"/>
  <c r="P1167" i="26"/>
  <c r="F1168" i="26"/>
  <c r="J1168" i="26"/>
  <c r="O1168" i="26" s="1"/>
  <c r="L1168" i="26"/>
  <c r="N1168" i="26"/>
  <c r="P1168" i="26"/>
  <c r="F1169" i="26"/>
  <c r="G1169" i="26" s="1"/>
  <c r="H1169" i="26" s="1"/>
  <c r="J1169" i="26"/>
  <c r="L1169" i="26"/>
  <c r="N1169" i="26"/>
  <c r="P1169" i="26"/>
  <c r="F1170" i="26"/>
  <c r="J1170" i="26"/>
  <c r="K1170" i="26" s="1"/>
  <c r="L1170" i="26"/>
  <c r="N1170" i="26"/>
  <c r="P1170" i="26"/>
  <c r="F1171" i="26"/>
  <c r="G1171" i="26" s="1"/>
  <c r="H1171" i="26" s="1"/>
  <c r="J1171" i="26"/>
  <c r="L1171" i="26"/>
  <c r="N1171" i="26"/>
  <c r="P1171" i="26"/>
  <c r="F1172" i="26"/>
  <c r="J1172" i="26"/>
  <c r="K1172" i="26" s="1"/>
  <c r="L1172" i="26"/>
  <c r="N1172" i="26"/>
  <c r="P1172" i="26"/>
  <c r="F1173" i="26"/>
  <c r="J1173" i="26"/>
  <c r="L1173" i="26"/>
  <c r="N1173" i="26"/>
  <c r="P1173" i="26"/>
  <c r="F1174" i="26"/>
  <c r="J1174" i="26"/>
  <c r="L1174" i="26"/>
  <c r="N1174" i="26"/>
  <c r="P1174" i="26"/>
  <c r="F1175" i="26"/>
  <c r="G1175" i="26" s="1"/>
  <c r="J1175" i="26"/>
  <c r="L1175" i="26"/>
  <c r="N1175" i="26"/>
  <c r="P1175" i="26"/>
  <c r="F1176" i="26"/>
  <c r="J1176" i="26"/>
  <c r="K1176" i="26" s="1"/>
  <c r="L1176" i="26"/>
  <c r="N1176" i="26"/>
  <c r="P1176" i="26"/>
  <c r="F1177" i="26"/>
  <c r="J1177" i="26"/>
  <c r="O1177" i="26" s="1"/>
  <c r="L1177" i="26"/>
  <c r="N1177" i="26"/>
  <c r="P1177" i="26"/>
  <c r="F1178" i="26"/>
  <c r="G1178" i="26" s="1"/>
  <c r="J1178" i="26"/>
  <c r="O1178" i="26" s="1"/>
  <c r="L1178" i="26"/>
  <c r="N1178" i="26"/>
  <c r="P1178" i="26"/>
  <c r="F1179" i="26"/>
  <c r="G1179" i="26" s="1"/>
  <c r="J1179" i="26"/>
  <c r="K1179" i="26" s="1"/>
  <c r="L1179" i="26"/>
  <c r="N1179" i="26"/>
  <c r="P1179" i="26"/>
  <c r="F1180" i="26"/>
  <c r="G1180" i="26" s="1"/>
  <c r="J1180" i="26"/>
  <c r="O1180" i="26" s="1"/>
  <c r="L1180" i="26"/>
  <c r="N1180" i="26"/>
  <c r="P1180" i="26"/>
  <c r="F1181" i="26"/>
  <c r="J1181" i="26"/>
  <c r="O1181" i="26" s="1"/>
  <c r="L1181" i="26"/>
  <c r="N1181" i="26"/>
  <c r="P1181" i="26"/>
  <c r="F1182" i="26"/>
  <c r="J1182" i="26"/>
  <c r="O1182" i="26" s="1"/>
  <c r="F1183" i="26"/>
  <c r="J1183" i="26"/>
  <c r="K1183" i="26" s="1"/>
  <c r="L1183" i="26"/>
  <c r="N1183" i="26"/>
  <c r="P1183" i="26"/>
  <c r="F1184" i="26"/>
  <c r="G1184" i="26" s="1"/>
  <c r="J1184" i="26"/>
  <c r="K1184" i="26" s="1"/>
  <c r="L1184" i="26"/>
  <c r="N1184" i="26"/>
  <c r="P1184" i="26"/>
  <c r="F1185" i="26"/>
  <c r="J1185" i="26"/>
  <c r="K1185" i="26" s="1"/>
  <c r="L1185" i="26"/>
  <c r="N1185" i="26"/>
  <c r="P1185" i="26"/>
  <c r="F1186" i="26"/>
  <c r="J1186" i="26"/>
  <c r="O1186" i="26" s="1"/>
  <c r="L1186" i="26"/>
  <c r="N1186" i="26"/>
  <c r="P1186" i="26"/>
  <c r="F1187" i="26"/>
  <c r="J1187" i="26"/>
  <c r="O1187" i="26" s="1"/>
  <c r="L1187" i="26"/>
  <c r="N1187" i="26"/>
  <c r="P1187" i="26"/>
  <c r="F1188" i="26"/>
  <c r="J1188" i="26"/>
  <c r="L1188" i="26"/>
  <c r="N1188" i="26"/>
  <c r="P1188" i="26"/>
  <c r="F1189" i="26"/>
  <c r="J1189" i="26"/>
  <c r="O1189" i="26" s="1"/>
  <c r="L1189" i="26"/>
  <c r="N1189" i="26"/>
  <c r="P1189" i="26"/>
  <c r="F1190" i="26"/>
  <c r="G1190" i="26" s="1"/>
  <c r="J1190" i="26"/>
  <c r="O1190" i="26" s="1"/>
  <c r="L1190" i="26"/>
  <c r="N1190" i="26"/>
  <c r="P1190" i="26"/>
  <c r="F1191" i="26"/>
  <c r="G1191" i="26" s="1"/>
  <c r="H1191" i="26" s="1"/>
  <c r="J1191" i="26"/>
  <c r="L1191" i="26"/>
  <c r="N1191" i="26"/>
  <c r="P1191" i="26"/>
  <c r="F1192" i="26"/>
  <c r="J1192" i="26"/>
  <c r="O1192" i="26" s="1"/>
  <c r="L1192" i="26"/>
  <c r="N1192" i="26"/>
  <c r="P1192" i="26"/>
  <c r="F1193" i="26"/>
  <c r="J1193" i="26"/>
  <c r="L1193" i="26"/>
  <c r="N1193" i="26"/>
  <c r="P1193" i="26"/>
  <c r="F1194" i="26"/>
  <c r="J1194" i="26"/>
  <c r="K1194" i="26" s="1"/>
  <c r="L1194" i="26"/>
  <c r="N1194" i="26"/>
  <c r="P1194" i="26"/>
  <c r="F1195" i="26"/>
  <c r="G1195" i="26" s="1"/>
  <c r="H1195" i="26" s="1"/>
  <c r="J1195" i="26"/>
  <c r="O1195" i="26" s="1"/>
  <c r="L1195" i="26"/>
  <c r="N1195" i="26"/>
  <c r="P1195" i="26"/>
  <c r="F1196" i="26"/>
  <c r="J1196" i="26"/>
  <c r="K1196" i="26" s="1"/>
  <c r="L1196" i="26"/>
  <c r="N1196" i="26"/>
  <c r="P1196" i="26"/>
  <c r="F1197" i="26"/>
  <c r="J1197" i="26"/>
  <c r="O1197" i="26" s="1"/>
  <c r="F1198" i="26"/>
  <c r="G1198" i="26" s="1"/>
  <c r="H1198" i="26" s="1"/>
  <c r="J1198" i="26"/>
  <c r="K1198" i="26" s="1"/>
  <c r="L1198" i="26"/>
  <c r="N1198" i="26"/>
  <c r="P1198" i="26"/>
  <c r="F1199" i="26"/>
  <c r="J1199" i="26"/>
  <c r="J1200" i="26"/>
  <c r="K1200" i="26" s="1"/>
  <c r="L1200" i="26"/>
  <c r="N1200" i="26"/>
  <c r="P1200" i="26"/>
  <c r="J1201" i="26"/>
  <c r="O1201" i="26" s="1"/>
  <c r="L1201" i="26"/>
  <c r="N1201" i="26"/>
  <c r="P1201" i="26"/>
  <c r="J1202" i="26"/>
  <c r="K1202" i="26" s="1"/>
  <c r="L1202" i="26"/>
  <c r="N1202" i="26"/>
  <c r="P1202" i="26"/>
  <c r="J1203" i="26"/>
  <c r="O1203" i="26" s="1"/>
  <c r="L1203" i="26"/>
  <c r="N1203" i="26"/>
  <c r="P1203" i="26"/>
  <c r="J1204" i="26"/>
  <c r="K1204" i="26" s="1"/>
  <c r="L1204" i="26"/>
  <c r="N1204" i="26"/>
  <c r="P1204" i="26"/>
  <c r="J1205" i="26"/>
  <c r="O1205" i="26" s="1"/>
  <c r="L1205" i="26"/>
  <c r="N1205" i="26"/>
  <c r="P1205" i="26"/>
  <c r="J1206" i="26"/>
  <c r="L1206" i="26"/>
  <c r="N1206" i="26"/>
  <c r="P1206" i="26"/>
  <c r="J1207" i="26"/>
  <c r="O1207" i="26" s="1"/>
  <c r="L1207" i="26"/>
  <c r="N1207" i="26"/>
  <c r="P1207" i="26"/>
  <c r="J1208" i="26"/>
  <c r="K1208" i="26" s="1"/>
  <c r="L1208" i="26"/>
  <c r="N1208" i="26"/>
  <c r="P1208" i="26"/>
  <c r="J1209" i="26"/>
  <c r="O1209" i="26" s="1"/>
  <c r="L1209" i="26"/>
  <c r="N1209" i="26"/>
  <c r="P1209" i="26"/>
  <c r="J1210" i="26"/>
  <c r="F1211" i="26"/>
  <c r="J1211" i="26"/>
  <c r="O1211" i="26" s="1"/>
  <c r="L1211" i="26"/>
  <c r="N1211" i="26"/>
  <c r="P1211" i="26"/>
  <c r="F1212" i="26"/>
  <c r="G1212" i="26" s="1"/>
  <c r="J1212" i="26"/>
  <c r="L1212" i="26"/>
  <c r="N1212" i="26"/>
  <c r="P1212" i="26"/>
  <c r="F1213" i="26"/>
  <c r="J1213" i="26"/>
  <c r="O1213" i="26" s="1"/>
  <c r="L1213" i="26"/>
  <c r="N1213" i="26"/>
  <c r="P1213" i="26"/>
  <c r="F1214" i="26"/>
  <c r="G1214" i="26" s="1"/>
  <c r="J1214" i="26"/>
  <c r="K1214" i="26" s="1"/>
  <c r="L1214" i="26"/>
  <c r="N1214" i="26"/>
  <c r="P1214" i="26"/>
  <c r="F1215" i="26"/>
  <c r="J1215" i="26"/>
  <c r="O1215" i="26" s="1"/>
  <c r="L1215" i="26"/>
  <c r="N1215" i="26"/>
  <c r="P1215" i="26"/>
  <c r="F1216" i="26"/>
  <c r="G1216" i="26" s="1"/>
  <c r="J1216" i="26"/>
  <c r="L1216" i="26"/>
  <c r="N1216" i="26"/>
  <c r="P1216" i="26"/>
  <c r="F1217" i="26"/>
  <c r="J1217" i="26"/>
  <c r="O1217" i="26" s="1"/>
  <c r="L1217" i="26"/>
  <c r="N1217" i="26"/>
  <c r="P1217" i="26"/>
  <c r="F1218" i="26"/>
  <c r="G1218" i="26" s="1"/>
  <c r="J1218" i="26"/>
  <c r="K1218" i="26" s="1"/>
  <c r="L1218" i="26"/>
  <c r="N1218" i="26"/>
  <c r="P1218" i="26"/>
  <c r="F1219" i="26"/>
  <c r="J1219" i="26"/>
  <c r="O1219" i="26" s="1"/>
  <c r="F1220" i="26"/>
  <c r="G1220" i="26" s="1"/>
  <c r="J1220" i="26"/>
  <c r="K1220" i="26" s="1"/>
  <c r="L1220" i="26"/>
  <c r="N1220" i="26"/>
  <c r="P1220" i="26"/>
  <c r="F1221" i="26"/>
  <c r="J1221" i="26"/>
  <c r="O1221" i="26" s="1"/>
  <c r="L1221" i="26"/>
  <c r="N1221" i="26"/>
  <c r="P1221" i="26"/>
  <c r="F1222" i="26"/>
  <c r="G1222" i="26" s="1"/>
  <c r="J1222" i="26"/>
  <c r="L1222" i="26"/>
  <c r="N1222" i="26"/>
  <c r="P1222" i="26"/>
  <c r="F1223" i="26"/>
  <c r="G1223" i="26" s="1"/>
  <c r="J1223" i="26"/>
  <c r="O1223" i="26" s="1"/>
  <c r="L1223" i="26"/>
  <c r="N1223" i="26"/>
  <c r="P1223" i="26"/>
  <c r="F1224" i="26"/>
  <c r="G1224" i="26" s="1"/>
  <c r="H1224" i="26" s="1"/>
  <c r="J1224" i="26"/>
  <c r="K1224" i="26" s="1"/>
  <c r="L1224" i="26"/>
  <c r="N1224" i="26"/>
  <c r="P1224" i="26"/>
  <c r="F1225" i="26"/>
  <c r="G1225" i="26" s="1"/>
  <c r="J1225" i="26"/>
  <c r="L1225" i="26"/>
  <c r="N1225" i="26"/>
  <c r="P1225" i="26"/>
  <c r="F1226" i="26"/>
  <c r="G1226" i="26" s="1"/>
  <c r="J1226" i="26"/>
  <c r="L1226" i="26"/>
  <c r="N1226" i="26"/>
  <c r="P1226" i="26"/>
  <c r="F1227" i="26"/>
  <c r="J1227" i="26"/>
  <c r="L1227" i="26"/>
  <c r="N1227" i="26"/>
  <c r="P1227" i="26"/>
  <c r="F1228" i="26"/>
  <c r="G1228" i="26" s="1"/>
  <c r="H1228" i="26" s="1"/>
  <c r="J1228" i="26"/>
  <c r="L1228" i="26"/>
  <c r="N1228" i="26"/>
  <c r="P1228" i="26"/>
  <c r="F1229" i="26"/>
  <c r="G1229" i="26" s="1"/>
  <c r="J1229" i="26"/>
  <c r="O1229" i="26" s="1"/>
  <c r="L1229" i="26"/>
  <c r="N1229" i="26"/>
  <c r="P1229" i="26"/>
  <c r="F1230" i="26"/>
  <c r="G1230" i="26" s="1"/>
  <c r="J1230" i="26"/>
  <c r="L1230" i="26"/>
  <c r="N1230" i="26"/>
  <c r="P1230" i="26"/>
  <c r="F1231" i="26"/>
  <c r="J1231" i="26"/>
  <c r="L1231" i="26"/>
  <c r="N1231" i="26"/>
  <c r="P1231" i="26"/>
  <c r="F1232" i="26"/>
  <c r="J1232" i="26"/>
  <c r="L1232" i="26"/>
  <c r="N1232" i="26"/>
  <c r="P1232" i="26"/>
  <c r="F1233" i="26"/>
  <c r="J1233" i="26"/>
  <c r="O1233" i="26" s="1"/>
  <c r="L1233" i="26"/>
  <c r="N1233" i="26"/>
  <c r="P1233" i="26"/>
  <c r="F1234" i="26"/>
  <c r="G1234" i="26" s="1"/>
  <c r="J1234" i="26"/>
  <c r="K1234" i="26" s="1"/>
  <c r="F1235" i="26"/>
  <c r="J1235" i="26"/>
  <c r="O1235" i="26" s="1"/>
  <c r="L1235" i="26"/>
  <c r="N1235" i="26"/>
  <c r="P1235" i="26"/>
  <c r="F1236" i="26"/>
  <c r="J1236" i="26"/>
  <c r="F1237" i="26"/>
  <c r="G1237" i="26" s="1"/>
  <c r="J1237" i="26"/>
  <c r="L1237" i="26"/>
  <c r="N1237" i="26"/>
  <c r="P1237" i="26"/>
  <c r="F1238" i="26"/>
  <c r="G1238" i="26" s="1"/>
  <c r="J1238" i="26"/>
  <c r="L1238" i="26"/>
  <c r="N1238" i="26"/>
  <c r="P1238" i="26"/>
  <c r="F1239" i="26"/>
  <c r="J1239" i="26"/>
  <c r="O1239" i="26" s="1"/>
  <c r="L1239" i="26"/>
  <c r="N1239" i="26"/>
  <c r="P1239" i="26"/>
  <c r="F1240" i="26"/>
  <c r="J1240" i="26"/>
  <c r="K1240" i="26" s="1"/>
  <c r="L1240" i="26"/>
  <c r="N1240" i="26"/>
  <c r="P1240" i="26"/>
  <c r="F1241" i="26"/>
  <c r="G1241" i="26" s="1"/>
  <c r="J1241" i="26"/>
  <c r="L1241" i="26"/>
  <c r="N1241" i="26"/>
  <c r="P1241" i="26"/>
  <c r="F1242" i="26"/>
  <c r="G1242" i="26" s="1"/>
  <c r="J1242" i="26"/>
  <c r="L1242" i="26"/>
  <c r="N1242" i="26"/>
  <c r="P1242" i="26"/>
  <c r="F1243" i="26"/>
  <c r="G1243" i="26" s="1"/>
  <c r="J1243" i="26"/>
  <c r="L1243" i="26"/>
  <c r="N1243" i="26"/>
  <c r="P1243" i="26"/>
  <c r="F1244" i="26"/>
  <c r="J1244" i="26"/>
  <c r="K1244" i="26" s="1"/>
  <c r="L1244" i="26"/>
  <c r="N1244" i="26"/>
  <c r="P1244" i="26"/>
  <c r="F1245" i="26"/>
  <c r="G1245" i="26" s="1"/>
  <c r="J1245" i="26"/>
  <c r="O1245" i="26" s="1"/>
  <c r="L1245" i="26"/>
  <c r="N1245" i="26"/>
  <c r="P1245" i="26"/>
  <c r="F1246" i="26"/>
  <c r="J1246" i="26"/>
  <c r="L1246" i="26"/>
  <c r="N1246" i="26"/>
  <c r="P1246" i="26"/>
  <c r="F1247" i="26"/>
  <c r="G1247" i="26" s="1"/>
  <c r="J1247" i="26"/>
  <c r="L1247" i="26"/>
  <c r="N1247" i="26"/>
  <c r="P1247" i="26"/>
  <c r="F1248" i="26"/>
  <c r="J1248" i="26"/>
  <c r="O1248" i="26" s="1"/>
  <c r="F1249" i="26"/>
  <c r="J1249" i="26"/>
  <c r="L1249" i="26"/>
  <c r="N1249" i="26"/>
  <c r="P1249" i="26"/>
  <c r="F1250" i="26"/>
  <c r="G1250" i="26" s="1"/>
  <c r="J1250" i="26"/>
  <c r="K1250" i="26" s="1"/>
  <c r="L1250" i="26"/>
  <c r="N1250" i="26"/>
  <c r="P1250" i="26"/>
  <c r="F1251" i="26"/>
  <c r="J1251" i="26"/>
  <c r="O1251" i="26" s="1"/>
  <c r="L1251" i="26"/>
  <c r="N1251" i="26"/>
  <c r="P1251" i="26"/>
  <c r="F1252" i="26"/>
  <c r="J1252" i="26"/>
  <c r="K1252" i="26" s="1"/>
  <c r="L1252" i="26"/>
  <c r="N1252" i="26"/>
  <c r="P1252" i="26"/>
  <c r="F1253" i="26"/>
  <c r="G1253" i="26" s="1"/>
  <c r="J1253" i="26"/>
  <c r="L1253" i="26"/>
  <c r="N1253" i="26"/>
  <c r="P1253" i="26"/>
  <c r="F1254" i="26"/>
  <c r="J1254" i="26"/>
  <c r="L1254" i="26"/>
  <c r="N1254" i="26"/>
  <c r="P1254" i="26"/>
  <c r="F1255" i="26"/>
  <c r="G1255" i="26" s="1"/>
  <c r="J1255" i="26"/>
  <c r="O1255" i="26" s="1"/>
  <c r="L1255" i="26"/>
  <c r="N1255" i="26"/>
  <c r="P1255" i="26"/>
  <c r="F1256" i="26"/>
  <c r="J1256" i="26"/>
  <c r="K1256" i="26" s="1"/>
  <c r="L1256" i="26"/>
  <c r="N1256" i="26"/>
  <c r="P1256" i="26"/>
  <c r="F1257" i="26"/>
  <c r="G1257" i="26" s="1"/>
  <c r="J1257" i="26"/>
  <c r="L1257" i="26"/>
  <c r="N1257" i="26"/>
  <c r="P1257" i="26"/>
  <c r="F1258" i="26"/>
  <c r="J1258" i="26"/>
  <c r="L1258" i="26"/>
  <c r="N1258" i="26"/>
  <c r="P1258" i="26"/>
  <c r="F1259" i="26"/>
  <c r="G1259" i="26" s="1"/>
  <c r="J1259" i="26"/>
  <c r="O1259" i="26" s="1"/>
  <c r="F1260" i="26"/>
  <c r="G1260" i="26" s="1"/>
  <c r="J1260" i="26"/>
  <c r="L1260" i="26"/>
  <c r="N1260" i="26"/>
  <c r="P1260" i="26"/>
  <c r="F1261" i="26"/>
  <c r="G1261" i="26" s="1"/>
  <c r="J1261" i="26"/>
  <c r="O1261" i="26" s="1"/>
  <c r="L1261" i="26"/>
  <c r="N1261" i="26"/>
  <c r="P1261" i="26"/>
  <c r="F1262" i="26"/>
  <c r="G1262" i="26" s="1"/>
  <c r="J1262" i="26"/>
  <c r="L1262" i="26"/>
  <c r="N1262" i="26"/>
  <c r="P1262" i="26"/>
  <c r="F1263" i="26"/>
  <c r="G1263" i="26" s="1"/>
  <c r="J1263" i="26"/>
  <c r="O1263" i="26" s="1"/>
  <c r="L1263" i="26"/>
  <c r="N1263" i="26"/>
  <c r="P1263" i="26"/>
  <c r="F1264" i="26"/>
  <c r="J1264" i="26"/>
  <c r="L1264" i="26"/>
  <c r="N1264" i="26"/>
  <c r="P1264" i="26"/>
  <c r="F1265" i="26"/>
  <c r="J1265" i="26"/>
  <c r="O1265" i="26" s="1"/>
  <c r="L1265" i="26"/>
  <c r="N1265" i="26"/>
  <c r="P1265" i="26"/>
  <c r="F1266" i="26"/>
  <c r="J1266" i="26"/>
  <c r="L1266" i="26"/>
  <c r="N1266" i="26"/>
  <c r="P1266" i="26"/>
  <c r="F1267" i="26"/>
  <c r="J1267" i="26"/>
  <c r="L1267" i="26"/>
  <c r="N1267" i="26"/>
  <c r="P1267" i="26"/>
  <c r="F1268" i="26"/>
  <c r="J1268" i="26"/>
  <c r="K1268" i="26" s="1"/>
  <c r="L1268" i="26"/>
  <c r="N1268" i="26"/>
  <c r="P1268" i="26"/>
  <c r="F1269" i="26"/>
  <c r="G1269" i="26" s="1"/>
  <c r="J1269" i="26"/>
  <c r="L1269" i="26"/>
  <c r="N1269" i="26"/>
  <c r="P1269" i="26"/>
  <c r="F1270" i="26"/>
  <c r="G1270" i="26" s="1"/>
  <c r="J1270" i="26"/>
  <c r="K1270" i="26" s="1"/>
  <c r="L1270" i="26"/>
  <c r="N1270" i="26"/>
  <c r="P1270" i="26"/>
  <c r="F1271" i="26"/>
  <c r="G1271" i="26" s="1"/>
  <c r="J1271" i="26"/>
  <c r="L1271" i="26"/>
  <c r="N1271" i="26"/>
  <c r="P1271" i="26"/>
  <c r="F1272" i="26"/>
  <c r="J1272" i="26"/>
  <c r="K1272" i="26" s="1"/>
  <c r="L1272" i="26"/>
  <c r="N1272" i="26"/>
  <c r="P1272" i="26"/>
  <c r="F1273" i="26"/>
  <c r="G1273" i="26" s="1"/>
  <c r="J1273" i="26"/>
  <c r="L1273" i="26"/>
  <c r="N1273" i="26"/>
  <c r="P1273" i="26"/>
  <c r="F1274" i="26"/>
  <c r="G1274" i="26" s="1"/>
  <c r="J1274" i="26"/>
  <c r="L1274" i="26"/>
  <c r="N1274" i="26"/>
  <c r="P1274" i="26"/>
  <c r="F1275" i="26"/>
  <c r="J1275" i="26"/>
  <c r="O1275" i="26" s="1"/>
  <c r="F1276" i="26"/>
  <c r="J1276" i="26"/>
  <c r="L1276" i="26"/>
  <c r="N1276" i="26"/>
  <c r="P1276" i="26"/>
  <c r="F1277" i="26"/>
  <c r="J1277" i="26"/>
  <c r="L1277" i="26"/>
  <c r="N1277" i="26"/>
  <c r="P1277" i="26"/>
  <c r="F1278" i="26"/>
  <c r="G1278" i="26" s="1"/>
  <c r="H1278" i="26" s="1"/>
  <c r="J1278" i="26"/>
  <c r="K1278" i="26" s="1"/>
  <c r="L1278" i="26"/>
  <c r="N1278" i="26"/>
  <c r="P1278" i="26"/>
  <c r="F1279" i="26"/>
  <c r="J1279" i="26"/>
  <c r="O1279" i="26" s="1"/>
  <c r="L1279" i="26"/>
  <c r="N1279" i="26"/>
  <c r="P1279" i="26"/>
  <c r="F1280" i="26"/>
  <c r="J1280" i="26"/>
  <c r="L1280" i="26"/>
  <c r="N1280" i="26"/>
  <c r="P1280" i="26"/>
  <c r="F1281" i="26"/>
  <c r="G1281" i="26" s="1"/>
  <c r="H1281" i="26" s="1"/>
  <c r="J1281" i="26"/>
  <c r="O1281" i="26" s="1"/>
  <c r="L1281" i="26"/>
  <c r="N1281" i="26"/>
  <c r="P1281" i="26"/>
  <c r="F1282" i="26"/>
  <c r="J1282" i="26"/>
  <c r="O1282" i="26" s="1"/>
  <c r="L1282" i="26"/>
  <c r="N1282" i="26"/>
  <c r="P1282" i="26"/>
  <c r="F1283" i="26"/>
  <c r="J1283" i="26"/>
  <c r="K1283" i="26" s="1"/>
  <c r="L1283" i="26"/>
  <c r="N1283" i="26"/>
  <c r="P1283" i="26"/>
  <c r="F1284" i="26"/>
  <c r="J1284" i="26"/>
  <c r="O1284" i="26" s="1"/>
  <c r="L1284" i="26"/>
  <c r="N1284" i="26"/>
  <c r="P1284" i="26"/>
  <c r="F1285" i="26"/>
  <c r="G1285" i="26" s="1"/>
  <c r="H1285" i="26" s="1"/>
  <c r="J1285" i="26"/>
  <c r="O1285" i="26" s="1"/>
  <c r="L1285" i="26"/>
  <c r="N1285" i="26"/>
  <c r="P1285" i="26"/>
  <c r="F1286" i="26"/>
  <c r="J1286" i="26"/>
  <c r="L1286" i="26"/>
  <c r="N1286" i="26"/>
  <c r="P1286" i="26"/>
  <c r="F1287" i="26"/>
  <c r="G1287" i="26" s="1"/>
  <c r="H1287" i="26" s="1"/>
  <c r="J1287" i="26"/>
  <c r="K1287" i="26" s="1"/>
  <c r="L1287" i="26"/>
  <c r="N1287" i="26"/>
  <c r="P1287" i="26"/>
  <c r="F1288" i="26"/>
  <c r="J1288" i="26"/>
  <c r="O1288" i="26" s="1"/>
  <c r="F1289" i="26"/>
  <c r="J1289" i="26"/>
  <c r="K1289" i="26" s="1"/>
  <c r="L1289" i="26"/>
  <c r="N1289" i="26"/>
  <c r="P1289" i="26"/>
  <c r="F1290" i="26"/>
  <c r="J1290" i="26"/>
  <c r="O1290" i="26" s="1"/>
  <c r="L1290" i="26"/>
  <c r="N1290" i="26"/>
  <c r="P1290" i="26"/>
  <c r="F1291" i="26"/>
  <c r="G1291" i="26" s="1"/>
  <c r="J1291" i="26"/>
  <c r="K1291" i="26" s="1"/>
  <c r="L1291" i="26"/>
  <c r="N1291" i="26"/>
  <c r="P1291" i="26"/>
  <c r="F1292" i="26"/>
  <c r="J1292" i="26"/>
  <c r="O1292" i="26" s="1"/>
  <c r="L1292" i="26"/>
  <c r="N1292" i="26"/>
  <c r="P1292" i="26"/>
  <c r="F1293" i="26"/>
  <c r="J1293" i="26"/>
  <c r="K1293" i="26" s="1"/>
  <c r="L1293" i="26"/>
  <c r="N1293" i="26"/>
  <c r="P1293" i="26"/>
  <c r="F1294" i="26"/>
  <c r="J1294" i="26"/>
  <c r="O1294" i="26" s="1"/>
  <c r="L1294" i="26"/>
  <c r="N1294" i="26"/>
  <c r="P1294" i="26"/>
  <c r="F1295" i="26"/>
  <c r="J1295" i="26"/>
  <c r="K1295" i="26" s="1"/>
  <c r="L1295" i="26"/>
  <c r="N1295" i="26"/>
  <c r="P1295" i="26"/>
  <c r="F1296" i="26"/>
  <c r="J1296" i="26"/>
  <c r="O1296" i="26" s="1"/>
  <c r="L1296" i="26"/>
  <c r="N1296" i="26"/>
  <c r="P1296" i="26"/>
  <c r="F1297" i="26"/>
  <c r="G1297" i="26" s="1"/>
  <c r="H1297" i="26" s="1"/>
  <c r="J1297" i="26"/>
  <c r="K1297" i="26" s="1"/>
  <c r="L1297" i="26"/>
  <c r="N1297" i="26"/>
  <c r="P1297" i="26"/>
  <c r="F1298" i="26"/>
  <c r="J1298" i="26"/>
  <c r="L1298" i="26"/>
  <c r="N1298" i="26"/>
  <c r="P1298" i="26"/>
  <c r="F1299" i="26"/>
  <c r="J1299" i="26"/>
  <c r="F1300" i="26"/>
  <c r="J1300" i="26"/>
  <c r="O1300" i="26" s="1"/>
  <c r="L1300" i="26"/>
  <c r="N1300" i="26"/>
  <c r="P1300" i="26"/>
  <c r="F1301" i="26"/>
  <c r="G1301" i="26" s="1"/>
  <c r="H1301" i="26" s="1"/>
  <c r="J1301" i="26"/>
  <c r="K1301" i="26" s="1"/>
  <c r="L1301" i="26"/>
  <c r="N1301" i="26"/>
  <c r="P1301" i="26"/>
  <c r="F1302" i="26"/>
  <c r="J1302" i="26"/>
  <c r="L1302" i="26"/>
  <c r="N1302" i="26"/>
  <c r="P1302" i="26"/>
  <c r="F1303" i="26"/>
  <c r="G1303" i="26" s="1"/>
  <c r="J1303" i="26"/>
  <c r="K1303" i="26" s="1"/>
  <c r="L1303" i="26"/>
  <c r="N1303" i="26"/>
  <c r="P1303" i="26"/>
  <c r="F1304" i="26"/>
  <c r="J1304" i="26"/>
  <c r="L1304" i="26"/>
  <c r="N1304" i="26"/>
  <c r="P1304" i="26"/>
  <c r="F1305" i="26"/>
  <c r="G1305" i="26" s="1"/>
  <c r="J1305" i="26"/>
  <c r="L1305" i="26"/>
  <c r="N1305" i="26"/>
  <c r="P1305" i="26"/>
  <c r="F1306" i="26"/>
  <c r="G1306" i="26" s="1"/>
  <c r="J1306" i="26"/>
  <c r="O1306" i="26" s="1"/>
  <c r="L1306" i="26"/>
  <c r="N1306" i="26"/>
  <c r="P1306" i="26"/>
  <c r="F1307" i="26"/>
  <c r="G1307" i="26" s="1"/>
  <c r="J1307" i="26"/>
  <c r="K1307" i="26" s="1"/>
  <c r="L1307" i="26"/>
  <c r="N1307" i="26"/>
  <c r="P1307" i="26"/>
  <c r="F1308" i="26"/>
  <c r="J1308" i="26"/>
  <c r="L1308" i="26"/>
  <c r="N1308" i="26"/>
  <c r="P1308" i="26"/>
  <c r="F1309" i="26"/>
  <c r="G1309" i="26" s="1"/>
  <c r="H1309" i="26" s="1"/>
  <c r="J1309" i="26"/>
  <c r="K1309" i="26" s="1"/>
  <c r="L1309" i="26"/>
  <c r="N1309" i="26"/>
  <c r="P1309" i="26"/>
  <c r="F1310" i="26"/>
  <c r="J1310" i="26"/>
  <c r="O1310" i="26" s="1"/>
  <c r="L1310" i="26"/>
  <c r="N1310" i="26"/>
  <c r="P1310" i="26"/>
  <c r="F1311" i="26"/>
  <c r="J1311" i="26"/>
  <c r="L1311" i="26"/>
  <c r="N1311" i="26"/>
  <c r="P1311" i="26"/>
  <c r="F1312" i="26"/>
  <c r="G1312" i="26" s="1"/>
  <c r="J1312" i="26"/>
  <c r="L1312" i="26"/>
  <c r="N1312" i="26"/>
  <c r="P1312" i="26"/>
  <c r="F1313" i="26"/>
  <c r="J1313" i="26"/>
  <c r="K1313" i="26" s="1"/>
  <c r="L1313" i="26"/>
  <c r="N1313" i="26"/>
  <c r="P1313" i="26"/>
  <c r="F1314" i="26"/>
  <c r="G1314" i="26" s="1"/>
  <c r="J1314" i="26"/>
  <c r="O1314" i="26" s="1"/>
  <c r="F1315" i="26"/>
  <c r="J1315" i="26"/>
  <c r="L1315" i="26"/>
  <c r="N1315" i="26"/>
  <c r="P1315" i="26"/>
  <c r="F1316" i="26"/>
  <c r="G1316" i="26" s="1"/>
  <c r="J1316" i="26"/>
  <c r="O1316" i="26" s="1"/>
  <c r="L1316" i="26"/>
  <c r="N1316" i="26"/>
  <c r="P1316" i="26"/>
  <c r="F1317" i="26"/>
  <c r="J1317" i="26"/>
  <c r="L1317" i="26"/>
  <c r="N1317" i="26"/>
  <c r="P1317" i="26"/>
  <c r="F1318" i="26"/>
  <c r="J1318" i="26"/>
  <c r="O1318" i="26" s="1"/>
  <c r="L1318" i="26"/>
  <c r="N1318" i="26"/>
  <c r="P1318" i="26"/>
  <c r="F1319" i="26"/>
  <c r="J1319" i="26"/>
  <c r="K1319" i="26" s="1"/>
  <c r="L1319" i="26"/>
  <c r="N1319" i="26"/>
  <c r="P1319" i="26"/>
  <c r="F1320" i="26"/>
  <c r="J1320" i="26"/>
  <c r="L1320" i="26"/>
  <c r="N1320" i="26"/>
  <c r="P1320" i="26"/>
  <c r="F1321" i="26"/>
  <c r="G1321" i="26" s="1"/>
  <c r="H1321" i="26" s="1"/>
  <c r="J1321" i="26"/>
  <c r="O1321" i="26" s="1"/>
  <c r="L1321" i="26"/>
  <c r="N1321" i="26"/>
  <c r="P1321" i="26"/>
  <c r="F1322" i="26"/>
  <c r="J1322" i="26"/>
  <c r="L1322" i="26"/>
  <c r="N1322" i="26"/>
  <c r="P1322" i="26"/>
  <c r="F1323" i="26"/>
  <c r="G1323" i="26" s="1"/>
  <c r="J1323" i="26"/>
  <c r="K1323" i="26" s="1"/>
  <c r="L1323" i="26"/>
  <c r="N1323" i="26"/>
  <c r="P1323" i="26"/>
  <c r="F1324" i="26"/>
  <c r="J1324" i="26"/>
  <c r="O1324" i="26" s="1"/>
  <c r="L1324" i="26"/>
  <c r="N1324" i="26"/>
  <c r="P1324" i="26"/>
  <c r="F1325" i="26"/>
  <c r="G1325" i="26" s="1"/>
  <c r="H1325" i="26" s="1"/>
  <c r="J1325" i="26"/>
  <c r="K1325" i="26" s="1"/>
  <c r="L1325" i="26"/>
  <c r="N1325" i="26"/>
  <c r="P1325" i="26"/>
  <c r="F1326" i="26"/>
  <c r="J1326" i="26"/>
  <c r="L1326" i="26"/>
  <c r="N1326" i="26"/>
  <c r="P1326" i="26"/>
  <c r="F1327" i="26"/>
  <c r="J1327" i="26"/>
  <c r="O1327" i="26" s="1"/>
  <c r="L1327" i="26"/>
  <c r="N1327" i="26"/>
  <c r="P1327" i="26"/>
  <c r="F1328" i="26"/>
  <c r="J1328" i="26"/>
  <c r="O1328" i="26" s="1"/>
  <c r="L1328" i="26"/>
  <c r="N1328" i="26"/>
  <c r="P1328" i="26"/>
  <c r="F1329" i="26"/>
  <c r="G1329" i="26" s="1"/>
  <c r="H1329" i="26" s="1"/>
  <c r="J1329" i="26"/>
  <c r="K1329" i="26" s="1"/>
  <c r="L1329" i="26"/>
  <c r="N1329" i="26"/>
  <c r="P1329" i="26"/>
  <c r="F1330" i="26"/>
  <c r="J1330" i="26"/>
  <c r="O1330" i="26" s="1"/>
  <c r="L1330" i="26"/>
  <c r="N1330" i="26"/>
  <c r="P1330" i="26"/>
  <c r="F1331" i="26"/>
  <c r="G1331" i="26" s="1"/>
  <c r="J1331" i="26"/>
  <c r="O1331" i="26" s="1"/>
  <c r="L1331" i="26"/>
  <c r="N1331" i="26"/>
  <c r="P1331" i="26"/>
  <c r="F1332" i="26"/>
  <c r="J1332" i="26"/>
  <c r="O1332" i="26" s="1"/>
  <c r="L1332" i="26"/>
  <c r="N1332" i="26"/>
  <c r="P1332" i="26"/>
  <c r="F1333" i="26"/>
  <c r="J1333" i="26"/>
  <c r="O1333" i="26" s="1"/>
  <c r="F1334" i="26"/>
  <c r="J1334" i="26"/>
  <c r="L1334" i="26"/>
  <c r="N1334" i="26"/>
  <c r="P1334" i="26"/>
  <c r="F1335" i="26"/>
  <c r="G1335" i="26" s="1"/>
  <c r="J1335" i="26"/>
  <c r="K1335" i="26" s="1"/>
  <c r="L1335" i="26"/>
  <c r="N1335" i="26"/>
  <c r="P1335" i="26"/>
  <c r="F1336" i="26"/>
  <c r="J1336" i="26"/>
  <c r="O1336" i="26" s="1"/>
  <c r="L1336" i="26"/>
  <c r="N1336" i="26"/>
  <c r="P1336" i="26"/>
  <c r="F1337" i="26"/>
  <c r="G1337" i="26" s="1"/>
  <c r="J1337" i="26"/>
  <c r="K1337" i="26" s="1"/>
  <c r="L1337" i="26"/>
  <c r="N1337" i="26"/>
  <c r="P1337" i="26"/>
  <c r="F1338" i="26"/>
  <c r="J1338" i="26"/>
  <c r="O1338" i="26" s="1"/>
  <c r="L1338" i="26"/>
  <c r="N1338" i="26"/>
  <c r="P1338" i="26"/>
  <c r="F1339" i="26"/>
  <c r="G1339" i="26" s="1"/>
  <c r="J1339" i="26"/>
  <c r="O1339" i="26" s="1"/>
  <c r="L1339" i="26"/>
  <c r="N1339" i="26"/>
  <c r="P1339" i="26"/>
  <c r="F1340" i="26"/>
  <c r="J1340" i="26"/>
  <c r="O1340" i="26" s="1"/>
  <c r="L1340" i="26"/>
  <c r="N1340" i="26"/>
  <c r="P1340" i="26"/>
  <c r="F1341" i="26"/>
  <c r="G1341" i="26" s="1"/>
  <c r="J1341" i="26"/>
  <c r="K1341" i="26" s="1"/>
  <c r="L1341" i="26"/>
  <c r="N1341" i="26"/>
  <c r="P1341" i="26"/>
  <c r="F1342" i="26"/>
  <c r="J1342" i="26"/>
  <c r="O1342" i="26" s="1"/>
  <c r="L1342" i="26"/>
  <c r="N1342" i="26"/>
  <c r="P1342" i="26"/>
  <c r="F1343" i="26"/>
  <c r="G1343" i="26" s="1"/>
  <c r="J1343" i="26"/>
  <c r="L1343" i="26"/>
  <c r="N1343" i="26"/>
  <c r="P1343" i="26"/>
  <c r="F1344" i="26"/>
  <c r="J1344" i="26"/>
  <c r="O1344" i="26" s="1"/>
  <c r="L1344" i="26"/>
  <c r="N1344" i="26"/>
  <c r="P1344" i="26"/>
  <c r="F1345" i="26"/>
  <c r="J1345" i="26"/>
  <c r="O1345" i="26" s="1"/>
  <c r="L1345" i="26"/>
  <c r="N1345" i="26"/>
  <c r="P1345" i="26"/>
  <c r="F1346" i="26"/>
  <c r="J1346" i="26"/>
  <c r="O1346" i="26" s="1"/>
  <c r="L1346" i="26"/>
  <c r="N1346" i="26"/>
  <c r="P1346" i="26"/>
  <c r="F1347" i="26"/>
  <c r="J1347" i="26"/>
  <c r="O1347" i="26" s="1"/>
  <c r="L1347" i="26"/>
  <c r="N1347" i="26"/>
  <c r="P1347" i="26"/>
  <c r="F1348" i="26"/>
  <c r="J1348" i="26"/>
  <c r="L1348" i="26"/>
  <c r="N1348" i="26"/>
  <c r="P1348" i="26"/>
  <c r="F1349" i="26"/>
  <c r="J1349" i="26"/>
  <c r="K1349" i="26" s="1"/>
  <c r="L1349" i="26"/>
  <c r="N1349" i="26"/>
  <c r="P1349" i="26"/>
  <c r="F1350" i="26"/>
  <c r="J1350" i="26"/>
  <c r="O1350" i="26" s="1"/>
  <c r="L1350" i="26"/>
  <c r="N1350" i="26"/>
  <c r="P1350" i="26"/>
  <c r="F1351" i="26"/>
  <c r="J1351" i="26"/>
  <c r="K1351" i="26" s="1"/>
  <c r="L1351" i="26"/>
  <c r="N1351" i="26"/>
  <c r="P1351" i="26"/>
  <c r="F1352" i="26"/>
  <c r="J1352" i="26"/>
  <c r="O1352" i="26" s="1"/>
  <c r="L1352" i="26"/>
  <c r="N1352" i="26"/>
  <c r="P1352" i="26"/>
  <c r="F1353" i="26"/>
  <c r="G1353" i="26" s="1"/>
  <c r="J1353" i="26"/>
  <c r="K1353" i="26" s="1"/>
  <c r="L1353" i="26"/>
  <c r="N1353" i="26"/>
  <c r="P1353" i="26"/>
  <c r="F1354" i="26"/>
  <c r="J1354" i="26"/>
  <c r="O1354" i="26" s="1"/>
  <c r="L1354" i="26"/>
  <c r="N1354" i="26"/>
  <c r="P1354" i="26"/>
  <c r="F1355" i="26"/>
  <c r="G1355" i="26" s="1"/>
  <c r="J1355" i="26"/>
  <c r="O1355" i="26" s="1"/>
  <c r="L1355" i="26"/>
  <c r="N1355" i="26"/>
  <c r="P1355" i="26"/>
  <c r="F1356" i="26"/>
  <c r="J1356" i="26"/>
  <c r="O1356" i="26" s="1"/>
  <c r="F1357" i="26"/>
  <c r="J1357" i="26"/>
  <c r="O1357" i="26" s="1"/>
  <c r="L1357" i="26"/>
  <c r="N1357" i="26"/>
  <c r="P1357" i="26"/>
  <c r="F1358" i="26"/>
  <c r="J1358" i="26"/>
  <c r="O1358" i="26" s="1"/>
  <c r="L1358" i="26"/>
  <c r="N1358" i="26"/>
  <c r="P1358" i="26"/>
  <c r="F1359" i="26"/>
  <c r="G1359" i="26" s="1"/>
  <c r="J1359" i="26"/>
  <c r="O1359" i="26" s="1"/>
  <c r="L1359" i="26"/>
  <c r="N1359" i="26"/>
  <c r="P1359" i="26"/>
  <c r="F1360" i="26"/>
  <c r="J1360" i="26"/>
  <c r="O1360" i="26" s="1"/>
  <c r="L1360" i="26"/>
  <c r="N1360" i="26"/>
  <c r="P1360" i="26"/>
  <c r="F1361" i="26"/>
  <c r="J1361" i="26"/>
  <c r="O1361" i="26" s="1"/>
  <c r="L1361" i="26"/>
  <c r="N1361" i="26"/>
  <c r="P1361" i="26"/>
  <c r="F1362" i="26"/>
  <c r="J1362" i="26"/>
  <c r="L1362" i="26"/>
  <c r="N1362" i="26"/>
  <c r="P1362" i="26"/>
  <c r="F1363" i="26"/>
  <c r="G1363" i="26" s="1"/>
  <c r="J1363" i="26"/>
  <c r="K1363" i="26" s="1"/>
  <c r="L1363" i="26"/>
  <c r="N1363" i="26"/>
  <c r="P1363" i="26"/>
  <c r="F1364" i="26"/>
  <c r="J1364" i="26"/>
  <c r="O1364" i="26" s="1"/>
  <c r="L1364" i="26"/>
  <c r="N1364" i="26"/>
  <c r="P1364" i="26"/>
  <c r="F1365" i="26"/>
  <c r="G1365" i="26" s="1"/>
  <c r="J1365" i="26"/>
  <c r="L1365" i="26"/>
  <c r="N1365" i="26"/>
  <c r="P1365" i="26"/>
  <c r="F1366" i="26"/>
  <c r="J1366" i="26"/>
  <c r="O1366" i="26" s="1"/>
  <c r="L1366" i="26"/>
  <c r="N1366" i="26"/>
  <c r="P1366" i="26"/>
  <c r="F1367" i="26"/>
  <c r="J1367" i="26"/>
  <c r="K1367" i="26" s="1"/>
  <c r="L1367" i="26"/>
  <c r="N1367" i="26"/>
  <c r="P1367" i="26"/>
  <c r="F1368" i="26"/>
  <c r="J1368" i="26"/>
  <c r="O1368" i="26" s="1"/>
  <c r="L1368" i="26"/>
  <c r="N1368" i="26"/>
  <c r="P1368" i="26"/>
  <c r="F1369" i="26"/>
  <c r="G1369" i="26" s="1"/>
  <c r="J1369" i="26"/>
  <c r="O1369" i="26" s="1"/>
  <c r="L1369" i="26"/>
  <c r="N1369" i="26"/>
  <c r="P1369" i="26"/>
  <c r="F1370" i="26"/>
  <c r="J1370" i="26"/>
  <c r="O1370" i="26" s="1"/>
  <c r="L1370" i="26"/>
  <c r="N1370" i="26"/>
  <c r="P1370" i="26"/>
  <c r="F1371" i="26"/>
  <c r="G1371" i="26" s="1"/>
  <c r="H1371" i="26" s="1"/>
  <c r="J1371" i="26"/>
  <c r="L1371" i="26"/>
  <c r="N1371" i="26"/>
  <c r="P1371" i="26"/>
  <c r="F1372" i="26"/>
  <c r="J1372" i="26"/>
  <c r="O1372" i="26" s="1"/>
  <c r="L1372" i="26"/>
  <c r="N1372" i="26"/>
  <c r="P1372" i="26"/>
  <c r="F1373" i="26"/>
  <c r="G1373" i="26" s="1"/>
  <c r="J1373" i="26"/>
  <c r="O1373" i="26" s="1"/>
  <c r="L1373" i="26"/>
  <c r="N1373" i="26"/>
  <c r="P1373" i="26"/>
  <c r="F1374" i="26"/>
  <c r="J1374" i="26"/>
  <c r="O1374" i="26" s="1"/>
  <c r="L1374" i="26"/>
  <c r="N1374" i="26"/>
  <c r="P1374" i="26"/>
  <c r="F1375" i="26"/>
  <c r="J1375" i="26"/>
  <c r="K1375" i="26" s="1"/>
  <c r="L1375" i="26"/>
  <c r="N1375" i="26"/>
  <c r="P1375" i="26"/>
  <c r="F1376" i="26"/>
  <c r="J1376" i="26"/>
  <c r="L1376" i="26"/>
  <c r="N1376" i="26"/>
  <c r="P1376" i="26"/>
  <c r="F1377" i="26"/>
  <c r="G1377" i="26" s="1"/>
  <c r="H1377" i="26" s="1"/>
  <c r="J1377" i="26"/>
  <c r="K1377" i="26" s="1"/>
  <c r="L1377" i="26"/>
  <c r="N1377" i="26"/>
  <c r="P1377" i="26"/>
  <c r="F1378" i="26"/>
  <c r="J1378" i="26"/>
  <c r="O1378" i="26" s="1"/>
  <c r="L1378" i="26"/>
  <c r="N1378" i="26"/>
  <c r="P1378" i="26"/>
  <c r="F1379" i="26"/>
  <c r="J1379" i="26"/>
  <c r="O1379" i="26" s="1"/>
  <c r="L1379" i="26"/>
  <c r="N1379" i="26"/>
  <c r="P1379" i="26"/>
  <c r="F1380" i="26"/>
  <c r="J1380" i="26"/>
  <c r="O1380" i="26" s="1"/>
  <c r="L1380" i="26"/>
  <c r="N1380" i="26"/>
  <c r="P1380" i="26"/>
  <c r="F1381" i="26"/>
  <c r="J1381" i="26"/>
  <c r="K1381" i="26" s="1"/>
  <c r="L1381" i="26"/>
  <c r="N1381" i="26"/>
  <c r="P1381" i="26"/>
  <c r="F1382" i="26"/>
  <c r="J1382" i="26"/>
  <c r="O1382" i="26" s="1"/>
  <c r="L1382" i="26"/>
  <c r="N1382" i="26"/>
  <c r="P1382" i="26"/>
  <c r="F1383" i="26"/>
  <c r="G1383" i="26" s="1"/>
  <c r="J1383" i="26"/>
  <c r="O1383" i="26" s="1"/>
  <c r="L1383" i="26"/>
  <c r="N1383" i="26"/>
  <c r="P1383" i="26"/>
  <c r="F1384" i="26"/>
  <c r="J1384" i="26"/>
  <c r="O1384" i="26" s="1"/>
  <c r="L1384" i="26"/>
  <c r="N1384" i="26"/>
  <c r="P1384" i="26"/>
  <c r="F1385" i="26"/>
  <c r="J1385" i="26"/>
  <c r="O1385" i="26" s="1"/>
  <c r="L1385" i="26"/>
  <c r="N1385" i="26"/>
  <c r="P1385" i="26"/>
  <c r="F1386" i="26"/>
  <c r="J1386" i="26"/>
  <c r="L1386" i="26"/>
  <c r="N1386" i="26"/>
  <c r="P1386" i="26"/>
  <c r="F1387" i="26"/>
  <c r="G1387" i="26" s="1"/>
  <c r="H1387" i="26" s="1"/>
  <c r="J1387" i="26"/>
  <c r="O1387" i="26" s="1"/>
  <c r="L1387" i="26"/>
  <c r="N1387" i="26"/>
  <c r="P1387" i="26"/>
  <c r="F1388" i="26"/>
  <c r="J1388" i="26"/>
  <c r="O1388" i="26" s="1"/>
  <c r="L1388" i="26"/>
  <c r="N1388" i="26"/>
  <c r="P1388" i="26"/>
  <c r="F1389" i="26"/>
  <c r="J1389" i="26"/>
  <c r="K1389" i="26" s="1"/>
  <c r="L1389" i="26"/>
  <c r="N1389" i="26"/>
  <c r="P1389" i="26"/>
  <c r="F1390" i="26"/>
  <c r="J1390" i="26"/>
  <c r="O1390" i="26" s="1"/>
  <c r="L1390" i="26"/>
  <c r="N1390" i="26"/>
  <c r="P1390" i="26"/>
  <c r="F1391" i="26"/>
  <c r="J1391" i="26"/>
  <c r="K1391" i="26" s="1"/>
  <c r="L1391" i="26"/>
  <c r="N1391" i="26"/>
  <c r="P1391" i="26"/>
  <c r="F1392" i="26"/>
  <c r="J1392" i="26"/>
  <c r="L1392" i="26"/>
  <c r="N1392" i="26"/>
  <c r="P1392" i="26"/>
  <c r="F1393" i="26"/>
  <c r="J1393" i="26"/>
  <c r="K1393" i="26" s="1"/>
  <c r="L1393" i="26"/>
  <c r="N1393" i="26"/>
  <c r="P1393" i="26"/>
  <c r="F1394" i="26"/>
  <c r="J1394" i="26"/>
  <c r="O1394" i="26" s="1"/>
  <c r="L1394" i="26"/>
  <c r="N1394" i="26"/>
  <c r="P1394" i="26"/>
  <c r="F1395" i="26"/>
  <c r="J1395" i="26"/>
  <c r="L1395" i="26"/>
  <c r="N1395" i="26"/>
  <c r="P1395" i="26"/>
  <c r="F1396" i="26"/>
  <c r="J1396" i="26"/>
  <c r="O1396" i="26" s="1"/>
  <c r="F1397" i="26"/>
  <c r="J1397" i="26"/>
  <c r="K1397" i="26" s="1"/>
  <c r="L1397" i="26"/>
  <c r="N1397" i="26"/>
  <c r="P1397" i="26"/>
  <c r="F1398" i="26"/>
  <c r="J1398" i="26"/>
  <c r="O1398" i="26" s="1"/>
  <c r="L1398" i="26"/>
  <c r="N1398" i="26"/>
  <c r="P1398" i="26"/>
  <c r="F1399" i="26"/>
  <c r="J1399" i="26"/>
  <c r="K1399" i="26" s="1"/>
  <c r="L1399" i="26"/>
  <c r="N1399" i="26"/>
  <c r="P1399" i="26"/>
  <c r="F1400" i="26"/>
  <c r="J1400" i="26"/>
  <c r="L1400" i="26"/>
  <c r="N1400" i="26"/>
  <c r="P1400" i="26"/>
  <c r="F1401" i="26"/>
  <c r="G1401" i="26" s="1"/>
  <c r="H1401" i="26" s="1"/>
  <c r="J1401" i="26"/>
  <c r="K1401" i="26" s="1"/>
  <c r="L1401" i="26"/>
  <c r="N1401" i="26"/>
  <c r="P1401" i="26"/>
  <c r="F1402" i="26"/>
  <c r="G1402" i="26" s="1"/>
  <c r="J1402" i="26"/>
  <c r="O1402" i="26" s="1"/>
  <c r="L1402" i="26"/>
  <c r="N1402" i="26"/>
  <c r="P1402" i="26"/>
  <c r="F1403" i="26"/>
  <c r="J1403" i="26"/>
  <c r="L1403" i="26"/>
  <c r="N1403" i="26"/>
  <c r="P1403" i="26"/>
  <c r="F1404" i="26"/>
  <c r="G1404" i="26" s="1"/>
  <c r="J1404" i="26"/>
  <c r="O1404" i="26" s="1"/>
  <c r="L1404" i="26"/>
  <c r="N1404" i="26"/>
  <c r="P1404" i="26"/>
  <c r="F1405" i="26"/>
  <c r="J1405" i="26"/>
  <c r="K1405" i="26" s="1"/>
  <c r="L1405" i="26"/>
  <c r="N1405" i="26"/>
  <c r="P1405" i="26"/>
  <c r="F1406" i="26"/>
  <c r="J1406" i="26"/>
  <c r="L1406" i="26"/>
  <c r="N1406" i="26"/>
  <c r="P1406" i="26"/>
  <c r="F1407" i="26"/>
  <c r="J1407" i="26"/>
  <c r="K1407" i="26" s="1"/>
  <c r="L1407" i="26"/>
  <c r="N1407" i="26"/>
  <c r="P1407" i="26"/>
  <c r="F1408" i="26"/>
  <c r="J1408" i="26"/>
  <c r="O1408" i="26" s="1"/>
  <c r="L1408" i="26"/>
  <c r="N1408" i="26"/>
  <c r="P1408" i="26"/>
  <c r="F1409" i="26"/>
  <c r="J1409" i="26"/>
  <c r="K1409" i="26" s="1"/>
  <c r="L1409" i="26"/>
  <c r="N1409" i="26"/>
  <c r="P1409" i="26"/>
  <c r="F1410" i="26"/>
  <c r="J1410" i="26"/>
  <c r="O1410" i="26" s="1"/>
  <c r="F1411" i="26"/>
  <c r="J1411" i="26"/>
  <c r="K1411" i="26" s="1"/>
  <c r="L1411" i="26"/>
  <c r="N1411" i="26"/>
  <c r="P1411" i="26"/>
  <c r="F1412" i="26"/>
  <c r="J1412" i="26"/>
  <c r="O1412" i="26" s="1"/>
  <c r="L1412" i="26"/>
  <c r="N1412" i="26"/>
  <c r="P1412" i="26"/>
  <c r="F1413" i="26"/>
  <c r="G1413" i="26" s="1"/>
  <c r="J1413" i="26"/>
  <c r="K1413" i="26" s="1"/>
  <c r="L1413" i="26"/>
  <c r="N1413" i="26"/>
  <c r="P1413" i="26"/>
  <c r="F1414" i="26"/>
  <c r="G1414" i="26" s="1"/>
  <c r="J1414" i="26"/>
  <c r="L1414" i="26"/>
  <c r="N1414" i="26"/>
  <c r="P1414" i="26"/>
  <c r="F1415" i="26"/>
  <c r="J1415" i="26"/>
  <c r="K1415" i="26" s="1"/>
  <c r="L1415" i="26"/>
  <c r="N1415" i="26"/>
  <c r="P1415" i="26"/>
  <c r="F1416" i="26"/>
  <c r="J1416" i="26"/>
  <c r="L1416" i="26"/>
  <c r="N1416" i="26"/>
  <c r="P1416" i="26"/>
  <c r="F1417" i="26"/>
  <c r="J1417" i="26"/>
  <c r="L1417" i="26"/>
  <c r="N1417" i="26"/>
  <c r="P1417" i="26"/>
  <c r="F1418" i="26"/>
  <c r="J1418" i="26"/>
  <c r="O1418" i="26" s="1"/>
  <c r="L1418" i="26"/>
  <c r="N1418" i="26"/>
  <c r="P1418" i="26"/>
  <c r="F1419" i="26"/>
  <c r="J1419" i="26"/>
  <c r="L1419" i="26"/>
  <c r="N1419" i="26"/>
  <c r="P1419" i="26"/>
  <c r="F1420" i="26"/>
  <c r="J1420" i="26"/>
  <c r="K1420" i="26" s="1"/>
  <c r="L1420" i="26"/>
  <c r="N1420" i="26"/>
  <c r="P1420" i="26"/>
  <c r="F1421" i="26"/>
  <c r="G1421" i="26" s="1"/>
  <c r="J1421" i="26"/>
  <c r="K1421" i="26" s="1"/>
  <c r="L1421" i="26"/>
  <c r="N1421" i="26"/>
  <c r="P1421" i="26"/>
  <c r="F1422" i="26"/>
  <c r="J1422" i="26"/>
  <c r="K1422" i="26" s="1"/>
  <c r="L1422" i="26"/>
  <c r="N1422" i="26"/>
  <c r="P1422" i="26"/>
  <c r="F1423" i="26"/>
  <c r="J1423" i="26"/>
  <c r="O1423" i="26" s="1"/>
  <c r="L1423" i="26"/>
  <c r="N1423" i="26"/>
  <c r="P1423" i="26"/>
  <c r="F1424" i="26"/>
  <c r="J1424" i="26"/>
  <c r="F1425" i="26"/>
  <c r="J1425" i="26"/>
  <c r="O1425" i="26" s="1"/>
  <c r="L1425" i="26"/>
  <c r="N1425" i="26"/>
  <c r="P1425" i="26"/>
  <c r="F1426" i="26"/>
  <c r="J1426" i="26"/>
  <c r="K1426" i="26" s="1"/>
  <c r="L1426" i="26"/>
  <c r="N1426" i="26"/>
  <c r="P1426" i="26"/>
  <c r="F1427" i="26"/>
  <c r="J1427" i="26"/>
  <c r="K1427" i="26" s="1"/>
  <c r="L1427" i="26"/>
  <c r="N1427" i="26"/>
  <c r="P1427" i="26"/>
  <c r="F1428" i="26"/>
  <c r="G1428" i="26" s="1"/>
  <c r="H1428" i="26" s="1"/>
  <c r="J1428" i="26"/>
  <c r="K1428" i="26" s="1"/>
  <c r="L1428" i="26"/>
  <c r="N1428" i="26"/>
  <c r="P1428" i="26"/>
  <c r="F1429" i="26"/>
  <c r="J1429" i="26"/>
  <c r="K1429" i="26" s="1"/>
  <c r="L1429" i="26"/>
  <c r="N1429" i="26"/>
  <c r="P1429" i="26"/>
  <c r="F1430" i="26"/>
  <c r="G1430" i="26" s="1"/>
  <c r="J1430" i="26"/>
  <c r="K1430" i="26" s="1"/>
  <c r="L1430" i="26"/>
  <c r="N1430" i="26"/>
  <c r="P1430" i="26"/>
  <c r="F1431" i="26"/>
  <c r="G1431" i="26" s="1"/>
  <c r="J1431" i="26"/>
  <c r="O1431" i="26" s="1"/>
  <c r="L1431" i="26"/>
  <c r="N1431" i="26"/>
  <c r="P1431" i="26"/>
  <c r="F1432" i="26"/>
  <c r="J1432" i="26"/>
  <c r="K1432" i="26" s="1"/>
  <c r="L1432" i="26"/>
  <c r="N1432" i="26"/>
  <c r="P1432" i="26"/>
  <c r="F1433" i="26"/>
  <c r="G1433" i="26" s="1"/>
  <c r="J1433" i="26"/>
  <c r="K1433" i="26" s="1"/>
  <c r="L1433" i="26"/>
  <c r="N1433" i="26"/>
  <c r="P1433" i="26"/>
  <c r="F1434" i="26"/>
  <c r="J1434" i="26"/>
  <c r="K1434" i="26" s="1"/>
  <c r="L1434" i="26"/>
  <c r="N1434" i="26"/>
  <c r="P1434" i="26"/>
  <c r="F1435" i="26"/>
  <c r="G1435" i="26" s="1"/>
  <c r="J1435" i="26"/>
  <c r="L1435" i="26"/>
  <c r="N1435" i="26"/>
  <c r="P1435" i="26"/>
  <c r="F1436" i="26"/>
  <c r="G1436" i="26" s="1"/>
  <c r="H1436" i="26" s="1"/>
  <c r="J1436" i="26"/>
  <c r="K1436" i="26" s="1"/>
  <c r="L1436" i="26"/>
  <c r="N1436" i="26"/>
  <c r="P1436" i="26"/>
  <c r="F1437" i="26"/>
  <c r="J1437" i="26"/>
  <c r="K1437" i="26" s="1"/>
  <c r="L1437" i="26"/>
  <c r="N1437" i="26"/>
  <c r="P1437" i="26"/>
  <c r="F1438" i="26"/>
  <c r="J1438" i="26"/>
  <c r="K1438" i="26" s="1"/>
  <c r="L1438" i="26"/>
  <c r="N1438" i="26"/>
  <c r="P1438" i="26"/>
  <c r="F1439" i="26"/>
  <c r="J1439" i="26"/>
  <c r="K1439" i="26" s="1"/>
  <c r="L1439" i="26"/>
  <c r="N1439" i="26"/>
  <c r="P1439" i="26"/>
  <c r="F1440" i="26"/>
  <c r="J1440" i="26"/>
  <c r="K1440" i="26" s="1"/>
  <c r="L1440" i="26"/>
  <c r="N1440" i="26"/>
  <c r="P1440" i="26"/>
  <c r="F1441" i="26"/>
  <c r="G1441" i="26" s="1"/>
  <c r="J1441" i="26"/>
  <c r="L1441" i="26"/>
  <c r="N1441" i="26"/>
  <c r="P1441" i="26"/>
  <c r="F1442" i="26"/>
  <c r="J1442" i="26"/>
  <c r="K1442" i="26" s="1"/>
  <c r="L1442" i="26"/>
  <c r="N1442" i="26"/>
  <c r="P1442" i="26"/>
  <c r="F1443" i="26"/>
  <c r="G1443" i="26" s="1"/>
  <c r="J1443" i="26"/>
  <c r="K1443" i="26" s="1"/>
  <c r="L1443" i="26"/>
  <c r="N1443" i="26"/>
  <c r="P1443" i="26"/>
  <c r="F1444" i="26"/>
  <c r="G1444" i="26" s="1"/>
  <c r="H1444" i="26" s="1"/>
  <c r="J1444" i="26"/>
  <c r="K1444" i="26" s="1"/>
  <c r="L1444" i="26"/>
  <c r="N1444" i="26"/>
  <c r="P1444" i="26"/>
  <c r="F1445" i="26"/>
  <c r="J1445" i="26"/>
  <c r="K1445" i="26" s="1"/>
  <c r="L1445" i="26"/>
  <c r="N1445" i="26"/>
  <c r="P1445" i="26"/>
  <c r="F1446" i="26"/>
  <c r="J1446" i="26"/>
  <c r="K1446" i="26" s="1"/>
  <c r="L1446" i="26"/>
  <c r="N1446" i="26"/>
  <c r="P1446" i="26"/>
  <c r="F1447" i="26"/>
  <c r="J1447" i="26"/>
  <c r="L1447" i="26"/>
  <c r="N1447" i="26"/>
  <c r="P1447" i="26"/>
  <c r="F1448" i="26"/>
  <c r="J1448" i="26"/>
  <c r="K1448" i="26" s="1"/>
  <c r="L1448" i="26"/>
  <c r="N1448" i="26"/>
  <c r="P1448" i="26"/>
  <c r="F1449" i="26"/>
  <c r="J1449" i="26"/>
  <c r="O1449" i="26" s="1"/>
  <c r="F1450" i="26"/>
  <c r="J1450" i="26"/>
  <c r="K1450" i="26" s="1"/>
  <c r="L1450" i="26"/>
  <c r="N1450" i="26"/>
  <c r="P1450" i="26"/>
  <c r="F1451" i="26"/>
  <c r="G1451" i="26" s="1"/>
  <c r="J1451" i="26"/>
  <c r="O1451" i="26" s="1"/>
  <c r="L1451" i="26"/>
  <c r="N1451" i="26"/>
  <c r="P1451" i="26"/>
  <c r="F1452" i="26"/>
  <c r="J1452" i="26"/>
  <c r="K1452" i="26" s="1"/>
  <c r="L1452" i="26"/>
  <c r="N1452" i="26"/>
  <c r="P1452" i="26"/>
  <c r="F1453" i="26"/>
  <c r="J1453" i="26"/>
  <c r="K1453" i="26" s="1"/>
  <c r="L1453" i="26"/>
  <c r="N1453" i="26"/>
  <c r="P1453" i="26"/>
  <c r="F1454" i="26"/>
  <c r="J1454" i="26"/>
  <c r="K1454" i="26" s="1"/>
  <c r="L1454" i="26"/>
  <c r="N1454" i="26"/>
  <c r="P1454" i="26"/>
  <c r="F1455" i="26"/>
  <c r="G1455" i="26" s="1"/>
  <c r="J1455" i="26"/>
  <c r="K1455" i="26" s="1"/>
  <c r="L1455" i="26"/>
  <c r="N1455" i="26"/>
  <c r="P1455" i="26"/>
  <c r="F1456" i="26"/>
  <c r="J1456" i="26"/>
  <c r="K1456" i="26" s="1"/>
  <c r="L1456" i="26"/>
  <c r="N1456" i="26"/>
  <c r="P1456" i="26"/>
  <c r="F1457" i="26"/>
  <c r="J1457" i="26"/>
  <c r="O1457" i="26" s="1"/>
  <c r="L1457" i="26"/>
  <c r="N1457" i="26"/>
  <c r="P1457" i="26"/>
  <c r="F1458" i="26"/>
  <c r="J1458" i="26"/>
  <c r="K1458" i="26" s="1"/>
  <c r="L1458" i="26"/>
  <c r="N1458" i="26"/>
  <c r="P1458" i="26"/>
  <c r="F1459" i="26"/>
  <c r="G1459" i="26" s="1"/>
  <c r="J1459" i="26"/>
  <c r="O1459" i="26" s="1"/>
  <c r="L1459" i="26"/>
  <c r="N1459" i="26"/>
  <c r="P1459" i="26"/>
  <c r="F1460" i="26"/>
  <c r="J1460" i="26"/>
  <c r="K1460" i="26" s="1"/>
  <c r="L1460" i="26"/>
  <c r="N1460" i="26"/>
  <c r="P1460" i="26"/>
  <c r="F1461" i="26"/>
  <c r="J1461" i="26"/>
  <c r="L1461" i="26"/>
  <c r="N1461" i="26"/>
  <c r="P1461" i="26"/>
  <c r="F1462" i="26"/>
  <c r="J1462" i="26"/>
  <c r="K1462" i="26" s="1"/>
  <c r="L1462" i="26"/>
  <c r="N1462" i="26"/>
  <c r="P1462" i="26"/>
  <c r="F1463" i="26"/>
  <c r="J1463" i="26"/>
  <c r="O1463" i="26" s="1"/>
  <c r="L1463" i="26"/>
  <c r="N1463" i="26"/>
  <c r="P1463" i="26"/>
  <c r="F1464" i="26"/>
  <c r="J1464" i="26"/>
  <c r="K1464" i="26" s="1"/>
  <c r="L1464" i="26"/>
  <c r="N1464" i="26"/>
  <c r="P1464" i="26"/>
  <c r="F1465" i="26"/>
  <c r="J1465" i="26"/>
  <c r="K1465" i="26" s="1"/>
  <c r="L1465" i="26"/>
  <c r="N1465" i="26"/>
  <c r="P1465" i="26"/>
  <c r="F1466" i="26"/>
  <c r="J1466" i="26"/>
  <c r="K1466" i="26" s="1"/>
  <c r="L1466" i="26"/>
  <c r="N1466" i="26"/>
  <c r="P1466" i="26"/>
  <c r="F1467" i="26"/>
  <c r="J1467" i="26"/>
  <c r="O1467" i="26" s="1"/>
  <c r="L1467" i="26"/>
  <c r="N1467" i="26"/>
  <c r="P1467" i="26"/>
  <c r="F1468" i="26"/>
  <c r="J1468" i="26"/>
  <c r="K1468" i="26" s="1"/>
  <c r="L1468" i="26"/>
  <c r="N1468" i="26"/>
  <c r="P1468" i="26"/>
  <c r="F1469" i="26"/>
  <c r="J1469" i="26"/>
  <c r="K1469" i="26" s="1"/>
  <c r="L1469" i="26"/>
  <c r="N1469" i="26"/>
  <c r="P1469" i="26"/>
  <c r="F1470" i="26"/>
  <c r="J1470" i="26"/>
  <c r="K1470" i="26" s="1"/>
  <c r="L1470" i="26"/>
  <c r="N1470" i="26"/>
  <c r="P1470" i="26"/>
  <c r="F1471" i="26"/>
  <c r="G1471" i="26" s="1"/>
  <c r="J1471" i="26"/>
  <c r="K1471" i="26" s="1"/>
  <c r="L1471" i="26"/>
  <c r="N1471" i="26"/>
  <c r="P1471" i="26"/>
  <c r="F1472" i="26"/>
  <c r="J1472" i="26"/>
  <c r="K1472" i="26" s="1"/>
  <c r="L1472" i="26"/>
  <c r="N1472" i="26"/>
  <c r="P1472" i="26"/>
  <c r="F1473" i="26"/>
  <c r="J1473" i="26"/>
  <c r="K1473" i="26" s="1"/>
  <c r="L1473" i="26"/>
  <c r="N1473" i="26"/>
  <c r="P1473" i="26"/>
  <c r="F1474" i="26"/>
  <c r="J1474" i="26"/>
  <c r="K1474" i="26" s="1"/>
  <c r="L1474" i="26"/>
  <c r="N1474" i="26"/>
  <c r="P1474" i="26"/>
  <c r="F1475" i="26"/>
  <c r="G1475" i="26" s="1"/>
  <c r="J1475" i="26"/>
  <c r="K1475" i="26" s="1"/>
  <c r="L1475" i="26"/>
  <c r="N1475" i="26"/>
  <c r="P1475" i="26"/>
  <c r="F1476" i="26"/>
  <c r="J1476" i="26"/>
  <c r="K1476" i="26" s="1"/>
  <c r="L1476" i="26"/>
  <c r="N1476" i="26"/>
  <c r="P1476" i="26"/>
  <c r="F1477" i="26"/>
  <c r="J1477" i="26"/>
  <c r="O1477" i="26" s="1"/>
  <c r="L1477" i="26"/>
  <c r="N1477" i="26"/>
  <c r="P1477" i="26"/>
  <c r="F1478" i="26"/>
  <c r="J1478" i="26"/>
  <c r="K1478" i="26" s="1"/>
  <c r="L1478" i="26"/>
  <c r="N1478" i="26"/>
  <c r="P1478" i="26"/>
  <c r="F1479" i="26"/>
  <c r="J1479" i="26"/>
  <c r="K1479" i="26" s="1"/>
  <c r="L1479" i="26"/>
  <c r="N1479" i="26"/>
  <c r="P1479" i="26"/>
  <c r="F1480" i="26"/>
  <c r="G1480" i="26" s="1"/>
  <c r="J1480" i="26"/>
  <c r="L1480" i="26"/>
  <c r="N1480" i="26"/>
  <c r="P1480" i="26"/>
  <c r="F1481" i="26"/>
  <c r="J1481" i="26"/>
  <c r="K1481" i="26" s="1"/>
  <c r="L1481" i="26"/>
  <c r="N1481" i="26"/>
  <c r="P1481" i="26"/>
  <c r="F1482" i="26"/>
  <c r="J1482" i="26"/>
  <c r="L1482" i="26"/>
  <c r="N1482" i="26"/>
  <c r="P1482" i="26"/>
  <c r="F1483" i="26"/>
  <c r="G1483" i="26" s="1"/>
  <c r="J1483" i="26"/>
  <c r="O1483" i="26" s="1"/>
  <c r="L1483" i="26"/>
  <c r="N1483" i="26"/>
  <c r="P1483" i="26"/>
  <c r="F1484" i="26"/>
  <c r="G1484" i="26" s="1"/>
  <c r="J1484" i="26"/>
  <c r="K1484" i="26" s="1"/>
  <c r="L1484" i="26"/>
  <c r="N1484" i="26"/>
  <c r="P1484" i="26"/>
  <c r="F1485" i="26"/>
  <c r="J1485" i="26"/>
  <c r="O1485" i="26" s="1"/>
  <c r="L1485" i="26"/>
  <c r="N1485" i="26"/>
  <c r="P1485" i="26"/>
  <c r="F1486" i="26"/>
  <c r="J1486" i="26"/>
  <c r="K1486" i="26" s="1"/>
  <c r="L1486" i="26"/>
  <c r="N1486" i="26"/>
  <c r="P1486" i="26"/>
  <c r="F1487" i="26"/>
  <c r="J1487" i="26"/>
  <c r="K1487" i="26" s="1"/>
  <c r="L1487" i="26"/>
  <c r="N1487" i="26"/>
  <c r="P1487" i="26"/>
  <c r="F1488" i="26"/>
  <c r="J1488" i="26"/>
  <c r="K1488" i="26" s="1"/>
  <c r="L1488" i="26"/>
  <c r="N1488" i="26"/>
  <c r="P1488" i="26"/>
  <c r="F1489" i="26"/>
  <c r="J1489" i="26"/>
  <c r="L1489" i="26"/>
  <c r="N1489" i="26"/>
  <c r="P1489" i="26"/>
  <c r="F1490" i="26"/>
  <c r="J1490" i="26"/>
  <c r="K1490" i="26" s="1"/>
  <c r="L1490" i="26"/>
  <c r="N1490" i="26"/>
  <c r="P1490" i="26"/>
  <c r="F1491" i="26"/>
  <c r="G1491" i="26" s="1"/>
  <c r="J1491" i="26"/>
  <c r="O1491" i="26" s="1"/>
  <c r="L1491" i="26"/>
  <c r="N1491" i="26"/>
  <c r="P1491" i="26"/>
  <c r="F1492" i="26"/>
  <c r="J1492" i="26"/>
  <c r="L1492" i="26"/>
  <c r="N1492" i="26"/>
  <c r="P1492" i="26"/>
  <c r="F1493" i="26"/>
  <c r="J1493" i="26"/>
  <c r="L1493" i="26"/>
  <c r="N1493" i="26"/>
  <c r="P1493" i="26"/>
  <c r="F1494" i="26"/>
  <c r="J1494" i="26"/>
  <c r="K1494" i="26" s="1"/>
  <c r="L1494" i="26"/>
  <c r="N1494" i="26"/>
  <c r="P1494" i="26"/>
  <c r="F1495" i="26"/>
  <c r="J1495" i="26"/>
  <c r="K1495" i="26" s="1"/>
  <c r="L1495" i="26"/>
  <c r="N1495" i="26"/>
  <c r="P1495" i="26"/>
  <c r="F1496" i="26"/>
  <c r="J1496" i="26"/>
  <c r="K1496" i="26" s="1"/>
  <c r="L1496" i="26"/>
  <c r="N1496" i="26"/>
  <c r="P1496" i="26"/>
  <c r="F1497" i="26"/>
  <c r="J1497" i="26"/>
  <c r="L1497" i="26"/>
  <c r="N1497" i="26"/>
  <c r="P1497" i="26"/>
  <c r="F1498" i="26"/>
  <c r="J1498" i="26"/>
  <c r="K1498" i="26" s="1"/>
  <c r="L1498" i="26"/>
  <c r="N1498" i="26"/>
  <c r="P1498" i="26"/>
  <c r="F1499" i="26"/>
  <c r="J1499" i="26"/>
  <c r="O1499" i="26" s="1"/>
  <c r="L1499" i="26"/>
  <c r="N1499" i="26"/>
  <c r="P1499" i="26"/>
  <c r="F1500" i="26"/>
  <c r="J1500" i="26"/>
  <c r="K1500" i="26" s="1"/>
  <c r="L1500" i="26"/>
  <c r="N1500" i="26"/>
  <c r="P1500" i="26"/>
  <c r="F1501" i="26"/>
  <c r="J1501" i="26"/>
  <c r="K1501" i="26" s="1"/>
  <c r="L1501" i="26"/>
  <c r="N1501" i="26"/>
  <c r="P1501" i="26"/>
  <c r="F1502" i="26"/>
  <c r="J1502" i="26"/>
  <c r="K1502" i="26" s="1"/>
  <c r="L1502" i="26"/>
  <c r="N1502" i="26"/>
  <c r="P1502" i="26"/>
  <c r="F1503" i="26"/>
  <c r="J1503" i="26"/>
  <c r="O1503" i="26" s="1"/>
  <c r="L1503" i="26"/>
  <c r="N1503" i="26"/>
  <c r="P1503" i="26"/>
  <c r="F1504" i="26"/>
  <c r="J1504" i="26"/>
  <c r="L1504" i="26"/>
  <c r="N1504" i="26"/>
  <c r="P1504" i="26"/>
  <c r="F1505" i="26"/>
  <c r="J1505" i="26"/>
  <c r="O1505" i="26" s="1"/>
  <c r="L1505" i="26"/>
  <c r="N1505" i="26"/>
  <c r="P1505" i="26"/>
  <c r="F1506" i="26"/>
  <c r="J1506" i="26"/>
  <c r="O1506" i="26" s="1"/>
  <c r="L1506" i="26"/>
  <c r="N1506" i="26"/>
  <c r="P1506" i="26"/>
  <c r="F1507" i="26"/>
  <c r="J1507" i="26"/>
  <c r="O1507" i="26" s="1"/>
  <c r="L1507" i="26"/>
  <c r="N1507" i="26"/>
  <c r="P1507" i="26"/>
  <c r="F1508" i="26"/>
  <c r="J1508" i="26"/>
  <c r="O1508" i="26" s="1"/>
  <c r="L1508" i="26"/>
  <c r="N1508" i="26"/>
  <c r="P1508" i="26"/>
  <c r="F1509" i="26"/>
  <c r="G1509" i="26" s="1"/>
  <c r="J1509" i="26"/>
  <c r="O1509" i="26" s="1"/>
  <c r="L1509" i="26"/>
  <c r="N1509" i="26"/>
  <c r="P1509" i="26"/>
  <c r="F1510" i="26"/>
  <c r="J1510" i="26"/>
  <c r="O1510" i="26" s="1"/>
  <c r="L1510" i="26"/>
  <c r="N1510" i="26"/>
  <c r="P1510" i="26"/>
  <c r="F1511" i="26"/>
  <c r="J1511" i="26"/>
  <c r="L1511" i="26"/>
  <c r="N1511" i="26"/>
  <c r="P1511" i="26"/>
  <c r="F1512" i="26"/>
  <c r="J1512" i="26"/>
  <c r="O1512" i="26" s="1"/>
  <c r="L1512" i="26"/>
  <c r="N1512" i="26"/>
  <c r="P1512" i="26"/>
  <c r="F1513" i="26"/>
  <c r="J1513" i="26"/>
  <c r="L1513" i="26"/>
  <c r="N1513" i="26"/>
  <c r="P1513" i="26"/>
  <c r="F1514" i="26"/>
  <c r="J1514" i="26"/>
  <c r="L1514" i="26"/>
  <c r="N1514" i="26"/>
  <c r="P1514" i="26"/>
  <c r="F1515" i="26"/>
  <c r="J1515" i="26"/>
  <c r="K1515" i="26" s="1"/>
  <c r="L1515" i="26"/>
  <c r="N1515" i="26"/>
  <c r="P1515" i="26"/>
  <c r="F1516" i="26"/>
  <c r="J1516" i="26"/>
  <c r="O1516" i="26" s="1"/>
  <c r="L1516" i="26"/>
  <c r="N1516" i="26"/>
  <c r="P1516" i="26"/>
  <c r="F1517" i="26"/>
  <c r="J1517" i="26"/>
  <c r="K1517" i="26" s="1"/>
  <c r="L1517" i="26"/>
  <c r="N1517" i="26"/>
  <c r="P1517" i="26"/>
  <c r="F1518" i="26"/>
  <c r="J1518" i="26"/>
  <c r="K1518" i="26" s="1"/>
  <c r="L1518" i="26"/>
  <c r="N1518" i="26"/>
  <c r="P1518" i="26"/>
  <c r="F1519" i="26"/>
  <c r="J1519" i="26"/>
  <c r="O1519" i="26" s="1"/>
  <c r="L1519" i="26"/>
  <c r="N1519" i="26"/>
  <c r="P1519" i="26"/>
  <c r="F1520" i="26"/>
  <c r="J1520" i="26"/>
  <c r="L1520" i="26"/>
  <c r="N1520" i="26"/>
  <c r="P1520" i="26"/>
  <c r="F1521" i="26"/>
  <c r="J1521" i="26"/>
  <c r="K1521" i="26" s="1"/>
  <c r="L1521" i="26"/>
  <c r="N1521" i="26"/>
  <c r="P1521" i="26"/>
  <c r="F1522" i="26"/>
  <c r="J1522" i="26"/>
  <c r="K1522" i="26" s="1"/>
  <c r="L1522" i="26"/>
  <c r="N1522" i="26"/>
  <c r="P1522" i="26"/>
  <c r="F1523" i="26"/>
  <c r="J1523" i="26"/>
  <c r="L1523" i="26"/>
  <c r="N1523" i="26"/>
  <c r="P1523" i="26"/>
  <c r="F1524" i="26"/>
  <c r="J1524" i="26"/>
  <c r="O1524" i="26" s="1"/>
  <c r="L1524" i="26"/>
  <c r="N1524" i="26"/>
  <c r="P1524" i="26"/>
  <c r="F1525" i="26"/>
  <c r="J1525" i="26"/>
  <c r="K1525" i="26" s="1"/>
  <c r="L1525" i="26"/>
  <c r="N1525" i="26"/>
  <c r="P1525" i="26"/>
  <c r="F1526" i="26"/>
  <c r="J1526" i="26"/>
  <c r="K1526" i="26" s="1"/>
  <c r="F1527" i="26"/>
  <c r="J1527" i="26"/>
  <c r="K1527" i="26" s="1"/>
  <c r="L1527" i="26"/>
  <c r="N1527" i="26"/>
  <c r="P1527" i="26"/>
  <c r="F1528" i="26"/>
  <c r="J1528" i="26"/>
  <c r="L1528" i="26"/>
  <c r="N1528" i="26"/>
  <c r="P1528" i="26"/>
  <c r="F1529" i="26"/>
  <c r="J1529" i="26"/>
  <c r="O1529" i="26" s="1"/>
  <c r="L1529" i="26"/>
  <c r="N1529" i="26"/>
  <c r="P1529" i="26"/>
  <c r="F1530" i="26"/>
  <c r="J1530" i="26"/>
  <c r="O1530" i="26" s="1"/>
  <c r="L1530" i="26"/>
  <c r="N1530" i="26"/>
  <c r="P1530" i="26"/>
  <c r="F1531" i="26"/>
  <c r="J1531" i="26"/>
  <c r="O1531" i="26" s="1"/>
  <c r="L1531" i="26"/>
  <c r="N1531" i="26"/>
  <c r="P1531" i="26"/>
  <c r="F1532" i="26"/>
  <c r="J1532" i="26"/>
  <c r="O1532" i="26" s="1"/>
  <c r="L1532" i="26"/>
  <c r="N1532" i="26"/>
  <c r="P1532" i="26"/>
  <c r="F1533" i="26"/>
  <c r="J1533" i="26"/>
  <c r="K1533" i="26" s="1"/>
  <c r="L1533" i="26"/>
  <c r="N1533" i="26"/>
  <c r="P1533" i="26"/>
  <c r="F1534" i="26"/>
  <c r="J1534" i="26"/>
  <c r="O1534" i="26" s="1"/>
  <c r="L1534" i="26"/>
  <c r="N1534" i="26"/>
  <c r="P1534" i="26"/>
  <c r="F1535" i="26"/>
  <c r="J1535" i="26"/>
  <c r="K1535" i="26" s="1"/>
  <c r="L1535" i="26"/>
  <c r="N1535" i="26"/>
  <c r="P1535" i="26"/>
  <c r="F1536" i="26"/>
  <c r="J1536" i="26"/>
  <c r="K1536" i="26" s="1"/>
  <c r="L1536" i="26"/>
  <c r="N1536" i="26"/>
  <c r="P1536" i="26"/>
  <c r="F1537" i="26"/>
  <c r="J1537" i="26"/>
  <c r="L1537" i="26"/>
  <c r="N1537" i="26"/>
  <c r="P1537" i="26"/>
  <c r="F1538" i="26"/>
  <c r="J1538" i="26"/>
  <c r="L1538" i="26"/>
  <c r="N1538" i="26"/>
  <c r="P1538" i="26"/>
  <c r="F1539" i="26"/>
  <c r="J1539" i="26"/>
  <c r="O1539" i="26" s="1"/>
  <c r="L1539" i="26"/>
  <c r="N1539" i="26"/>
  <c r="P1539" i="26"/>
  <c r="F1540" i="26"/>
  <c r="J1540" i="26"/>
  <c r="O1540" i="26" s="1"/>
  <c r="L1540" i="26"/>
  <c r="N1540" i="26"/>
  <c r="P1540" i="26"/>
  <c r="F1541" i="26"/>
  <c r="J1541" i="26"/>
  <c r="O1541" i="26" s="1"/>
  <c r="L1541" i="26"/>
  <c r="N1541" i="26"/>
  <c r="P1541" i="26"/>
  <c r="F1542" i="26"/>
  <c r="J1542" i="26"/>
  <c r="K1542" i="26" s="1"/>
  <c r="L1542" i="26"/>
  <c r="N1542" i="26"/>
  <c r="P1542" i="26"/>
  <c r="F1543" i="26"/>
  <c r="J1543" i="26"/>
  <c r="L1543" i="26"/>
  <c r="N1543" i="26"/>
  <c r="P1543" i="26"/>
  <c r="F1544" i="26"/>
  <c r="J1544" i="26"/>
  <c r="K1544" i="26" s="1"/>
  <c r="L1544" i="26"/>
  <c r="N1544" i="26"/>
  <c r="P1544" i="26"/>
  <c r="F1545" i="26"/>
  <c r="J1545" i="26"/>
  <c r="O1545" i="26" s="1"/>
  <c r="L1545" i="26"/>
  <c r="N1545" i="26"/>
  <c r="P1545" i="26"/>
  <c r="F1546" i="26"/>
  <c r="J1546" i="26"/>
  <c r="K1546" i="26" s="1"/>
  <c r="L1546" i="26"/>
  <c r="N1546" i="26"/>
  <c r="P1546" i="26"/>
  <c r="F1547" i="26"/>
  <c r="J1547" i="26"/>
  <c r="K1547" i="26" s="1"/>
  <c r="L1547" i="26"/>
  <c r="N1547" i="26"/>
  <c r="P1547" i="26"/>
  <c r="F1548" i="26"/>
  <c r="J1548" i="26"/>
  <c r="L1548" i="26"/>
  <c r="N1548" i="26"/>
  <c r="P1548" i="26"/>
  <c r="F1549" i="26"/>
  <c r="J1549" i="26"/>
  <c r="O1549" i="26" s="1"/>
  <c r="L1549" i="26"/>
  <c r="N1549" i="26"/>
  <c r="P1549" i="26"/>
  <c r="F1550" i="26"/>
  <c r="J1550" i="26"/>
  <c r="O1550" i="26" s="1"/>
  <c r="L1550" i="26"/>
  <c r="N1550" i="26"/>
  <c r="P1550" i="26"/>
  <c r="F1551" i="26"/>
  <c r="G1551" i="26" s="1"/>
  <c r="H1551" i="26" s="1"/>
  <c r="J1551" i="26"/>
  <c r="K1551" i="26" s="1"/>
  <c r="L1551" i="26"/>
  <c r="N1551" i="26"/>
  <c r="P1551" i="26"/>
  <c r="F1552" i="26"/>
  <c r="J1552" i="26"/>
  <c r="K1552" i="26" s="1"/>
  <c r="L1552" i="26"/>
  <c r="N1552" i="26"/>
  <c r="P1552" i="26"/>
  <c r="F1553" i="26"/>
  <c r="J1553" i="26"/>
  <c r="O1553" i="26" s="1"/>
  <c r="L1553" i="26"/>
  <c r="N1553" i="26"/>
  <c r="P1553" i="26"/>
  <c r="F1554" i="26"/>
  <c r="J1554" i="26"/>
  <c r="O1554" i="26" s="1"/>
  <c r="L1554" i="26"/>
  <c r="N1554" i="26"/>
  <c r="P1554" i="26"/>
  <c r="F1555" i="26"/>
  <c r="J1555" i="26"/>
  <c r="K1555" i="26" s="1"/>
  <c r="L1555" i="26"/>
  <c r="N1555" i="26"/>
  <c r="P1555" i="26"/>
  <c r="F1556" i="26"/>
  <c r="J1556" i="26"/>
  <c r="F1557" i="26"/>
  <c r="G1557" i="26" s="1"/>
  <c r="J1557" i="26"/>
  <c r="K1557" i="26" s="1"/>
  <c r="L1557" i="26"/>
  <c r="N1557" i="26"/>
  <c r="P1557" i="26"/>
  <c r="F1558" i="26"/>
  <c r="J1558" i="26"/>
  <c r="O1558" i="26" s="1"/>
  <c r="L1558" i="26"/>
  <c r="N1558" i="26"/>
  <c r="P1558" i="26"/>
  <c r="F1559" i="26"/>
  <c r="J1559" i="26"/>
  <c r="K1559" i="26" s="1"/>
  <c r="L1559" i="26"/>
  <c r="N1559" i="26"/>
  <c r="P1559" i="26"/>
  <c r="F1560" i="26"/>
  <c r="J1560" i="26"/>
  <c r="O1560" i="26" s="1"/>
  <c r="L1560" i="26"/>
  <c r="N1560" i="26"/>
  <c r="P1560" i="26"/>
  <c r="F1561" i="26"/>
  <c r="J1561" i="26"/>
  <c r="K1561" i="26" s="1"/>
  <c r="L1561" i="26"/>
  <c r="N1561" i="26"/>
  <c r="P1561" i="26"/>
  <c r="F1562" i="26"/>
  <c r="J1562" i="26"/>
  <c r="K1562" i="26" s="1"/>
  <c r="L1562" i="26"/>
  <c r="N1562" i="26"/>
  <c r="P1562" i="26"/>
  <c r="F1563" i="26"/>
  <c r="J1563" i="26"/>
  <c r="O1563" i="26" s="1"/>
  <c r="L1563" i="26"/>
  <c r="N1563" i="26"/>
  <c r="P1563" i="26"/>
  <c r="F1564" i="26"/>
  <c r="J1564" i="26"/>
  <c r="L1564" i="26"/>
  <c r="N1564" i="26"/>
  <c r="P1564" i="26"/>
  <c r="F1565" i="26"/>
  <c r="J1565" i="26"/>
  <c r="O1565" i="26" s="1"/>
  <c r="L1565" i="26"/>
  <c r="N1565" i="26"/>
  <c r="P1565" i="26"/>
  <c r="F1566" i="26"/>
  <c r="J1566" i="26"/>
  <c r="L1566" i="26"/>
  <c r="N1566" i="26"/>
  <c r="P1566" i="26"/>
  <c r="F1567" i="26"/>
  <c r="J1567" i="26"/>
  <c r="K1567" i="26" s="1"/>
  <c r="L1567" i="26"/>
  <c r="N1567" i="26"/>
  <c r="P1567" i="26"/>
  <c r="F1568" i="26"/>
  <c r="J1568" i="26"/>
  <c r="O1568" i="26" s="1"/>
  <c r="L1568" i="26"/>
  <c r="N1568" i="26"/>
  <c r="P1568" i="26"/>
  <c r="F1569" i="26"/>
  <c r="J1569" i="26"/>
  <c r="K1569" i="26" s="1"/>
  <c r="L1569" i="26"/>
  <c r="N1569" i="26"/>
  <c r="P1569" i="26"/>
  <c r="F1570" i="26"/>
  <c r="J1570" i="26"/>
  <c r="K1570" i="26" s="1"/>
  <c r="L1570" i="26"/>
  <c r="N1570" i="26"/>
  <c r="P1570" i="26"/>
  <c r="F1571" i="26"/>
  <c r="J1571" i="26"/>
  <c r="K1571" i="26" s="1"/>
  <c r="L1571" i="26"/>
  <c r="N1571" i="26"/>
  <c r="P1571" i="26"/>
  <c r="F1572" i="26"/>
  <c r="J1572" i="26"/>
  <c r="K1572" i="26" s="1"/>
  <c r="L1572" i="26"/>
  <c r="N1572" i="26"/>
  <c r="P1572" i="26"/>
  <c r="F1573" i="26"/>
  <c r="J1573" i="26"/>
  <c r="K1573" i="26" s="1"/>
  <c r="L1573" i="26"/>
  <c r="N1573" i="26"/>
  <c r="P1573" i="26"/>
  <c r="F1574" i="26"/>
  <c r="J1574" i="26"/>
  <c r="O1574" i="26" s="1"/>
  <c r="L1574" i="26"/>
  <c r="N1574" i="26"/>
  <c r="P1574" i="26"/>
  <c r="F1575" i="26"/>
  <c r="J1575" i="26"/>
  <c r="O1575" i="26" s="1"/>
  <c r="L1575" i="26"/>
  <c r="N1575" i="26"/>
  <c r="P1575" i="26"/>
  <c r="F1576" i="26"/>
  <c r="J1576" i="26"/>
  <c r="O1576" i="26" s="1"/>
  <c r="L1576" i="26"/>
  <c r="N1576" i="26"/>
  <c r="P1576" i="26"/>
  <c r="F1577" i="26"/>
  <c r="J1577" i="26"/>
  <c r="K1577" i="26" s="1"/>
  <c r="L1577" i="26"/>
  <c r="N1577" i="26"/>
  <c r="P1577" i="26"/>
  <c r="F1578" i="26"/>
  <c r="J1578" i="26"/>
  <c r="L1578" i="26"/>
  <c r="N1578" i="26"/>
  <c r="P1578" i="26"/>
  <c r="F1579" i="26"/>
  <c r="G1579" i="26" s="1"/>
  <c r="H1579" i="26" s="1"/>
  <c r="J1579" i="26"/>
  <c r="K1579" i="26" s="1"/>
  <c r="L1579" i="26"/>
  <c r="N1579" i="26"/>
  <c r="P1579" i="26"/>
  <c r="A3" i="15"/>
  <c r="D3" i="15" s="1"/>
  <c r="A4" i="15"/>
  <c r="A5" i="15"/>
  <c r="A6" i="15"/>
  <c r="A7" i="15"/>
  <c r="A8" i="15"/>
  <c r="A9" i="15"/>
  <c r="A10" i="15"/>
  <c r="A11" i="15"/>
  <c r="A12" i="15"/>
  <c r="G12" i="15" s="1"/>
  <c r="A13" i="15"/>
  <c r="A14" i="15"/>
  <c r="G14" i="15" s="1"/>
  <c r="A15" i="15"/>
  <c r="A16" i="15"/>
  <c r="A17" i="15"/>
  <c r="D33" i="27"/>
  <c r="D34" i="27"/>
  <c r="A33" i="27"/>
  <c r="G33" i="27" s="1"/>
  <c r="A34" i="27"/>
  <c r="G34" i="27" s="1"/>
  <c r="A29" i="27"/>
  <c r="A30" i="27"/>
  <c r="G30" i="27" s="1"/>
  <c r="A31" i="27"/>
  <c r="G31" i="27" s="1"/>
  <c r="A32" i="27"/>
  <c r="D32" i="27" s="1"/>
  <c r="A22" i="27"/>
  <c r="G22" i="27" s="1"/>
  <c r="A23" i="27"/>
  <c r="G23" i="27" s="1"/>
  <c r="A24" i="27"/>
  <c r="G24" i="27" s="1"/>
  <c r="A25" i="27"/>
  <c r="A26" i="27"/>
  <c r="G26" i="27" s="1"/>
  <c r="A27" i="27"/>
  <c r="A28" i="27"/>
  <c r="G28" i="27" s="1"/>
  <c r="F869" i="26"/>
  <c r="G869" i="26" s="1"/>
  <c r="J869" i="26"/>
  <c r="L869" i="26"/>
  <c r="N869" i="26"/>
  <c r="P869" i="26"/>
  <c r="F870" i="26"/>
  <c r="G870" i="26" s="1"/>
  <c r="J870" i="26"/>
  <c r="K870" i="26" s="1"/>
  <c r="L870" i="26"/>
  <c r="N870" i="26"/>
  <c r="P870" i="26"/>
  <c r="F871" i="26"/>
  <c r="G871" i="26" s="1"/>
  <c r="J871" i="26"/>
  <c r="O871" i="26" s="1"/>
  <c r="L871" i="26"/>
  <c r="N871" i="26"/>
  <c r="P871" i="26"/>
  <c r="F872" i="26"/>
  <c r="G872" i="26" s="1"/>
  <c r="J872" i="26"/>
  <c r="K872" i="26" s="1"/>
  <c r="L872" i="26"/>
  <c r="N872" i="26"/>
  <c r="P872" i="26"/>
  <c r="F873" i="26"/>
  <c r="J873" i="26"/>
  <c r="O873" i="26" s="1"/>
  <c r="L873" i="26"/>
  <c r="N873" i="26"/>
  <c r="P873" i="26"/>
  <c r="F874" i="26"/>
  <c r="G874" i="26" s="1"/>
  <c r="J874" i="26"/>
  <c r="K874" i="26" s="1"/>
  <c r="L874" i="26"/>
  <c r="N874" i="26"/>
  <c r="P874" i="26"/>
  <c r="F875" i="26"/>
  <c r="G875" i="26" s="1"/>
  <c r="J875" i="26"/>
  <c r="O875" i="26" s="1"/>
  <c r="L875" i="26"/>
  <c r="N875" i="26"/>
  <c r="P875" i="26"/>
  <c r="F876" i="26"/>
  <c r="J876" i="26"/>
  <c r="K876" i="26" s="1"/>
  <c r="L876" i="26"/>
  <c r="N876" i="26"/>
  <c r="P876" i="26"/>
  <c r="F877" i="26"/>
  <c r="G877" i="26" s="1"/>
  <c r="J877" i="26"/>
  <c r="L877" i="26"/>
  <c r="N877" i="26"/>
  <c r="P877" i="26"/>
  <c r="F878" i="26"/>
  <c r="G878" i="26" s="1"/>
  <c r="J878" i="26"/>
  <c r="K878" i="26" s="1"/>
  <c r="L878" i="26"/>
  <c r="N878" i="26"/>
  <c r="P878" i="26"/>
  <c r="F879" i="26"/>
  <c r="G879" i="26" s="1"/>
  <c r="J879" i="26"/>
  <c r="K879" i="26" s="1"/>
  <c r="F880" i="26"/>
  <c r="G880" i="26" s="1"/>
  <c r="J880" i="26"/>
  <c r="K880" i="26" s="1"/>
  <c r="L880" i="26"/>
  <c r="N880" i="26"/>
  <c r="P880" i="26"/>
  <c r="F881" i="26"/>
  <c r="G881" i="26" s="1"/>
  <c r="J881" i="26"/>
  <c r="L881" i="26"/>
  <c r="N881" i="26"/>
  <c r="P881" i="26"/>
  <c r="F882" i="26"/>
  <c r="G882" i="26" s="1"/>
  <c r="H882" i="26" s="1"/>
  <c r="J882" i="26"/>
  <c r="K882" i="26" s="1"/>
  <c r="L882" i="26"/>
  <c r="N882" i="26"/>
  <c r="P882" i="26"/>
  <c r="F883" i="26"/>
  <c r="G883" i="26" s="1"/>
  <c r="J883" i="26"/>
  <c r="L883" i="26"/>
  <c r="N883" i="26"/>
  <c r="P883" i="26"/>
  <c r="F884" i="26"/>
  <c r="G884" i="26" s="1"/>
  <c r="H884" i="26" s="1"/>
  <c r="J884" i="26"/>
  <c r="L884" i="26"/>
  <c r="N884" i="26"/>
  <c r="P884" i="26"/>
  <c r="F885" i="26"/>
  <c r="G885" i="26" s="1"/>
  <c r="J885" i="26"/>
  <c r="O885" i="26" s="1"/>
  <c r="L885" i="26"/>
  <c r="N885" i="26"/>
  <c r="P885" i="26"/>
  <c r="F886" i="26"/>
  <c r="J886" i="26"/>
  <c r="L886" i="26"/>
  <c r="N886" i="26"/>
  <c r="P886" i="26"/>
  <c r="F887" i="26"/>
  <c r="G887" i="26" s="1"/>
  <c r="J887" i="26"/>
  <c r="O887" i="26" s="1"/>
  <c r="L887" i="26"/>
  <c r="N887" i="26"/>
  <c r="P887" i="26"/>
  <c r="F888" i="26"/>
  <c r="G888" i="26" s="1"/>
  <c r="J888" i="26"/>
  <c r="K888" i="26" s="1"/>
  <c r="L888" i="26"/>
  <c r="N888" i="26"/>
  <c r="P888" i="26"/>
  <c r="F889" i="26"/>
  <c r="J889" i="26"/>
  <c r="O889" i="26" s="1"/>
  <c r="F890" i="26"/>
  <c r="G890" i="26" s="1"/>
  <c r="H890" i="26" s="1"/>
  <c r="J890" i="26"/>
  <c r="L890" i="26"/>
  <c r="N890" i="26"/>
  <c r="P890" i="26"/>
  <c r="F891" i="26"/>
  <c r="J891" i="26"/>
  <c r="L891" i="26"/>
  <c r="N891" i="26"/>
  <c r="P891" i="26"/>
  <c r="F892" i="26"/>
  <c r="G892" i="26" s="1"/>
  <c r="H892" i="26" s="1"/>
  <c r="J892" i="26"/>
  <c r="K892" i="26" s="1"/>
  <c r="L892" i="26"/>
  <c r="N892" i="26"/>
  <c r="P892" i="26"/>
  <c r="F893" i="26"/>
  <c r="J893" i="26"/>
  <c r="O893" i="26" s="1"/>
  <c r="L893" i="26"/>
  <c r="N893" i="26"/>
  <c r="P893" i="26"/>
  <c r="F894" i="26"/>
  <c r="G894" i="26" s="1"/>
  <c r="H894" i="26" s="1"/>
  <c r="J894" i="26"/>
  <c r="K894" i="26" s="1"/>
  <c r="L894" i="26"/>
  <c r="N894" i="26"/>
  <c r="P894" i="26"/>
  <c r="F895" i="26"/>
  <c r="J895" i="26"/>
  <c r="O895" i="26" s="1"/>
  <c r="L895" i="26"/>
  <c r="N895" i="26"/>
  <c r="P895" i="26"/>
  <c r="F896" i="26"/>
  <c r="J896" i="26"/>
  <c r="L896" i="26"/>
  <c r="N896" i="26"/>
  <c r="P896" i="26"/>
  <c r="F897" i="26"/>
  <c r="G897" i="26" s="1"/>
  <c r="J897" i="26"/>
  <c r="O897" i="26" s="1"/>
  <c r="L897" i="26"/>
  <c r="N897" i="26"/>
  <c r="P897" i="26"/>
  <c r="F898" i="26"/>
  <c r="J898" i="26"/>
  <c r="K898" i="26" s="1"/>
  <c r="L898" i="26"/>
  <c r="N898" i="26"/>
  <c r="P898" i="26"/>
  <c r="F899" i="26"/>
  <c r="J899" i="26"/>
  <c r="O899" i="26" s="1"/>
  <c r="L899" i="26"/>
  <c r="N899" i="26"/>
  <c r="P899" i="26"/>
  <c r="F900" i="26"/>
  <c r="G900" i="26" s="1"/>
  <c r="H900" i="26" s="1"/>
  <c r="J900" i="26"/>
  <c r="L900" i="26"/>
  <c r="N900" i="26"/>
  <c r="P900" i="26"/>
  <c r="F901" i="26"/>
  <c r="J901" i="26"/>
  <c r="L901" i="26"/>
  <c r="N901" i="26"/>
  <c r="P901" i="26"/>
  <c r="F902" i="26"/>
  <c r="J902" i="26"/>
  <c r="K902" i="26" s="1"/>
  <c r="L902" i="26"/>
  <c r="N902" i="26"/>
  <c r="P902" i="26"/>
  <c r="F903" i="26"/>
  <c r="G903" i="26" s="1"/>
  <c r="J903" i="26"/>
  <c r="L903" i="26"/>
  <c r="N903" i="26"/>
  <c r="P903" i="26"/>
  <c r="F904" i="26"/>
  <c r="G904" i="26" s="1"/>
  <c r="H904" i="26" s="1"/>
  <c r="J904" i="26"/>
  <c r="L904" i="26"/>
  <c r="N904" i="26"/>
  <c r="P904" i="26"/>
  <c r="F905" i="26"/>
  <c r="G905" i="26" s="1"/>
  <c r="J905" i="26"/>
  <c r="O905" i="26" s="1"/>
  <c r="F906" i="26"/>
  <c r="G906" i="26" s="1"/>
  <c r="H906" i="26" s="1"/>
  <c r="J906" i="26"/>
  <c r="O906" i="26" s="1"/>
  <c r="F907" i="26"/>
  <c r="G907" i="26" s="1"/>
  <c r="J907" i="26"/>
  <c r="O907" i="26" s="1"/>
  <c r="L907" i="26"/>
  <c r="N907" i="26"/>
  <c r="P907" i="26"/>
  <c r="F908" i="26"/>
  <c r="G908" i="26" s="1"/>
  <c r="H908" i="26" s="1"/>
  <c r="J908" i="26"/>
  <c r="L908" i="26"/>
  <c r="N908" i="26"/>
  <c r="P908" i="26"/>
  <c r="F909" i="26"/>
  <c r="J909" i="26"/>
  <c r="O909" i="26" s="1"/>
  <c r="L909" i="26"/>
  <c r="N909" i="26"/>
  <c r="P909" i="26"/>
  <c r="F910" i="26"/>
  <c r="G910" i="26" s="1"/>
  <c r="J910" i="26"/>
  <c r="K910" i="26" s="1"/>
  <c r="L910" i="26"/>
  <c r="N910" i="26"/>
  <c r="P910" i="26"/>
  <c r="F911" i="26"/>
  <c r="G911" i="26" s="1"/>
  <c r="J911" i="26"/>
  <c r="O911" i="26" s="1"/>
  <c r="L911" i="26"/>
  <c r="N911" i="26"/>
  <c r="P911" i="26"/>
  <c r="F912" i="26"/>
  <c r="G912" i="26" s="1"/>
  <c r="J912" i="26"/>
  <c r="L912" i="26"/>
  <c r="N912" i="26"/>
  <c r="P912" i="26"/>
  <c r="F913" i="26"/>
  <c r="J913" i="26"/>
  <c r="O913" i="26" s="1"/>
  <c r="L913" i="26"/>
  <c r="N913" i="26"/>
  <c r="P913" i="26"/>
  <c r="F914" i="26"/>
  <c r="G914" i="26" s="1"/>
  <c r="J914" i="26"/>
  <c r="K914" i="26" s="1"/>
  <c r="L914" i="26"/>
  <c r="N914" i="26"/>
  <c r="P914" i="26"/>
  <c r="F915" i="26"/>
  <c r="G915" i="26" s="1"/>
  <c r="J915" i="26"/>
  <c r="O915" i="26" s="1"/>
  <c r="L915" i="26"/>
  <c r="N915" i="26"/>
  <c r="P915" i="26"/>
  <c r="F916" i="26"/>
  <c r="G916" i="26" s="1"/>
  <c r="H916" i="26" s="1"/>
  <c r="J916" i="26"/>
  <c r="L916" i="26"/>
  <c r="N916" i="26"/>
  <c r="P916" i="26"/>
  <c r="F917" i="26"/>
  <c r="J917" i="26"/>
  <c r="L917" i="26"/>
  <c r="N917" i="26"/>
  <c r="P917" i="26"/>
  <c r="F918" i="26"/>
  <c r="J918" i="26"/>
  <c r="L918" i="26"/>
  <c r="N918" i="26"/>
  <c r="P918" i="26"/>
  <c r="F919" i="26"/>
  <c r="J919" i="26"/>
  <c r="O919" i="26" s="1"/>
  <c r="L919" i="26"/>
  <c r="N919" i="26"/>
  <c r="P919" i="26"/>
  <c r="F920" i="26"/>
  <c r="G920" i="26" s="1"/>
  <c r="J920" i="26"/>
  <c r="L920" i="26"/>
  <c r="N920" i="26"/>
  <c r="P920" i="26"/>
  <c r="F921" i="26"/>
  <c r="J921" i="26"/>
  <c r="L921" i="26"/>
  <c r="N921" i="26"/>
  <c r="P921" i="26"/>
  <c r="F922" i="26"/>
  <c r="G922" i="26" s="1"/>
  <c r="J922" i="26"/>
  <c r="L922" i="26"/>
  <c r="N922" i="26"/>
  <c r="P922" i="26"/>
  <c r="F923" i="26"/>
  <c r="J923" i="26"/>
  <c r="O923" i="26" s="1"/>
  <c r="L923" i="26"/>
  <c r="N923" i="26"/>
  <c r="P923" i="26"/>
  <c r="F924" i="26"/>
  <c r="G924" i="26" s="1"/>
  <c r="H924" i="26" s="1"/>
  <c r="J924" i="26"/>
  <c r="O924" i="26" s="1"/>
  <c r="F925" i="26"/>
  <c r="J925" i="26"/>
  <c r="O925" i="26" s="1"/>
  <c r="L925" i="26"/>
  <c r="N925" i="26"/>
  <c r="P925" i="26"/>
  <c r="J926" i="26"/>
  <c r="K926" i="26" s="1"/>
  <c r="L926" i="26"/>
  <c r="N926" i="26"/>
  <c r="P926" i="26"/>
  <c r="J927" i="26"/>
  <c r="O927" i="26" s="1"/>
  <c r="L927" i="26"/>
  <c r="N927" i="26"/>
  <c r="P927" i="26"/>
  <c r="J928" i="26"/>
  <c r="L928" i="26"/>
  <c r="N928" i="26"/>
  <c r="P928" i="26"/>
  <c r="J929" i="26"/>
  <c r="L929" i="26"/>
  <c r="N929" i="26"/>
  <c r="P929" i="26"/>
  <c r="J930" i="26"/>
  <c r="L930" i="26"/>
  <c r="N930" i="26"/>
  <c r="P930" i="26"/>
  <c r="J931" i="26"/>
  <c r="L931" i="26"/>
  <c r="N931" i="26"/>
  <c r="P931" i="26"/>
  <c r="J932" i="26"/>
  <c r="L932" i="26"/>
  <c r="N932" i="26"/>
  <c r="P932" i="26"/>
  <c r="J933" i="26"/>
  <c r="O933" i="26" s="1"/>
  <c r="F934" i="26"/>
  <c r="G934" i="26" s="1"/>
  <c r="J934" i="26"/>
  <c r="L934" i="26"/>
  <c r="N934" i="26"/>
  <c r="P934" i="26"/>
  <c r="F935" i="26"/>
  <c r="G935" i="26" s="1"/>
  <c r="J935" i="26"/>
  <c r="O935" i="26" s="1"/>
  <c r="L935" i="26"/>
  <c r="N935" i="26"/>
  <c r="P935" i="26"/>
  <c r="F936" i="26"/>
  <c r="J936" i="26"/>
  <c r="L936" i="26"/>
  <c r="N936" i="26"/>
  <c r="P936" i="26"/>
  <c r="F937" i="26"/>
  <c r="G937" i="26" s="1"/>
  <c r="J937" i="26"/>
  <c r="O937" i="26" s="1"/>
  <c r="L937" i="26"/>
  <c r="N937" i="26"/>
  <c r="P937" i="26"/>
  <c r="F938" i="26"/>
  <c r="J938" i="26"/>
  <c r="K938" i="26" s="1"/>
  <c r="L938" i="26"/>
  <c r="N938" i="26"/>
  <c r="P938" i="26"/>
  <c r="F939" i="26"/>
  <c r="J939" i="26"/>
  <c r="L939" i="26"/>
  <c r="N939" i="26"/>
  <c r="P939" i="26"/>
  <c r="F940" i="26"/>
  <c r="G940" i="26" s="1"/>
  <c r="H940" i="26" s="1"/>
  <c r="J940" i="26"/>
  <c r="K940" i="26" s="1"/>
  <c r="L940" i="26"/>
  <c r="N940" i="26"/>
  <c r="P940" i="26"/>
  <c r="F941" i="26"/>
  <c r="J941" i="26"/>
  <c r="O941" i="26" s="1"/>
  <c r="L941" i="26"/>
  <c r="N941" i="26"/>
  <c r="P941" i="26"/>
  <c r="F942" i="26"/>
  <c r="G942" i="26" s="1"/>
  <c r="J942" i="26"/>
  <c r="K942" i="26" s="1"/>
  <c r="L942" i="26"/>
  <c r="N942" i="26"/>
  <c r="P942" i="26"/>
  <c r="F943" i="26"/>
  <c r="G943" i="26" s="1"/>
  <c r="J943" i="26"/>
  <c r="O943" i="26" s="1"/>
  <c r="F944" i="26"/>
  <c r="G944" i="26" s="1"/>
  <c r="J944" i="26"/>
  <c r="K944" i="26" s="1"/>
  <c r="L944" i="26"/>
  <c r="N944" i="26"/>
  <c r="P944" i="26"/>
  <c r="F945" i="26"/>
  <c r="J945" i="26"/>
  <c r="O945" i="26" s="1"/>
  <c r="L945" i="26"/>
  <c r="N945" i="26"/>
  <c r="P945" i="26"/>
  <c r="F946" i="26"/>
  <c r="J946" i="26"/>
  <c r="K946" i="26" s="1"/>
  <c r="L946" i="26"/>
  <c r="N946" i="26"/>
  <c r="P946" i="26"/>
  <c r="F947" i="26"/>
  <c r="G947" i="26" s="1"/>
  <c r="J947" i="26"/>
  <c r="L947" i="26"/>
  <c r="N947" i="26"/>
  <c r="P947" i="26"/>
  <c r="F948" i="26"/>
  <c r="G948" i="26" s="1"/>
  <c r="J948" i="26"/>
  <c r="K948" i="26" s="1"/>
  <c r="L948" i="26"/>
  <c r="N948" i="26"/>
  <c r="P948" i="26"/>
  <c r="F949" i="26"/>
  <c r="G949" i="26" s="1"/>
  <c r="J949" i="26"/>
  <c r="L949" i="26"/>
  <c r="N949" i="26"/>
  <c r="P949" i="26"/>
  <c r="F950" i="26"/>
  <c r="J950" i="26"/>
  <c r="K950" i="26" s="1"/>
  <c r="L950" i="26"/>
  <c r="N950" i="26"/>
  <c r="P950" i="26"/>
  <c r="F951" i="26"/>
  <c r="G951" i="26" s="1"/>
  <c r="J951" i="26"/>
  <c r="K951" i="26" s="1"/>
  <c r="F952" i="26"/>
  <c r="G952" i="26" s="1"/>
  <c r="J952" i="26"/>
  <c r="L952" i="26"/>
  <c r="N952" i="26"/>
  <c r="P952" i="26"/>
  <c r="F953" i="26"/>
  <c r="G953" i="26" s="1"/>
  <c r="J953" i="26"/>
  <c r="O953" i="26" s="1"/>
  <c r="L953" i="26"/>
  <c r="N953" i="26"/>
  <c r="P953" i="26"/>
  <c r="F954" i="26"/>
  <c r="J954" i="26"/>
  <c r="K954" i="26" s="1"/>
  <c r="L954" i="26"/>
  <c r="N954" i="26"/>
  <c r="P954" i="26"/>
  <c r="F955" i="26"/>
  <c r="J955" i="26"/>
  <c r="O955" i="26" s="1"/>
  <c r="L955" i="26"/>
  <c r="N955" i="26"/>
  <c r="P955" i="26"/>
  <c r="F956" i="26"/>
  <c r="J956" i="26"/>
  <c r="L956" i="26"/>
  <c r="N956" i="26"/>
  <c r="P956" i="26"/>
  <c r="F957" i="26"/>
  <c r="G957" i="26" s="1"/>
  <c r="J957" i="26"/>
  <c r="O957" i="26" s="1"/>
  <c r="L957" i="26"/>
  <c r="N957" i="26"/>
  <c r="P957" i="26"/>
  <c r="F958" i="26"/>
  <c r="G958" i="26" s="1"/>
  <c r="J958" i="26"/>
  <c r="L958" i="26"/>
  <c r="N958" i="26"/>
  <c r="P958" i="26"/>
  <c r="F959" i="26"/>
  <c r="G959" i="26" s="1"/>
  <c r="J959" i="26"/>
  <c r="O959" i="26" s="1"/>
  <c r="L959" i="26"/>
  <c r="N959" i="26"/>
  <c r="P959" i="26"/>
  <c r="F960" i="26"/>
  <c r="G960" i="26" s="1"/>
  <c r="H960" i="26" s="1"/>
  <c r="J960" i="26"/>
  <c r="K960" i="26" s="1"/>
  <c r="L960" i="26"/>
  <c r="N960" i="26"/>
  <c r="P960" i="26"/>
  <c r="F961" i="26"/>
  <c r="G961" i="26" s="1"/>
  <c r="J961" i="26"/>
  <c r="L961" i="26"/>
  <c r="N961" i="26"/>
  <c r="P961" i="26"/>
  <c r="F962" i="26"/>
  <c r="G962" i="26" s="1"/>
  <c r="J962" i="26"/>
  <c r="L962" i="26"/>
  <c r="N962" i="26"/>
  <c r="P962" i="26"/>
  <c r="F963" i="26"/>
  <c r="G963" i="26" s="1"/>
  <c r="J963" i="26"/>
  <c r="L963" i="26"/>
  <c r="N963" i="26"/>
  <c r="P963" i="26"/>
  <c r="F964" i="26"/>
  <c r="G964" i="26" s="1"/>
  <c r="H964" i="26" s="1"/>
  <c r="J964" i="26"/>
  <c r="K964" i="26" s="1"/>
  <c r="L964" i="26"/>
  <c r="N964" i="26"/>
  <c r="P964" i="26"/>
  <c r="F965" i="26"/>
  <c r="G965" i="26" s="1"/>
  <c r="J965" i="26"/>
  <c r="L965" i="26"/>
  <c r="N965" i="26"/>
  <c r="P965" i="26"/>
  <c r="F966" i="26"/>
  <c r="J966" i="26"/>
  <c r="K966" i="26" s="1"/>
  <c r="L966" i="26"/>
  <c r="N966" i="26"/>
  <c r="P966" i="26"/>
  <c r="F967" i="26"/>
  <c r="G967" i="26" s="1"/>
  <c r="J967" i="26"/>
  <c r="O967" i="26" s="1"/>
  <c r="L967" i="26"/>
  <c r="N967" i="26"/>
  <c r="P967" i="26"/>
  <c r="F968" i="26"/>
  <c r="G968" i="26" s="1"/>
  <c r="J968" i="26"/>
  <c r="L968" i="26"/>
  <c r="N968" i="26"/>
  <c r="P968" i="26"/>
  <c r="F969" i="26"/>
  <c r="G969" i="26" s="1"/>
  <c r="J969" i="26"/>
  <c r="L969" i="26"/>
  <c r="N969" i="26"/>
  <c r="P969" i="26"/>
  <c r="F970" i="26"/>
  <c r="J970" i="26"/>
  <c r="K970" i="26" s="1"/>
  <c r="L970" i="26"/>
  <c r="N970" i="26"/>
  <c r="P970" i="26"/>
  <c r="F971" i="26"/>
  <c r="J971" i="26"/>
  <c r="O971" i="26" s="1"/>
  <c r="L971" i="26"/>
  <c r="N971" i="26"/>
  <c r="P971" i="26"/>
  <c r="F972" i="26"/>
  <c r="J972" i="26"/>
  <c r="K972" i="26" s="1"/>
  <c r="L972" i="26"/>
  <c r="N972" i="26"/>
  <c r="P972" i="26"/>
  <c r="F973" i="26"/>
  <c r="G973" i="26" s="1"/>
  <c r="J973" i="26"/>
  <c r="O973" i="26" s="1"/>
  <c r="L973" i="26"/>
  <c r="N973" i="26"/>
  <c r="P973" i="26"/>
  <c r="F974" i="26"/>
  <c r="G974" i="26" s="1"/>
  <c r="J974" i="26"/>
  <c r="L974" i="26"/>
  <c r="N974" i="26"/>
  <c r="P974" i="26"/>
  <c r="F975" i="26"/>
  <c r="G975" i="26" s="1"/>
  <c r="J975" i="26"/>
  <c r="O975" i="26" s="1"/>
  <c r="L975" i="26"/>
  <c r="N975" i="26"/>
  <c r="P975" i="26"/>
  <c r="F976" i="26"/>
  <c r="G976" i="26" s="1"/>
  <c r="J976" i="26"/>
  <c r="K976" i="26" s="1"/>
  <c r="L976" i="26"/>
  <c r="N976" i="26"/>
  <c r="P976" i="26"/>
  <c r="F977" i="26"/>
  <c r="G977" i="26" s="1"/>
  <c r="J977" i="26"/>
  <c r="L977" i="26"/>
  <c r="N977" i="26"/>
  <c r="P977" i="26"/>
  <c r="F978" i="26"/>
  <c r="J978" i="26"/>
  <c r="L978" i="26"/>
  <c r="N978" i="26"/>
  <c r="P978" i="26"/>
  <c r="F979" i="26"/>
  <c r="J979" i="26"/>
  <c r="L979" i="26"/>
  <c r="N979" i="26"/>
  <c r="P979" i="26"/>
  <c r="F980" i="26"/>
  <c r="J980" i="26"/>
  <c r="L980" i="26"/>
  <c r="N980" i="26"/>
  <c r="P980" i="26"/>
  <c r="F981" i="26"/>
  <c r="G981" i="26" s="1"/>
  <c r="J981" i="26"/>
  <c r="O981" i="26" s="1"/>
  <c r="L981" i="26"/>
  <c r="N981" i="26"/>
  <c r="P981" i="26"/>
  <c r="F982" i="26"/>
  <c r="G982" i="26" s="1"/>
  <c r="J982" i="26"/>
  <c r="O982" i="26" s="1"/>
  <c r="F983" i="26"/>
  <c r="G983" i="26" s="1"/>
  <c r="J983" i="26"/>
  <c r="O983" i="26" s="1"/>
  <c r="L983" i="26"/>
  <c r="N983" i="26"/>
  <c r="P983" i="26"/>
  <c r="F984" i="26"/>
  <c r="J984" i="26"/>
  <c r="L984" i="26"/>
  <c r="N984" i="26"/>
  <c r="P984" i="26"/>
  <c r="F985" i="26"/>
  <c r="J985" i="26"/>
  <c r="O985" i="26" s="1"/>
  <c r="L985" i="26"/>
  <c r="N985" i="26"/>
  <c r="P985" i="26"/>
  <c r="F986" i="26"/>
  <c r="G986" i="26" s="1"/>
  <c r="H986" i="26" s="1"/>
  <c r="J986" i="26"/>
  <c r="L986" i="26"/>
  <c r="N986" i="26"/>
  <c r="P986" i="26"/>
  <c r="F987" i="26"/>
  <c r="J987" i="26"/>
  <c r="O987" i="26" s="1"/>
  <c r="L987" i="26"/>
  <c r="N987" i="26"/>
  <c r="P987" i="26"/>
  <c r="F988" i="26"/>
  <c r="J988" i="26"/>
  <c r="K988" i="26" s="1"/>
  <c r="L988" i="26"/>
  <c r="N988" i="26"/>
  <c r="P988" i="26"/>
  <c r="F989" i="26"/>
  <c r="J989" i="26"/>
  <c r="L989" i="26"/>
  <c r="N989" i="26"/>
  <c r="P989" i="26"/>
  <c r="F990" i="26"/>
  <c r="J990" i="26"/>
  <c r="L990" i="26"/>
  <c r="N990" i="26"/>
  <c r="P990" i="26"/>
  <c r="F991" i="26"/>
  <c r="G991" i="26" s="1"/>
  <c r="J991" i="26"/>
  <c r="O991" i="26" s="1"/>
  <c r="L991" i="26"/>
  <c r="N991" i="26"/>
  <c r="P991" i="26"/>
  <c r="F992" i="26"/>
  <c r="G992" i="26" s="1"/>
  <c r="H992" i="26" s="1"/>
  <c r="J992" i="26"/>
  <c r="K992" i="26" s="1"/>
  <c r="L992" i="26"/>
  <c r="N992" i="26"/>
  <c r="P992" i="26"/>
  <c r="F993" i="26"/>
  <c r="G993" i="26" s="1"/>
  <c r="J993" i="26"/>
  <c r="O993" i="26" s="1"/>
  <c r="L993" i="26"/>
  <c r="N993" i="26"/>
  <c r="P993" i="26"/>
  <c r="F994" i="26"/>
  <c r="J994" i="26"/>
  <c r="L994" i="26"/>
  <c r="N994" i="26"/>
  <c r="P994" i="26"/>
  <c r="F995" i="26"/>
  <c r="J995" i="26"/>
  <c r="L995" i="26"/>
  <c r="N995" i="26"/>
  <c r="P995" i="26"/>
  <c r="F996" i="26"/>
  <c r="G996" i="26" s="1"/>
  <c r="H996" i="26" s="1"/>
  <c r="J996" i="26"/>
  <c r="L996" i="26"/>
  <c r="N996" i="26"/>
  <c r="P996" i="26"/>
  <c r="F997" i="26"/>
  <c r="G997" i="26" s="1"/>
  <c r="J997" i="26"/>
  <c r="O997" i="26" s="1"/>
  <c r="L997" i="26"/>
  <c r="N997" i="26"/>
  <c r="P997" i="26"/>
  <c r="F998" i="26"/>
  <c r="J998" i="26"/>
  <c r="L998" i="26"/>
  <c r="N998" i="26"/>
  <c r="P998" i="26"/>
  <c r="F999" i="26"/>
  <c r="J999" i="26"/>
  <c r="O999" i="26" s="1"/>
  <c r="L999" i="26"/>
  <c r="N999" i="26"/>
  <c r="P999" i="26"/>
  <c r="F1000" i="26"/>
  <c r="G1000" i="26" s="1"/>
  <c r="J1000" i="26"/>
  <c r="L1000" i="26"/>
  <c r="N1000" i="26"/>
  <c r="P1000" i="26"/>
  <c r="F1001" i="26"/>
  <c r="J1001" i="26"/>
  <c r="O1001" i="26" s="1"/>
  <c r="L1001" i="26"/>
  <c r="N1001" i="26"/>
  <c r="P1001" i="26"/>
  <c r="F1002" i="26"/>
  <c r="J1002" i="26"/>
  <c r="L1002" i="26"/>
  <c r="N1002" i="26"/>
  <c r="P1002" i="26"/>
  <c r="F1003" i="26"/>
  <c r="J1003" i="26"/>
  <c r="O1003" i="26" s="1"/>
  <c r="L1003" i="26"/>
  <c r="N1003" i="26"/>
  <c r="P1003" i="26"/>
  <c r="F1004" i="26"/>
  <c r="G1004" i="26" s="1"/>
  <c r="H1004" i="26" s="1"/>
  <c r="J1004" i="26"/>
  <c r="L1004" i="26"/>
  <c r="N1004" i="26"/>
  <c r="P1004" i="26"/>
  <c r="F1005" i="26"/>
  <c r="G1005" i="26" s="1"/>
  <c r="J1005" i="26"/>
  <c r="O1005" i="26" s="1"/>
  <c r="L1005" i="26"/>
  <c r="N1005" i="26"/>
  <c r="P1005" i="26"/>
  <c r="F1006" i="26"/>
  <c r="J1006" i="26"/>
  <c r="J1007" i="26"/>
  <c r="O1007" i="26" s="1"/>
  <c r="L1007" i="26"/>
  <c r="N1007" i="26"/>
  <c r="P1007" i="26"/>
  <c r="J1008" i="26"/>
  <c r="L1008" i="26"/>
  <c r="N1008" i="26"/>
  <c r="P1008" i="26"/>
  <c r="J1009" i="26"/>
  <c r="L1009" i="26"/>
  <c r="N1009" i="26"/>
  <c r="P1009" i="26"/>
  <c r="J1010" i="26"/>
  <c r="K1010" i="26" s="1"/>
  <c r="L1010" i="26"/>
  <c r="N1010" i="26"/>
  <c r="P1010" i="26"/>
  <c r="J1011" i="26"/>
  <c r="O1011" i="26" s="1"/>
  <c r="L1011" i="26"/>
  <c r="N1011" i="26"/>
  <c r="P1011" i="26"/>
  <c r="J1012" i="26"/>
  <c r="L1012" i="26"/>
  <c r="N1012" i="26"/>
  <c r="P1012" i="26"/>
  <c r="J1013" i="26"/>
  <c r="K1013" i="26" s="1"/>
  <c r="L1013" i="26"/>
  <c r="N1013" i="26"/>
  <c r="P1013" i="26"/>
  <c r="J1014" i="26"/>
  <c r="K1014" i="26" s="1"/>
  <c r="L1014" i="26"/>
  <c r="N1014" i="26"/>
  <c r="P1014" i="26"/>
  <c r="J1015" i="26"/>
  <c r="O1015" i="26" s="1"/>
  <c r="L1015" i="26"/>
  <c r="N1015" i="26"/>
  <c r="P1015" i="26"/>
  <c r="J1016" i="26"/>
  <c r="O1016" i="26" s="1"/>
  <c r="L1016" i="26"/>
  <c r="N1016" i="26"/>
  <c r="P1016" i="26"/>
  <c r="J1017" i="26"/>
  <c r="O1017" i="26" s="1"/>
  <c r="L1017" i="26"/>
  <c r="N1017" i="26"/>
  <c r="P1017" i="26"/>
  <c r="J1018" i="26"/>
  <c r="K1018" i="26" s="1"/>
  <c r="L1018" i="26"/>
  <c r="N1018" i="26"/>
  <c r="P1018" i="26"/>
  <c r="J1019" i="26"/>
  <c r="O1019" i="26" s="1"/>
  <c r="J1020" i="26"/>
  <c r="L1020" i="26"/>
  <c r="N1020" i="26"/>
  <c r="P1020" i="26"/>
  <c r="F1021" i="26"/>
  <c r="J1021" i="26"/>
  <c r="O1021" i="26" s="1"/>
  <c r="L1021" i="26"/>
  <c r="N1021" i="26"/>
  <c r="P1021" i="26"/>
  <c r="F1022" i="26"/>
  <c r="J1022" i="26"/>
  <c r="O1022" i="26" s="1"/>
  <c r="L1022" i="26"/>
  <c r="N1022" i="26"/>
  <c r="P1022" i="26"/>
  <c r="F1023" i="26"/>
  <c r="G1023" i="26" s="1"/>
  <c r="H1023" i="26" s="1"/>
  <c r="J1023" i="26"/>
  <c r="K1023" i="26" s="1"/>
  <c r="L1023" i="26"/>
  <c r="N1023" i="26"/>
  <c r="P1023" i="26"/>
  <c r="F1024" i="26"/>
  <c r="G1024" i="26" s="1"/>
  <c r="J1024" i="26"/>
  <c r="L1024" i="26"/>
  <c r="N1024" i="26"/>
  <c r="P1024" i="26"/>
  <c r="F1025" i="26"/>
  <c r="J1025" i="26"/>
  <c r="O1025" i="26" s="1"/>
  <c r="L1025" i="26"/>
  <c r="N1025" i="26"/>
  <c r="P1025" i="26"/>
  <c r="F1026" i="26"/>
  <c r="G1026" i="26" s="1"/>
  <c r="J1026" i="26"/>
  <c r="K1026" i="26" s="1"/>
  <c r="L1026" i="26"/>
  <c r="N1026" i="26"/>
  <c r="P1026" i="26"/>
  <c r="F1027" i="26"/>
  <c r="G1027" i="26" s="1"/>
  <c r="H1027" i="26" s="1"/>
  <c r="J1027" i="26"/>
  <c r="K1027" i="26" s="1"/>
  <c r="L1027" i="26"/>
  <c r="N1027" i="26"/>
  <c r="P1027" i="26"/>
  <c r="F1028" i="26"/>
  <c r="G1028" i="26" s="1"/>
  <c r="J1028" i="26"/>
  <c r="O1028" i="26" s="1"/>
  <c r="F1029" i="26"/>
  <c r="G1029" i="26" s="1"/>
  <c r="H1029" i="26" s="1"/>
  <c r="J1029" i="26"/>
  <c r="K1029" i="26" s="1"/>
  <c r="L1029" i="26"/>
  <c r="N1029" i="26"/>
  <c r="P1029" i="26"/>
  <c r="F1030" i="26"/>
  <c r="J1030" i="26"/>
  <c r="O1030" i="26" s="1"/>
  <c r="F1031" i="26"/>
  <c r="G1031" i="26" s="1"/>
  <c r="H1031" i="26" s="1"/>
  <c r="J1031" i="26"/>
  <c r="O1031" i="26" s="1"/>
  <c r="L1031" i="26"/>
  <c r="N1031" i="26"/>
  <c r="P1031" i="26"/>
  <c r="F1032" i="26"/>
  <c r="G1032" i="26" s="1"/>
  <c r="J1032" i="26"/>
  <c r="L1032" i="26"/>
  <c r="N1032" i="26"/>
  <c r="P1032" i="26"/>
  <c r="F1033" i="26"/>
  <c r="G1033" i="26" s="1"/>
  <c r="J1033" i="26"/>
  <c r="O1033" i="26" s="1"/>
  <c r="L1033" i="26"/>
  <c r="N1033" i="26"/>
  <c r="P1033" i="26"/>
  <c r="F1034" i="26"/>
  <c r="G1034" i="26" s="1"/>
  <c r="J1034" i="26"/>
  <c r="K1034" i="26" s="1"/>
  <c r="L1034" i="26"/>
  <c r="N1034" i="26"/>
  <c r="P1034" i="26"/>
  <c r="F1035" i="26"/>
  <c r="G1035" i="26" s="1"/>
  <c r="H1035" i="26" s="1"/>
  <c r="J1035" i="26"/>
  <c r="K1035" i="26" s="1"/>
  <c r="L1035" i="26"/>
  <c r="N1035" i="26"/>
  <c r="P1035" i="26"/>
  <c r="F1036" i="26"/>
  <c r="G1036" i="26" s="1"/>
  <c r="J1036" i="26"/>
  <c r="O1036" i="26" s="1"/>
  <c r="L1036" i="26"/>
  <c r="N1036" i="26"/>
  <c r="P1036" i="26"/>
  <c r="F1037" i="26"/>
  <c r="G1037" i="26" s="1"/>
  <c r="H1037" i="26" s="1"/>
  <c r="J1037" i="26"/>
  <c r="O1037" i="26" s="1"/>
  <c r="L1037" i="26"/>
  <c r="N1037" i="26"/>
  <c r="P1037" i="26"/>
  <c r="F1038" i="26"/>
  <c r="G1038" i="26" s="1"/>
  <c r="J1038" i="26"/>
  <c r="O1038" i="26" s="1"/>
  <c r="L1038" i="26"/>
  <c r="N1038" i="26"/>
  <c r="P1038" i="26"/>
  <c r="F1039" i="26"/>
  <c r="G1039" i="26" s="1"/>
  <c r="J1039" i="26"/>
  <c r="K1039" i="26" s="1"/>
  <c r="L1039" i="26"/>
  <c r="N1039" i="26"/>
  <c r="P1039" i="26"/>
  <c r="F1040" i="26"/>
  <c r="G1040" i="26" s="1"/>
  <c r="J1040" i="26"/>
  <c r="L1040" i="26"/>
  <c r="N1040" i="26"/>
  <c r="P1040" i="26"/>
  <c r="F1041" i="26"/>
  <c r="G1041" i="26" s="1"/>
  <c r="J1041" i="26"/>
  <c r="O1041" i="26" s="1"/>
  <c r="F1042" i="26"/>
  <c r="G1042" i="26" s="1"/>
  <c r="J1042" i="26"/>
  <c r="O1042" i="26" s="1"/>
  <c r="L1042" i="26"/>
  <c r="N1042" i="26"/>
  <c r="P1042" i="26"/>
  <c r="A21" i="27"/>
  <c r="G21" i="27" s="1"/>
  <c r="A18" i="27"/>
  <c r="A19" i="27"/>
  <c r="A20" i="27"/>
  <c r="G20" i="27" s="1"/>
  <c r="F811" i="26"/>
  <c r="G811" i="26" s="1"/>
  <c r="J811" i="26"/>
  <c r="L811" i="26"/>
  <c r="N811" i="26"/>
  <c r="P811" i="26"/>
  <c r="F812" i="26"/>
  <c r="J812" i="26"/>
  <c r="L812" i="26"/>
  <c r="N812" i="26"/>
  <c r="P812" i="26"/>
  <c r="F813" i="26"/>
  <c r="G813" i="26" s="1"/>
  <c r="J813" i="26"/>
  <c r="L813" i="26"/>
  <c r="N813" i="26"/>
  <c r="P813" i="26"/>
  <c r="F814" i="26"/>
  <c r="G814" i="26" s="1"/>
  <c r="J814" i="26"/>
  <c r="L814" i="26"/>
  <c r="N814" i="26"/>
  <c r="P814" i="26"/>
  <c r="F815" i="26"/>
  <c r="G815" i="26" s="1"/>
  <c r="J815" i="26"/>
  <c r="L815" i="26"/>
  <c r="N815" i="26"/>
  <c r="P815" i="26"/>
  <c r="F816" i="26"/>
  <c r="G816" i="26" s="1"/>
  <c r="J816" i="26"/>
  <c r="L816" i="26"/>
  <c r="N816" i="26"/>
  <c r="P816" i="26"/>
  <c r="F817" i="26"/>
  <c r="G817" i="26" s="1"/>
  <c r="J817" i="26"/>
  <c r="L817" i="26"/>
  <c r="N817" i="26"/>
  <c r="P817" i="26"/>
  <c r="F818" i="26"/>
  <c r="G818" i="26" s="1"/>
  <c r="J818" i="26"/>
  <c r="L818" i="26"/>
  <c r="N818" i="26"/>
  <c r="P818" i="26"/>
  <c r="F819" i="26"/>
  <c r="G819" i="26" s="1"/>
  <c r="J819" i="26"/>
  <c r="L819" i="26"/>
  <c r="N819" i="26"/>
  <c r="P819" i="26"/>
  <c r="F820" i="26"/>
  <c r="J820" i="26"/>
  <c r="L820" i="26"/>
  <c r="N820" i="26"/>
  <c r="P820" i="26"/>
  <c r="F821" i="26"/>
  <c r="G821" i="26" s="1"/>
  <c r="J821" i="26"/>
  <c r="L821" i="26"/>
  <c r="N821" i="26"/>
  <c r="P821" i="26"/>
  <c r="F822" i="26"/>
  <c r="G822" i="26" s="1"/>
  <c r="J822" i="26"/>
  <c r="L822" i="26"/>
  <c r="N822" i="26"/>
  <c r="P822" i="26"/>
  <c r="F823" i="26"/>
  <c r="G823" i="26" s="1"/>
  <c r="J823" i="26"/>
  <c r="L823" i="26"/>
  <c r="N823" i="26"/>
  <c r="P823" i="26"/>
  <c r="F824" i="26"/>
  <c r="G824" i="26" s="1"/>
  <c r="J824" i="26"/>
  <c r="O824" i="26" s="1"/>
  <c r="F825" i="26"/>
  <c r="G825" i="26" s="1"/>
  <c r="J825" i="26"/>
  <c r="O825" i="26" s="1"/>
  <c r="F826" i="26"/>
  <c r="G826" i="26" s="1"/>
  <c r="J826" i="26"/>
  <c r="L826" i="26"/>
  <c r="N826" i="26"/>
  <c r="P826" i="26"/>
  <c r="F827" i="26"/>
  <c r="G827" i="26" s="1"/>
  <c r="J827" i="26"/>
  <c r="L827" i="26"/>
  <c r="N827" i="26"/>
  <c r="P827" i="26"/>
  <c r="F828" i="26"/>
  <c r="G828" i="26" s="1"/>
  <c r="J828" i="26"/>
  <c r="L828" i="26"/>
  <c r="N828" i="26"/>
  <c r="P828" i="26"/>
  <c r="F829" i="26"/>
  <c r="J829" i="26"/>
  <c r="L829" i="26"/>
  <c r="N829" i="26"/>
  <c r="P829" i="26"/>
  <c r="F830" i="26"/>
  <c r="G830" i="26" s="1"/>
  <c r="J830" i="26"/>
  <c r="L830" i="26"/>
  <c r="N830" i="26"/>
  <c r="P830" i="26"/>
  <c r="F831" i="26"/>
  <c r="G831" i="26" s="1"/>
  <c r="J831" i="26"/>
  <c r="L831" i="26"/>
  <c r="N831" i="26"/>
  <c r="P831" i="26"/>
  <c r="F832" i="26"/>
  <c r="J832" i="26"/>
  <c r="L832" i="26"/>
  <c r="N832" i="26"/>
  <c r="P832" i="26"/>
  <c r="F833" i="26"/>
  <c r="G833" i="26" s="1"/>
  <c r="J833" i="26"/>
  <c r="L833" i="26"/>
  <c r="N833" i="26"/>
  <c r="P833" i="26"/>
  <c r="F834" i="26"/>
  <c r="G834" i="26" s="1"/>
  <c r="J834" i="26"/>
  <c r="L834" i="26"/>
  <c r="N834" i="26"/>
  <c r="P834" i="26"/>
  <c r="F835" i="26"/>
  <c r="G835" i="26" s="1"/>
  <c r="J835" i="26"/>
  <c r="L835" i="26"/>
  <c r="N835" i="26"/>
  <c r="P835" i="26"/>
  <c r="F836" i="26"/>
  <c r="G836" i="26" s="1"/>
  <c r="J836" i="26"/>
  <c r="L836" i="26"/>
  <c r="N836" i="26"/>
  <c r="P836" i="26"/>
  <c r="F837" i="26"/>
  <c r="G837" i="26" s="1"/>
  <c r="J837" i="26"/>
  <c r="O837" i="26" s="1"/>
  <c r="F838" i="26"/>
  <c r="G838" i="26" s="1"/>
  <c r="J838" i="26"/>
  <c r="L838" i="26"/>
  <c r="N838" i="26"/>
  <c r="P838" i="26"/>
  <c r="F839" i="26"/>
  <c r="G839" i="26" s="1"/>
  <c r="J839" i="26"/>
  <c r="L839" i="26"/>
  <c r="N839" i="26"/>
  <c r="P839" i="26"/>
  <c r="F840" i="26"/>
  <c r="J840" i="26"/>
  <c r="L840" i="26"/>
  <c r="N840" i="26"/>
  <c r="P840" i="26"/>
  <c r="F841" i="26"/>
  <c r="J841" i="26"/>
  <c r="L841" i="26"/>
  <c r="N841" i="26"/>
  <c r="P841" i="26"/>
  <c r="F842" i="26"/>
  <c r="G842" i="26" s="1"/>
  <c r="J842" i="26"/>
  <c r="L842" i="26"/>
  <c r="N842" i="26"/>
  <c r="P842" i="26"/>
  <c r="F843" i="26"/>
  <c r="G843" i="26" s="1"/>
  <c r="J843" i="26"/>
  <c r="L843" i="26"/>
  <c r="N843" i="26"/>
  <c r="P843" i="26"/>
  <c r="F844" i="26"/>
  <c r="J844" i="26"/>
  <c r="L844" i="26"/>
  <c r="N844" i="26"/>
  <c r="P844" i="26"/>
  <c r="F845" i="26"/>
  <c r="J845" i="26"/>
  <c r="L845" i="26"/>
  <c r="N845" i="26"/>
  <c r="P845" i="26"/>
  <c r="F846" i="26"/>
  <c r="G846" i="26" s="1"/>
  <c r="J846" i="26"/>
  <c r="O846" i="26" s="1"/>
  <c r="F847" i="26"/>
  <c r="G847" i="26" s="1"/>
  <c r="J847" i="26"/>
  <c r="L847" i="26"/>
  <c r="N847" i="26"/>
  <c r="P847" i="26"/>
  <c r="F848" i="26"/>
  <c r="J848" i="26"/>
  <c r="L848" i="26"/>
  <c r="N848" i="26"/>
  <c r="P848" i="26"/>
  <c r="F849" i="26"/>
  <c r="J849" i="26"/>
  <c r="L849" i="26"/>
  <c r="N849" i="26"/>
  <c r="P849" i="26"/>
  <c r="F850" i="26"/>
  <c r="G850" i="26" s="1"/>
  <c r="J850" i="26"/>
  <c r="L850" i="26"/>
  <c r="N850" i="26"/>
  <c r="P850" i="26"/>
  <c r="F851" i="26"/>
  <c r="G851" i="26" s="1"/>
  <c r="J851" i="26"/>
  <c r="L851" i="26"/>
  <c r="N851" i="26"/>
  <c r="P851" i="26"/>
  <c r="F852" i="26"/>
  <c r="G852" i="26" s="1"/>
  <c r="J852" i="26"/>
  <c r="L852" i="26"/>
  <c r="N852" i="26"/>
  <c r="P852" i="26"/>
  <c r="F853" i="26"/>
  <c r="J853" i="26"/>
  <c r="L853" i="26"/>
  <c r="N853" i="26"/>
  <c r="P853" i="26"/>
  <c r="F854" i="26"/>
  <c r="J854" i="26"/>
  <c r="L854" i="26"/>
  <c r="N854" i="26"/>
  <c r="P854" i="26"/>
  <c r="F855" i="26"/>
  <c r="G855" i="26" s="1"/>
  <c r="J855" i="26"/>
  <c r="L855" i="26"/>
  <c r="N855" i="26"/>
  <c r="P855" i="26"/>
  <c r="F856" i="26"/>
  <c r="J856" i="26"/>
  <c r="L856" i="26"/>
  <c r="N856" i="26"/>
  <c r="P856" i="26"/>
  <c r="F857" i="26"/>
  <c r="G857" i="26" s="1"/>
  <c r="J857" i="26"/>
  <c r="O857" i="26" s="1"/>
  <c r="F858" i="26"/>
  <c r="J858" i="26"/>
  <c r="L858" i="26"/>
  <c r="N858" i="26"/>
  <c r="P858" i="26"/>
  <c r="F859" i="26"/>
  <c r="G859" i="26" s="1"/>
  <c r="J859" i="26"/>
  <c r="L859" i="26"/>
  <c r="N859" i="26"/>
  <c r="P859" i="26"/>
  <c r="F860" i="26"/>
  <c r="G860" i="26" s="1"/>
  <c r="J860" i="26"/>
  <c r="L860" i="26"/>
  <c r="N860" i="26"/>
  <c r="P860" i="26"/>
  <c r="F861" i="26"/>
  <c r="G861" i="26" s="1"/>
  <c r="J861" i="26"/>
  <c r="L861" i="26"/>
  <c r="N861" i="26"/>
  <c r="P861" i="26"/>
  <c r="F862" i="26"/>
  <c r="J862" i="26"/>
  <c r="L862" i="26"/>
  <c r="N862" i="26"/>
  <c r="P862" i="26"/>
  <c r="F863" i="26"/>
  <c r="G863" i="26" s="1"/>
  <c r="J863" i="26"/>
  <c r="L863" i="26"/>
  <c r="N863" i="26"/>
  <c r="P863" i="26"/>
  <c r="F864" i="26"/>
  <c r="G864" i="26" s="1"/>
  <c r="J864" i="26"/>
  <c r="O864" i="26" s="1"/>
  <c r="L864" i="26"/>
  <c r="N864" i="26"/>
  <c r="P864" i="26"/>
  <c r="F865" i="26"/>
  <c r="G865" i="26" s="1"/>
  <c r="H865" i="26" s="1"/>
  <c r="J865" i="26"/>
  <c r="K865" i="26" s="1"/>
  <c r="F866" i="26"/>
  <c r="J866" i="26"/>
  <c r="O866" i="26" s="1"/>
  <c r="F867" i="26"/>
  <c r="G867" i="26" s="1"/>
  <c r="J867" i="26"/>
  <c r="K867" i="26" s="1"/>
  <c r="L867" i="26"/>
  <c r="N867" i="26"/>
  <c r="P867" i="26"/>
  <c r="F868" i="26"/>
  <c r="G868" i="26" s="1"/>
  <c r="J868" i="26"/>
  <c r="O868" i="26" s="1"/>
  <c r="L868" i="26"/>
  <c r="N868" i="26"/>
  <c r="P868" i="26"/>
  <c r="A17" i="27"/>
  <c r="G17" i="27" s="1"/>
  <c r="A35" i="27"/>
  <c r="L803" i="26"/>
  <c r="N803" i="26"/>
  <c r="P803" i="26"/>
  <c r="L804" i="26"/>
  <c r="N804" i="26"/>
  <c r="P804" i="26"/>
  <c r="L805" i="26"/>
  <c r="N805" i="26"/>
  <c r="P805" i="26"/>
  <c r="L806" i="26"/>
  <c r="N806" i="26"/>
  <c r="P806" i="26"/>
  <c r="L807" i="26"/>
  <c r="N807" i="26"/>
  <c r="P807" i="26"/>
  <c r="L808" i="26"/>
  <c r="N808" i="26"/>
  <c r="P808" i="26"/>
  <c r="L810" i="26"/>
  <c r="N810" i="26"/>
  <c r="P810" i="26"/>
  <c r="P802" i="26"/>
  <c r="N802" i="26"/>
  <c r="L802" i="26"/>
  <c r="F802" i="26"/>
  <c r="G802" i="26" s="1"/>
  <c r="J802" i="26"/>
  <c r="K802" i="26" s="1"/>
  <c r="F803" i="26"/>
  <c r="J803" i="26"/>
  <c r="K803" i="26" s="1"/>
  <c r="F804" i="26"/>
  <c r="J804" i="26"/>
  <c r="K804" i="26" s="1"/>
  <c r="F805" i="26"/>
  <c r="G805" i="26" s="1"/>
  <c r="J805" i="26"/>
  <c r="O805" i="26" s="1"/>
  <c r="F806" i="26"/>
  <c r="G806" i="26" s="1"/>
  <c r="H806" i="26" s="1"/>
  <c r="J806" i="26"/>
  <c r="O806" i="26" s="1"/>
  <c r="F807" i="26"/>
  <c r="G807" i="26" s="1"/>
  <c r="J807" i="26"/>
  <c r="K807" i="26" s="1"/>
  <c r="F808" i="26"/>
  <c r="J808" i="26"/>
  <c r="O808" i="26" s="1"/>
  <c r="F809" i="26"/>
  <c r="J809" i="26"/>
  <c r="K809" i="26" s="1"/>
  <c r="F810" i="26"/>
  <c r="G810" i="26" s="1"/>
  <c r="J810" i="26"/>
  <c r="K810" i="26" s="1"/>
  <c r="F793" i="26"/>
  <c r="G793" i="26" s="1"/>
  <c r="J793" i="26"/>
  <c r="O793" i="26" s="1"/>
  <c r="L793" i="26"/>
  <c r="N793" i="26"/>
  <c r="P793" i="26"/>
  <c r="F794" i="26"/>
  <c r="G794" i="26" s="1"/>
  <c r="J794" i="26"/>
  <c r="K794" i="26" s="1"/>
  <c r="L794" i="26"/>
  <c r="N794" i="26"/>
  <c r="P794" i="26"/>
  <c r="F795" i="26"/>
  <c r="G795" i="26" s="1"/>
  <c r="J795" i="26"/>
  <c r="O795" i="26" s="1"/>
  <c r="L795" i="26"/>
  <c r="N795" i="26"/>
  <c r="P795" i="26"/>
  <c r="F796" i="26"/>
  <c r="G796" i="26" s="1"/>
  <c r="J796" i="26"/>
  <c r="K796" i="26" s="1"/>
  <c r="L796" i="26"/>
  <c r="N796" i="26"/>
  <c r="P796" i="26"/>
  <c r="F797" i="26"/>
  <c r="G797" i="26" s="1"/>
  <c r="J797" i="26"/>
  <c r="O797" i="26" s="1"/>
  <c r="L797" i="26"/>
  <c r="N797" i="26"/>
  <c r="P797" i="26"/>
  <c r="F798" i="26"/>
  <c r="G798" i="26" s="1"/>
  <c r="J798" i="26"/>
  <c r="K798" i="26" s="1"/>
  <c r="L798" i="26"/>
  <c r="N798" i="26"/>
  <c r="P798" i="26"/>
  <c r="F799" i="26"/>
  <c r="G799" i="26" s="1"/>
  <c r="J799" i="26"/>
  <c r="O799" i="26" s="1"/>
  <c r="L799" i="26"/>
  <c r="N799" i="26"/>
  <c r="P799" i="26"/>
  <c r="F800" i="26"/>
  <c r="G800" i="26" s="1"/>
  <c r="J800" i="26"/>
  <c r="K800" i="26" s="1"/>
  <c r="L800" i="26"/>
  <c r="N800" i="26"/>
  <c r="P800" i="26"/>
  <c r="F801" i="26"/>
  <c r="G801" i="26" s="1"/>
  <c r="J801" i="26"/>
  <c r="O801" i="26" s="1"/>
  <c r="A15" i="27"/>
  <c r="A16" i="27"/>
  <c r="A13" i="27"/>
  <c r="F767" i="26"/>
  <c r="G767" i="26" s="1"/>
  <c r="J767" i="26"/>
  <c r="O767" i="26" s="1"/>
  <c r="L767" i="26"/>
  <c r="N767" i="26"/>
  <c r="P767" i="26"/>
  <c r="F768" i="26"/>
  <c r="G768" i="26" s="1"/>
  <c r="J768" i="26"/>
  <c r="K768" i="26" s="1"/>
  <c r="L768" i="26"/>
  <c r="N768" i="26"/>
  <c r="P768" i="26"/>
  <c r="F769" i="26"/>
  <c r="G769" i="26" s="1"/>
  <c r="J769" i="26"/>
  <c r="O769" i="26" s="1"/>
  <c r="L769" i="26"/>
  <c r="N769" i="26"/>
  <c r="P769" i="26"/>
  <c r="F770" i="26"/>
  <c r="G770" i="26" s="1"/>
  <c r="J770" i="26"/>
  <c r="K770" i="26" s="1"/>
  <c r="L770" i="26"/>
  <c r="N770" i="26"/>
  <c r="P770" i="26"/>
  <c r="F771" i="26"/>
  <c r="G771" i="26" s="1"/>
  <c r="J771" i="26"/>
  <c r="O771" i="26" s="1"/>
  <c r="L771" i="26"/>
  <c r="N771" i="26"/>
  <c r="P771" i="26"/>
  <c r="F772" i="26"/>
  <c r="G772" i="26" s="1"/>
  <c r="J772" i="26"/>
  <c r="K772" i="26" s="1"/>
  <c r="L772" i="26"/>
  <c r="N772" i="26"/>
  <c r="P772" i="26"/>
  <c r="F773" i="26"/>
  <c r="G773" i="26" s="1"/>
  <c r="J773" i="26"/>
  <c r="O773" i="26" s="1"/>
  <c r="L773" i="26"/>
  <c r="N773" i="26"/>
  <c r="P773" i="26"/>
  <c r="F774" i="26"/>
  <c r="G774" i="26" s="1"/>
  <c r="J774" i="26"/>
  <c r="K774" i="26" s="1"/>
  <c r="L774" i="26"/>
  <c r="N774" i="26"/>
  <c r="P774" i="26"/>
  <c r="F775" i="26"/>
  <c r="G775" i="26" s="1"/>
  <c r="J775" i="26"/>
  <c r="O775" i="26" s="1"/>
  <c r="L775" i="26"/>
  <c r="N775" i="26"/>
  <c r="P775" i="26"/>
  <c r="F776" i="26"/>
  <c r="G776" i="26" s="1"/>
  <c r="J776" i="26"/>
  <c r="K776" i="26" s="1"/>
  <c r="L776" i="26"/>
  <c r="N776" i="26"/>
  <c r="P776" i="26"/>
  <c r="F777" i="26"/>
  <c r="G777" i="26" s="1"/>
  <c r="J777" i="26"/>
  <c r="O777" i="26" s="1"/>
  <c r="L777" i="26"/>
  <c r="N777" i="26"/>
  <c r="P777" i="26"/>
  <c r="F778" i="26"/>
  <c r="G778" i="26" s="1"/>
  <c r="J778" i="26"/>
  <c r="K778" i="26" s="1"/>
  <c r="F779" i="26"/>
  <c r="G779" i="26" s="1"/>
  <c r="J779" i="26"/>
  <c r="O779" i="26" s="1"/>
  <c r="L779" i="26"/>
  <c r="N779" i="26"/>
  <c r="P779" i="26"/>
  <c r="F780" i="26"/>
  <c r="G780" i="26" s="1"/>
  <c r="J780" i="26"/>
  <c r="K780" i="26" s="1"/>
  <c r="F781" i="26"/>
  <c r="G781" i="26" s="1"/>
  <c r="J781" i="26"/>
  <c r="O781" i="26" s="1"/>
  <c r="L781" i="26"/>
  <c r="N781" i="26"/>
  <c r="P781" i="26"/>
  <c r="F782" i="26"/>
  <c r="G782" i="26" s="1"/>
  <c r="J782" i="26"/>
  <c r="K782" i="26" s="1"/>
  <c r="L782" i="26"/>
  <c r="N782" i="26"/>
  <c r="P782" i="26"/>
  <c r="F783" i="26"/>
  <c r="G783" i="26" s="1"/>
  <c r="J783" i="26"/>
  <c r="O783" i="26" s="1"/>
  <c r="L783" i="26"/>
  <c r="N783" i="26"/>
  <c r="P783" i="26"/>
  <c r="F784" i="26"/>
  <c r="G784" i="26" s="1"/>
  <c r="J784" i="26"/>
  <c r="K784" i="26" s="1"/>
  <c r="L784" i="26"/>
  <c r="N784" i="26"/>
  <c r="P784" i="26"/>
  <c r="F785" i="26"/>
  <c r="G785" i="26" s="1"/>
  <c r="J785" i="26"/>
  <c r="O785" i="26" s="1"/>
  <c r="L785" i="26"/>
  <c r="N785" i="26"/>
  <c r="P785" i="26"/>
  <c r="F786" i="26"/>
  <c r="G786" i="26" s="1"/>
  <c r="J786" i="26"/>
  <c r="K786" i="26" s="1"/>
  <c r="L786" i="26"/>
  <c r="N786" i="26"/>
  <c r="P786" i="26"/>
  <c r="F787" i="26"/>
  <c r="G787" i="26" s="1"/>
  <c r="J787" i="26"/>
  <c r="O787" i="26" s="1"/>
  <c r="L787" i="26"/>
  <c r="N787" i="26"/>
  <c r="P787" i="26"/>
  <c r="F788" i="26"/>
  <c r="G788" i="26" s="1"/>
  <c r="J788" i="26"/>
  <c r="K788" i="26" s="1"/>
  <c r="L788" i="26"/>
  <c r="N788" i="26"/>
  <c r="P788" i="26"/>
  <c r="F789" i="26"/>
  <c r="G789" i="26" s="1"/>
  <c r="J789" i="26"/>
  <c r="O789" i="26" s="1"/>
  <c r="L789" i="26"/>
  <c r="N789" i="26"/>
  <c r="P789" i="26"/>
  <c r="F790" i="26"/>
  <c r="J790" i="26"/>
  <c r="K790" i="26" s="1"/>
  <c r="L790" i="26"/>
  <c r="N790" i="26"/>
  <c r="P790" i="26"/>
  <c r="F791" i="26"/>
  <c r="G791" i="26" s="1"/>
  <c r="J791" i="26"/>
  <c r="O791" i="26" s="1"/>
  <c r="F792" i="26"/>
  <c r="J792" i="26"/>
  <c r="K792" i="26" s="1"/>
  <c r="L792" i="26"/>
  <c r="N792" i="26"/>
  <c r="P792" i="26"/>
  <c r="A9" i="27"/>
  <c r="G9" i="27" s="1"/>
  <c r="A10" i="27"/>
  <c r="G10" i="27" s="1"/>
  <c r="A11" i="27"/>
  <c r="G11" i="27" s="1"/>
  <c r="A12" i="27"/>
  <c r="A14" i="27"/>
  <c r="F741" i="26"/>
  <c r="G741" i="26" s="1"/>
  <c r="J741" i="26"/>
  <c r="O741" i="26" s="1"/>
  <c r="L741" i="26"/>
  <c r="N741" i="26"/>
  <c r="P741" i="26"/>
  <c r="F742" i="26"/>
  <c r="G742" i="26" s="1"/>
  <c r="H742" i="26" s="1"/>
  <c r="J742" i="26"/>
  <c r="K742" i="26" s="1"/>
  <c r="L742" i="26"/>
  <c r="N742" i="26"/>
  <c r="P742" i="26"/>
  <c r="F743" i="26"/>
  <c r="G743" i="26" s="1"/>
  <c r="J743" i="26"/>
  <c r="O743" i="26" s="1"/>
  <c r="L743" i="26"/>
  <c r="N743" i="26"/>
  <c r="P743" i="26"/>
  <c r="F744" i="26"/>
  <c r="G744" i="26" s="1"/>
  <c r="J744" i="26"/>
  <c r="K744" i="26" s="1"/>
  <c r="L744" i="26"/>
  <c r="N744" i="26"/>
  <c r="P744" i="26"/>
  <c r="F745" i="26"/>
  <c r="G745" i="26" s="1"/>
  <c r="J745" i="26"/>
  <c r="O745" i="26" s="1"/>
  <c r="L745" i="26"/>
  <c r="N745" i="26"/>
  <c r="P745" i="26"/>
  <c r="F746" i="26"/>
  <c r="G746" i="26" s="1"/>
  <c r="J746" i="26"/>
  <c r="K746" i="26" s="1"/>
  <c r="L746" i="26"/>
  <c r="N746" i="26"/>
  <c r="P746" i="26"/>
  <c r="F747" i="26"/>
  <c r="G747" i="26" s="1"/>
  <c r="J747" i="26"/>
  <c r="O747" i="26" s="1"/>
  <c r="L747" i="26"/>
  <c r="N747" i="26"/>
  <c r="P747" i="26"/>
  <c r="F748" i="26"/>
  <c r="G748" i="26" s="1"/>
  <c r="J748" i="26"/>
  <c r="K748" i="26" s="1"/>
  <c r="F749" i="26"/>
  <c r="G749" i="26" s="1"/>
  <c r="J749" i="26"/>
  <c r="O749" i="26" s="1"/>
  <c r="L749" i="26"/>
  <c r="N749" i="26"/>
  <c r="P749" i="26"/>
  <c r="F750" i="26"/>
  <c r="G750" i="26" s="1"/>
  <c r="J750" i="26"/>
  <c r="K750" i="26" s="1"/>
  <c r="L750" i="26"/>
  <c r="N750" i="26"/>
  <c r="P750" i="26"/>
  <c r="F751" i="26"/>
  <c r="J751" i="26"/>
  <c r="O751" i="26" s="1"/>
  <c r="L751" i="26"/>
  <c r="N751" i="26"/>
  <c r="P751" i="26"/>
  <c r="F752" i="26"/>
  <c r="G752" i="26" s="1"/>
  <c r="J752" i="26"/>
  <c r="K752" i="26" s="1"/>
  <c r="L752" i="26"/>
  <c r="N752" i="26"/>
  <c r="P752" i="26"/>
  <c r="F753" i="26"/>
  <c r="G753" i="26" s="1"/>
  <c r="J753" i="26"/>
  <c r="O753" i="26" s="1"/>
  <c r="L753" i="26"/>
  <c r="N753" i="26"/>
  <c r="P753" i="26"/>
  <c r="F754" i="26"/>
  <c r="G754" i="26" s="1"/>
  <c r="J754" i="26"/>
  <c r="K754" i="26" s="1"/>
  <c r="L754" i="26"/>
  <c r="N754" i="26"/>
  <c r="P754" i="26"/>
  <c r="F755" i="26"/>
  <c r="J755" i="26"/>
  <c r="O755" i="26" s="1"/>
  <c r="L755" i="26"/>
  <c r="N755" i="26"/>
  <c r="P755" i="26"/>
  <c r="F756" i="26"/>
  <c r="J756" i="26"/>
  <c r="K756" i="26" s="1"/>
  <c r="L756" i="26"/>
  <c r="N756" i="26"/>
  <c r="P756" i="26"/>
  <c r="F757" i="26"/>
  <c r="G757" i="26" s="1"/>
  <c r="J757" i="26"/>
  <c r="O757" i="26" s="1"/>
  <c r="L757" i="26"/>
  <c r="N757" i="26"/>
  <c r="P757" i="26"/>
  <c r="F758" i="26"/>
  <c r="G758" i="26" s="1"/>
  <c r="J758" i="26"/>
  <c r="K758" i="26" s="1"/>
  <c r="L758" i="26"/>
  <c r="N758" i="26"/>
  <c r="P758" i="26"/>
  <c r="F759" i="26"/>
  <c r="J759" i="26"/>
  <c r="O759" i="26" s="1"/>
  <c r="L759" i="26"/>
  <c r="N759" i="26"/>
  <c r="P759" i="26"/>
  <c r="F760" i="26"/>
  <c r="G760" i="26" s="1"/>
  <c r="J760" i="26"/>
  <c r="K760" i="26" s="1"/>
  <c r="L760" i="26"/>
  <c r="N760" i="26"/>
  <c r="P760" i="26"/>
  <c r="F761" i="26"/>
  <c r="G761" i="26" s="1"/>
  <c r="J761" i="26"/>
  <c r="O761" i="26" s="1"/>
  <c r="L761" i="26"/>
  <c r="N761" i="26"/>
  <c r="P761" i="26"/>
  <c r="F762" i="26"/>
  <c r="G762" i="26" s="1"/>
  <c r="J762" i="26"/>
  <c r="K762" i="26" s="1"/>
  <c r="L762" i="26"/>
  <c r="N762" i="26"/>
  <c r="P762" i="26"/>
  <c r="F763" i="26"/>
  <c r="J763" i="26"/>
  <c r="O763" i="26" s="1"/>
  <c r="L763" i="26"/>
  <c r="N763" i="26"/>
  <c r="P763" i="26"/>
  <c r="F764" i="26"/>
  <c r="G764" i="26" s="1"/>
  <c r="J764" i="26"/>
  <c r="K764" i="26" s="1"/>
  <c r="F765" i="26"/>
  <c r="G765" i="26" s="1"/>
  <c r="J765" i="26"/>
  <c r="O765" i="26" s="1"/>
  <c r="F766" i="26"/>
  <c r="G766" i="26" s="1"/>
  <c r="J766" i="26"/>
  <c r="K766" i="26" s="1"/>
  <c r="L766" i="26"/>
  <c r="N766" i="26"/>
  <c r="P766" i="26"/>
  <c r="A8" i="27"/>
  <c r="G8" i="27" s="1"/>
  <c r="F739" i="26"/>
  <c r="G739" i="26" s="1"/>
  <c r="F732" i="26"/>
  <c r="G732" i="26" s="1"/>
  <c r="J732" i="26"/>
  <c r="O732" i="26" s="1"/>
  <c r="L732" i="26"/>
  <c r="N732" i="26"/>
  <c r="P732" i="26"/>
  <c r="F733" i="26"/>
  <c r="G733" i="26" s="1"/>
  <c r="J733" i="26"/>
  <c r="K733" i="26" s="1"/>
  <c r="L733" i="26"/>
  <c r="N733" i="26"/>
  <c r="P733" i="26"/>
  <c r="F734" i="26"/>
  <c r="G734" i="26" s="1"/>
  <c r="J734" i="26"/>
  <c r="O734" i="26" s="1"/>
  <c r="L734" i="26"/>
  <c r="N734" i="26"/>
  <c r="P734" i="26"/>
  <c r="F735" i="26"/>
  <c r="G735" i="26" s="1"/>
  <c r="J735" i="26"/>
  <c r="K735" i="26" s="1"/>
  <c r="L735" i="26"/>
  <c r="N735" i="26"/>
  <c r="P735" i="26"/>
  <c r="F736" i="26"/>
  <c r="G736" i="26" s="1"/>
  <c r="J736" i="26"/>
  <c r="O736" i="26" s="1"/>
  <c r="L736" i="26"/>
  <c r="N736" i="26"/>
  <c r="P736" i="26"/>
  <c r="F737" i="26"/>
  <c r="G737" i="26" s="1"/>
  <c r="J737" i="26"/>
  <c r="K737" i="26" s="1"/>
  <c r="L737" i="26"/>
  <c r="N737" i="26"/>
  <c r="P737" i="26"/>
  <c r="F738" i="26"/>
  <c r="G738" i="26" s="1"/>
  <c r="J738" i="26"/>
  <c r="O738" i="26" s="1"/>
  <c r="L738" i="26"/>
  <c r="N738" i="26"/>
  <c r="P738" i="26"/>
  <c r="J739" i="26"/>
  <c r="K739" i="26" s="1"/>
  <c r="L739" i="26"/>
  <c r="N739" i="26"/>
  <c r="P739" i="26"/>
  <c r="F740" i="26"/>
  <c r="G740" i="26" s="1"/>
  <c r="J740" i="26"/>
  <c r="O740" i="26" s="1"/>
  <c r="L740" i="26"/>
  <c r="N740" i="26"/>
  <c r="P740" i="26"/>
  <c r="A7" i="27"/>
  <c r="F710" i="26"/>
  <c r="G710" i="26" s="1"/>
  <c r="J710" i="26"/>
  <c r="O710" i="26" s="1"/>
  <c r="L710" i="26"/>
  <c r="N710" i="26"/>
  <c r="P710" i="26"/>
  <c r="F711" i="26"/>
  <c r="G711" i="26" s="1"/>
  <c r="J711" i="26"/>
  <c r="K711" i="26" s="1"/>
  <c r="L711" i="26"/>
  <c r="N711" i="26"/>
  <c r="P711" i="26"/>
  <c r="F712" i="26"/>
  <c r="G712" i="26" s="1"/>
  <c r="J712" i="26"/>
  <c r="O712" i="26" s="1"/>
  <c r="L712" i="26"/>
  <c r="N712" i="26"/>
  <c r="P712" i="26"/>
  <c r="F713" i="26"/>
  <c r="G713" i="26" s="1"/>
  <c r="J713" i="26"/>
  <c r="K713" i="26" s="1"/>
  <c r="L713" i="26"/>
  <c r="N713" i="26"/>
  <c r="P713" i="26"/>
  <c r="F714" i="26"/>
  <c r="G714" i="26" s="1"/>
  <c r="J714" i="26"/>
  <c r="O714" i="26" s="1"/>
  <c r="L714" i="26"/>
  <c r="N714" i="26"/>
  <c r="P714" i="26"/>
  <c r="F715" i="26"/>
  <c r="G715" i="26" s="1"/>
  <c r="J715" i="26"/>
  <c r="K715" i="26" s="1"/>
  <c r="L715" i="26"/>
  <c r="N715" i="26"/>
  <c r="P715" i="26"/>
  <c r="F716" i="26"/>
  <c r="G716" i="26" s="1"/>
  <c r="J716" i="26"/>
  <c r="O716" i="26" s="1"/>
  <c r="L716" i="26"/>
  <c r="N716" i="26"/>
  <c r="P716" i="26"/>
  <c r="F717" i="26"/>
  <c r="G717" i="26" s="1"/>
  <c r="J717" i="26"/>
  <c r="K717" i="26" s="1"/>
  <c r="L717" i="26"/>
  <c r="N717" i="26"/>
  <c r="P717" i="26"/>
  <c r="F718" i="26"/>
  <c r="G718" i="26" s="1"/>
  <c r="J718" i="26"/>
  <c r="O718" i="26" s="1"/>
  <c r="L718" i="26"/>
  <c r="N718" i="26"/>
  <c r="P718" i="26"/>
  <c r="F719" i="26"/>
  <c r="G719" i="26" s="1"/>
  <c r="J719" i="26"/>
  <c r="K719" i="26" s="1"/>
  <c r="F720" i="26"/>
  <c r="G720" i="26" s="1"/>
  <c r="J720" i="26"/>
  <c r="O720" i="26" s="1"/>
  <c r="L720" i="26"/>
  <c r="N720" i="26"/>
  <c r="P720" i="26"/>
  <c r="A6" i="27"/>
  <c r="G6" i="27" s="1"/>
  <c r="N698" i="26"/>
  <c r="N699" i="26"/>
  <c r="N700" i="26"/>
  <c r="N701" i="26"/>
  <c r="N702" i="26"/>
  <c r="N703" i="26"/>
  <c r="N704" i="26"/>
  <c r="N705" i="26"/>
  <c r="N707" i="26"/>
  <c r="N708" i="26"/>
  <c r="N697" i="26"/>
  <c r="L705" i="26"/>
  <c r="P705" i="26"/>
  <c r="P698" i="26"/>
  <c r="P699" i="26"/>
  <c r="P700" i="26"/>
  <c r="P701" i="26"/>
  <c r="P702" i="26"/>
  <c r="P703" i="26"/>
  <c r="P704" i="26"/>
  <c r="P707" i="26"/>
  <c r="P708" i="26"/>
  <c r="P709" i="26"/>
  <c r="P697" i="26"/>
  <c r="L697" i="26"/>
  <c r="L698" i="26"/>
  <c r="L699" i="26"/>
  <c r="L700" i="26"/>
  <c r="L701" i="26"/>
  <c r="L702" i="26"/>
  <c r="L703" i="26"/>
  <c r="L704" i="26"/>
  <c r="L707" i="26"/>
  <c r="L708" i="26"/>
  <c r="L709" i="26"/>
  <c r="F697" i="26"/>
  <c r="G697" i="26" s="1"/>
  <c r="J697" i="26"/>
  <c r="K697" i="26" s="1"/>
  <c r="F698" i="26"/>
  <c r="G698" i="26" s="1"/>
  <c r="J698" i="26"/>
  <c r="K698" i="26" s="1"/>
  <c r="F699" i="26"/>
  <c r="G699" i="26" s="1"/>
  <c r="J699" i="26"/>
  <c r="O699" i="26" s="1"/>
  <c r="F700" i="26"/>
  <c r="G700" i="26" s="1"/>
  <c r="J700" i="26"/>
  <c r="K700" i="26" s="1"/>
  <c r="F701" i="26"/>
  <c r="G701" i="26" s="1"/>
  <c r="J701" i="26"/>
  <c r="O701" i="26" s="1"/>
  <c r="F702" i="26"/>
  <c r="J702" i="26"/>
  <c r="K702" i="26" s="1"/>
  <c r="F703" i="26"/>
  <c r="G703" i="26" s="1"/>
  <c r="H703" i="26" s="1"/>
  <c r="J703" i="26"/>
  <c r="K703" i="26" s="1"/>
  <c r="F704" i="26"/>
  <c r="G704" i="26" s="1"/>
  <c r="J704" i="26"/>
  <c r="O704" i="26" s="1"/>
  <c r="F705" i="26"/>
  <c r="G705" i="26" s="1"/>
  <c r="H705" i="26" s="1"/>
  <c r="J705" i="26"/>
  <c r="K705" i="26" s="1"/>
  <c r="F706" i="26"/>
  <c r="G706" i="26" s="1"/>
  <c r="H706" i="26" s="1"/>
  <c r="J706" i="26"/>
  <c r="O706" i="26" s="1"/>
  <c r="F707" i="26"/>
  <c r="G707" i="26" s="1"/>
  <c r="J707" i="26"/>
  <c r="K707" i="26" s="1"/>
  <c r="F708" i="26"/>
  <c r="G708" i="26" s="1"/>
  <c r="J708" i="26"/>
  <c r="K708" i="26" s="1"/>
  <c r="F709" i="26"/>
  <c r="G709" i="26" s="1"/>
  <c r="J709" i="26"/>
  <c r="K709" i="26" s="1"/>
  <c r="L2" i="48" l="1"/>
  <c r="D7" i="15"/>
  <c r="G7" i="15"/>
  <c r="D23" i="15"/>
  <c r="G23" i="15"/>
  <c r="D36" i="15"/>
  <c r="G36" i="15"/>
  <c r="D28" i="15"/>
  <c r="G28" i="15"/>
  <c r="D4" i="15"/>
  <c r="G4" i="15"/>
  <c r="D20" i="15"/>
  <c r="G20" i="15"/>
  <c r="D16" i="15"/>
  <c r="D8" i="15"/>
  <c r="H8" i="15"/>
  <c r="G8" i="15"/>
  <c r="D6" i="15"/>
  <c r="G6" i="15"/>
  <c r="D22" i="15"/>
  <c r="G22" i="15"/>
  <c r="D27" i="15"/>
  <c r="G27" i="15"/>
  <c r="D38" i="15"/>
  <c r="G38" i="15"/>
  <c r="D26" i="15"/>
  <c r="G26" i="15"/>
  <c r="D37" i="15"/>
  <c r="G37" i="15"/>
  <c r="D13" i="15"/>
  <c r="G13" i="15"/>
  <c r="E13" i="15"/>
  <c r="D21" i="15"/>
  <c r="G21" i="15"/>
  <c r="D43" i="15"/>
  <c r="G43" i="15"/>
  <c r="D10" i="15"/>
  <c r="G10" i="15"/>
  <c r="D18" i="15"/>
  <c r="G18" i="15"/>
  <c r="D31" i="15"/>
  <c r="G31" i="15"/>
  <c r="G46" i="15"/>
  <c r="E46" i="15"/>
  <c r="D11" i="15"/>
  <c r="G11" i="15"/>
  <c r="D19" i="15"/>
  <c r="G19" i="15"/>
  <c r="D17" i="15"/>
  <c r="G17" i="15"/>
  <c r="D9" i="15"/>
  <c r="G9" i="15"/>
  <c r="D30" i="15"/>
  <c r="G30" i="15"/>
  <c r="D41" i="15"/>
  <c r="G41" i="15"/>
  <c r="G45" i="15"/>
  <c r="E45" i="15"/>
  <c r="G5" i="15"/>
  <c r="M5" i="15" s="1"/>
  <c r="E5" i="15"/>
  <c r="AD3" i="48"/>
  <c r="AE3" i="48" s="1"/>
  <c r="P3" i="48"/>
  <c r="Q3" i="48" s="1"/>
  <c r="R3" i="48" s="1"/>
  <c r="J90" i="46"/>
  <c r="J85" i="46"/>
  <c r="J92" i="46"/>
  <c r="E2" i="48"/>
  <c r="D19" i="27"/>
  <c r="J19" i="27"/>
  <c r="P19" i="27" s="1"/>
  <c r="E19" i="27"/>
  <c r="F19" i="27"/>
  <c r="AI19" i="27"/>
  <c r="AL19" i="27" s="1"/>
  <c r="K19" i="27" a="1"/>
  <c r="K19" i="27" s="1"/>
  <c r="G19" i="27"/>
  <c r="M19" i="27" s="1"/>
  <c r="AJ19" i="27"/>
  <c r="H19" i="27"/>
  <c r="I19" i="27"/>
  <c r="O19" i="27" s="1"/>
  <c r="D7" i="27"/>
  <c r="G7" i="27"/>
  <c r="D14" i="27"/>
  <c r="G14" i="27"/>
  <c r="D12" i="27"/>
  <c r="G12" i="27"/>
  <c r="D13" i="27"/>
  <c r="G13" i="27"/>
  <c r="D16" i="27"/>
  <c r="G16" i="27"/>
  <c r="D15" i="27"/>
  <c r="G15" i="27"/>
  <c r="G18" i="27"/>
  <c r="J18" i="27"/>
  <c r="D27" i="27"/>
  <c r="G27" i="27"/>
  <c r="D29" i="27"/>
  <c r="G29" i="27"/>
  <c r="K1540" i="26"/>
  <c r="N28" i="31"/>
  <c r="O708" i="26"/>
  <c r="O1035" i="26"/>
  <c r="I2338" i="26" a="1"/>
  <c r="I2338" i="26" s="1"/>
  <c r="I2332" i="26" a="1"/>
  <c r="I2332" i="26" s="1"/>
  <c r="I2344" i="26" a="1"/>
  <c r="I2344" i="26" s="1"/>
  <c r="I1931" i="26" a="1"/>
  <c r="I1931" i="26" s="1"/>
  <c r="K806" i="26"/>
  <c r="K1030" i="26"/>
  <c r="I2360" i="26" a="1"/>
  <c r="I2360" i="26" s="1"/>
  <c r="O888" i="26"/>
  <c r="K1565" i="26"/>
  <c r="K1101" i="26"/>
  <c r="I2342" i="26" a="1"/>
  <c r="I2342" i="26" s="1"/>
  <c r="I24" i="18" s="1"/>
  <c r="O24" i="18" s="1"/>
  <c r="I2325" i="26" a="1"/>
  <c r="I2325" i="26" s="1"/>
  <c r="I22" i="18" s="1"/>
  <c r="O22" i="18" s="1"/>
  <c r="I2340" i="26" a="1"/>
  <c r="I2340" i="26" s="1"/>
  <c r="I2240" i="26" a="1"/>
  <c r="I2240" i="26" s="1"/>
  <c r="I2294" i="26" a="1"/>
  <c r="I2294" i="26" s="1"/>
  <c r="I2328" i="26" a="1"/>
  <c r="I2328" i="26" s="1"/>
  <c r="I2276" i="26" a="1"/>
  <c r="I2276" i="26" s="1"/>
  <c r="I2213" i="26" a="1"/>
  <c r="I2213" i="26" s="1"/>
  <c r="I2175" i="26" a="1"/>
  <c r="I2175" i="26" s="1"/>
  <c r="I2355" i="26" a="1"/>
  <c r="I2355" i="26" s="1"/>
  <c r="M2355" i="26" s="1"/>
  <c r="I2327" i="26" a="1"/>
  <c r="I2327" i="26" s="1"/>
  <c r="I2329" i="26" a="1"/>
  <c r="I2329" i="26" s="1"/>
  <c r="I2333" i="26" a="1"/>
  <c r="I2333" i="26" s="1"/>
  <c r="M2333" i="26" s="1"/>
  <c r="I2331" i="26" a="1"/>
  <c r="I2331" i="26" s="1"/>
  <c r="I2323" i="26" a="1"/>
  <c r="I2323" i="26" s="1"/>
  <c r="I2341" i="26" a="1"/>
  <c r="I2341" i="26" s="1"/>
  <c r="I2336" i="26" a="1"/>
  <c r="I2336" i="26" s="1"/>
  <c r="I2324" i="26" a="1"/>
  <c r="I2324" i="26" s="1"/>
  <c r="M2324" i="26" s="1"/>
  <c r="I2339" i="26" a="1"/>
  <c r="I2339" i="26" s="1"/>
  <c r="I2353" i="26" a="1"/>
  <c r="I2353" i="26" s="1"/>
  <c r="I2330" i="26" a="1"/>
  <c r="I2330" i="26" s="1"/>
  <c r="M2330" i="26" s="1"/>
  <c r="I2326" i="26" a="1"/>
  <c r="I2326" i="26" s="1"/>
  <c r="I2343" i="26" a="1"/>
  <c r="I2343" i="26" s="1"/>
  <c r="I2359" i="26" a="1"/>
  <c r="I2359" i="26" s="1"/>
  <c r="I2357" i="26" a="1"/>
  <c r="I2357" i="26" s="1"/>
  <c r="K699" i="26"/>
  <c r="I2335" i="26" a="1"/>
  <c r="I2335" i="26" s="1"/>
  <c r="I2349" i="26" a="1"/>
  <c r="I2349" i="26" s="1"/>
  <c r="I2334" i="26" a="1"/>
  <c r="I2334" i="26" s="1"/>
  <c r="I2346" i="26" a="1"/>
  <c r="I2346" i="26" s="1"/>
  <c r="I2348" i="26" a="1"/>
  <c r="I2348" i="26" s="1"/>
  <c r="I2350" i="26" a="1"/>
  <c r="I2350" i="26" s="1"/>
  <c r="I2352" i="26" a="1"/>
  <c r="I2352" i="26" s="1"/>
  <c r="M2352" i="26" s="1"/>
  <c r="I2337" i="26" a="1"/>
  <c r="I2337" i="26" s="1"/>
  <c r="I23" i="18" s="1"/>
  <c r="O23" i="18" s="1"/>
  <c r="I2356" i="26" a="1"/>
  <c r="I2356" i="26" s="1"/>
  <c r="N20" i="31"/>
  <c r="I2351" i="26" a="1"/>
  <c r="I2351" i="26" s="1"/>
  <c r="I2144" i="26" a="1"/>
  <c r="I2144" i="26" s="1"/>
  <c r="I2227" i="26" a="1"/>
  <c r="I2227" i="26" s="1"/>
  <c r="I2112" i="26" a="1"/>
  <c r="I2112" i="26" s="1"/>
  <c r="I2117" i="26" a="1"/>
  <c r="I2117" i="26" s="1"/>
  <c r="M2117" i="26" s="1"/>
  <c r="I2315" i="26" a="1"/>
  <c r="I2315" i="26" s="1"/>
  <c r="M2315" i="26" s="1"/>
  <c r="I2093" i="26" a="1"/>
  <c r="I2093" i="26" s="1"/>
  <c r="I2184" i="26" a="1"/>
  <c r="I2184" i="26" s="1"/>
  <c r="I2192" i="26" a="1"/>
  <c r="I2192" i="26" s="1"/>
  <c r="N25" i="31"/>
  <c r="I2211" i="26" a="1"/>
  <c r="I2211" i="26" s="1"/>
  <c r="M2211" i="26" s="1"/>
  <c r="I2354" i="26" a="1"/>
  <c r="I2354" i="26" s="1"/>
  <c r="I2347" i="26" a="1"/>
  <c r="I2347" i="26" s="1"/>
  <c r="M2347" i="26" s="1"/>
  <c r="I2358" i="26" a="1"/>
  <c r="I2358" i="26" s="1"/>
  <c r="I2153" i="26" a="1"/>
  <c r="I2153" i="26" s="1"/>
  <c r="I2268" i="26" a="1"/>
  <c r="I2268" i="26" s="1"/>
  <c r="I17" i="18" s="1"/>
  <c r="O17" i="18" s="1"/>
  <c r="I2123" i="26" a="1"/>
  <c r="I2123" i="26" s="1"/>
  <c r="I2155" i="26" a="1"/>
  <c r="I2155" i="26" s="1"/>
  <c r="I2261" i="26" a="1"/>
  <c r="I2261" i="26" s="1"/>
  <c r="I2138" i="26" a="1"/>
  <c r="I2138" i="26" s="1"/>
  <c r="M2138" i="26" s="1"/>
  <c r="I2109" i="26" a="1"/>
  <c r="I2109" i="26" s="1"/>
  <c r="I2310" i="26" a="1"/>
  <c r="I2310" i="26" s="1"/>
  <c r="M2310" i="26" s="1"/>
  <c r="AG17" i="31"/>
  <c r="K1022" i="26"/>
  <c r="K1347" i="26"/>
  <c r="I2345" i="26" a="1"/>
  <c r="I2345" i="26" s="1"/>
  <c r="I2094" i="26" a="1"/>
  <c r="I2094" i="26" s="1"/>
  <c r="I2111" i="26" a="1"/>
  <c r="I2111" i="26" s="1"/>
  <c r="M2111" i="26" s="1"/>
  <c r="I2107" i="26" a="1"/>
  <c r="I2107" i="26" s="1"/>
  <c r="M2107" i="26" s="1"/>
  <c r="I2198" i="26" a="1"/>
  <c r="I2198" i="26" s="1"/>
  <c r="M2198" i="26" s="1"/>
  <c r="I2126" i="26" a="1"/>
  <c r="I2126" i="26" s="1"/>
  <c r="I2191" i="26" a="1"/>
  <c r="I2191" i="26" s="1"/>
  <c r="M2191" i="26" s="1"/>
  <c r="I2187" i="26" a="1"/>
  <c r="I2187" i="26" s="1"/>
  <c r="I2255" i="26" a="1"/>
  <c r="I2255" i="26" s="1"/>
  <c r="M2255" i="26" s="1"/>
  <c r="I2195" i="26" a="1"/>
  <c r="I2195" i="26" s="1"/>
  <c r="M2172" i="26"/>
  <c r="I2253" i="26" a="1"/>
  <c r="I2253" i="26" s="1"/>
  <c r="I2293" i="26" a="1"/>
  <c r="I2293" i="26" s="1"/>
  <c r="I2271" i="26" a="1"/>
  <c r="I2271" i="26" s="1"/>
  <c r="M2271" i="26" s="1"/>
  <c r="I2217" i="26" a="1"/>
  <c r="I2217" i="26" s="1"/>
  <c r="M2217" i="26" s="1"/>
  <c r="I2277" i="26" a="1"/>
  <c r="I2277" i="26" s="1"/>
  <c r="M2277" i="26" s="1"/>
  <c r="I2258" i="26" a="1"/>
  <c r="I2258" i="26" s="1"/>
  <c r="M2258" i="26" s="1"/>
  <c r="I2183" i="26" a="1"/>
  <c r="I2183" i="26" s="1"/>
  <c r="M2183" i="26" s="1"/>
  <c r="I2147" i="26" a="1"/>
  <c r="I2147" i="26" s="1"/>
  <c r="M2147" i="26" s="1"/>
  <c r="I2186" i="26" a="1"/>
  <c r="I2186" i="26" s="1"/>
  <c r="I11" i="18" s="1"/>
  <c r="O11" i="18" s="1"/>
  <c r="I2182" i="26" a="1"/>
  <c r="I2182" i="26" s="1"/>
  <c r="I2257" i="26" a="1"/>
  <c r="I2257" i="26" s="1"/>
  <c r="I2199" i="26" a="1"/>
  <c r="I2199" i="26" s="1"/>
  <c r="M2199" i="26" s="1"/>
  <c r="I2305" i="26" a="1"/>
  <c r="I2305" i="26" s="1"/>
  <c r="M2305" i="26" s="1"/>
  <c r="I2091" i="26" a="1"/>
  <c r="I2091" i="26" s="1"/>
  <c r="I2115" i="26" a="1"/>
  <c r="I2115" i="26" s="1"/>
  <c r="M2115" i="26" s="1"/>
  <c r="I2142" i="26" a="1"/>
  <c r="I2142" i="26" s="1"/>
  <c r="M2142" i="26" s="1"/>
  <c r="I2205" i="26" a="1"/>
  <c r="I2205" i="26" s="1"/>
  <c r="M2205" i="26" s="1"/>
  <c r="I2139" i="26" a="1"/>
  <c r="I2139" i="26" s="1"/>
  <c r="M2139" i="26" s="1"/>
  <c r="I2185" i="26" a="1"/>
  <c r="I2185" i="26" s="1"/>
  <c r="M2185" i="26" s="1"/>
  <c r="I2242" i="26" a="1"/>
  <c r="I2242" i="26" s="1"/>
  <c r="I2197" i="26" a="1"/>
  <c r="I2197" i="26" s="1"/>
  <c r="M2197" i="26" s="1"/>
  <c r="I2221" i="26" a="1"/>
  <c r="I2221" i="26" s="1"/>
  <c r="M2221" i="26" s="1"/>
  <c r="I2256" i="26" a="1"/>
  <c r="I2256" i="26" s="1"/>
  <c r="I2210" i="26" a="1"/>
  <c r="I2210" i="26" s="1"/>
  <c r="M2210" i="26" s="1"/>
  <c r="I2250" i="26" a="1"/>
  <c r="I2250" i="26" s="1"/>
  <c r="M2250" i="26" s="1"/>
  <c r="M2161" i="26"/>
  <c r="I2301" i="26" a="1"/>
  <c r="I2301" i="26" s="1"/>
  <c r="M2301" i="26" s="1"/>
  <c r="I2282" i="26" a="1"/>
  <c r="I2282" i="26" s="1"/>
  <c r="M2282" i="26" s="1"/>
  <c r="I2232" i="26" a="1"/>
  <c r="I2232" i="26" s="1"/>
  <c r="M2232" i="26" s="1"/>
  <c r="I2302" i="26" a="1"/>
  <c r="I2302" i="26" s="1"/>
  <c r="M2302" i="26" s="1"/>
  <c r="I2288" i="26" a="1"/>
  <c r="I2288" i="26" s="1"/>
  <c r="M2288" i="26" s="1"/>
  <c r="I2303" i="26" a="1"/>
  <c r="I2303" i="26" s="1"/>
  <c r="M2303" i="26" s="1"/>
  <c r="I2148" i="26" a="1"/>
  <c r="I2148" i="26" s="1"/>
  <c r="M2148" i="26" s="1"/>
  <c r="I2209" i="26" a="1"/>
  <c r="I2209" i="26" s="1"/>
  <c r="I13" i="18" s="1"/>
  <c r="O13" i="18" s="1"/>
  <c r="I2127" i="26" a="1"/>
  <c r="I2127" i="26" s="1"/>
  <c r="M2127" i="26" s="1"/>
  <c r="M2165" i="26"/>
  <c r="I2212" i="26" a="1"/>
  <c r="I2212" i="26" s="1"/>
  <c r="M2212" i="26" s="1"/>
  <c r="I2130" i="26" a="1"/>
  <c r="I2130" i="26" s="1"/>
  <c r="M2130" i="26" s="1"/>
  <c r="I2124" i="26" a="1"/>
  <c r="I2124" i="26" s="1"/>
  <c r="M2124" i="26" s="1"/>
  <c r="I2097" i="26" a="1"/>
  <c r="I2097" i="26" s="1"/>
  <c r="M2097" i="26" s="1"/>
  <c r="I2106" i="26" a="1"/>
  <c r="I2106" i="26" s="1"/>
  <c r="M2106" i="26" s="1"/>
  <c r="I2120" i="26" a="1"/>
  <c r="I2120" i="26" s="1"/>
  <c r="M2120" i="26" s="1"/>
  <c r="I2122" i="26" a="1"/>
  <c r="I2122" i="26" s="1"/>
  <c r="I2230" i="26" a="1"/>
  <c r="I2230" i="26" s="1"/>
  <c r="M2230" i="26" s="1"/>
  <c r="I2266" i="26" a="1"/>
  <c r="I2266" i="26" s="1"/>
  <c r="M2266" i="26" s="1"/>
  <c r="I2267" i="26" a="1"/>
  <c r="I2267" i="26" s="1"/>
  <c r="M2267" i="26" s="1"/>
  <c r="I2196" i="26" a="1"/>
  <c r="I2196" i="26" s="1"/>
  <c r="M2196" i="26" s="1"/>
  <c r="I2290" i="26" a="1"/>
  <c r="I2290" i="26" s="1"/>
  <c r="I2245" i="26" a="1"/>
  <c r="I2245" i="26" s="1"/>
  <c r="M2245" i="26" s="1"/>
  <c r="I2306" i="26" a="1"/>
  <c r="I2306" i="26" s="1"/>
  <c r="I20" i="18" s="1"/>
  <c r="O20" i="18" s="1"/>
  <c r="N19" i="31"/>
  <c r="I2101" i="26" a="1"/>
  <c r="I2101" i="26" s="1"/>
  <c r="M2101" i="26" s="1"/>
  <c r="I2095" i="26" a="1"/>
  <c r="I2095" i="26" s="1"/>
  <c r="M2095" i="26" s="1"/>
  <c r="I2096" i="26" a="1"/>
  <c r="I2096" i="26" s="1"/>
  <c r="M2096" i="26" s="1"/>
  <c r="I2100" i="26" a="1"/>
  <c r="I2100" i="26" s="1"/>
  <c r="M2100" i="26" s="1"/>
  <c r="I2129" i="26" a="1"/>
  <c r="I2129" i="26" s="1"/>
  <c r="M2129" i="26" s="1"/>
  <c r="I2156" i="26" a="1"/>
  <c r="I2156" i="26" s="1"/>
  <c r="I2246" i="26" a="1"/>
  <c r="I2246" i="26" s="1"/>
  <c r="M2246" i="26" s="1"/>
  <c r="I2140" i="26" a="1"/>
  <c r="I2140" i="26" s="1"/>
  <c r="I2193" i="26" a="1"/>
  <c r="I2193" i="26" s="1"/>
  <c r="M2193" i="26" s="1"/>
  <c r="M2168" i="26"/>
  <c r="I2180" i="26" a="1"/>
  <c r="I2180" i="26" s="1"/>
  <c r="M2180" i="26" s="1"/>
  <c r="I2135" i="26" a="1"/>
  <c r="I2135" i="26" s="1"/>
  <c r="I2273" i="26" a="1"/>
  <c r="I2273" i="26" s="1"/>
  <c r="M2273" i="26" s="1"/>
  <c r="I2235" i="26" a="1"/>
  <c r="I2235" i="26" s="1"/>
  <c r="I2223" i="26" a="1"/>
  <c r="I2223" i="26" s="1"/>
  <c r="M2223" i="26" s="1"/>
  <c r="I2260" i="26" a="1"/>
  <c r="I2260" i="26" s="1"/>
  <c r="I2319" i="26" a="1"/>
  <c r="I2319" i="26" s="1"/>
  <c r="M2319" i="26" s="1"/>
  <c r="I2309" i="26" a="1"/>
  <c r="I2309" i="26" s="1"/>
  <c r="M2309" i="26" s="1"/>
  <c r="I2296" i="26" a="1"/>
  <c r="I2296" i="26" s="1"/>
  <c r="M2296" i="26" s="1"/>
  <c r="I2281" i="26" a="1"/>
  <c r="I2281" i="26" s="1"/>
  <c r="M2281" i="26" s="1"/>
  <c r="I2228" i="26" a="1"/>
  <c r="I2228" i="26" s="1"/>
  <c r="M2228" i="26" s="1"/>
  <c r="M2171" i="26"/>
  <c r="N29" i="31"/>
  <c r="I2102" i="26" a="1"/>
  <c r="I2102" i="26" s="1"/>
  <c r="I2105" i="26" a="1"/>
  <c r="I2105" i="26" s="1"/>
  <c r="I3" i="18" s="1"/>
  <c r="O3" i="18" s="1"/>
  <c r="I2128" i="26" a="1"/>
  <c r="I2128" i="26" s="1"/>
  <c r="M2128" i="26" s="1"/>
  <c r="I2178" i="26" a="1"/>
  <c r="I2178" i="26" s="1"/>
  <c r="M2178" i="26" s="1"/>
  <c r="I2262" i="26" a="1"/>
  <c r="I2262" i="26" s="1"/>
  <c r="M2262" i="26" s="1"/>
  <c r="I2141" i="26" a="1"/>
  <c r="I2141" i="26" s="1"/>
  <c r="M2141" i="26" s="1"/>
  <c r="I2214" i="26" a="1"/>
  <c r="I2214" i="26" s="1"/>
  <c r="M2214" i="26" s="1"/>
  <c r="I2189" i="26" a="1"/>
  <c r="I2189" i="26" s="1"/>
  <c r="M2189" i="26" s="1"/>
  <c r="I2247" i="26" a="1"/>
  <c r="I2247" i="26" s="1"/>
  <c r="M2247" i="26" s="1"/>
  <c r="I2234" i="26" a="1"/>
  <c r="I2234" i="26" s="1"/>
  <c r="M2234" i="26" s="1"/>
  <c r="I2304" i="26" a="1"/>
  <c r="I2304" i="26" s="1"/>
  <c r="M2304" i="26" s="1"/>
  <c r="I2116" i="26" a="1"/>
  <c r="I2116" i="26" s="1"/>
  <c r="M2116" i="26" s="1"/>
  <c r="I2283" i="26" a="1"/>
  <c r="I2283" i="26" s="1"/>
  <c r="M2283" i="26" s="1"/>
  <c r="I2202" i="26" a="1"/>
  <c r="I2202" i="26" s="1"/>
  <c r="M2202" i="26" s="1"/>
  <c r="M2163" i="26"/>
  <c r="I2224" i="26" a="1"/>
  <c r="I2224" i="26" s="1"/>
  <c r="M2224" i="26" s="1"/>
  <c r="I2270" i="26" a="1"/>
  <c r="I2270" i="26" s="1"/>
  <c r="M2270" i="26" s="1"/>
  <c r="I2207" i="26" a="1"/>
  <c r="I2207" i="26" s="1"/>
  <c r="M2207" i="26" s="1"/>
  <c r="I2249" i="26" a="1"/>
  <c r="I2249" i="26" s="1"/>
  <c r="I2152" i="26" a="1"/>
  <c r="I2152" i="26" s="1"/>
  <c r="M2152" i="26" s="1"/>
  <c r="I2092" i="26" a="1"/>
  <c r="I2092" i="26" s="1"/>
  <c r="M2092" i="26" s="1"/>
  <c r="I2104" i="26" a="1"/>
  <c r="I2104" i="26" s="1"/>
  <c r="M2104" i="26" s="1"/>
  <c r="I2099" i="26" a="1"/>
  <c r="I2099" i="26" s="1"/>
  <c r="M2099" i="26" s="1"/>
  <c r="I2132" i="26" a="1"/>
  <c r="I2132" i="26" s="1"/>
  <c r="M2132" i="26" s="1"/>
  <c r="I2113" i="26" a="1"/>
  <c r="I2113" i="26" s="1"/>
  <c r="I2236" i="26" a="1"/>
  <c r="I2236" i="26" s="1"/>
  <c r="M2236" i="26" s="1"/>
  <c r="I2136" i="26" a="1"/>
  <c r="I2136" i="26" s="1"/>
  <c r="M2136" i="26" s="1"/>
  <c r="I2114" i="26" a="1"/>
  <c r="I2114" i="26" s="1"/>
  <c r="M2114" i="26" s="1"/>
  <c r="I2143" i="26" a="1"/>
  <c r="I2143" i="26" s="1"/>
  <c r="M2143" i="26" s="1"/>
  <c r="I2220" i="26" a="1"/>
  <c r="I2220" i="26" s="1"/>
  <c r="M2220" i="26" s="1"/>
  <c r="M2162" i="26"/>
  <c r="I2248" i="26" a="1"/>
  <c r="I2248" i="26" s="1"/>
  <c r="M2248" i="26" s="1"/>
  <c r="I2244" i="26" a="1"/>
  <c r="I2244" i="26" s="1"/>
  <c r="M2244" i="26" s="1"/>
  <c r="I2274" i="26" a="1"/>
  <c r="I2274" i="26" s="1"/>
  <c r="I2284" i="26" a="1"/>
  <c r="I2284" i="26" s="1"/>
  <c r="M2284" i="26" s="1"/>
  <c r="I2292" i="26" a="1"/>
  <c r="I2292" i="26" s="1"/>
  <c r="M2292" i="26" s="1"/>
  <c r="M2241" i="26"/>
  <c r="I2272" i="26" a="1"/>
  <c r="I2272" i="26" s="1"/>
  <c r="M2272" i="26" s="1"/>
  <c r="I2307" i="26" a="1"/>
  <c r="I2307" i="26" s="1"/>
  <c r="M2307" i="26" s="1"/>
  <c r="I2176" i="26" a="1"/>
  <c r="I2176" i="26" s="1"/>
  <c r="M2176" i="26" s="1"/>
  <c r="I2279" i="26" a="1"/>
  <c r="I2279" i="26" s="1"/>
  <c r="M2279" i="26" s="1"/>
  <c r="I2311" i="26" a="1"/>
  <c r="I2311" i="26" s="1"/>
  <c r="M2311" i="26" s="1"/>
  <c r="I2308" i="26" a="1"/>
  <c r="I2308" i="26" s="1"/>
  <c r="M2308" i="26" s="1"/>
  <c r="I2174" i="26" a="1"/>
  <c r="I2174" i="26" s="1"/>
  <c r="M2174" i="26" s="1"/>
  <c r="I2233" i="26" a="1"/>
  <c r="I2233" i="26" s="1"/>
  <c r="M2233" i="26" s="1"/>
  <c r="I2287" i="26" a="1"/>
  <c r="I2287" i="26" s="1"/>
  <c r="M2287" i="26" s="1"/>
  <c r="I2145" i="26" a="1"/>
  <c r="I2145" i="26" s="1"/>
  <c r="I7" i="18" s="1"/>
  <c r="O7" i="18" s="1"/>
  <c r="I2259" i="26" a="1"/>
  <c r="I2259" i="26" s="1"/>
  <c r="M2259" i="26" s="1"/>
  <c r="I2098" i="26" a="1"/>
  <c r="I2098" i="26" s="1"/>
  <c r="M2098" i="26" s="1"/>
  <c r="I2231" i="26" a="1"/>
  <c r="I2231" i="26" s="1"/>
  <c r="M2231" i="26" s="1"/>
  <c r="I2316" i="26" a="1"/>
  <c r="I2316" i="26" s="1"/>
  <c r="I21" i="18" s="1"/>
  <c r="O21" i="18" s="1"/>
  <c r="I2150" i="26" a="1"/>
  <c r="I2150" i="26" s="1"/>
  <c r="M2150" i="26" s="1"/>
  <c r="I2251" i="26" a="1"/>
  <c r="I2251" i="26" s="1"/>
  <c r="M2251" i="26" s="1"/>
  <c r="I2298" i="26" a="1"/>
  <c r="I2298" i="26" s="1"/>
  <c r="M2298" i="26" s="1"/>
  <c r="I2103" i="26" a="1"/>
  <c r="I2103" i="26" s="1"/>
  <c r="M2103" i="26" s="1"/>
  <c r="I2108" i="26" a="1"/>
  <c r="I2108" i="26" s="1"/>
  <c r="M2108" i="26" s="1"/>
  <c r="I2252" i="26" a="1"/>
  <c r="I2252" i="26" s="1"/>
  <c r="M2252" i="26" s="1"/>
  <c r="I2137" i="26" a="1"/>
  <c r="I2137" i="26" s="1"/>
  <c r="M2137" i="26" s="1"/>
  <c r="I2146" i="26" a="1"/>
  <c r="I2146" i="26" s="1"/>
  <c r="M2146" i="26" s="1"/>
  <c r="I2154" i="26" a="1"/>
  <c r="I2154" i="26" s="1"/>
  <c r="I8" i="18" s="1"/>
  <c r="O8" i="18" s="1"/>
  <c r="I2229" i="26" a="1"/>
  <c r="I2229" i="26" s="1"/>
  <c r="M2229" i="26" s="1"/>
  <c r="M2169" i="26"/>
  <c r="I2254" i="26" a="1"/>
  <c r="I2254" i="26" s="1"/>
  <c r="M2254" i="26" s="1"/>
  <c r="I2225" i="26" a="1"/>
  <c r="I2225" i="26" s="1"/>
  <c r="M2225" i="26" s="1"/>
  <c r="I2134" i="26" a="1"/>
  <c r="I2134" i="26" s="1"/>
  <c r="M2134" i="26" s="1"/>
  <c r="I2239" i="26" a="1"/>
  <c r="I2239" i="26" s="1"/>
  <c r="M2239" i="26" s="1"/>
  <c r="I2295" i="26" a="1"/>
  <c r="I2295" i="26" s="1"/>
  <c r="M2295" i="26" s="1"/>
  <c r="I2300" i="26" a="1"/>
  <c r="I2300" i="26" s="1"/>
  <c r="M2300" i="26" s="1"/>
  <c r="I2280" i="26" a="1"/>
  <c r="I2280" i="26" s="1"/>
  <c r="I18" i="18" s="1"/>
  <c r="O18" i="18" s="1"/>
  <c r="I2278" i="26" a="1"/>
  <c r="I2278" i="26" s="1"/>
  <c r="M2278" i="26" s="1"/>
  <c r="I2312" i="26" a="1"/>
  <c r="I2312" i="26" s="1"/>
  <c r="M2312" i="26" s="1"/>
  <c r="I2269" i="26" a="1"/>
  <c r="I2269" i="26" s="1"/>
  <c r="M2269" i="26" s="1"/>
  <c r="I2177" i="26" a="1"/>
  <c r="I2177" i="26" s="1"/>
  <c r="I2285" i="26" a="1"/>
  <c r="I2285" i="26" s="1"/>
  <c r="M2285" i="26" s="1"/>
  <c r="I2318" i="26" a="1"/>
  <c r="I2318" i="26" s="1"/>
  <c r="M2318" i="26" s="1"/>
  <c r="I2216" i="26" a="1"/>
  <c r="I2216" i="26" s="1"/>
  <c r="M2216" i="26" s="1"/>
  <c r="I2275" i="26" a="1"/>
  <c r="I2275" i="26" s="1"/>
  <c r="M2275" i="26" s="1"/>
  <c r="I2133" i="26" a="1"/>
  <c r="I2133" i="26" s="1"/>
  <c r="I2297" i="26" a="1"/>
  <c r="I2297" i="26" s="1"/>
  <c r="M2297" i="26" s="1"/>
  <c r="I2181" i="26" a="1"/>
  <c r="I2181" i="26" s="1"/>
  <c r="M2181" i="26" s="1"/>
  <c r="I2215" i="26" a="1"/>
  <c r="I2215" i="26" s="1"/>
  <c r="M2215" i="26" s="1"/>
  <c r="I2131" i="26" a="1"/>
  <c r="I2131" i="26" s="1"/>
  <c r="I2201" i="26" a="1"/>
  <c r="I2201" i="26" s="1"/>
  <c r="M2201" i="26" s="1"/>
  <c r="I2218" i="26" a="1"/>
  <c r="I2218" i="26" s="1"/>
  <c r="M2218" i="26" s="1"/>
  <c r="I2219" i="26" a="1"/>
  <c r="I2219" i="26" s="1"/>
  <c r="M2219" i="26" s="1"/>
  <c r="I2188" i="26" a="1"/>
  <c r="I2188" i="26" s="1"/>
  <c r="M2188" i="26" s="1"/>
  <c r="I2289" i="26" a="1"/>
  <c r="I2289" i="26" s="1"/>
  <c r="M2289" i="26" s="1"/>
  <c r="I2222" i="26" a="1"/>
  <c r="I2222" i="26" s="1"/>
  <c r="M2222" i="26" s="1"/>
  <c r="I2173" i="26" a="1"/>
  <c r="I2173" i="26" s="1"/>
  <c r="I2118" i="26" a="1"/>
  <c r="I2118" i="26" s="1"/>
  <c r="I2263" i="26" a="1"/>
  <c r="I2263" i="26" s="1"/>
  <c r="M2263" i="26" s="1"/>
  <c r="I2194" i="26" a="1"/>
  <c r="I2194" i="26" s="1"/>
  <c r="M2194" i="26" s="1"/>
  <c r="I2121" i="26" a="1"/>
  <c r="I2121" i="26" s="1"/>
  <c r="M2121" i="26" s="1"/>
  <c r="I2320" i="26" a="1"/>
  <c r="I2320" i="26" s="1"/>
  <c r="M2320" i="26" s="1"/>
  <c r="I2190" i="26" a="1"/>
  <c r="I2190" i="26" s="1"/>
  <c r="M2190" i="26" s="1"/>
  <c r="I2314" i="26" a="1"/>
  <c r="I2314" i="26" s="1"/>
  <c r="M2314" i="26" s="1"/>
  <c r="I2243" i="26" a="1"/>
  <c r="I2243" i="26" s="1"/>
  <c r="I2321" i="26" a="1"/>
  <c r="I2321" i="26" s="1"/>
  <c r="M2321" i="26" s="1"/>
  <c r="I2158" i="26" a="1"/>
  <c r="I2158" i="26" s="1"/>
  <c r="M2158" i="26" s="1"/>
  <c r="I2313" i="26" a="1"/>
  <c r="I2313" i="26" s="1"/>
  <c r="M2313" i="26" s="1"/>
  <c r="I2206" i="26" a="1"/>
  <c r="I2206" i="26" s="1"/>
  <c r="M2206" i="26" s="1"/>
  <c r="I2204" i="26" a="1"/>
  <c r="I2204" i="26" s="1"/>
  <c r="M2159" i="26"/>
  <c r="I2203" i="26" a="1"/>
  <c r="I2203" i="26" s="1"/>
  <c r="M2203" i="26" s="1"/>
  <c r="I2237" i="26" a="1"/>
  <c r="I2237" i="26" s="1"/>
  <c r="M2237" i="26" s="1"/>
  <c r="I2179" i="26" a="1"/>
  <c r="I2179" i="26" s="1"/>
  <c r="M2179" i="26" s="1"/>
  <c r="I2110" i="26" a="1"/>
  <c r="I2110" i="26" s="1"/>
  <c r="I2291" i="26" a="1"/>
  <c r="I2291" i="26" s="1"/>
  <c r="M2291" i="26" s="1"/>
  <c r="I2157" i="26" a="1"/>
  <c r="I2157" i="26" s="1"/>
  <c r="M2157" i="26" s="1"/>
  <c r="I2200" i="26" a="1"/>
  <c r="I2200" i="26" s="1"/>
  <c r="M2200" i="26" s="1"/>
  <c r="I2317" i="26" a="1"/>
  <c r="I2317" i="26" s="1"/>
  <c r="M2317" i="26" s="1"/>
  <c r="I2119" i="26" a="1"/>
  <c r="I2119" i="26" s="1"/>
  <c r="M2119" i="26" s="1"/>
  <c r="I2151" i="26" a="1"/>
  <c r="I2151" i="26" s="1"/>
  <c r="I2264" i="26" a="1"/>
  <c r="I2264" i="26" s="1"/>
  <c r="M2264" i="26" s="1"/>
  <c r="N32" i="31"/>
  <c r="N30" i="31"/>
  <c r="I2322" i="26" a="1"/>
  <c r="I2322" i="26" s="1"/>
  <c r="M2322" i="26" s="1"/>
  <c r="I2125" i="26" a="1"/>
  <c r="I2125" i="26" s="1"/>
  <c r="M2125" i="26" s="1"/>
  <c r="M2164" i="26"/>
  <c r="I2286" i="26" a="1"/>
  <c r="I2286" i="26" s="1"/>
  <c r="I2265" i="26" a="1"/>
  <c r="I2265" i="26" s="1"/>
  <c r="M2265" i="26" s="1"/>
  <c r="N22" i="31"/>
  <c r="I2208" i="26" a="1"/>
  <c r="I2208" i="26" s="1"/>
  <c r="M2208" i="26" s="1"/>
  <c r="I2149" i="26" a="1"/>
  <c r="I2149" i="26" s="1"/>
  <c r="M2149" i="26" s="1"/>
  <c r="I2299" i="26" a="1"/>
  <c r="I2299" i="26" s="1"/>
  <c r="M2299" i="26" s="1"/>
  <c r="I2226" i="26" a="1"/>
  <c r="I2226" i="26" s="1"/>
  <c r="M2226" i="26" s="1"/>
  <c r="AG10" i="31"/>
  <c r="N33" i="31"/>
  <c r="K897" i="26"/>
  <c r="O882" i="26"/>
  <c r="K1467" i="26"/>
  <c r="O1218" i="26"/>
  <c r="O1587" i="26"/>
  <c r="N26" i="31"/>
  <c r="K1103" i="26"/>
  <c r="K1100" i="26"/>
  <c r="N24" i="31"/>
  <c r="O1389" i="26"/>
  <c r="O1283" i="26"/>
  <c r="K1207" i="26"/>
  <c r="O1088" i="26"/>
  <c r="K873" i="26"/>
  <c r="O1521" i="26"/>
  <c r="O1427" i="26"/>
  <c r="K1558" i="26"/>
  <c r="K1539" i="26"/>
  <c r="K1507" i="26"/>
  <c r="K1373" i="26"/>
  <c r="K1370" i="26"/>
  <c r="K1647" i="26"/>
  <c r="K1586" i="26"/>
  <c r="N31" i="31"/>
  <c r="N16" i="31"/>
  <c r="K1554" i="26"/>
  <c r="O1517" i="26"/>
  <c r="O1479" i="26"/>
  <c r="K1396" i="26"/>
  <c r="O1351" i="26"/>
  <c r="K1161" i="26"/>
  <c r="N18" i="31"/>
  <c r="O1557" i="26"/>
  <c r="K1003" i="26"/>
  <c r="K1553" i="26"/>
  <c r="O1536" i="26"/>
  <c r="O1533" i="26"/>
  <c r="K1503" i="26"/>
  <c r="O1498" i="26"/>
  <c r="O1487" i="26"/>
  <c r="O1455" i="26"/>
  <c r="O1437" i="26"/>
  <c r="K1361" i="26"/>
  <c r="K1346" i="26"/>
  <c r="O1329" i="26"/>
  <c r="K1328" i="26"/>
  <c r="K1263" i="26"/>
  <c r="K1483" i="26"/>
  <c r="K1463" i="26"/>
  <c r="K1358" i="26"/>
  <c r="K1356" i="26"/>
  <c r="O1341" i="26"/>
  <c r="K1340" i="26"/>
  <c r="O1337" i="26"/>
  <c r="K1336" i="26"/>
  <c r="O1295" i="26"/>
  <c r="O1198" i="26"/>
  <c r="K1359" i="26"/>
  <c r="K1282" i="26"/>
  <c r="K1217" i="26"/>
  <c r="K1600" i="26"/>
  <c r="O809" i="26"/>
  <c r="K706" i="26"/>
  <c r="O719" i="26"/>
  <c r="K1017" i="26"/>
  <c r="K991" i="26"/>
  <c r="K973" i="26"/>
  <c r="K907" i="26"/>
  <c r="K885" i="26"/>
  <c r="O878" i="26"/>
  <c r="O872" i="26"/>
  <c r="K871" i="26"/>
  <c r="K1549" i="26"/>
  <c r="O1544" i="26"/>
  <c r="K1531" i="26"/>
  <c r="O1518" i="26"/>
  <c r="K1485" i="26"/>
  <c r="K1342" i="26"/>
  <c r="K1338" i="26"/>
  <c r="O1297" i="26"/>
  <c r="K1296" i="26"/>
  <c r="O1607" i="26"/>
  <c r="O1593" i="26"/>
  <c r="AG27" i="31"/>
  <c r="O1013" i="26"/>
  <c r="K1036" i="26"/>
  <c r="O1522" i="26"/>
  <c r="O1415" i="26"/>
  <c r="O1381" i="26"/>
  <c r="K1380" i="26"/>
  <c r="O1325" i="26"/>
  <c r="O1621" i="26"/>
  <c r="O698" i="26"/>
  <c r="O966" i="26"/>
  <c r="O1573" i="26"/>
  <c r="K1512" i="26"/>
  <c r="K1355" i="26"/>
  <c r="K1352" i="26"/>
  <c r="K1339" i="26"/>
  <c r="K1229" i="26"/>
  <c r="O1224" i="26"/>
  <c r="K1177" i="26"/>
  <c r="O1172" i="26"/>
  <c r="N21" i="31"/>
  <c r="N23" i="31"/>
  <c r="M2235" i="26"/>
  <c r="M2293" i="26"/>
  <c r="M2153" i="26"/>
  <c r="M2192" i="26"/>
  <c r="M2242" i="26"/>
  <c r="M2240" i="26"/>
  <c r="M2323" i="26"/>
  <c r="M2166" i="26"/>
  <c r="M2102" i="26"/>
  <c r="M2253" i="26"/>
  <c r="M2332" i="26"/>
  <c r="M2160" i="26"/>
  <c r="M2339" i="26"/>
  <c r="M2184" i="26"/>
  <c r="M2276" i="26"/>
  <c r="M2213" i="26"/>
  <c r="M2344" i="26"/>
  <c r="M2341" i="26"/>
  <c r="M2109" i="26"/>
  <c r="M2144" i="26"/>
  <c r="M2123" i="26"/>
  <c r="M2155" i="26"/>
  <c r="M2343" i="26"/>
  <c r="M2126" i="26"/>
  <c r="M2167" i="26"/>
  <c r="M2170" i="26"/>
  <c r="M2260" i="26"/>
  <c r="M2187" i="26"/>
  <c r="M2135" i="26"/>
  <c r="M2336" i="26"/>
  <c r="M2345" i="26"/>
  <c r="M2357" i="26"/>
  <c r="M2353" i="26"/>
  <c r="M2268" i="26"/>
  <c r="M2261" i="26"/>
  <c r="M2348" i="26"/>
  <c r="M2351" i="26"/>
  <c r="M2349" i="26"/>
  <c r="M2093" i="26"/>
  <c r="M2294" i="26"/>
  <c r="M2338" i="26"/>
  <c r="M2331" i="26"/>
  <c r="M2340" i="26"/>
  <c r="M2175" i="26"/>
  <c r="M2094" i="26"/>
  <c r="M2112" i="26"/>
  <c r="M2326" i="26"/>
  <c r="M2359" i="26"/>
  <c r="M2337" i="26"/>
  <c r="M2156" i="26"/>
  <c r="M2122" i="26"/>
  <c r="M2256" i="26"/>
  <c r="M2334" i="26"/>
  <c r="M2328" i="26"/>
  <c r="M2327" i="26"/>
  <c r="M2186" i="26"/>
  <c r="M2335" i="26"/>
  <c r="M2354" i="26"/>
  <c r="M2329" i="26"/>
  <c r="M2227" i="26"/>
  <c r="M2342" i="26"/>
  <c r="M2358" i="26"/>
  <c r="M2360" i="26"/>
  <c r="M2182" i="26"/>
  <c r="M2257" i="26"/>
  <c r="M2346" i="26"/>
  <c r="M2356" i="26"/>
  <c r="M2350" i="26"/>
  <c r="N5" i="31"/>
  <c r="AG5" i="31"/>
  <c r="N13" i="31"/>
  <c r="AG13" i="31"/>
  <c r="N9" i="31"/>
  <c r="AG9" i="31"/>
  <c r="N6" i="31"/>
  <c r="AG6" i="31"/>
  <c r="N14" i="31"/>
  <c r="AG14" i="31"/>
  <c r="N8" i="31"/>
  <c r="AG8" i="31"/>
  <c r="N2" i="31"/>
  <c r="AG2" i="31"/>
  <c r="N4" i="31"/>
  <c r="AG4" i="31"/>
  <c r="N15" i="31"/>
  <c r="AG15" i="31"/>
  <c r="N7" i="31"/>
  <c r="AG7" i="31"/>
  <c r="M2091" i="26"/>
  <c r="N11" i="31"/>
  <c r="AG11" i="31"/>
  <c r="I2080" i="26" a="1"/>
  <c r="I2080" i="26" s="1"/>
  <c r="M2080" i="26" s="1"/>
  <c r="I2082" i="26" a="1"/>
  <c r="I2082" i="26" s="1"/>
  <c r="M2082" i="26" s="1"/>
  <c r="I2086" i="26" a="1"/>
  <c r="I2086" i="26" s="1"/>
  <c r="M2086" i="26" s="1"/>
  <c r="N3" i="31"/>
  <c r="AG3" i="31"/>
  <c r="N12" i="31"/>
  <c r="AG12" i="31"/>
  <c r="I2084" i="26" a="1"/>
  <c r="I2084" i="26" s="1"/>
  <c r="M2084" i="26" s="1"/>
  <c r="I2087" i="26" a="1"/>
  <c r="I2087" i="26" s="1"/>
  <c r="M2087" i="26" s="1"/>
  <c r="I2081" i="26" a="1"/>
  <c r="I2081" i="26" s="1"/>
  <c r="M2081" i="26" s="1"/>
  <c r="I2085" i="26" a="1"/>
  <c r="I2085" i="26" s="1"/>
  <c r="M2085" i="26" s="1"/>
  <c r="I1879" i="26" a="1"/>
  <c r="I1879" i="26" s="1"/>
  <c r="I2052" i="26" a="1"/>
  <c r="I2052" i="26" s="1"/>
  <c r="I2088" i="26" a="1"/>
  <c r="I2088" i="26" s="1"/>
  <c r="M2088" i="26" s="1"/>
  <c r="I2083" i="26" a="1"/>
  <c r="I2083" i="26" s="1"/>
  <c r="M2083" i="26" s="1"/>
  <c r="I1692" i="26" a="1"/>
  <c r="I1692" i="26" s="1"/>
  <c r="AI4" i="31" s="1"/>
  <c r="AL4" i="31" s="1"/>
  <c r="I1754" i="26" a="1"/>
  <c r="I1754" i="26" s="1"/>
  <c r="I1818" i="26" a="1"/>
  <c r="I1818" i="26" s="1"/>
  <c r="I1932" i="26" a="1"/>
  <c r="I1932" i="26" s="1"/>
  <c r="I1849" i="26" a="1"/>
  <c r="I1849" i="26" s="1"/>
  <c r="I2036" i="26" a="1"/>
  <c r="I2036" i="26" s="1"/>
  <c r="I2079" i="26" a="1"/>
  <c r="I2079" i="26" s="1"/>
  <c r="M2079" i="26" s="1"/>
  <c r="I2089" i="26" a="1"/>
  <c r="I2089" i="26" s="1"/>
  <c r="M2089" i="26" s="1"/>
  <c r="I2090" i="26" a="1"/>
  <c r="I2090" i="26" s="1"/>
  <c r="M2090" i="26" s="1"/>
  <c r="I1814" i="26" a="1"/>
  <c r="I1814" i="26" s="1"/>
  <c r="I1748" i="26" a="1"/>
  <c r="I1748" i="26" s="1"/>
  <c r="M1748" i="26" s="1"/>
  <c r="I1832" i="26" a="1"/>
  <c r="I1832" i="26" s="1"/>
  <c r="I1891" i="26" a="1"/>
  <c r="I1891" i="26" s="1"/>
  <c r="I1948" i="26" a="1"/>
  <c r="I1948" i="26" s="1"/>
  <c r="I1960" i="26" a="1"/>
  <c r="I1960" i="26" s="1"/>
  <c r="I1908" i="26" a="1"/>
  <c r="I1908" i="26" s="1"/>
  <c r="I1923" i="26" a="1"/>
  <c r="I1923" i="26" s="1"/>
  <c r="I1913" i="26" a="1"/>
  <c r="I1913" i="26" s="1"/>
  <c r="I2016" i="26" a="1"/>
  <c r="I2016" i="26" s="1"/>
  <c r="I2009" i="26" a="1"/>
  <c r="I2009" i="26" s="1"/>
  <c r="I1863" i="26" a="1"/>
  <c r="I1863" i="26" s="1"/>
  <c r="I1718" i="26" a="1"/>
  <c r="I1718" i="26" s="1"/>
  <c r="I1726" i="26" a="1"/>
  <c r="I1726" i="26" s="1"/>
  <c r="I1761" i="26" a="1"/>
  <c r="I1761" i="26" s="1"/>
  <c r="I1971" i="26" a="1"/>
  <c r="I1971" i="26" s="1"/>
  <c r="I1795" i="26" a="1"/>
  <c r="I1795" i="26" s="1"/>
  <c r="I2065" i="26" a="1"/>
  <c r="I2065" i="26" s="1"/>
  <c r="I1998" i="26" a="1"/>
  <c r="I1998" i="26" s="1"/>
  <c r="I2068" i="26" a="1"/>
  <c r="I2068" i="26" s="1"/>
  <c r="I1745" i="26" a="1"/>
  <c r="I1745" i="26" s="1"/>
  <c r="I1747" i="26" a="1"/>
  <c r="I1747" i="26" s="1"/>
  <c r="I1767" i="26" a="1"/>
  <c r="I1767" i="26" s="1"/>
  <c r="I1831" i="26" a="1"/>
  <c r="I1831" i="26" s="1"/>
  <c r="I1788" i="26" a="1"/>
  <c r="I1788" i="26" s="1"/>
  <c r="I1840" i="26" a="1"/>
  <c r="I1840" i="26" s="1"/>
  <c r="I1907" i="26" a="1"/>
  <c r="I1907" i="26" s="1"/>
  <c r="I1811" i="26" a="1"/>
  <c r="I1811" i="26" s="1"/>
  <c r="I1827" i="26" a="1"/>
  <c r="I1827" i="26" s="1"/>
  <c r="I1902" i="26" a="1"/>
  <c r="I1902" i="26" s="1"/>
  <c r="I1951" i="26" a="1"/>
  <c r="I1951" i="26" s="1"/>
  <c r="I1941" i="26" a="1"/>
  <c r="I1941" i="26" s="1"/>
  <c r="I1886" i="26" a="1"/>
  <c r="I1886" i="26" s="1"/>
  <c r="I1900" i="26" a="1"/>
  <c r="I1900" i="26" s="1"/>
  <c r="I2069" i="26" a="1"/>
  <c r="I2069" i="26" s="1"/>
  <c r="I2030" i="26" a="1"/>
  <c r="I2030" i="26" s="1"/>
  <c r="I2004" i="26" a="1"/>
  <c r="I2004" i="26" s="1"/>
  <c r="I1881" i="26" a="1"/>
  <c r="I1881" i="26" s="1"/>
  <c r="I1980" i="26" a="1"/>
  <c r="I1980" i="26" s="1"/>
  <c r="I2010" i="26" a="1"/>
  <c r="I2010" i="26" s="1"/>
  <c r="I2050" i="26" a="1"/>
  <c r="I2050" i="26" s="1"/>
  <c r="I1892" i="26" a="1"/>
  <c r="I1892" i="26" s="1"/>
  <c r="I1837" i="26" a="1"/>
  <c r="I1837" i="26" s="1"/>
  <c r="I1828" i="26" a="1"/>
  <c r="I1828" i="26" s="1"/>
  <c r="I1768" i="26" a="1"/>
  <c r="I1768" i="26" s="1"/>
  <c r="M1768" i="26" s="1"/>
  <c r="I1732" i="26" a="1"/>
  <c r="I1732" i="26" s="1"/>
  <c r="I2060" i="26" a="1"/>
  <c r="I2060" i="26" s="1"/>
  <c r="I1972" i="26" a="1"/>
  <c r="I1972" i="26" s="1"/>
  <c r="I1793" i="26" a="1"/>
  <c r="I1793" i="26" s="1"/>
  <c r="I1833" i="26" a="1"/>
  <c r="I1833" i="26" s="1"/>
  <c r="I1845" i="26" a="1"/>
  <c r="I1845" i="26" s="1"/>
  <c r="I1887" i="26" a="1"/>
  <c r="I1887" i="26" s="1"/>
  <c r="I2066" i="26" a="1"/>
  <c r="I2066" i="26" s="1"/>
  <c r="I1961" i="26" a="1"/>
  <c r="I1961" i="26" s="1"/>
  <c r="I1893" i="26" a="1"/>
  <c r="I1893" i="26" s="1"/>
  <c r="I1928" i="26" a="1"/>
  <c r="I1928" i="26" s="1"/>
  <c r="I2063" i="26" a="1"/>
  <c r="I2063" i="26" s="1"/>
  <c r="I1838" i="26" a="1"/>
  <c r="I1838" i="26" s="1"/>
  <c r="I1924" i="26" a="1"/>
  <c r="I1924" i="26" s="1"/>
  <c r="I1888" i="26" a="1"/>
  <c r="I1888" i="26" s="1"/>
  <c r="I1797" i="26" a="1"/>
  <c r="I1797" i="26" s="1"/>
  <c r="I1805" i="26" a="1"/>
  <c r="I1805" i="26" s="1"/>
  <c r="I1911" i="26" a="1"/>
  <c r="I1911" i="26" s="1"/>
  <c r="I1914" i="26" a="1"/>
  <c r="I1914" i="26" s="1"/>
  <c r="I1800" i="26" a="1"/>
  <c r="I1800" i="26" s="1"/>
  <c r="M1800" i="26" s="1"/>
  <c r="I1766" i="26" a="1"/>
  <c r="I1766" i="26" s="1"/>
  <c r="I2071" i="26" a="1"/>
  <c r="I2071" i="26" s="1"/>
  <c r="I2022" i="26" a="1"/>
  <c r="I2022" i="26" s="1"/>
  <c r="I1699" i="26" a="1"/>
  <c r="I1699" i="26" s="1"/>
  <c r="I1720" i="26" a="1"/>
  <c r="I1720" i="26" s="1"/>
  <c r="I1738" i="26" a="1"/>
  <c r="I1738" i="26" s="1"/>
  <c r="I1801" i="26" a="1"/>
  <c r="I1801" i="26" s="1"/>
  <c r="I1794" i="26" a="1"/>
  <c r="I1794" i="26" s="1"/>
  <c r="I1746" i="26" a="1"/>
  <c r="I1746" i="26" s="1"/>
  <c r="I1860" i="26" a="1"/>
  <c r="I1860" i="26" s="1"/>
  <c r="I1912" i="26" a="1"/>
  <c r="I1912" i="26" s="1"/>
  <c r="I1982" i="26" a="1"/>
  <c r="I1982" i="26" s="1"/>
  <c r="I1954" i="26" a="1"/>
  <c r="I1954" i="26" s="1"/>
  <c r="I1915" i="26" a="1"/>
  <c r="I1915" i="26" s="1"/>
  <c r="I1899" i="26" a="1"/>
  <c r="I1899" i="26" s="1"/>
  <c r="I1925" i="26" a="1"/>
  <c r="I1925" i="26" s="1"/>
  <c r="I1950" i="26" a="1"/>
  <c r="I1950" i="26" s="1"/>
  <c r="I2006" i="26" a="1"/>
  <c r="I2006" i="26" s="1"/>
  <c r="I2076" i="26" a="1"/>
  <c r="I2076" i="26" s="1"/>
  <c r="I1979" i="26" a="1"/>
  <c r="I1979" i="26" s="1"/>
  <c r="I2014" i="26" a="1"/>
  <c r="I2014" i="26" s="1"/>
  <c r="M2014" i="26" s="1"/>
  <c r="I1903" i="26" a="1"/>
  <c r="I1903" i="26" s="1"/>
  <c r="I2058" i="26" a="1"/>
  <c r="I2058" i="26" s="1"/>
  <c r="I2075" i="26" a="1"/>
  <c r="I2075" i="26" s="1"/>
  <c r="I1866" i="26" a="1"/>
  <c r="I1866" i="26" s="1"/>
  <c r="I1930" i="26" a="1"/>
  <c r="I1930" i="26" s="1"/>
  <c r="I1847" i="26" a="1"/>
  <c r="I1847" i="26" s="1"/>
  <c r="I2078" i="26" a="1"/>
  <c r="I2078" i="26" s="1"/>
  <c r="I2061" i="26" a="1"/>
  <c r="I2061" i="26" s="1"/>
  <c r="I1819" i="26" a="1"/>
  <c r="I1819" i="26" s="1"/>
  <c r="I2000" i="26" a="1"/>
  <c r="I2000" i="26" s="1"/>
  <c r="I1862" i="26" a="1"/>
  <c r="I1862" i="26" s="1"/>
  <c r="I1807" i="26" a="1"/>
  <c r="I1807" i="26" s="1"/>
  <c r="I1820" i="26" a="1"/>
  <c r="I1820" i="26" s="1"/>
  <c r="I1723" i="26" a="1"/>
  <c r="I1723" i="26" s="1"/>
  <c r="M1723" i="26" s="1"/>
  <c r="I2032" i="26" a="1"/>
  <c r="I2032" i="26" s="1"/>
  <c r="I1750" i="26" a="1"/>
  <c r="I1750" i="26" s="1"/>
  <c r="I1785" i="26" a="1"/>
  <c r="I1785" i="26" s="1"/>
  <c r="I1764" i="26" a="1"/>
  <c r="I1764" i="26" s="1"/>
  <c r="I1740" i="26" a="1"/>
  <c r="I1740" i="26" s="1"/>
  <c r="I1806" i="26" a="1"/>
  <c r="I1806" i="26" s="1"/>
  <c r="I1804" i="26" a="1"/>
  <c r="I1804" i="26" s="1"/>
  <c r="I1953" i="26" a="1"/>
  <c r="I1953" i="26" s="1"/>
  <c r="I1830" i="26" a="1"/>
  <c r="I1830" i="26" s="1"/>
  <c r="M1830" i="26" s="1"/>
  <c r="I1729" i="26" a="1"/>
  <c r="I1729" i="26" s="1"/>
  <c r="I1867" i="26" a="1"/>
  <c r="I1867" i="26" s="1"/>
  <c r="I1864" i="26" a="1"/>
  <c r="I1864" i="26" s="1"/>
  <c r="I1927" i="26" a="1"/>
  <c r="I1927" i="26" s="1"/>
  <c r="I1878" i="26" a="1"/>
  <c r="I1878" i="26" s="1"/>
  <c r="I1964" i="26" a="1"/>
  <c r="I1964" i="26" s="1"/>
  <c r="I1919" i="26" a="1"/>
  <c r="I1919" i="26" s="1"/>
  <c r="I1922" i="26" a="1"/>
  <c r="I1922" i="26" s="1"/>
  <c r="I1973" i="26" a="1"/>
  <c r="I1973" i="26" s="1"/>
  <c r="I2041" i="26" a="1"/>
  <c r="I2041" i="26" s="1"/>
  <c r="M2041" i="26" s="1"/>
  <c r="I1988" i="26" a="1"/>
  <c r="I1988" i="26" s="1"/>
  <c r="I2043" i="26" a="1"/>
  <c r="I2043" i="26" s="1"/>
  <c r="I2059" i="26" a="1"/>
  <c r="I2059" i="26" s="1"/>
  <c r="I1944" i="26" a="1"/>
  <c r="I1944" i="26" s="1"/>
  <c r="I1956" i="26" a="1"/>
  <c r="I1956" i="26" s="1"/>
  <c r="M1956" i="26" s="1"/>
  <c r="I1910" i="26" a="1"/>
  <c r="I1910" i="26" s="1"/>
  <c r="I1981" i="26" a="1"/>
  <c r="I1981" i="26" s="1"/>
  <c r="I1882" i="26" a="1"/>
  <c r="I1882" i="26" s="1"/>
  <c r="I1821" i="26" a="1"/>
  <c r="I1821" i="26" s="1"/>
  <c r="I1857" i="26" a="1"/>
  <c r="I1857" i="26" s="1"/>
  <c r="I1743" i="26" a="1"/>
  <c r="I1743" i="26" s="1"/>
  <c r="I1813" i="26" a="1"/>
  <c r="I1813" i="26" s="1"/>
  <c r="M1813" i="26" s="1"/>
  <c r="I1725" i="26" a="1"/>
  <c r="I1725" i="26" s="1"/>
  <c r="I1742" i="26" a="1"/>
  <c r="I1742" i="26" s="1"/>
  <c r="I1815" i="26" a="1"/>
  <c r="I1815" i="26" s="1"/>
  <c r="M1815" i="26" s="1"/>
  <c r="I1717" i="26" a="1"/>
  <c r="I1717" i="26" s="1"/>
  <c r="I1790" i="26" a="1"/>
  <c r="I1790" i="26" s="1"/>
  <c r="I1955" i="26" a="1"/>
  <c r="I1955" i="26" s="1"/>
  <c r="I1834" i="26" a="1"/>
  <c r="I1834" i="26" s="1"/>
  <c r="I1792" i="26" a="1"/>
  <c r="I1792" i="26" s="1"/>
  <c r="I1873" i="26" a="1"/>
  <c r="I1873" i="26" s="1"/>
  <c r="I1929" i="26" a="1"/>
  <c r="I1929" i="26" s="1"/>
  <c r="I1880" i="26" a="1"/>
  <c r="I1880" i="26" s="1"/>
  <c r="I1934" i="26" a="1"/>
  <c r="I1934" i="26" s="1"/>
  <c r="I1947" i="26" a="1"/>
  <c r="I1947" i="26" s="1"/>
  <c r="I1935" i="26" a="1"/>
  <c r="I1935" i="26" s="1"/>
  <c r="I2046" i="26" a="1"/>
  <c r="I2046" i="26" s="1"/>
  <c r="I1994" i="26" a="1"/>
  <c r="I1994" i="26" s="1"/>
  <c r="I2053" i="26" a="1"/>
  <c r="I2053" i="26" s="1"/>
  <c r="M2053" i="26" s="1"/>
  <c r="I1691" i="26" a="1"/>
  <c r="I1691" i="26" s="1"/>
  <c r="I1733" i="26" a="1"/>
  <c r="I1733" i="26" s="1"/>
  <c r="I1989" i="26" a="1"/>
  <c r="I1989" i="26" s="1"/>
  <c r="I1829" i="26" a="1"/>
  <c r="I1829" i="26" s="1"/>
  <c r="I1946" i="26" a="1"/>
  <c r="I1946" i="26" s="1"/>
  <c r="I1872" i="26" a="1"/>
  <c r="I1872" i="26" s="1"/>
  <c r="I1926" i="26" a="1"/>
  <c r="I1926" i="26" s="1"/>
  <c r="I1753" i="26" a="1"/>
  <c r="I1753" i="26" s="1"/>
  <c r="I1997" i="26" a="1"/>
  <c r="I1997" i="26" s="1"/>
  <c r="I1952" i="26" a="1"/>
  <c r="I1952" i="26" s="1"/>
  <c r="I1937" i="26" a="1"/>
  <c r="I1937" i="26" s="1"/>
  <c r="I1696" i="26" a="1"/>
  <c r="I1696" i="26" s="1"/>
  <c r="I1698" i="26" a="1"/>
  <c r="I1698" i="26" s="1"/>
  <c r="M1698" i="26" s="1"/>
  <c r="I1711" i="26" a="1"/>
  <c r="I1711" i="26" s="1"/>
  <c r="I1706" i="26" a="1"/>
  <c r="I1706" i="26" s="1"/>
  <c r="I1763" i="26" a="1"/>
  <c r="I1763" i="26" s="1"/>
  <c r="I1841" i="26" a="1"/>
  <c r="I1841" i="26" s="1"/>
  <c r="I1757" i="26" a="1"/>
  <c r="I1757" i="26" s="1"/>
  <c r="I1826" i="26" a="1"/>
  <c r="I1826" i="26" s="1"/>
  <c r="I1752" i="26" a="1"/>
  <c r="I1752" i="26" s="1"/>
  <c r="I1817" i="26" a="1"/>
  <c r="I1817" i="26" s="1"/>
  <c r="I1749" i="26" a="1"/>
  <c r="I1749" i="26" s="1"/>
  <c r="I1852" i="26" a="1"/>
  <c r="I1852" i="26" s="1"/>
  <c r="I1843" i="26" a="1"/>
  <c r="I1843" i="26" s="1"/>
  <c r="M1843" i="26" s="1"/>
  <c r="I1824" i="26" a="1"/>
  <c r="I1824" i="26" s="1"/>
  <c r="I1871" i="26" a="1"/>
  <c r="I1871" i="26" s="1"/>
  <c r="I1936" i="26" a="1"/>
  <c r="I1936" i="26" s="1"/>
  <c r="I1904" i="26" a="1"/>
  <c r="I1904" i="26" s="1"/>
  <c r="I1957" i="26" a="1"/>
  <c r="I1957" i="26" s="1"/>
  <c r="I1854" i="26" a="1"/>
  <c r="I1854" i="26" s="1"/>
  <c r="I2029" i="26" a="1"/>
  <c r="I2029" i="26" s="1"/>
  <c r="I1968" i="26" a="1"/>
  <c r="I1968" i="26" s="1"/>
  <c r="I2002" i="26" a="1"/>
  <c r="I2002" i="26" s="1"/>
  <c r="I1974" i="26" a="1"/>
  <c r="I1974" i="26" s="1"/>
  <c r="I2011" i="26" a="1"/>
  <c r="I2011" i="26" s="1"/>
  <c r="I2070" i="26" a="1"/>
  <c r="I2070" i="26" s="1"/>
  <c r="I2033" i="26" a="1"/>
  <c r="I2033" i="26" s="1"/>
  <c r="I1808" i="26" a="1"/>
  <c r="I1808" i="26" s="1"/>
  <c r="I2028" i="26" a="1"/>
  <c r="I2028" i="26" s="1"/>
  <c r="I1727" i="26" a="1"/>
  <c r="I1727" i="26" s="1"/>
  <c r="I2062" i="26" a="1"/>
  <c r="I2062" i="26" s="1"/>
  <c r="AI32" i="31" s="1"/>
  <c r="AL32" i="31" s="1"/>
  <c r="I1875" i="26" a="1"/>
  <c r="I1875" i="26" s="1"/>
  <c r="I1898" i="26" a="1"/>
  <c r="I1898" i="26" s="1"/>
  <c r="I1967" i="26" a="1"/>
  <c r="I1967" i="26" s="1"/>
  <c r="I1851" i="26" a="1"/>
  <c r="I1851" i="26" s="1"/>
  <c r="I1993" i="26" a="1"/>
  <c r="I1993" i="26" s="1"/>
  <c r="I1694" i="26" a="1"/>
  <c r="I1694" i="26" s="1"/>
  <c r="I1714" i="26" a="1"/>
  <c r="I1714" i="26" s="1"/>
  <c r="I1713" i="26" a="1"/>
  <c r="I1713" i="26" s="1"/>
  <c r="I1722" i="26" a="1"/>
  <c r="I1722" i="26" s="1"/>
  <c r="I1731" i="26" a="1"/>
  <c r="I1731" i="26" s="1"/>
  <c r="I1789" i="26" a="1"/>
  <c r="I1789" i="26" s="1"/>
  <c r="I1853" i="26" a="1"/>
  <c r="I1853" i="26" s="1"/>
  <c r="I1737" i="26" a="1"/>
  <c r="I1737" i="26" s="1"/>
  <c r="I1809" i="26" a="1"/>
  <c r="I1809" i="26" s="1"/>
  <c r="I1835" i="26" a="1"/>
  <c r="I1835" i="26" s="1"/>
  <c r="I1799" i="26" a="1"/>
  <c r="I1799" i="26" s="1"/>
  <c r="I1735" i="26" a="1"/>
  <c r="I1735" i="26" s="1"/>
  <c r="I1877" i="26" a="1"/>
  <c r="I1877" i="26" s="1"/>
  <c r="I1744" i="26" a="1"/>
  <c r="I1744" i="26" s="1"/>
  <c r="I1825" i="26" a="1"/>
  <c r="I1825" i="26" s="1"/>
  <c r="I1916" i="26" a="1"/>
  <c r="I1916" i="26" s="1"/>
  <c r="I1921" i="26" a="1"/>
  <c r="I1921" i="26" s="1"/>
  <c r="I1823" i="26" a="1"/>
  <c r="I1823" i="26" s="1"/>
  <c r="I1855" i="26" a="1"/>
  <c r="I1855" i="26" s="1"/>
  <c r="I1890" i="26" a="1"/>
  <c r="I1890" i="26" s="1"/>
  <c r="I2034" i="26" a="1"/>
  <c r="I2034" i="26" s="1"/>
  <c r="I2020" i="26" a="1"/>
  <c r="I2020" i="26" s="1"/>
  <c r="I2072" i="26" a="1"/>
  <c r="I2072" i="26" s="1"/>
  <c r="I2037" i="26" a="1"/>
  <c r="I2037" i="26" s="1"/>
  <c r="I2021" i="26" a="1"/>
  <c r="I2021" i="26" s="1"/>
  <c r="I2038" i="26" a="1"/>
  <c r="I2038" i="26" s="1"/>
  <c r="I1883" i="26" a="1"/>
  <c r="I1883" i="26" s="1"/>
  <c r="I2073" i="26" a="1"/>
  <c r="I2073" i="26" s="1"/>
  <c r="I1865" i="26" a="1"/>
  <c r="I1865" i="26" s="1"/>
  <c r="I1721" i="26" a="1"/>
  <c r="I1721" i="26" s="1"/>
  <c r="M1721" i="26" s="1"/>
  <c r="I1992" i="26" a="1"/>
  <c r="I1992" i="26" s="1"/>
  <c r="I1965" i="26" a="1"/>
  <c r="I1965" i="26" s="1"/>
  <c r="I2012" i="26" a="1"/>
  <c r="I2012" i="26" s="1"/>
  <c r="I1938" i="26" a="1"/>
  <c r="I1938" i="26" s="1"/>
  <c r="I1822" i="26" a="1"/>
  <c r="I1822" i="26" s="1"/>
  <c r="I1688" i="26" a="1"/>
  <c r="I1688" i="26" s="1"/>
  <c r="I1690" i="26" a="1"/>
  <c r="I1690" i="26" s="1"/>
  <c r="I1716" i="26" a="1"/>
  <c r="I1716" i="26" s="1"/>
  <c r="I1686" i="26" a="1"/>
  <c r="I1686" i="26" s="1"/>
  <c r="I1715" i="26" a="1"/>
  <c r="I1715" i="26" s="1"/>
  <c r="I1728" i="26" a="1"/>
  <c r="I1728" i="26" s="1"/>
  <c r="I1786" i="26" a="1"/>
  <c r="I1786" i="26" s="1"/>
  <c r="I1736" i="26" a="1"/>
  <c r="I1736" i="26" s="1"/>
  <c r="I1868" i="26" a="1"/>
  <c r="I1868" i="26" s="1"/>
  <c r="M1868" i="26" s="1"/>
  <c r="I1741" i="26" a="1"/>
  <c r="I1741" i="26" s="1"/>
  <c r="I1781" i="26" a="1"/>
  <c r="I1781" i="26" s="1"/>
  <c r="I1839" i="26" a="1"/>
  <c r="I1839" i="26" s="1"/>
  <c r="I1769" i="26" a="1"/>
  <c r="I1769" i="26" s="1"/>
  <c r="I1884" i="26" a="1"/>
  <c r="I1884" i="26" s="1"/>
  <c r="I1810" i="26" a="1"/>
  <c r="I1810" i="26" s="1"/>
  <c r="I1787" i="26" a="1"/>
  <c r="I1787" i="26" s="1"/>
  <c r="I1939" i="26" a="1"/>
  <c r="I1939" i="26" s="1"/>
  <c r="I1906" i="26" a="1"/>
  <c r="I1906" i="26" s="1"/>
  <c r="I1966" i="26" a="1"/>
  <c r="I1966" i="26" s="1"/>
  <c r="I1856" i="26" a="1"/>
  <c r="I1856" i="26" s="1"/>
  <c r="M1856" i="26" s="1"/>
  <c r="I1897" i="26" a="1"/>
  <c r="I1897" i="26" s="1"/>
  <c r="I2044" i="26" a="1"/>
  <c r="I2044" i="26" s="1"/>
  <c r="I1990" i="26" a="1"/>
  <c r="I1990" i="26" s="1"/>
  <c r="I2057" i="26" a="1"/>
  <c r="I2057" i="26" s="1"/>
  <c r="I2025" i="26" a="1"/>
  <c r="I2025" i="26" s="1"/>
  <c r="I1983" i="26" a="1"/>
  <c r="I1983" i="26" s="1"/>
  <c r="I2042" i="26" a="1"/>
  <c r="I2042" i="26" s="1"/>
  <c r="I2039" i="26" a="1"/>
  <c r="I2039" i="26" s="1"/>
  <c r="I2005" i="26" a="1"/>
  <c r="I2005" i="26" s="1"/>
  <c r="I1695" i="26" a="1"/>
  <c r="I1695" i="26" s="1"/>
  <c r="I2074" i="26" a="1"/>
  <c r="I2074" i="26" s="1"/>
  <c r="I1765" i="26" a="1"/>
  <c r="I1765" i="26" s="1"/>
  <c r="I1755" i="26" a="1"/>
  <c r="I1755" i="26" s="1"/>
  <c r="I1758" i="26" a="1"/>
  <c r="I1758" i="26" s="1"/>
  <c r="M1758" i="26" s="1"/>
  <c r="I2056" i="26" a="1"/>
  <c r="I2056" i="26" s="1"/>
  <c r="I2024" i="26" a="1"/>
  <c r="I2024" i="26" s="1"/>
  <c r="I2054" i="26" a="1"/>
  <c r="I2054" i="26" s="1"/>
  <c r="M2054" i="26" s="1"/>
  <c r="I1962" i="26" a="1"/>
  <c r="I1962" i="26" s="1"/>
  <c r="I2008" i="26" a="1"/>
  <c r="I2008" i="26" s="1"/>
  <c r="I2048" i="26" a="1"/>
  <c r="I2048" i="26" s="1"/>
  <c r="I1777" i="26" a="1"/>
  <c r="I1777" i="26" s="1"/>
  <c r="I1701" i="26" a="1"/>
  <c r="I1701" i="26" s="1"/>
  <c r="I1778" i="26" a="1"/>
  <c r="I1778" i="26" s="1"/>
  <c r="I1780" i="26" a="1"/>
  <c r="I1780" i="26" s="1"/>
  <c r="M1780" i="26" s="1"/>
  <c r="I1782" i="26" a="1"/>
  <c r="I1782" i="26" s="1"/>
  <c r="I1771" i="26" a="1"/>
  <c r="I1771" i="26" s="1"/>
  <c r="I1684" i="26" a="1"/>
  <c r="I1684" i="26" s="1"/>
  <c r="I1703" i="26" a="1"/>
  <c r="I1703" i="26" s="1"/>
  <c r="I1776" i="26" a="1"/>
  <c r="I1776" i="26" s="1"/>
  <c r="I1779" i="26" a="1"/>
  <c r="I1779" i="26" s="1"/>
  <c r="I1783" i="26" a="1"/>
  <c r="I1783" i="26" s="1"/>
  <c r="I1773" i="26" a="1"/>
  <c r="I1773" i="26" s="1"/>
  <c r="I1700" i="26" a="1"/>
  <c r="I1700" i="26" s="1"/>
  <c r="I1682" i="26" a="1"/>
  <c r="I1682" i="26" s="1"/>
  <c r="I1705" i="26" a="1"/>
  <c r="I1705" i="26" s="1"/>
  <c r="I1775" i="26" a="1"/>
  <c r="I1775" i="26" s="1"/>
  <c r="I1679" i="26" a="1"/>
  <c r="I1679" i="26" s="1"/>
  <c r="I1685" i="26" a="1"/>
  <c r="I1685" i="26" s="1"/>
  <c r="I1707" i="26" a="1"/>
  <c r="I1707" i="26" s="1"/>
  <c r="I1708" i="26" a="1"/>
  <c r="I1708" i="26" s="1"/>
  <c r="I1683" i="26" a="1"/>
  <c r="I1683" i="26" s="1"/>
  <c r="I1704" i="26" a="1"/>
  <c r="I1704" i="26" s="1"/>
  <c r="I1709" i="26" a="1"/>
  <c r="I1709" i="26" s="1"/>
  <c r="M1709" i="26" s="1"/>
  <c r="I1687" i="26" a="1"/>
  <c r="I1687" i="26" s="1"/>
  <c r="M1687" i="26" s="1"/>
  <c r="I1710" i="26" a="1"/>
  <c r="I1710" i="26" s="1"/>
  <c r="M1710" i="26" s="1"/>
  <c r="I1702" i="26" a="1"/>
  <c r="I1702" i="26" s="1"/>
  <c r="I1739" i="26" a="1"/>
  <c r="I1739" i="26" s="1"/>
  <c r="I1770" i="26" a="1"/>
  <c r="I1770" i="26" s="1"/>
  <c r="I1999" i="26" a="1"/>
  <c r="I1999" i="26" s="1"/>
  <c r="I1680" i="26" a="1"/>
  <c r="I1680" i="26" s="1"/>
  <c r="I2045" i="26" a="1"/>
  <c r="I2045" i="26" s="1"/>
  <c r="I1976" i="26" a="1"/>
  <c r="I1976" i="26" s="1"/>
  <c r="I1850" i="26" a="1"/>
  <c r="I1850" i="26" s="1"/>
  <c r="I1905" i="26" a="1"/>
  <c r="I1905" i="26" s="1"/>
  <c r="I1734" i="26" a="1"/>
  <c r="I1734" i="26" s="1"/>
  <c r="M1734" i="26" s="1"/>
  <c r="I2047" i="26" a="1"/>
  <c r="I2047" i="26" s="1"/>
  <c r="I1791" i="26" a="1"/>
  <c r="I1791" i="26" s="1"/>
  <c r="I2067" i="26" a="1"/>
  <c r="I2067" i="26" s="1"/>
  <c r="I1858" i="26" a="1"/>
  <c r="I1858" i="26" s="1"/>
  <c r="I2064" i="26" a="1"/>
  <c r="I2064" i="26" s="1"/>
  <c r="I1969" i="26" a="1"/>
  <c r="I1969" i="26" s="1"/>
  <c r="I1918" i="26" a="1"/>
  <c r="I1918" i="26" s="1"/>
  <c r="I1784" i="26" a="1"/>
  <c r="I1784" i="26" s="1"/>
  <c r="I1909" i="26" a="1"/>
  <c r="I1909" i="26" s="1"/>
  <c r="I1970" i="26" a="1"/>
  <c r="I1970" i="26" s="1"/>
  <c r="I1803" i="26" a="1"/>
  <c r="I1803" i="26" s="1"/>
  <c r="I2017" i="26" a="1"/>
  <c r="I2017" i="26" s="1"/>
  <c r="I1975" i="26" a="1"/>
  <c r="I1975" i="26" s="1"/>
  <c r="I1774" i="26" a="1"/>
  <c r="I1774" i="26" s="1"/>
  <c r="I2027" i="26" a="1"/>
  <c r="I2027" i="26" s="1"/>
  <c r="I1984" i="26" a="1"/>
  <c r="I1984" i="26" s="1"/>
  <c r="I1995" i="26" a="1"/>
  <c r="I1995" i="26" s="1"/>
  <c r="I1885" i="26" a="1"/>
  <c r="I1885" i="26" s="1"/>
  <c r="I1796" i="26" a="1"/>
  <c r="I1796" i="26" s="1"/>
  <c r="I1697" i="26" a="1"/>
  <c r="I1697" i="26" s="1"/>
  <c r="I2035" i="26" a="1"/>
  <c r="I2035" i="26" s="1"/>
  <c r="I1894" i="26" a="1"/>
  <c r="I1894" i="26" s="1"/>
  <c r="I1945" i="26" a="1"/>
  <c r="I1945" i="26" s="1"/>
  <c r="I1836" i="26" a="1"/>
  <c r="I1836" i="26" s="1"/>
  <c r="I1756" i="26" a="1"/>
  <c r="I1756" i="26" s="1"/>
  <c r="AI9" i="31" s="1"/>
  <c r="AL9" i="31" s="1"/>
  <c r="I1940" i="26" a="1"/>
  <c r="I1940" i="26" s="1"/>
  <c r="I1760" i="26" a="1"/>
  <c r="I1760" i="26" s="1"/>
  <c r="I1977" i="26" a="1"/>
  <c r="I1977" i="26" s="1"/>
  <c r="I1874" i="26" a="1"/>
  <c r="I1874" i="26" s="1"/>
  <c r="I2007" i="26" a="1"/>
  <c r="I2007" i="26" s="1"/>
  <c r="I1689" i="26" a="1"/>
  <c r="I1689" i="26" s="1"/>
  <c r="I1842" i="26" a="1"/>
  <c r="I1842" i="26" s="1"/>
  <c r="I2026" i="26" a="1"/>
  <c r="I2026" i="26" s="1"/>
  <c r="I1802" i="26" a="1"/>
  <c r="I1802" i="26" s="1"/>
  <c r="I1986" i="26" a="1"/>
  <c r="I1986" i="26" s="1"/>
  <c r="I1991" i="26" a="1"/>
  <c r="I1991" i="26" s="1"/>
  <c r="I2049" i="26" a="1"/>
  <c r="I2049" i="26" s="1"/>
  <c r="I1889" i="26" a="1"/>
  <c r="I1889" i="26" s="1"/>
  <c r="I1963" i="26" a="1"/>
  <c r="I1963" i="26" s="1"/>
  <c r="I2051" i="26" a="1"/>
  <c r="I2051" i="26" s="1"/>
  <c r="I2040" i="26" a="1"/>
  <c r="I2040" i="26" s="1"/>
  <c r="I1844" i="26" a="1"/>
  <c r="I1844" i="26" s="1"/>
  <c r="I1681" i="26" a="1"/>
  <c r="I1681" i="26" s="1"/>
  <c r="I1943" i="26" a="1"/>
  <c r="I1943" i="26" s="1"/>
  <c r="I1869" i="26" a="1"/>
  <c r="I1869" i="26" s="1"/>
  <c r="I1762" i="26" a="1"/>
  <c r="I1762" i="26" s="1"/>
  <c r="I1985" i="26" a="1"/>
  <c r="I1985" i="26" s="1"/>
  <c r="I1859" i="26" a="1"/>
  <c r="I1859" i="26" s="1"/>
  <c r="I1719" i="26" a="1"/>
  <c r="I1719" i="26" s="1"/>
  <c r="I1724" i="26" a="1"/>
  <c r="I1724" i="26" s="1"/>
  <c r="I1942" i="26" a="1"/>
  <c r="I1942" i="26" s="1"/>
  <c r="I1876" i="26" a="1"/>
  <c r="I1876" i="26" s="1"/>
  <c r="I1816" i="26" a="1"/>
  <c r="I1816" i="26" s="1"/>
  <c r="I1895" i="26" a="1"/>
  <c r="I1895" i="26" s="1"/>
  <c r="I2013" i="26" a="1"/>
  <c r="I2013" i="26" s="1"/>
  <c r="I2015" i="26" a="1"/>
  <c r="I2015" i="26" s="1"/>
  <c r="I1693" i="26" a="1"/>
  <c r="I1693" i="26" s="1"/>
  <c r="I2055" i="26" a="1"/>
  <c r="I2055" i="26" s="1"/>
  <c r="I2031" i="26" a="1"/>
  <c r="I2031" i="26" s="1"/>
  <c r="I1958" i="26" a="1"/>
  <c r="I1958" i="26" s="1"/>
  <c r="I2019" i="26" a="1"/>
  <c r="I2019" i="26" s="1"/>
  <c r="I1949" i="26" a="1"/>
  <c r="I1949" i="26" s="1"/>
  <c r="I1978" i="26" a="1"/>
  <c r="I1978" i="26" s="1"/>
  <c r="I1920" i="26" a="1"/>
  <c r="I1920" i="26" s="1"/>
  <c r="I1712" i="26" a="1"/>
  <c r="I1712" i="26" s="1"/>
  <c r="I2003" i="26" a="1"/>
  <c r="I2003" i="26" s="1"/>
  <c r="I1798" i="26" a="1"/>
  <c r="I1798" i="26" s="1"/>
  <c r="I2018" i="26" a="1"/>
  <c r="I2018" i="26" s="1"/>
  <c r="I2023" i="26" a="1"/>
  <c r="I2023" i="26" s="1"/>
  <c r="I1848" i="26" a="1"/>
  <c r="I1848" i="26" s="1"/>
  <c r="I1751" i="26" a="1"/>
  <c r="I1751" i="26" s="1"/>
  <c r="I1959" i="26" a="1"/>
  <c r="I1959" i="26" s="1"/>
  <c r="I1917" i="26" a="1"/>
  <c r="I1917" i="26" s="1"/>
  <c r="I1772" i="26" a="1"/>
  <c r="I1772" i="26" s="1"/>
  <c r="I1896" i="26" a="1"/>
  <c r="I1896" i="26" s="1"/>
  <c r="I1846" i="26" a="1"/>
  <c r="I1846" i="26" s="1"/>
  <c r="I1861" i="26" a="1"/>
  <c r="I1861" i="26" s="1"/>
  <c r="I1987" i="26" a="1"/>
  <c r="I1987" i="26" s="1"/>
  <c r="I1759" i="26" a="1"/>
  <c r="I1759" i="26" s="1"/>
  <c r="I2001" i="26" a="1"/>
  <c r="I2001" i="26" s="1"/>
  <c r="I2077" i="26" a="1"/>
  <c r="I2077" i="26" s="1"/>
  <c r="I1812" i="26" a="1"/>
  <c r="I1812" i="26" s="1"/>
  <c r="I1901" i="26" a="1"/>
  <c r="I1901" i="26" s="1"/>
  <c r="I1996" i="26" a="1"/>
  <c r="I1996" i="26" s="1"/>
  <c r="I1870" i="26" a="1"/>
  <c r="I1870" i="26" s="1"/>
  <c r="I1730" i="26" a="1"/>
  <c r="I1730" i="26" s="1"/>
  <c r="I1933" i="26" a="1"/>
  <c r="I1933" i="26" s="1"/>
  <c r="J2" i="31"/>
  <c r="K1025" i="26"/>
  <c r="K1021" i="26"/>
  <c r="O910" i="26"/>
  <c r="K909" i="26"/>
  <c r="K905" i="26"/>
  <c r="O894" i="26"/>
  <c r="K1506" i="26"/>
  <c r="O1500" i="26"/>
  <c r="K1477" i="26"/>
  <c r="K1423" i="26"/>
  <c r="K1388" i="26"/>
  <c r="K1344" i="26"/>
  <c r="K1314" i="26"/>
  <c r="K1300" i="26"/>
  <c r="K1265" i="26"/>
  <c r="O1163" i="26"/>
  <c r="K1162" i="26"/>
  <c r="K1137" i="26"/>
  <c r="K1108" i="26"/>
  <c r="O1078" i="26"/>
  <c r="K1065" i="26"/>
  <c r="O1645" i="26"/>
  <c r="O1642" i="26"/>
  <c r="K1042" i="26"/>
  <c r="K1033" i="26"/>
  <c r="O1023" i="26"/>
  <c r="K999" i="26"/>
  <c r="K985" i="26"/>
  <c r="O914" i="26"/>
  <c r="K913" i="26"/>
  <c r="K889" i="26"/>
  <c r="O1552" i="26"/>
  <c r="K1545" i="26"/>
  <c r="K1541" i="26"/>
  <c r="K1534" i="26"/>
  <c r="K1499" i="26"/>
  <c r="O1475" i="26"/>
  <c r="O1472" i="26"/>
  <c r="K1459" i="26"/>
  <c r="O1426" i="26"/>
  <c r="K1412" i="26"/>
  <c r="K1385" i="26"/>
  <c r="O1367" i="26"/>
  <c r="K1360" i="26"/>
  <c r="O1323" i="26"/>
  <c r="K1281" i="26"/>
  <c r="K1221" i="26"/>
  <c r="K1219" i="26"/>
  <c r="O1179" i="26"/>
  <c r="K1130" i="26"/>
  <c r="K1122" i="26"/>
  <c r="K1095" i="26"/>
  <c r="O1639" i="26"/>
  <c r="O944" i="26"/>
  <c r="O898" i="26"/>
  <c r="O1562" i="26"/>
  <c r="O1559" i="26"/>
  <c r="O1349" i="26"/>
  <c r="K1285" i="26"/>
  <c r="O1272" i="26"/>
  <c r="K1245" i="26"/>
  <c r="K1239" i="26"/>
  <c r="O1128" i="26"/>
  <c r="O1114" i="26"/>
  <c r="O1029" i="26"/>
  <c r="O1377" i="26"/>
  <c r="K1154" i="26"/>
  <c r="K1649" i="26"/>
  <c r="O1039" i="26"/>
  <c r="K1038" i="26"/>
  <c r="K1031" i="26"/>
  <c r="K1016" i="26"/>
  <c r="O940" i="26"/>
  <c r="K911" i="26"/>
  <c r="K1575" i="26"/>
  <c r="K1457" i="26"/>
  <c r="K1449" i="26"/>
  <c r="K1383" i="26"/>
  <c r="O1291" i="26"/>
  <c r="K1211" i="26"/>
  <c r="K1192" i="26"/>
  <c r="O1165" i="26"/>
  <c r="K1164" i="26"/>
  <c r="O1142" i="26"/>
  <c r="O1118" i="26"/>
  <c r="K1117" i="26"/>
  <c r="O1637" i="26"/>
  <c r="O748" i="26"/>
  <c r="K808" i="26"/>
  <c r="K805" i="26"/>
  <c r="K1001" i="26"/>
  <c r="K945" i="26"/>
  <c r="O1577" i="26"/>
  <c r="K1576" i="26"/>
  <c r="O1570" i="26"/>
  <c r="K1563" i="26"/>
  <c r="O1527" i="26"/>
  <c r="K1505" i="26"/>
  <c r="O1484" i="26"/>
  <c r="O1399" i="26"/>
  <c r="K1331" i="26"/>
  <c r="K1321" i="26"/>
  <c r="K1318" i="26"/>
  <c r="O1303" i="26"/>
  <c r="K1261" i="26"/>
  <c r="K1251" i="26"/>
  <c r="O1244" i="26"/>
  <c r="O1202" i="26"/>
  <c r="K1168" i="26"/>
  <c r="K1152" i="26"/>
  <c r="K1123" i="26"/>
  <c r="O1090" i="26"/>
  <c r="K1087" i="26"/>
  <c r="O1633" i="26"/>
  <c r="O1619" i="26"/>
  <c r="O1605" i="26"/>
  <c r="H1656" i="26"/>
  <c r="H1659" i="26"/>
  <c r="H1655" i="26"/>
  <c r="H1660" i="26"/>
  <c r="H1651" i="26"/>
  <c r="H1654" i="26"/>
  <c r="H1661" i="26"/>
  <c r="H1653" i="26"/>
  <c r="H1658" i="26"/>
  <c r="K1181" i="26"/>
  <c r="H32" i="15"/>
  <c r="N32" i="15" s="1"/>
  <c r="H44" i="15"/>
  <c r="AF44" i="15" s="1"/>
  <c r="K1071" i="26"/>
  <c r="K1641" i="26"/>
  <c r="O1627" i="26"/>
  <c r="O1603" i="26"/>
  <c r="K1596" i="26"/>
  <c r="K1180" i="26"/>
  <c r="K1584" i="26"/>
  <c r="K1187" i="26"/>
  <c r="H42" i="15"/>
  <c r="AF42" i="15" s="1"/>
  <c r="O807" i="26"/>
  <c r="AJ34" i="27"/>
  <c r="O951" i="26"/>
  <c r="K1186" i="26"/>
  <c r="O804" i="26"/>
  <c r="O1445" i="26"/>
  <c r="O1289" i="26"/>
  <c r="O1644" i="26"/>
  <c r="O1636" i="26"/>
  <c r="O1601" i="26"/>
  <c r="O1589" i="26"/>
  <c r="O780" i="26"/>
  <c r="O865" i="26"/>
  <c r="O1176" i="26"/>
  <c r="O992" i="26"/>
  <c r="O1442" i="26"/>
  <c r="O1439" i="26"/>
  <c r="O1375" i="26"/>
  <c r="O1194" i="26"/>
  <c r="O1501" i="26"/>
  <c r="O1494" i="26"/>
  <c r="O1481" i="26"/>
  <c r="O1307" i="26"/>
  <c r="O1270" i="26"/>
  <c r="O1240" i="26"/>
  <c r="H35" i="15"/>
  <c r="AF35" i="15" s="1"/>
  <c r="H39" i="15"/>
  <c r="AF39" i="15" s="1"/>
  <c r="AJ33" i="27"/>
  <c r="O1567" i="26"/>
  <c r="O1542" i="26"/>
  <c r="O1515" i="26"/>
  <c r="O1473" i="26"/>
  <c r="O892" i="26"/>
  <c r="O1453" i="26"/>
  <c r="O1363" i="26"/>
  <c r="O1353" i="26"/>
  <c r="O1256" i="26"/>
  <c r="O1170" i="26"/>
  <c r="O697" i="26"/>
  <c r="AJ11" i="27"/>
  <c r="K1041" i="26"/>
  <c r="K1028" i="26"/>
  <c r="K1019" i="26"/>
  <c r="K983" i="26"/>
  <c r="K981" i="26"/>
  <c r="O954" i="26"/>
  <c r="K953" i="26"/>
  <c r="K933" i="26"/>
  <c r="K915" i="26"/>
  <c r="K1560" i="26"/>
  <c r="O1411" i="26"/>
  <c r="O1409" i="26"/>
  <c r="K1382" i="26"/>
  <c r="O1214" i="26"/>
  <c r="O1160" i="26"/>
  <c r="O1151" i="26"/>
  <c r="O1149" i="26"/>
  <c r="K1115" i="26"/>
  <c r="K1107" i="26"/>
  <c r="K1105" i="26"/>
  <c r="K1648" i="26"/>
  <c r="O1617" i="26"/>
  <c r="K1616" i="26"/>
  <c r="O1611" i="26"/>
  <c r="O1074" i="26"/>
  <c r="O1068" i="26"/>
  <c r="K1640" i="26"/>
  <c r="K1182" i="26"/>
  <c r="H33" i="15"/>
  <c r="N33" i="15" s="1"/>
  <c r="O1526" i="26"/>
  <c r="D48" i="15"/>
  <c r="AI48" i="15"/>
  <c r="H1262" i="26"/>
  <c r="H1430" i="26"/>
  <c r="H1484" i="26"/>
  <c r="H1131" i="26"/>
  <c r="H920" i="26"/>
  <c r="H1216" i="26"/>
  <c r="H1149" i="26"/>
  <c r="H1040" i="26"/>
  <c r="G1575" i="26"/>
  <c r="H1575" i="26" s="1"/>
  <c r="G1571" i="26"/>
  <c r="H1571" i="26" s="1"/>
  <c r="G1567" i="26"/>
  <c r="H1567" i="26" s="1"/>
  <c r="G1514" i="26"/>
  <c r="H1514" i="26" s="1"/>
  <c r="G1478" i="26"/>
  <c r="H1478" i="26" s="1"/>
  <c r="G1474" i="26"/>
  <c r="H1474" i="26" s="1"/>
  <c r="G1464" i="26"/>
  <c r="H1464" i="26" s="1"/>
  <c r="G1417" i="26"/>
  <c r="H1417" i="26" s="1"/>
  <c r="G1403" i="26"/>
  <c r="H1403" i="26" s="1"/>
  <c r="G1400" i="26"/>
  <c r="H1400" i="26" s="1"/>
  <c r="G1397" i="26"/>
  <c r="H1397" i="26" s="1"/>
  <c r="G1395" i="26"/>
  <c r="H1395" i="26" s="1"/>
  <c r="G1389" i="26"/>
  <c r="H1389" i="26" s="1"/>
  <c r="G1487" i="26"/>
  <c r="H1487" i="26" s="1"/>
  <c r="G1482" i="26"/>
  <c r="H1482" i="26" s="1"/>
  <c r="G1467" i="26"/>
  <c r="H1467" i="26" s="1"/>
  <c r="G1437" i="26"/>
  <c r="H1437" i="26" s="1"/>
  <c r="G1434" i="26"/>
  <c r="H1434" i="26" s="1"/>
  <c r="G1425" i="26"/>
  <c r="H1425" i="26" s="1"/>
  <c r="G1420" i="26"/>
  <c r="G1345" i="26"/>
  <c r="H1345" i="26" s="1"/>
  <c r="G1564" i="26"/>
  <c r="H1564" i="26" s="1"/>
  <c r="G1556" i="26"/>
  <c r="H1556" i="26" s="1"/>
  <c r="G1519" i="26"/>
  <c r="H1519" i="26" s="1"/>
  <c r="G1503" i="26"/>
  <c r="H1503" i="26" s="1"/>
  <c r="G1499" i="26"/>
  <c r="H1499" i="26" s="1"/>
  <c r="G1496" i="26"/>
  <c r="H1496" i="26" s="1"/>
  <c r="G1468" i="26"/>
  <c r="H1468" i="26" s="1"/>
  <c r="G1461" i="26"/>
  <c r="H1461" i="26" s="1"/>
  <c r="G1457" i="26"/>
  <c r="H1457" i="26" s="1"/>
  <c r="G1453" i="26"/>
  <c r="H1453" i="26" s="1"/>
  <c r="G1450" i="26"/>
  <c r="H1450" i="26" s="1"/>
  <c r="G1448" i="26"/>
  <c r="H1448" i="26" s="1"/>
  <c r="G1438" i="26"/>
  <c r="H1438" i="26" s="1"/>
  <c r="G1423" i="26"/>
  <c r="H1423" i="26" s="1"/>
  <c r="G1411" i="26"/>
  <c r="H1411" i="26" s="1"/>
  <c r="G1409" i="26"/>
  <c r="H1409" i="26" s="1"/>
  <c r="G1393" i="26"/>
  <c r="H1393" i="26" s="1"/>
  <c r="G1379" i="26"/>
  <c r="H1379" i="26" s="1"/>
  <c r="G1375" i="26"/>
  <c r="H1375" i="26" s="1"/>
  <c r="G1349" i="26"/>
  <c r="H1349" i="26" s="1"/>
  <c r="G1333" i="26"/>
  <c r="H1333" i="26" s="1"/>
  <c r="G1577" i="26"/>
  <c r="H1577" i="26" s="1"/>
  <c r="G1572" i="26"/>
  <c r="H1572" i="26" s="1"/>
  <c r="G1561" i="26"/>
  <c r="H1561" i="26" s="1"/>
  <c r="G1546" i="26"/>
  <c r="H1546" i="26" s="1"/>
  <c r="G1532" i="26"/>
  <c r="H1532" i="26" s="1"/>
  <c r="G1516" i="26"/>
  <c r="H1516" i="26" s="1"/>
  <c r="G1500" i="26"/>
  <c r="H1500" i="26" s="1"/>
  <c r="G1488" i="26"/>
  <c r="H1488" i="26" s="1"/>
  <c r="G1479" i="26"/>
  <c r="H1479" i="26" s="1"/>
  <c r="G1465" i="26"/>
  <c r="H1465" i="26" s="1"/>
  <c r="G1458" i="26"/>
  <c r="H1458" i="26" s="1"/>
  <c r="G1445" i="26"/>
  <c r="H1445" i="26" s="1"/>
  <c r="G1432" i="26"/>
  <c r="H1432" i="26" s="1"/>
  <c r="G1429" i="26"/>
  <c r="H1429" i="26" s="1"/>
  <c r="G1283" i="26"/>
  <c r="H1283" i="26" s="1"/>
  <c r="G1275" i="26"/>
  <c r="H1275" i="26" s="1"/>
  <c r="G1272" i="26"/>
  <c r="H1272" i="26" s="1"/>
  <c r="G1576" i="26"/>
  <c r="H1576" i="26" s="1"/>
  <c r="G1569" i="26"/>
  <c r="H1569" i="26" s="1"/>
  <c r="G1565" i="26"/>
  <c r="H1565" i="26" s="1"/>
  <c r="G1549" i="26"/>
  <c r="H1549" i="26" s="1"/>
  <c r="G1524" i="26"/>
  <c r="H1524" i="26" s="1"/>
  <c r="G1476" i="26"/>
  <c r="H1476" i="26" s="1"/>
  <c r="G1454" i="26"/>
  <c r="H1454" i="26" s="1"/>
  <c r="G1442" i="26"/>
  <c r="H1442" i="26" s="1"/>
  <c r="G1426" i="26"/>
  <c r="H1426" i="26" s="1"/>
  <c r="G1412" i="26"/>
  <c r="H1412" i="26" s="1"/>
  <c r="G1410" i="26"/>
  <c r="H1410" i="26" s="1"/>
  <c r="G1407" i="26"/>
  <c r="H1407" i="26" s="1"/>
  <c r="G1391" i="26"/>
  <c r="H1391" i="26" s="1"/>
  <c r="G1277" i="26"/>
  <c r="H1277" i="26" s="1"/>
  <c r="G1522" i="26"/>
  <c r="H1522" i="26" s="1"/>
  <c r="G1508" i="26"/>
  <c r="H1508" i="26" s="1"/>
  <c r="G1578" i="26"/>
  <c r="H1578" i="26" s="1"/>
  <c r="G1566" i="26"/>
  <c r="H1566" i="26" s="1"/>
  <c r="G1553" i="26"/>
  <c r="H1553" i="26" s="1"/>
  <c r="G1541" i="26"/>
  <c r="H1541" i="26" s="1"/>
  <c r="G1533" i="26"/>
  <c r="H1533" i="26" s="1"/>
  <c r="G1469" i="26"/>
  <c r="H1469" i="26" s="1"/>
  <c r="G1462" i="26"/>
  <c r="H1462" i="26" s="1"/>
  <c r="G1449" i="26"/>
  <c r="H1449" i="26" s="1"/>
  <c r="G1439" i="26"/>
  <c r="H1439" i="26" s="1"/>
  <c r="G1416" i="26"/>
  <c r="H1416" i="26" s="1"/>
  <c r="G1289" i="26"/>
  <c r="H1289" i="26" s="1"/>
  <c r="G1568" i="26"/>
  <c r="H1568" i="26" s="1"/>
  <c r="G1548" i="26"/>
  <c r="H1548" i="26" s="1"/>
  <c r="G1526" i="26"/>
  <c r="H1526" i="26" s="1"/>
  <c r="G1511" i="26"/>
  <c r="H1511" i="26" s="1"/>
  <c r="G1574" i="26"/>
  <c r="H1574" i="26" s="1"/>
  <c r="G1562" i="26"/>
  <c r="H1562" i="26" s="1"/>
  <c r="H1557" i="26"/>
  <c r="G1542" i="26"/>
  <c r="H1542" i="26" s="1"/>
  <c r="G1534" i="26"/>
  <c r="H1534" i="26" s="1"/>
  <c r="G1525" i="26"/>
  <c r="H1525" i="26" s="1"/>
  <c r="G1517" i="26"/>
  <c r="H1517" i="26" s="1"/>
  <c r="G1486" i="26"/>
  <c r="H1486" i="26" s="1"/>
  <c r="G1472" i="26"/>
  <c r="H1472" i="26" s="1"/>
  <c r="G1466" i="26"/>
  <c r="H1466" i="26" s="1"/>
  <c r="G1427" i="26"/>
  <c r="H1427" i="26" s="1"/>
  <c r="G1399" i="26"/>
  <c r="H1399" i="26" s="1"/>
  <c r="G1367" i="26"/>
  <c r="H1367" i="26" s="1"/>
  <c r="G1347" i="26"/>
  <c r="H1347" i="26" s="1"/>
  <c r="G1570" i="26"/>
  <c r="H1570" i="26" s="1"/>
  <c r="G1559" i="26"/>
  <c r="H1559" i="26" s="1"/>
  <c r="G1558" i="26"/>
  <c r="H1558" i="26" s="1"/>
  <c r="G1538" i="26"/>
  <c r="H1538" i="26" s="1"/>
  <c r="G1527" i="26"/>
  <c r="H1527" i="26" s="1"/>
  <c r="G1510" i="26"/>
  <c r="H1510" i="26" s="1"/>
  <c r="G1506" i="26"/>
  <c r="H1506" i="26" s="1"/>
  <c r="G1495" i="26"/>
  <c r="H1495" i="26" s="1"/>
  <c r="G1492" i="26"/>
  <c r="H1492" i="26" s="1"/>
  <c r="G1473" i="26"/>
  <c r="H1473" i="26" s="1"/>
  <c r="G1463" i="26"/>
  <c r="H1463" i="26" s="1"/>
  <c r="G1460" i="26"/>
  <c r="H1460" i="26" s="1"/>
  <c r="G1456" i="26"/>
  <c r="H1456" i="26" s="1"/>
  <c r="G1452" i="26"/>
  <c r="H1452" i="26" s="1"/>
  <c r="G1447" i="26"/>
  <c r="H1447" i="26" s="1"/>
  <c r="G1422" i="26"/>
  <c r="H1422" i="26" s="1"/>
  <c r="G1361" i="26"/>
  <c r="H1361" i="26" s="1"/>
  <c r="G1357" i="26"/>
  <c r="H1357" i="26" s="1"/>
  <c r="G1351" i="26"/>
  <c r="H1351" i="26" s="1"/>
  <c r="G1318" i="26"/>
  <c r="H1318" i="26" s="1"/>
  <c r="G1308" i="26"/>
  <c r="H1308" i="26" s="1"/>
  <c r="G1256" i="26"/>
  <c r="H1256" i="26" s="1"/>
  <c r="G1276" i="26"/>
  <c r="H1276" i="26" s="1"/>
  <c r="G1258" i="26"/>
  <c r="H1258" i="26" s="1"/>
  <c r="G1187" i="26"/>
  <c r="H1187" i="26" s="1"/>
  <c r="H1621" i="26"/>
  <c r="H1155" i="26"/>
  <c r="G1622" i="26"/>
  <c r="H1622" i="26" s="1"/>
  <c r="G1268" i="26"/>
  <c r="H1268" i="26" s="1"/>
  <c r="G1240" i="26"/>
  <c r="H1240" i="26" s="1"/>
  <c r="G1227" i="26"/>
  <c r="H1227" i="26" s="1"/>
  <c r="G1606" i="26"/>
  <c r="H1606" i="26" s="1"/>
  <c r="G1599" i="26"/>
  <c r="H1599" i="26" s="1"/>
  <c r="H1179" i="26"/>
  <c r="H1323" i="26"/>
  <c r="G1266" i="26"/>
  <c r="H1266" i="26" s="1"/>
  <c r="H1242" i="26"/>
  <c r="G1189" i="26"/>
  <c r="H1189" i="26" s="1"/>
  <c r="H48" i="15"/>
  <c r="D45" i="15"/>
  <c r="AI47" i="15"/>
  <c r="H47" i="15"/>
  <c r="AF47" i="15" s="1"/>
  <c r="D47" i="15"/>
  <c r="H46" i="15"/>
  <c r="AI46" i="15"/>
  <c r="D46" i="15"/>
  <c r="H45" i="15"/>
  <c r="AI45" i="15"/>
  <c r="AI42" i="15"/>
  <c r="AI43" i="15"/>
  <c r="D42" i="15"/>
  <c r="AI41" i="15"/>
  <c r="AI44" i="15"/>
  <c r="AI40" i="15"/>
  <c r="D44" i="15"/>
  <c r="H43" i="15"/>
  <c r="AF43" i="15" s="1"/>
  <c r="H41" i="15"/>
  <c r="AF41" i="15" s="1"/>
  <c r="H40" i="15"/>
  <c r="AF40" i="15" s="1"/>
  <c r="D39" i="15"/>
  <c r="AI39" i="15"/>
  <c r="H38" i="15"/>
  <c r="AF38" i="15" s="1"/>
  <c r="D40" i="15"/>
  <c r="AI38" i="15"/>
  <c r="H37" i="15"/>
  <c r="AF37" i="15" s="1"/>
  <c r="AI37" i="15"/>
  <c r="D34" i="15"/>
  <c r="D29" i="15"/>
  <c r="D35" i="15"/>
  <c r="D33" i="15"/>
  <c r="AI28" i="15"/>
  <c r="H31" i="15"/>
  <c r="N31" i="15" s="1"/>
  <c r="H28" i="15"/>
  <c r="N28" i="15" s="1"/>
  <c r="AI36" i="15"/>
  <c r="H36" i="15"/>
  <c r="AI35" i="15"/>
  <c r="AI34" i="15"/>
  <c r="H34" i="15"/>
  <c r="AI33" i="15"/>
  <c r="D32" i="15"/>
  <c r="AI32" i="15"/>
  <c r="AI31" i="15"/>
  <c r="AI30" i="15"/>
  <c r="H30" i="15"/>
  <c r="AI29" i="15"/>
  <c r="H29" i="15"/>
  <c r="H27" i="15"/>
  <c r="AF27" i="15" s="1"/>
  <c r="AI27" i="15"/>
  <c r="H26" i="15"/>
  <c r="AF26" i="15" s="1"/>
  <c r="AI26" i="15"/>
  <c r="H24" i="15"/>
  <c r="N24" i="15" s="1"/>
  <c r="D24" i="15"/>
  <c r="AI24" i="15"/>
  <c r="AI25" i="15"/>
  <c r="D25" i="15"/>
  <c r="H25" i="15"/>
  <c r="H23" i="15"/>
  <c r="AF23" i="15" s="1"/>
  <c r="H19" i="15"/>
  <c r="AF19" i="15" s="1"/>
  <c r="AI18" i="15"/>
  <c r="H21" i="15"/>
  <c r="AF21" i="15" s="1"/>
  <c r="H20" i="15"/>
  <c r="AF20" i="15" s="1"/>
  <c r="AI23" i="15"/>
  <c r="AI19" i="15"/>
  <c r="H18" i="15"/>
  <c r="AF18" i="15" s="1"/>
  <c r="AI22" i="15"/>
  <c r="AI21" i="15"/>
  <c r="AI20" i="15"/>
  <c r="H22" i="15"/>
  <c r="D5" i="15"/>
  <c r="D14" i="15"/>
  <c r="AI17" i="15"/>
  <c r="AI12" i="15"/>
  <c r="D12" i="15"/>
  <c r="H16" i="15"/>
  <c r="AF16" i="15" s="1"/>
  <c r="H13" i="15"/>
  <c r="AF13" i="15" s="1"/>
  <c r="AI7" i="15"/>
  <c r="D15" i="15"/>
  <c r="AI13" i="15"/>
  <c r="H17" i="15"/>
  <c r="H14" i="15"/>
  <c r="AF14" i="15" s="1"/>
  <c r="H12" i="15"/>
  <c r="AI16" i="15"/>
  <c r="J5" i="15"/>
  <c r="P5" i="15" s="1"/>
  <c r="AI14" i="15"/>
  <c r="H10" i="27"/>
  <c r="AG10" i="27" s="1"/>
  <c r="O810" i="26"/>
  <c r="O803" i="26"/>
  <c r="G1022" i="26"/>
  <c r="H1022" i="26" s="1"/>
  <c r="K1015" i="26"/>
  <c r="K932" i="26"/>
  <c r="O932" i="26"/>
  <c r="K930" i="26"/>
  <c r="O930" i="26"/>
  <c r="K928" i="26"/>
  <c r="O928" i="26"/>
  <c r="O903" i="26"/>
  <c r="K903" i="26"/>
  <c r="K1564" i="26"/>
  <c r="O1564" i="26"/>
  <c r="K1543" i="26"/>
  <c r="O1543" i="26"/>
  <c r="O1538" i="26"/>
  <c r="K1538" i="26"/>
  <c r="K1523" i="26"/>
  <c r="O1523" i="26"/>
  <c r="G1518" i="26"/>
  <c r="H1518" i="26" s="1"/>
  <c r="O1511" i="26"/>
  <c r="K1511" i="26"/>
  <c r="K868" i="26"/>
  <c r="K864" i="26"/>
  <c r="K1037" i="26"/>
  <c r="K1002" i="26"/>
  <c r="O1002" i="26"/>
  <c r="K996" i="26"/>
  <c r="O996" i="26"/>
  <c r="K934" i="26"/>
  <c r="O934" i="26"/>
  <c r="H33" i="27"/>
  <c r="AG33" i="27" s="1"/>
  <c r="O1571" i="26"/>
  <c r="O1556" i="26"/>
  <c r="K1556" i="26"/>
  <c r="K1548" i="26"/>
  <c r="O1548" i="26"/>
  <c r="K1530" i="26"/>
  <c r="K1493" i="26"/>
  <c r="O1493" i="26"/>
  <c r="G1030" i="26"/>
  <c r="H1030" i="26" s="1"/>
  <c r="O1024" i="26"/>
  <c r="K1024" i="26"/>
  <c r="O1020" i="26"/>
  <c r="K1020" i="26"/>
  <c r="K962" i="26"/>
  <c r="O962" i="26"/>
  <c r="K941" i="26"/>
  <c r="K904" i="26"/>
  <c r="O904" i="26"/>
  <c r="O901" i="26"/>
  <c r="K901" i="26"/>
  <c r="H28" i="27"/>
  <c r="AG28" i="27" s="1"/>
  <c r="K1504" i="26"/>
  <c r="O1504" i="26"/>
  <c r="O1009" i="26"/>
  <c r="K1009" i="26"/>
  <c r="O949" i="26"/>
  <c r="K949" i="26"/>
  <c r="G1530" i="26"/>
  <c r="H1530" i="26" s="1"/>
  <c r="K1006" i="26"/>
  <c r="O1006" i="26"/>
  <c r="O879" i="26"/>
  <c r="O1566" i="26"/>
  <c r="K1566" i="26"/>
  <c r="O1520" i="26"/>
  <c r="K1520" i="26"/>
  <c r="K1513" i="26"/>
  <c r="O1513" i="26"/>
  <c r="O1497" i="26"/>
  <c r="K1497" i="26"/>
  <c r="AJ9" i="27"/>
  <c r="O764" i="26"/>
  <c r="O778" i="26"/>
  <c r="O802" i="26"/>
  <c r="O867" i="26"/>
  <c r="H20" i="27"/>
  <c r="N20" i="27" s="1"/>
  <c r="K925" i="26"/>
  <c r="K923" i="26"/>
  <c r="K893" i="26"/>
  <c r="O1579" i="26"/>
  <c r="O1551" i="26"/>
  <c r="O1547" i="26"/>
  <c r="O1528" i="26"/>
  <c r="K1528" i="26"/>
  <c r="K1489" i="26"/>
  <c r="O1489" i="26"/>
  <c r="O707" i="26"/>
  <c r="O1040" i="26"/>
  <c r="K1040" i="26"/>
  <c r="O1027" i="26"/>
  <c r="O1018" i="26"/>
  <c r="K980" i="26"/>
  <c r="O980" i="26"/>
  <c r="O969" i="26"/>
  <c r="K969" i="26"/>
  <c r="K958" i="26"/>
  <c r="O958" i="26"/>
  <c r="O926" i="26"/>
  <c r="G1554" i="26"/>
  <c r="H1554" i="26" s="1"/>
  <c r="G1540" i="26"/>
  <c r="H1540" i="26" s="1"/>
  <c r="O1537" i="26"/>
  <c r="K1537" i="26"/>
  <c r="K1514" i="26"/>
  <c r="O1514" i="26"/>
  <c r="K1492" i="26"/>
  <c r="O1492" i="26"/>
  <c r="H8" i="27"/>
  <c r="N8" i="27" s="1"/>
  <c r="K863" i="26"/>
  <c r="O863" i="26"/>
  <c r="O1032" i="26"/>
  <c r="H34" i="27"/>
  <c r="N34" i="27" s="1"/>
  <c r="K1032" i="26"/>
  <c r="K1012" i="26"/>
  <c r="O1012" i="26"/>
  <c r="O989" i="26"/>
  <c r="K989" i="26"/>
  <c r="O877" i="26"/>
  <c r="K877" i="26"/>
  <c r="O1578" i="26"/>
  <c r="K1578" i="26"/>
  <c r="G1550" i="26"/>
  <c r="H1550" i="26" s="1"/>
  <c r="K1529" i="26"/>
  <c r="K1519" i="26"/>
  <c r="K1510" i="26"/>
  <c r="K1509" i="26"/>
  <c r="K1451" i="26"/>
  <c r="O1433" i="26"/>
  <c r="O1429" i="26"/>
  <c r="O1421" i="26"/>
  <c r="K1354" i="26"/>
  <c r="K1350" i="26"/>
  <c r="O1335" i="26"/>
  <c r="O1308" i="26"/>
  <c r="K1308" i="26"/>
  <c r="K1299" i="26"/>
  <c r="O1299" i="26"/>
  <c r="O1293" i="26"/>
  <c r="K1284" i="26"/>
  <c r="G1239" i="26"/>
  <c r="H1239" i="26" s="1"/>
  <c r="K1222" i="26"/>
  <c r="O1222" i="26"/>
  <c r="K1216" i="26"/>
  <c r="O1216" i="26"/>
  <c r="O1196" i="26"/>
  <c r="O1191" i="26"/>
  <c r="K1191" i="26"/>
  <c r="K1190" i="26"/>
  <c r="O1173" i="26"/>
  <c r="K1173" i="26"/>
  <c r="G1168" i="26"/>
  <c r="H1168" i="26" s="1"/>
  <c r="O1146" i="26"/>
  <c r="K1146" i="26"/>
  <c r="G1135" i="26"/>
  <c r="H1135" i="26" s="1"/>
  <c r="G1110" i="26"/>
  <c r="H1110" i="26" s="1"/>
  <c r="G1107" i="26"/>
  <c r="H1107" i="26" s="1"/>
  <c r="K1094" i="26"/>
  <c r="O1094" i="26"/>
  <c r="H6" i="15"/>
  <c r="N6" i="15" s="1"/>
  <c r="G1084" i="26"/>
  <c r="H1084" i="26" s="1"/>
  <c r="G1470" i="26"/>
  <c r="H1470" i="26" s="1"/>
  <c r="O1461" i="26"/>
  <c r="K1461" i="26"/>
  <c r="O1458" i="26"/>
  <c r="O1405" i="26"/>
  <c r="K1404" i="26"/>
  <c r="K1387" i="26"/>
  <c r="K1369" i="26"/>
  <c r="O1365" i="26"/>
  <c r="K1365" i="26"/>
  <c r="K1357" i="26"/>
  <c r="O1334" i="26"/>
  <c r="K1334" i="26"/>
  <c r="K1332" i="26"/>
  <c r="K1327" i="26"/>
  <c r="O1322" i="26"/>
  <c r="K1322" i="26"/>
  <c r="O1319" i="26"/>
  <c r="O1313" i="26"/>
  <c r="O1237" i="26"/>
  <c r="K1237" i="26"/>
  <c r="K1235" i="26"/>
  <c r="K1233" i="26"/>
  <c r="O1220" i="26"/>
  <c r="G1185" i="26"/>
  <c r="H1185" i="26" s="1"/>
  <c r="G1176" i="26"/>
  <c r="H1176" i="26" s="1"/>
  <c r="G1153" i="26"/>
  <c r="H1153" i="26" s="1"/>
  <c r="G1128" i="26"/>
  <c r="H1128" i="26" s="1"/>
  <c r="G1125" i="26"/>
  <c r="H1125" i="26" s="1"/>
  <c r="K1102" i="26"/>
  <c r="O1102" i="26"/>
  <c r="G1440" i="26"/>
  <c r="H1440" i="26" s="1"/>
  <c r="K1395" i="26"/>
  <c r="O1395" i="26"/>
  <c r="O1392" i="26"/>
  <c r="K1392" i="26"/>
  <c r="O1362" i="26"/>
  <c r="K1362" i="26"/>
  <c r="H1331" i="26"/>
  <c r="H1291" i="26"/>
  <c r="O1280" i="26"/>
  <c r="K1280" i="26"/>
  <c r="O1269" i="26"/>
  <c r="K1269" i="26"/>
  <c r="K1254" i="26"/>
  <c r="O1254" i="26"/>
  <c r="H1226" i="26"/>
  <c r="G1162" i="26"/>
  <c r="H1162" i="26" s="1"/>
  <c r="K1158" i="26"/>
  <c r="O1158" i="26"/>
  <c r="O1129" i="26"/>
  <c r="K1129" i="26"/>
  <c r="K1126" i="26"/>
  <c r="O1126" i="26"/>
  <c r="AI9" i="15"/>
  <c r="H1108" i="26"/>
  <c r="G1105" i="26"/>
  <c r="H1105" i="26" s="1"/>
  <c r="O1034" i="26"/>
  <c r="O1026" i="26"/>
  <c r="O1014" i="26"/>
  <c r="O988" i="26"/>
  <c r="O976" i="26"/>
  <c r="O970" i="26"/>
  <c r="O960" i="26"/>
  <c r="O948" i="26"/>
  <c r="O902" i="26"/>
  <c r="O1569" i="26"/>
  <c r="O1561" i="26"/>
  <c r="O1555" i="26"/>
  <c r="O1546" i="26"/>
  <c r="O1535" i="26"/>
  <c r="O1525" i="26"/>
  <c r="O1495" i="26"/>
  <c r="O1469" i="26"/>
  <c r="O1443" i="26"/>
  <c r="O1441" i="26"/>
  <c r="K1441" i="26"/>
  <c r="K1425" i="26"/>
  <c r="H1420" i="26"/>
  <c r="K1379" i="26"/>
  <c r="K1366" i="26"/>
  <c r="O1343" i="26"/>
  <c r="K1343" i="26"/>
  <c r="K1333" i="26"/>
  <c r="G1327" i="26"/>
  <c r="H1327" i="26" s="1"/>
  <c r="G1315" i="26"/>
  <c r="H1315" i="26" s="1"/>
  <c r="K1310" i="26"/>
  <c r="K1306" i="26"/>
  <c r="O1287" i="26"/>
  <c r="H1274" i="26"/>
  <c r="K1266" i="26"/>
  <c r="O1266" i="26"/>
  <c r="K1255" i="26"/>
  <c r="O1199" i="26"/>
  <c r="K1199" i="26"/>
  <c r="H1178" i="26"/>
  <c r="G1158" i="26"/>
  <c r="H1158" i="26" s="1"/>
  <c r="G1154" i="26"/>
  <c r="H1154" i="26" s="1"/>
  <c r="O1145" i="26"/>
  <c r="K1144" i="26"/>
  <c r="O1144" i="26"/>
  <c r="K1140" i="26"/>
  <c r="H10" i="15"/>
  <c r="H1109" i="26"/>
  <c r="O1371" i="26"/>
  <c r="K1371" i="26"/>
  <c r="H1369" i="26"/>
  <c r="G1246" i="26"/>
  <c r="H1246" i="26" s="1"/>
  <c r="K1238" i="26"/>
  <c r="O1238" i="26"/>
  <c r="K1236" i="26"/>
  <c r="O1236" i="26"/>
  <c r="O1231" i="26"/>
  <c r="K1231" i="26"/>
  <c r="G1199" i="26"/>
  <c r="H1199" i="26" s="1"/>
  <c r="G1192" i="26"/>
  <c r="H1192" i="26" s="1"/>
  <c r="G1183" i="26"/>
  <c r="H1183" i="26" s="1"/>
  <c r="H1180" i="26"/>
  <c r="G1170" i="26"/>
  <c r="H1170" i="26" s="1"/>
  <c r="K1156" i="26"/>
  <c r="O1156" i="26"/>
  <c r="G1140" i="26"/>
  <c r="H1140" i="26" s="1"/>
  <c r="O1638" i="26"/>
  <c r="K1638" i="26"/>
  <c r="O1496" i="26"/>
  <c r="K1480" i="26"/>
  <c r="O1480" i="26"/>
  <c r="O1476" i="26"/>
  <c r="O1465" i="26"/>
  <c r="O1450" i="26"/>
  <c r="G1446" i="26"/>
  <c r="H1446" i="26" s="1"/>
  <c r="O1391" i="26"/>
  <c r="G1319" i="26"/>
  <c r="H1319" i="26" s="1"/>
  <c r="O1301" i="26"/>
  <c r="O1271" i="26"/>
  <c r="K1271" i="26"/>
  <c r="O1268" i="26"/>
  <c r="O1247" i="26"/>
  <c r="K1247" i="26"/>
  <c r="O1200" i="26"/>
  <c r="O1184" i="26"/>
  <c r="O1159" i="26"/>
  <c r="K1159" i="26"/>
  <c r="G1156" i="26"/>
  <c r="H1156" i="26" s="1"/>
  <c r="G1151" i="26"/>
  <c r="H1151" i="26" s="1"/>
  <c r="G1144" i="26"/>
  <c r="H1144" i="26" s="1"/>
  <c r="K1131" i="26"/>
  <c r="O1131" i="26"/>
  <c r="K1124" i="26"/>
  <c r="H9" i="15"/>
  <c r="O1124" i="26"/>
  <c r="AF8" i="15"/>
  <c r="G1083" i="26"/>
  <c r="H1083" i="26" s="1"/>
  <c r="G1076" i="26"/>
  <c r="H1076" i="26" s="1"/>
  <c r="G1073" i="26"/>
  <c r="H1073" i="26" s="1"/>
  <c r="K1011" i="26"/>
  <c r="K1005" i="26"/>
  <c r="H982" i="26"/>
  <c r="K967" i="26"/>
  <c r="K957" i="26"/>
  <c r="K927" i="26"/>
  <c r="K919" i="26"/>
  <c r="K899" i="26"/>
  <c r="K1568" i="26"/>
  <c r="O1502" i="26"/>
  <c r="H1480" i="26"/>
  <c r="O1447" i="26"/>
  <c r="K1447" i="26"/>
  <c r="K1431" i="26"/>
  <c r="K1424" i="26"/>
  <c r="O1424" i="26"/>
  <c r="O1406" i="26"/>
  <c r="K1406" i="26"/>
  <c r="K1372" i="26"/>
  <c r="K1364" i="26"/>
  <c r="K1330" i="26"/>
  <c r="O1320" i="26"/>
  <c r="K1320" i="26"/>
  <c r="O1267" i="26"/>
  <c r="K1267" i="26"/>
  <c r="G1252" i="26"/>
  <c r="H1252" i="26" s="1"/>
  <c r="O1250" i="26"/>
  <c r="K1212" i="26"/>
  <c r="O1212" i="26"/>
  <c r="K1210" i="26"/>
  <c r="O1210" i="26"/>
  <c r="K1206" i="26"/>
  <c r="O1206" i="26"/>
  <c r="O1204" i="26"/>
  <c r="G1197" i="26"/>
  <c r="H1197" i="26" s="1"/>
  <c r="G1193" i="26"/>
  <c r="H1193" i="26" s="1"/>
  <c r="O1188" i="26"/>
  <c r="K1188" i="26"/>
  <c r="O1147" i="26"/>
  <c r="G1130" i="26"/>
  <c r="H1130" i="26" s="1"/>
  <c r="O1119" i="26"/>
  <c r="K1119" i="26"/>
  <c r="O1091" i="26"/>
  <c r="K1091" i="26"/>
  <c r="K1084" i="26"/>
  <c r="O1084" i="26"/>
  <c r="K1491" i="26"/>
  <c r="O1471" i="26"/>
  <c r="O1466" i="26"/>
  <c r="O1435" i="26"/>
  <c r="K1435" i="26"/>
  <c r="G1424" i="26"/>
  <c r="H1424" i="26" s="1"/>
  <c r="O1420" i="26"/>
  <c r="O1397" i="26"/>
  <c r="O1386" i="26"/>
  <c r="K1386" i="26"/>
  <c r="G1385" i="26"/>
  <c r="H1385" i="26" s="1"/>
  <c r="K1345" i="26"/>
  <c r="O1326" i="26"/>
  <c r="K1326" i="26"/>
  <c r="G1311" i="26"/>
  <c r="H1311" i="26" s="1"/>
  <c r="O1309" i="26"/>
  <c r="O1304" i="26"/>
  <c r="K1304" i="26"/>
  <c r="K1279" i="26"/>
  <c r="O1253" i="26"/>
  <c r="K1253" i="26"/>
  <c r="O1208" i="26"/>
  <c r="G1188" i="26"/>
  <c r="H1188" i="26" s="1"/>
  <c r="G1172" i="26"/>
  <c r="H1172" i="26" s="1"/>
  <c r="K1153" i="26"/>
  <c r="G1152" i="26"/>
  <c r="H1152" i="26" s="1"/>
  <c r="K1138" i="26"/>
  <c r="O1133" i="26"/>
  <c r="G1194" i="26"/>
  <c r="H1194" i="26" s="1"/>
  <c r="G1141" i="26"/>
  <c r="H1141" i="26" s="1"/>
  <c r="G1136" i="26"/>
  <c r="H1136" i="26" s="1"/>
  <c r="G1113" i="26"/>
  <c r="H1113" i="26" s="1"/>
  <c r="K1109" i="26"/>
  <c r="O1109" i="26"/>
  <c r="G1079" i="26"/>
  <c r="H1079" i="26" s="1"/>
  <c r="O1069" i="26"/>
  <c r="H4" i="15"/>
  <c r="N4" i="15" s="1"/>
  <c r="AI4" i="15"/>
  <c r="O1348" i="26"/>
  <c r="K1348" i="26"/>
  <c r="G1186" i="26"/>
  <c r="H1186" i="26" s="1"/>
  <c r="G1161" i="26"/>
  <c r="H1161" i="26" s="1"/>
  <c r="G1157" i="26"/>
  <c r="H1157" i="26" s="1"/>
  <c r="G1146" i="26"/>
  <c r="H1146" i="26" s="1"/>
  <c r="AI10" i="15"/>
  <c r="O1134" i="26"/>
  <c r="K1134" i="26"/>
  <c r="H1133" i="26"/>
  <c r="G1117" i="26"/>
  <c r="H1117" i="26" s="1"/>
  <c r="AI8" i="15"/>
  <c r="K1111" i="26"/>
  <c r="O1111" i="26"/>
  <c r="AI6" i="15"/>
  <c r="H5" i="15"/>
  <c r="N5" i="15" s="1"/>
  <c r="O1646" i="26"/>
  <c r="K1646" i="26"/>
  <c r="O1643" i="26"/>
  <c r="K1626" i="26"/>
  <c r="K1635" i="26"/>
  <c r="O1635" i="26"/>
  <c r="G1623" i="26"/>
  <c r="H1623" i="26" s="1"/>
  <c r="O1650" i="26"/>
  <c r="K1650" i="26"/>
  <c r="K1116" i="26"/>
  <c r="O1116" i="26"/>
  <c r="G1115" i="26"/>
  <c r="H1115" i="26" s="1"/>
  <c r="G1102" i="26"/>
  <c r="H1102" i="26" s="1"/>
  <c r="G1071" i="26"/>
  <c r="H1071" i="26" s="1"/>
  <c r="O1434" i="26"/>
  <c r="O1393" i="26"/>
  <c r="O1286" i="26"/>
  <c r="K1286" i="26"/>
  <c r="O1278" i="26"/>
  <c r="G1236" i="26"/>
  <c r="H1236" i="26" s="1"/>
  <c r="K1228" i="26"/>
  <c r="O1228" i="26"/>
  <c r="O1171" i="26"/>
  <c r="K1171" i="26"/>
  <c r="AI11" i="15"/>
  <c r="G1132" i="26"/>
  <c r="H1132" i="26" s="1"/>
  <c r="G1126" i="26"/>
  <c r="H1126" i="26" s="1"/>
  <c r="H1120" i="26"/>
  <c r="O1110" i="26"/>
  <c r="I7" i="15"/>
  <c r="O7" i="15" s="1"/>
  <c r="K1110" i="26"/>
  <c r="H7" i="15"/>
  <c r="AI5" i="15"/>
  <c r="O1075" i="26"/>
  <c r="K1075" i="26"/>
  <c r="G1045" i="26"/>
  <c r="H1045" i="26" s="1"/>
  <c r="O1628" i="26"/>
  <c r="K1628" i="26"/>
  <c r="G1068" i="26"/>
  <c r="H1068" i="26" s="1"/>
  <c r="G1048" i="26"/>
  <c r="H1048" i="26" s="1"/>
  <c r="K1631" i="26"/>
  <c r="O1631" i="26"/>
  <c r="G1050" i="26"/>
  <c r="H1050" i="26" s="1"/>
  <c r="G1047" i="26"/>
  <c r="H1047" i="26" s="1"/>
  <c r="H1607" i="26"/>
  <c r="K1602" i="26"/>
  <c r="H1587" i="26"/>
  <c r="O1585" i="26"/>
  <c r="O1234" i="26"/>
  <c r="H11" i="15"/>
  <c r="K1612" i="26"/>
  <c r="H1601" i="26"/>
  <c r="O1599" i="26"/>
  <c r="O1595" i="26"/>
  <c r="O1591" i="26"/>
  <c r="H1619" i="26"/>
  <c r="K1598" i="26"/>
  <c r="K1590" i="26"/>
  <c r="K1582" i="26"/>
  <c r="H1603" i="26"/>
  <c r="O1629" i="26"/>
  <c r="K1624" i="26"/>
  <c r="H1631" i="26"/>
  <c r="K1618" i="26"/>
  <c r="K1614" i="26"/>
  <c r="I5" i="15"/>
  <c r="O5" i="15" s="1"/>
  <c r="H1617" i="26"/>
  <c r="AG5" i="15"/>
  <c r="G1649" i="26"/>
  <c r="H1649" i="26" s="1"/>
  <c r="G1647" i="26"/>
  <c r="H1647" i="26" s="1"/>
  <c r="G1645" i="26"/>
  <c r="H1645" i="26" s="1"/>
  <c r="G1643" i="26"/>
  <c r="H1643" i="26" s="1"/>
  <c r="G1641" i="26"/>
  <c r="H1641" i="26" s="1"/>
  <c r="G1639" i="26"/>
  <c r="H1639" i="26" s="1"/>
  <c r="G1637" i="26"/>
  <c r="H1637" i="26" s="1"/>
  <c r="O1615" i="26"/>
  <c r="G1615" i="26"/>
  <c r="H1615" i="26" s="1"/>
  <c r="K1610" i="26"/>
  <c r="K1594" i="26"/>
  <c r="H1589" i="26"/>
  <c r="O1583" i="26"/>
  <c r="G1583" i="26"/>
  <c r="H1583" i="26" s="1"/>
  <c r="H1634" i="26"/>
  <c r="K1632" i="26"/>
  <c r="H1627" i="26"/>
  <c r="H1618" i="26"/>
  <c r="H1611" i="26"/>
  <c r="H1602" i="26"/>
  <c r="H1595" i="26"/>
  <c r="H1586" i="26"/>
  <c r="H1624" i="26"/>
  <c r="K1622" i="26"/>
  <c r="H1608" i="26"/>
  <c r="K1606" i="26"/>
  <c r="H1592" i="26"/>
  <c r="H1585" i="26"/>
  <c r="H1650" i="26"/>
  <c r="H1648" i="26"/>
  <c r="H1646" i="26"/>
  <c r="H1644" i="26"/>
  <c r="H1642" i="26"/>
  <c r="H1640" i="26"/>
  <c r="H1638" i="26"/>
  <c r="H1630" i="26"/>
  <c r="H1614" i="26"/>
  <c r="H1598" i="26"/>
  <c r="H1582" i="26"/>
  <c r="K1580" i="26"/>
  <c r="H1636" i="26"/>
  <c r="K1634" i="26"/>
  <c r="O1623" i="26"/>
  <c r="H1620" i="26"/>
  <c r="H1604" i="26"/>
  <c r="H1588" i="26"/>
  <c r="H1581" i="26"/>
  <c r="H1626" i="26"/>
  <c r="O1613" i="26"/>
  <c r="H1610" i="26"/>
  <c r="K1608" i="26"/>
  <c r="O1597" i="26"/>
  <c r="H1594" i="26"/>
  <c r="K1592" i="26"/>
  <c r="O1581" i="26"/>
  <c r="H1632" i="26"/>
  <c r="K1630" i="26"/>
  <c r="H1625" i="26"/>
  <c r="H1616" i="26"/>
  <c r="H1609" i="26"/>
  <c r="H1600" i="26"/>
  <c r="H1593" i="26"/>
  <c r="H1584" i="26"/>
  <c r="G1628" i="26"/>
  <c r="H1628" i="26" s="1"/>
  <c r="O1625" i="26"/>
  <c r="K1620" i="26"/>
  <c r="G1612" i="26"/>
  <c r="H1612" i="26" s="1"/>
  <c r="O1609" i="26"/>
  <c r="K1604" i="26"/>
  <c r="G1596" i="26"/>
  <c r="H1596" i="26" s="1"/>
  <c r="H1590" i="26"/>
  <c r="K1588" i="26"/>
  <c r="H1580" i="26"/>
  <c r="O1572" i="26"/>
  <c r="H1509" i="26"/>
  <c r="G1501" i="26"/>
  <c r="H1501" i="26" s="1"/>
  <c r="G1498" i="26"/>
  <c r="H1498" i="26" s="1"/>
  <c r="O1486" i="26"/>
  <c r="K1574" i="26"/>
  <c r="G1573" i="26"/>
  <c r="H1573" i="26" s="1"/>
  <c r="G1545" i="26"/>
  <c r="H1545" i="26" s="1"/>
  <c r="G1497" i="26"/>
  <c r="H1497" i="26" s="1"/>
  <c r="G1494" i="26"/>
  <c r="H1494" i="26" s="1"/>
  <c r="G1477" i="26"/>
  <c r="H1477" i="26" s="1"/>
  <c r="G1539" i="26"/>
  <c r="H1539" i="26" s="1"/>
  <c r="G1493" i="26"/>
  <c r="H1493" i="26" s="1"/>
  <c r="G1555" i="26"/>
  <c r="H1555" i="26" s="1"/>
  <c r="K1550" i="26"/>
  <c r="G1544" i="26"/>
  <c r="H1544" i="26" s="1"/>
  <c r="G1490" i="26"/>
  <c r="H1490" i="26" s="1"/>
  <c r="K1482" i="26"/>
  <c r="O1482" i="26"/>
  <c r="G1543" i="26"/>
  <c r="H1543" i="26" s="1"/>
  <c r="G1523" i="26"/>
  <c r="H1523" i="26" s="1"/>
  <c r="G1515" i="26"/>
  <c r="H1515" i="26" s="1"/>
  <c r="G1507" i="26"/>
  <c r="H1507" i="26" s="1"/>
  <c r="G1489" i="26"/>
  <c r="H1489" i="26" s="1"/>
  <c r="G1481" i="26"/>
  <c r="H1481" i="26" s="1"/>
  <c r="G1537" i="26"/>
  <c r="H1537" i="26" s="1"/>
  <c r="G1529" i="26"/>
  <c r="H1529" i="26" s="1"/>
  <c r="G1521" i="26"/>
  <c r="H1521" i="26" s="1"/>
  <c r="G1513" i="26"/>
  <c r="H1513" i="26" s="1"/>
  <c r="G1505" i="26"/>
  <c r="H1505" i="26" s="1"/>
  <c r="G1485" i="26"/>
  <c r="H1485" i="26" s="1"/>
  <c r="G1560" i="26"/>
  <c r="H1560" i="26" s="1"/>
  <c r="G1547" i="26"/>
  <c r="H1547" i="26" s="1"/>
  <c r="O1490" i="26"/>
  <c r="O1488" i="26"/>
  <c r="G1552" i="26"/>
  <c r="H1552" i="26" s="1"/>
  <c r="G1531" i="26"/>
  <c r="H1531" i="26" s="1"/>
  <c r="G1563" i="26"/>
  <c r="H1563" i="26" s="1"/>
  <c r="G1536" i="26"/>
  <c r="H1536" i="26" s="1"/>
  <c r="K1532" i="26"/>
  <c r="G1528" i="26"/>
  <c r="H1528" i="26" s="1"/>
  <c r="K1524" i="26"/>
  <c r="G1520" i="26"/>
  <c r="H1520" i="26" s="1"/>
  <c r="K1516" i="26"/>
  <c r="G1512" i="26"/>
  <c r="H1512" i="26" s="1"/>
  <c r="K1508" i="26"/>
  <c r="G1504" i="26"/>
  <c r="H1504" i="26" s="1"/>
  <c r="G1502" i="26"/>
  <c r="H1502" i="26" s="1"/>
  <c r="O1478" i="26"/>
  <c r="O1474" i="26"/>
  <c r="O1422" i="26"/>
  <c r="K1403" i="26"/>
  <c r="O1403" i="26"/>
  <c r="O1468" i="26"/>
  <c r="O1460" i="26"/>
  <c r="H1459" i="26"/>
  <c r="O1452" i="26"/>
  <c r="H1451" i="26"/>
  <c r="O1444" i="26"/>
  <c r="H1443" i="26"/>
  <c r="O1436" i="26"/>
  <c r="H1435" i="26"/>
  <c r="O1428" i="26"/>
  <c r="H1421" i="26"/>
  <c r="K1417" i="26"/>
  <c r="O1417" i="26"/>
  <c r="O1416" i="26"/>
  <c r="K1416" i="26"/>
  <c r="G1408" i="26"/>
  <c r="H1408" i="26" s="1"/>
  <c r="O1400" i="26"/>
  <c r="K1400" i="26"/>
  <c r="G1394" i="26"/>
  <c r="H1394" i="26" s="1"/>
  <c r="H1441" i="26"/>
  <c r="H1433" i="26"/>
  <c r="G1405" i="26"/>
  <c r="H1405" i="26" s="1"/>
  <c r="G1535" i="26"/>
  <c r="H1535" i="26" s="1"/>
  <c r="H1471" i="26"/>
  <c r="O1464" i="26"/>
  <c r="O1456" i="26"/>
  <c r="H1455" i="26"/>
  <c r="O1448" i="26"/>
  <c r="O1440" i="26"/>
  <c r="O1432" i="26"/>
  <c r="H1431" i="26"/>
  <c r="G1390" i="26"/>
  <c r="H1390" i="26" s="1"/>
  <c r="G1381" i="26"/>
  <c r="H1381" i="26" s="1"/>
  <c r="G1374" i="26"/>
  <c r="H1374" i="26" s="1"/>
  <c r="H1491" i="26"/>
  <c r="H1483" i="26"/>
  <c r="H1475" i="26"/>
  <c r="K1419" i="26"/>
  <c r="O1419" i="26"/>
  <c r="O1376" i="26"/>
  <c r="K1376" i="26"/>
  <c r="O1470" i="26"/>
  <c r="O1462" i="26"/>
  <c r="O1454" i="26"/>
  <c r="O1446" i="26"/>
  <c r="O1438" i="26"/>
  <c r="O1430" i="26"/>
  <c r="G1419" i="26"/>
  <c r="H1419" i="26" s="1"/>
  <c r="O1414" i="26"/>
  <c r="K1414" i="26"/>
  <c r="G1398" i="26"/>
  <c r="H1398" i="26" s="1"/>
  <c r="G1388" i="26"/>
  <c r="H1388" i="26" s="1"/>
  <c r="G1372" i="26"/>
  <c r="H1372" i="26" s="1"/>
  <c r="K1324" i="26"/>
  <c r="G1302" i="26"/>
  <c r="H1302" i="26" s="1"/>
  <c r="G1295" i="26"/>
  <c r="H1295" i="26" s="1"/>
  <c r="G1292" i="26"/>
  <c r="H1292" i="26" s="1"/>
  <c r="K1290" i="26"/>
  <c r="K1288" i="26"/>
  <c r="K1276" i="26"/>
  <c r="O1276" i="26"/>
  <c r="G1418" i="26"/>
  <c r="H1418" i="26" s="1"/>
  <c r="G1415" i="26"/>
  <c r="H1415" i="26" s="1"/>
  <c r="K1410" i="26"/>
  <c r="G1378" i="26"/>
  <c r="H1378" i="26" s="1"/>
  <c r="H1365" i="26"/>
  <c r="H1353" i="26"/>
  <c r="H1341" i="26"/>
  <c r="H1337" i="26"/>
  <c r="H1307" i="26"/>
  <c r="G1293" i="26"/>
  <c r="H1293" i="26" s="1"/>
  <c r="O1277" i="26"/>
  <c r="K1277" i="26"/>
  <c r="G1264" i="26"/>
  <c r="H1264" i="26" s="1"/>
  <c r="H1402" i="26"/>
  <c r="G1384" i="26"/>
  <c r="H1384" i="26" s="1"/>
  <c r="G1368" i="26"/>
  <c r="H1368" i="26" s="1"/>
  <c r="G1324" i="26"/>
  <c r="H1324" i="26" s="1"/>
  <c r="K1315" i="26"/>
  <c r="O1315" i="26"/>
  <c r="H1306" i="26"/>
  <c r="K1260" i="26"/>
  <c r="O1260" i="26"/>
  <c r="G1360" i="26"/>
  <c r="H1360" i="26" s="1"/>
  <c r="G1356" i="26"/>
  <c r="H1356" i="26" s="1"/>
  <c r="G1352" i="26"/>
  <c r="H1352" i="26" s="1"/>
  <c r="G1348" i="26"/>
  <c r="H1348" i="26" s="1"/>
  <c r="G1344" i="26"/>
  <c r="H1344" i="26" s="1"/>
  <c r="G1340" i="26"/>
  <c r="H1340" i="26" s="1"/>
  <c r="G1336" i="26"/>
  <c r="H1336" i="26" s="1"/>
  <c r="G1332" i="26"/>
  <c r="H1332" i="26" s="1"/>
  <c r="G1328" i="26"/>
  <c r="H1328" i="26" s="1"/>
  <c r="G1288" i="26"/>
  <c r="H1288" i="26" s="1"/>
  <c r="G1286" i="26"/>
  <c r="H1286" i="26" s="1"/>
  <c r="G1364" i="26"/>
  <c r="H1364" i="26" s="1"/>
  <c r="H1414" i="26"/>
  <c r="O1401" i="26"/>
  <c r="H1383" i="26"/>
  <c r="G1380" i="26"/>
  <c r="H1380" i="26" s="1"/>
  <c r="G1322" i="26"/>
  <c r="H1322" i="26" s="1"/>
  <c r="O1312" i="26"/>
  <c r="K1312" i="26"/>
  <c r="O1298" i="26"/>
  <c r="K1298" i="26"/>
  <c r="K1262" i="26"/>
  <c r="O1262" i="26"/>
  <c r="K1418" i="26"/>
  <c r="H1413" i="26"/>
  <c r="O1407" i="26"/>
  <c r="H1404" i="26"/>
  <c r="K1402" i="26"/>
  <c r="G1386" i="26"/>
  <c r="H1386" i="26" s="1"/>
  <c r="K1378" i="26"/>
  <c r="H1373" i="26"/>
  <c r="G1370" i="26"/>
  <c r="H1370" i="26" s="1"/>
  <c r="H1363" i="26"/>
  <c r="H1359" i="26"/>
  <c r="H1355" i="26"/>
  <c r="H1343" i="26"/>
  <c r="H1339" i="26"/>
  <c r="H1335" i="26"/>
  <c r="K1317" i="26"/>
  <c r="O1317" i="26"/>
  <c r="K1311" i="26"/>
  <c r="O1311" i="26"/>
  <c r="O1302" i="26"/>
  <c r="K1302" i="26"/>
  <c r="K1294" i="26"/>
  <c r="G1279" i="26"/>
  <c r="H1279" i="26" s="1"/>
  <c r="O1413" i="26"/>
  <c r="K1408" i="26"/>
  <c r="K1384" i="26"/>
  <c r="G1376" i="26"/>
  <c r="H1376" i="26" s="1"/>
  <c r="K1368" i="26"/>
  <c r="G1320" i="26"/>
  <c r="H1320" i="26" s="1"/>
  <c r="G1317" i="26"/>
  <c r="H1317" i="26" s="1"/>
  <c r="H1316" i="26"/>
  <c r="K1305" i="26"/>
  <c r="O1305" i="26"/>
  <c r="G1282" i="26"/>
  <c r="H1282" i="26" s="1"/>
  <c r="K1275" i="26"/>
  <c r="G1267" i="26"/>
  <c r="H1267" i="26" s="1"/>
  <c r="G1254" i="26"/>
  <c r="H1254" i="26" s="1"/>
  <c r="O1249" i="26"/>
  <c r="K1249" i="26"/>
  <c r="G1406" i="26"/>
  <c r="H1406" i="26" s="1"/>
  <c r="K1398" i="26"/>
  <c r="G1396" i="26"/>
  <c r="H1396" i="26" s="1"/>
  <c r="K1394" i="26"/>
  <c r="G1392" i="26"/>
  <c r="H1392" i="26" s="1"/>
  <c r="K1390" i="26"/>
  <c r="G1382" i="26"/>
  <c r="H1382" i="26" s="1"/>
  <c r="K1374" i="26"/>
  <c r="G1366" i="26"/>
  <c r="H1366" i="26" s="1"/>
  <c r="G1362" i="26"/>
  <c r="H1362" i="26" s="1"/>
  <c r="G1358" i="26"/>
  <c r="H1358" i="26" s="1"/>
  <c r="G1354" i="26"/>
  <c r="H1354" i="26" s="1"/>
  <c r="G1350" i="26"/>
  <c r="H1350" i="26" s="1"/>
  <c r="G1346" i="26"/>
  <c r="H1346" i="26" s="1"/>
  <c r="G1342" i="26"/>
  <c r="H1342" i="26" s="1"/>
  <c r="G1338" i="26"/>
  <c r="H1338" i="26" s="1"/>
  <c r="G1334" i="26"/>
  <c r="H1334" i="26" s="1"/>
  <c r="G1330" i="26"/>
  <c r="H1330" i="26" s="1"/>
  <c r="G1326" i="26"/>
  <c r="H1326" i="26" s="1"/>
  <c r="G1313" i="26"/>
  <c r="H1313" i="26" s="1"/>
  <c r="G1310" i="26"/>
  <c r="H1310" i="26" s="1"/>
  <c r="H1303" i="26"/>
  <c r="G1299" i="26"/>
  <c r="H1299" i="26" s="1"/>
  <c r="G1298" i="26"/>
  <c r="H1298" i="26" s="1"/>
  <c r="O1273" i="26"/>
  <c r="K1273" i="26"/>
  <c r="K1259" i="26"/>
  <c r="G1244" i="26"/>
  <c r="H1244" i="26" s="1"/>
  <c r="G1233" i="26"/>
  <c r="H1233" i="26" s="1"/>
  <c r="K1226" i="26"/>
  <c r="O1226" i="26"/>
  <c r="K1150" i="26"/>
  <c r="H1270" i="26"/>
  <c r="K1264" i="26"/>
  <c r="O1264" i="26"/>
  <c r="H1241" i="26"/>
  <c r="O1225" i="26"/>
  <c r="K1225" i="26"/>
  <c r="H1218" i="26"/>
  <c r="G1217" i="26"/>
  <c r="H1217" i="26" s="1"/>
  <c r="O1193" i="26"/>
  <c r="K1193" i="26"/>
  <c r="K1167" i="26"/>
  <c r="O1167" i="26"/>
  <c r="G1163" i="26"/>
  <c r="H1163" i="26" s="1"/>
  <c r="K1274" i="26"/>
  <c r="O1274" i="26"/>
  <c r="H1269" i="26"/>
  <c r="K1246" i="26"/>
  <c r="O1246" i="26"/>
  <c r="K1223" i="26"/>
  <c r="G1213" i="26"/>
  <c r="H1213" i="26" s="1"/>
  <c r="H1212" i="26"/>
  <c r="K1203" i="26"/>
  <c r="K1195" i="26"/>
  <c r="K1178" i="26"/>
  <c r="O1175" i="26"/>
  <c r="K1175" i="26"/>
  <c r="O1143" i="26"/>
  <c r="K1143" i="26"/>
  <c r="K1248" i="26"/>
  <c r="H1225" i="26"/>
  <c r="H1214" i="26"/>
  <c r="O1139" i="26"/>
  <c r="K1139" i="26"/>
  <c r="H1312" i="26"/>
  <c r="H1305" i="26"/>
  <c r="G1294" i="26"/>
  <c r="H1294" i="26" s="1"/>
  <c r="G1265" i="26"/>
  <c r="H1265" i="26" s="1"/>
  <c r="H1263" i="26"/>
  <c r="H1260" i="26"/>
  <c r="K1258" i="26"/>
  <c r="O1258" i="26"/>
  <c r="H1253" i="26"/>
  <c r="H1250" i="26"/>
  <c r="K1230" i="26"/>
  <c r="O1230" i="26"/>
  <c r="H1190" i="26"/>
  <c r="O1169" i="26"/>
  <c r="K1169" i="26"/>
  <c r="K1316" i="26"/>
  <c r="K1292" i="26"/>
  <c r="G1284" i="26"/>
  <c r="H1284" i="26" s="1"/>
  <c r="H1273" i="26"/>
  <c r="O1257" i="26"/>
  <c r="K1257" i="26"/>
  <c r="G1251" i="26"/>
  <c r="H1251" i="26" s="1"/>
  <c r="G1248" i="26"/>
  <c r="H1248" i="26" s="1"/>
  <c r="O1243" i="26"/>
  <c r="K1243" i="26"/>
  <c r="H1238" i="26"/>
  <c r="K1232" i="26"/>
  <c r="O1232" i="26"/>
  <c r="G1165" i="26"/>
  <c r="H1165" i="26" s="1"/>
  <c r="G1114" i="26"/>
  <c r="H1114" i="26" s="1"/>
  <c r="G1290" i="26"/>
  <c r="H1290" i="26" s="1"/>
  <c r="O1252" i="26"/>
  <c r="G1249" i="26"/>
  <c r="H1249" i="26" s="1"/>
  <c r="H1247" i="26"/>
  <c r="K1242" i="26"/>
  <c r="O1242" i="26"/>
  <c r="H1237" i="26"/>
  <c r="H1234" i="26"/>
  <c r="G1196" i="26"/>
  <c r="H1196" i="26" s="1"/>
  <c r="O1183" i="26"/>
  <c r="O1148" i="26"/>
  <c r="K1148" i="26"/>
  <c r="G1116" i="26"/>
  <c r="H1116" i="26" s="1"/>
  <c r="H1314" i="26"/>
  <c r="G1304" i="26"/>
  <c r="H1304" i="26" s="1"/>
  <c r="G1300" i="26"/>
  <c r="H1300" i="26" s="1"/>
  <c r="G1296" i="26"/>
  <c r="H1296" i="26" s="1"/>
  <c r="G1280" i="26"/>
  <c r="H1280" i="26" s="1"/>
  <c r="H1257" i="26"/>
  <c r="O1241" i="26"/>
  <c r="K1241" i="26"/>
  <c r="G1235" i="26"/>
  <c r="H1235" i="26" s="1"/>
  <c r="G1232" i="26"/>
  <c r="H1232" i="26" s="1"/>
  <c r="G1231" i="26"/>
  <c r="H1231" i="26" s="1"/>
  <c r="H1230" i="26"/>
  <c r="O1227" i="26"/>
  <c r="K1227" i="26"/>
  <c r="H1222" i="26"/>
  <c r="G1221" i="26"/>
  <c r="H1221" i="26" s="1"/>
  <c r="H1220" i="26"/>
  <c r="K1215" i="26"/>
  <c r="O1141" i="26"/>
  <c r="K1141" i="26"/>
  <c r="K1174" i="26"/>
  <c r="O1174" i="26"/>
  <c r="G1166" i="26"/>
  <c r="H1166" i="26" s="1"/>
  <c r="G1127" i="26"/>
  <c r="H1127" i="26" s="1"/>
  <c r="G1103" i="26"/>
  <c r="H1103" i="26" s="1"/>
  <c r="K1098" i="26"/>
  <c r="O1098" i="26"/>
  <c r="K1104" i="26"/>
  <c r="O1104" i="26"/>
  <c r="G1174" i="26"/>
  <c r="H1174" i="26" s="1"/>
  <c r="G1167" i="26"/>
  <c r="H1167" i="26" s="1"/>
  <c r="G1143" i="26"/>
  <c r="H1143" i="26" s="1"/>
  <c r="G1104" i="26"/>
  <c r="H1104" i="26" s="1"/>
  <c r="K1099" i="26"/>
  <c r="O1099" i="26"/>
  <c r="G1150" i="26"/>
  <c r="H1150" i="26" s="1"/>
  <c r="K1135" i="26"/>
  <c r="O1135" i="26"/>
  <c r="G1118" i="26"/>
  <c r="H1118" i="26" s="1"/>
  <c r="M1093" i="26"/>
  <c r="H1259" i="26"/>
  <c r="H1243" i="26"/>
  <c r="O1185" i="26"/>
  <c r="H1184" i="26"/>
  <c r="K1136" i="26"/>
  <c r="K1132" i="26"/>
  <c r="O1121" i="26"/>
  <c r="K1121" i="26"/>
  <c r="G1182" i="26"/>
  <c r="H1182" i="26" s="1"/>
  <c r="G1145" i="26"/>
  <c r="H1145" i="26" s="1"/>
  <c r="K1113" i="26"/>
  <c r="O1113" i="26"/>
  <c r="O1112" i="26"/>
  <c r="K1112" i="26"/>
  <c r="H1271" i="26"/>
  <c r="H1255" i="26"/>
  <c r="H1223" i="26"/>
  <c r="G1219" i="26"/>
  <c r="H1219" i="26" s="1"/>
  <c r="G1215" i="26"/>
  <c r="H1215" i="26" s="1"/>
  <c r="K1213" i="26"/>
  <c r="G1211" i="26"/>
  <c r="H1211" i="26" s="1"/>
  <c r="K1209" i="26"/>
  <c r="K1205" i="26"/>
  <c r="K1201" i="26"/>
  <c r="K1197" i="26"/>
  <c r="K1189" i="26"/>
  <c r="K1155" i="26"/>
  <c r="H1138" i="26"/>
  <c r="G1134" i="26"/>
  <c r="H1134" i="26" s="1"/>
  <c r="K1127" i="26"/>
  <c r="G1111" i="26"/>
  <c r="H1111" i="26" s="1"/>
  <c r="H1261" i="26"/>
  <c r="H1245" i="26"/>
  <c r="H1229" i="26"/>
  <c r="G1181" i="26"/>
  <c r="H1181" i="26" s="1"/>
  <c r="G1177" i="26"/>
  <c r="H1177" i="26" s="1"/>
  <c r="O1157" i="26"/>
  <c r="K1157" i="26"/>
  <c r="G1129" i="26"/>
  <c r="H1129" i="26" s="1"/>
  <c r="K1125" i="26"/>
  <c r="G1124" i="26"/>
  <c r="H1124" i="26" s="1"/>
  <c r="G1123" i="26"/>
  <c r="H1123" i="26" s="1"/>
  <c r="G1085" i="26"/>
  <c r="H1085" i="26" s="1"/>
  <c r="K1106" i="26"/>
  <c r="H1097" i="26"/>
  <c r="H1100" i="26"/>
  <c r="G1098" i="26"/>
  <c r="H1098" i="26" s="1"/>
  <c r="O1083" i="26"/>
  <c r="K1083" i="26"/>
  <c r="H1175" i="26"/>
  <c r="K1166" i="26"/>
  <c r="H1121" i="26"/>
  <c r="G1112" i="26"/>
  <c r="H1112" i="26" s="1"/>
  <c r="G1119" i="26"/>
  <c r="H1119" i="26" s="1"/>
  <c r="O1092" i="26"/>
  <c r="M1088" i="26"/>
  <c r="G1159" i="26"/>
  <c r="H1159" i="26" s="1"/>
  <c r="O1120" i="26"/>
  <c r="O1097" i="26"/>
  <c r="K1097" i="26"/>
  <c r="K1096" i="26"/>
  <c r="O1096" i="26"/>
  <c r="O1089" i="26"/>
  <c r="K1089" i="26"/>
  <c r="O1085" i="26"/>
  <c r="K1085" i="26"/>
  <c r="O1080" i="26"/>
  <c r="K1082" i="26"/>
  <c r="O1082" i="26"/>
  <c r="O1081" i="26"/>
  <c r="K1081" i="26"/>
  <c r="H1164" i="26"/>
  <c r="H1148" i="26"/>
  <c r="H1101" i="26"/>
  <c r="O1079" i="26"/>
  <c r="K1079" i="26"/>
  <c r="O1077" i="26"/>
  <c r="K1077" i="26"/>
  <c r="G1173" i="26"/>
  <c r="H1173" i="26" s="1"/>
  <c r="O1093" i="26"/>
  <c r="K1093" i="26"/>
  <c r="K1086" i="26"/>
  <c r="O1086" i="26"/>
  <c r="G1082" i="26"/>
  <c r="H1082" i="26" s="1"/>
  <c r="O1072" i="26"/>
  <c r="G1072" i="26"/>
  <c r="H1072" i="26" s="1"/>
  <c r="K1067" i="26"/>
  <c r="O1063" i="26"/>
  <c r="K1063" i="26"/>
  <c r="O1055" i="26"/>
  <c r="K1055" i="26"/>
  <c r="O1047" i="26"/>
  <c r="K1047" i="26"/>
  <c r="H1075" i="26"/>
  <c r="K1073" i="26"/>
  <c r="K1062" i="26"/>
  <c r="O1062" i="26"/>
  <c r="K1054" i="26"/>
  <c r="O1054" i="26"/>
  <c r="K1046" i="26"/>
  <c r="O1046" i="26"/>
  <c r="H1081" i="26"/>
  <c r="O1061" i="26"/>
  <c r="K1061" i="26"/>
  <c r="M1057" i="26"/>
  <c r="O1053" i="26"/>
  <c r="K1053" i="26"/>
  <c r="H1049" i="26"/>
  <c r="O1045" i="26"/>
  <c r="K1045" i="26"/>
  <c r="K1069" i="26"/>
  <c r="M1064" i="26"/>
  <c r="K1060" i="26"/>
  <c r="O1060" i="26"/>
  <c r="K1052" i="26"/>
  <c r="O1052" i="26"/>
  <c r="K1044" i="26"/>
  <c r="O1044" i="26"/>
  <c r="H1077" i="26"/>
  <c r="O1059" i="26"/>
  <c r="K1059" i="26"/>
  <c r="O1051" i="26"/>
  <c r="K1051" i="26"/>
  <c r="O1043" i="26"/>
  <c r="K1043" i="26"/>
  <c r="H1099" i="26"/>
  <c r="O1070" i="26"/>
  <c r="H1067" i="26"/>
  <c r="K1058" i="26"/>
  <c r="O1058" i="26"/>
  <c r="H1054" i="26"/>
  <c r="K1050" i="26"/>
  <c r="O1050" i="26"/>
  <c r="H1046" i="26"/>
  <c r="O1076" i="26"/>
  <c r="M1066" i="26"/>
  <c r="O1057" i="26"/>
  <c r="K1057" i="26"/>
  <c r="H1053" i="26"/>
  <c r="O1049" i="26"/>
  <c r="K1049" i="26"/>
  <c r="H1095" i="26"/>
  <c r="G1069" i="26"/>
  <c r="H1069" i="26" s="1"/>
  <c r="O1066" i="26"/>
  <c r="K1064" i="26"/>
  <c r="O1064" i="26"/>
  <c r="M1060" i="26"/>
  <c r="K1056" i="26"/>
  <c r="O1056" i="26"/>
  <c r="H1052" i="26"/>
  <c r="G1051" i="26"/>
  <c r="H1051" i="26" s="1"/>
  <c r="K1048" i="26"/>
  <c r="O1048" i="26"/>
  <c r="H1044" i="26"/>
  <c r="H1043" i="26"/>
  <c r="H1042" i="26"/>
  <c r="H1041" i="26"/>
  <c r="H1026" i="26"/>
  <c r="H1024" i="26"/>
  <c r="G1021" i="26"/>
  <c r="H1021" i="26" s="1"/>
  <c r="G1006" i="26"/>
  <c r="H1006" i="26" s="1"/>
  <c r="G1002" i="26"/>
  <c r="H1002" i="26" s="1"/>
  <c r="G938" i="26"/>
  <c r="H938" i="26" s="1"/>
  <c r="H922" i="26"/>
  <c r="G902" i="26"/>
  <c r="H902" i="26" s="1"/>
  <c r="G898" i="26"/>
  <c r="H898" i="26" s="1"/>
  <c r="G893" i="26"/>
  <c r="H893" i="26" s="1"/>
  <c r="H1034" i="26"/>
  <c r="H1033" i="26"/>
  <c r="H1032" i="26"/>
  <c r="H1028" i="26"/>
  <c r="G1025" i="26"/>
  <c r="H1025" i="26" s="1"/>
  <c r="G994" i="26"/>
  <c r="H994" i="26" s="1"/>
  <c r="G989" i="26"/>
  <c r="H989" i="26" s="1"/>
  <c r="G978" i="26"/>
  <c r="H978" i="26" s="1"/>
  <c r="H934" i="26"/>
  <c r="G918" i="26"/>
  <c r="H918" i="26" s="1"/>
  <c r="H1038" i="26"/>
  <c r="H1036" i="26"/>
  <c r="G999" i="26"/>
  <c r="H999" i="26" s="1"/>
  <c r="G995" i="26"/>
  <c r="H995" i="26" s="1"/>
  <c r="G990" i="26"/>
  <c r="H990" i="26" s="1"/>
  <c r="G956" i="26"/>
  <c r="H956" i="26" s="1"/>
  <c r="G950" i="26"/>
  <c r="H950" i="26" s="1"/>
  <c r="G946" i="26"/>
  <c r="H946" i="26" s="1"/>
  <c r="G919" i="26"/>
  <c r="H919" i="26" s="1"/>
  <c r="H914" i="26"/>
  <c r="G895" i="26"/>
  <c r="H895" i="26" s="1"/>
  <c r="H874" i="26"/>
  <c r="G980" i="26"/>
  <c r="H980" i="26" s="1"/>
  <c r="H962" i="26"/>
  <c r="G891" i="26"/>
  <c r="H891" i="26" s="1"/>
  <c r="H888" i="26"/>
  <c r="H878" i="26"/>
  <c r="H976" i="26"/>
  <c r="H30" i="27"/>
  <c r="AG30" i="27" s="1"/>
  <c r="D30" i="27"/>
  <c r="D31" i="27"/>
  <c r="AJ30" i="27"/>
  <c r="AJ31" i="27"/>
  <c r="H31" i="27"/>
  <c r="H29" i="27"/>
  <c r="AG29" i="27" s="1"/>
  <c r="AJ29" i="27"/>
  <c r="D23" i="27"/>
  <c r="D22" i="27"/>
  <c r="H22" i="27"/>
  <c r="D21" i="27"/>
  <c r="AJ23" i="27"/>
  <c r="AJ21" i="27"/>
  <c r="H21" i="27"/>
  <c r="D28" i="27"/>
  <c r="AJ28" i="27"/>
  <c r="H27" i="27"/>
  <c r="AG27" i="27" s="1"/>
  <c r="AJ27" i="27"/>
  <c r="H26" i="27"/>
  <c r="AG26" i="27" s="1"/>
  <c r="D26" i="27"/>
  <c r="AJ26" i="27"/>
  <c r="D25" i="27"/>
  <c r="H24" i="27"/>
  <c r="AJ24" i="27"/>
  <c r="D24" i="27"/>
  <c r="H23" i="27"/>
  <c r="AG23" i="27" s="1"/>
  <c r="AJ22" i="27"/>
  <c r="D20" i="27"/>
  <c r="AJ20" i="27"/>
  <c r="G988" i="26"/>
  <c r="H988" i="26" s="1"/>
  <c r="G970" i="26"/>
  <c r="H970" i="26" s="1"/>
  <c r="K978" i="26"/>
  <c r="O978" i="26"/>
  <c r="O977" i="26"/>
  <c r="K977" i="26"/>
  <c r="O965" i="26"/>
  <c r="K965" i="26"/>
  <c r="G954" i="26"/>
  <c r="H954" i="26" s="1"/>
  <c r="O939" i="26"/>
  <c r="K939" i="26"/>
  <c r="G985" i="26"/>
  <c r="H985" i="26" s="1"/>
  <c r="K1008" i="26"/>
  <c r="O1008" i="26"/>
  <c r="K1007" i="26"/>
  <c r="K1004" i="26"/>
  <c r="O1004" i="26"/>
  <c r="K982" i="26"/>
  <c r="G972" i="26"/>
  <c r="H972" i="26" s="1"/>
  <c r="K956" i="26"/>
  <c r="O956" i="26"/>
  <c r="G923" i="26"/>
  <c r="H923" i="26" s="1"/>
  <c r="K1000" i="26"/>
  <c r="O1000" i="26"/>
  <c r="O995" i="26"/>
  <c r="K995" i="26"/>
  <c r="K974" i="26"/>
  <c r="O974" i="26"/>
  <c r="O929" i="26"/>
  <c r="K929" i="26"/>
  <c r="K998" i="26"/>
  <c r="O998" i="26"/>
  <c r="O961" i="26"/>
  <c r="K961" i="26"/>
  <c r="G945" i="26"/>
  <c r="H945" i="26" s="1"/>
  <c r="H1039" i="26"/>
  <c r="K994" i="26"/>
  <c r="O994" i="26"/>
  <c r="O1010" i="26"/>
  <c r="K987" i="26"/>
  <c r="G941" i="26"/>
  <c r="H941" i="26" s="1"/>
  <c r="G936" i="26"/>
  <c r="H936" i="26" s="1"/>
  <c r="H1005" i="26"/>
  <c r="G1001" i="26"/>
  <c r="H1001" i="26" s="1"/>
  <c r="H1000" i="26"/>
  <c r="G998" i="26"/>
  <c r="H998" i="26" s="1"/>
  <c r="H993" i="26"/>
  <c r="K990" i="26"/>
  <c r="O990" i="26"/>
  <c r="K986" i="26"/>
  <c r="O986" i="26"/>
  <c r="G984" i="26"/>
  <c r="H984" i="26" s="1"/>
  <c r="H983" i="26"/>
  <c r="O972" i="26"/>
  <c r="O963" i="26"/>
  <c r="K963" i="26"/>
  <c r="O947" i="26"/>
  <c r="K947" i="26"/>
  <c r="K943" i="26"/>
  <c r="G979" i="26"/>
  <c r="H979" i="26" s="1"/>
  <c r="G971" i="26"/>
  <c r="H971" i="26" s="1"/>
  <c r="G966" i="26"/>
  <c r="H966" i="26" s="1"/>
  <c r="H958" i="26"/>
  <c r="H948" i="26"/>
  <c r="H944" i="26"/>
  <c r="H935" i="26"/>
  <c r="K916" i="26"/>
  <c r="O916" i="26"/>
  <c r="K912" i="26"/>
  <c r="O912" i="26"/>
  <c r="H910" i="26"/>
  <c r="G901" i="26"/>
  <c r="H901" i="26" s="1"/>
  <c r="H975" i="26"/>
  <c r="K968" i="26"/>
  <c r="O968" i="26"/>
  <c r="K959" i="26"/>
  <c r="K955" i="26"/>
  <c r="H953" i="26"/>
  <c r="H952" i="26"/>
  <c r="K937" i="26"/>
  <c r="K920" i="26"/>
  <c r="O920" i="26"/>
  <c r="H961" i="26"/>
  <c r="H957" i="26"/>
  <c r="G939" i="26"/>
  <c r="H939" i="26" s="1"/>
  <c r="K918" i="26"/>
  <c r="O918" i="26"/>
  <c r="H951" i="26"/>
  <c r="H947" i="26"/>
  <c r="H943" i="26"/>
  <c r="K936" i="26"/>
  <c r="O936" i="26"/>
  <c r="O921" i="26"/>
  <c r="K921" i="26"/>
  <c r="G987" i="26"/>
  <c r="H987" i="26" s="1"/>
  <c r="H974" i="26"/>
  <c r="K997" i="26"/>
  <c r="K993" i="26"/>
  <c r="H991" i="26"/>
  <c r="K984" i="26"/>
  <c r="O984" i="26"/>
  <c r="K975" i="26"/>
  <c r="K971" i="26"/>
  <c r="H969" i="26"/>
  <c r="H968" i="26"/>
  <c r="O938" i="26"/>
  <c r="K935" i="26"/>
  <c r="O931" i="26"/>
  <c r="K931" i="26"/>
  <c r="K924" i="26"/>
  <c r="K922" i="26"/>
  <c r="O922" i="26"/>
  <c r="G917" i="26"/>
  <c r="H917" i="26" s="1"/>
  <c r="G913" i="26"/>
  <c r="H913" i="26" s="1"/>
  <c r="K908" i="26"/>
  <c r="O908" i="26"/>
  <c r="K906" i="26"/>
  <c r="O979" i="26"/>
  <c r="K979" i="26"/>
  <c r="H977" i="26"/>
  <c r="H973" i="26"/>
  <c r="O964" i="26"/>
  <c r="G955" i="26"/>
  <c r="H955" i="26" s="1"/>
  <c r="O950" i="26"/>
  <c r="O946" i="26"/>
  <c r="O942" i="26"/>
  <c r="H942" i="26"/>
  <c r="G921" i="26"/>
  <c r="H921" i="26" s="1"/>
  <c r="G1003" i="26"/>
  <c r="H1003" i="26" s="1"/>
  <c r="H967" i="26"/>
  <c r="H963" i="26"/>
  <c r="H959" i="26"/>
  <c r="K952" i="26"/>
  <c r="O952" i="26"/>
  <c r="H937" i="26"/>
  <c r="G896" i="26"/>
  <c r="H896" i="26" s="1"/>
  <c r="O891" i="26"/>
  <c r="K891" i="26"/>
  <c r="K887" i="26"/>
  <c r="K886" i="26"/>
  <c r="O886" i="26"/>
  <c r="G925" i="26"/>
  <c r="H925" i="26" s="1"/>
  <c r="H912" i="26"/>
  <c r="K890" i="26"/>
  <c r="O890" i="26"/>
  <c r="G886" i="26"/>
  <c r="H886" i="26" s="1"/>
  <c r="H907" i="26"/>
  <c r="O917" i="26"/>
  <c r="K917" i="26"/>
  <c r="H915" i="26"/>
  <c r="H911" i="26"/>
  <c r="H905" i="26"/>
  <c r="K900" i="26"/>
  <c r="O900" i="26"/>
  <c r="G889" i="26"/>
  <c r="H889" i="26" s="1"/>
  <c r="O881" i="26"/>
  <c r="K881" i="26"/>
  <c r="H997" i="26"/>
  <c r="H981" i="26"/>
  <c r="H965" i="26"/>
  <c r="H949" i="26"/>
  <c r="G909" i="26"/>
  <c r="H909" i="26" s="1"/>
  <c r="G899" i="26"/>
  <c r="H899" i="26" s="1"/>
  <c r="K896" i="26"/>
  <c r="O896" i="26"/>
  <c r="K884" i="26"/>
  <c r="O884" i="26"/>
  <c r="O883" i="26"/>
  <c r="K883" i="26"/>
  <c r="O876" i="26"/>
  <c r="G876" i="26"/>
  <c r="H876" i="26" s="1"/>
  <c r="H879" i="26"/>
  <c r="H872" i="26"/>
  <c r="H885" i="26"/>
  <c r="H875" i="26"/>
  <c r="H897" i="26"/>
  <c r="K895" i="26"/>
  <c r="H881" i="26"/>
  <c r="O869" i="26"/>
  <c r="K869" i="26"/>
  <c r="H903" i="26"/>
  <c r="H887" i="26"/>
  <c r="H880" i="26"/>
  <c r="O874" i="26"/>
  <c r="H871" i="26"/>
  <c r="O880" i="26"/>
  <c r="H877" i="26"/>
  <c r="K875" i="26"/>
  <c r="H883" i="26"/>
  <c r="G873" i="26"/>
  <c r="H873" i="26" s="1"/>
  <c r="O870" i="26"/>
  <c r="H870" i="26"/>
  <c r="H869" i="26"/>
  <c r="G866" i="26"/>
  <c r="H866" i="26" s="1"/>
  <c r="G862" i="26"/>
  <c r="H862" i="26" s="1"/>
  <c r="G856" i="26"/>
  <c r="H856" i="26" s="1"/>
  <c r="G849" i="26"/>
  <c r="H849" i="26" s="1"/>
  <c r="G844" i="26"/>
  <c r="H844" i="26" s="1"/>
  <c r="G829" i="26"/>
  <c r="H829" i="26" s="1"/>
  <c r="G853" i="26"/>
  <c r="H853" i="26" s="1"/>
  <c r="G841" i="26"/>
  <c r="H841" i="26" s="1"/>
  <c r="H868" i="26"/>
  <c r="H867" i="26"/>
  <c r="D17" i="27"/>
  <c r="AJ17" i="27"/>
  <c r="H17" i="27"/>
  <c r="AG17" i="27" s="1"/>
  <c r="D18" i="27"/>
  <c r="AJ18" i="27"/>
  <c r="H18" i="27"/>
  <c r="H16" i="27"/>
  <c r="N16" i="27" s="1"/>
  <c r="AJ16" i="27"/>
  <c r="H852" i="26"/>
  <c r="K848" i="26"/>
  <c r="O848" i="26"/>
  <c r="K840" i="26"/>
  <c r="O840" i="26"/>
  <c r="H836" i="26"/>
  <c r="K832" i="26"/>
  <c r="O832" i="26"/>
  <c r="H828" i="26"/>
  <c r="K824" i="26"/>
  <c r="K816" i="26"/>
  <c r="O816" i="26"/>
  <c r="K862" i="26"/>
  <c r="O862" i="26"/>
  <c r="K854" i="26"/>
  <c r="O854" i="26"/>
  <c r="H864" i="26"/>
  <c r="O861" i="26"/>
  <c r="K861" i="26"/>
  <c r="H857" i="26"/>
  <c r="O853" i="26"/>
  <c r="K853" i="26"/>
  <c r="K860" i="26"/>
  <c r="O860" i="26"/>
  <c r="K852" i="26"/>
  <c r="O852" i="26"/>
  <c r="K844" i="26"/>
  <c r="O844" i="26"/>
  <c r="K836" i="26"/>
  <c r="O836" i="26"/>
  <c r="K828" i="26"/>
  <c r="O828" i="26"/>
  <c r="H863" i="26"/>
  <c r="O859" i="26"/>
  <c r="K859" i="26"/>
  <c r="K858" i="26"/>
  <c r="O858" i="26"/>
  <c r="K850" i="26"/>
  <c r="O850" i="26"/>
  <c r="H861" i="26"/>
  <c r="K857" i="26"/>
  <c r="O849" i="26"/>
  <c r="K849" i="26"/>
  <c r="O841" i="26"/>
  <c r="K841" i="26"/>
  <c r="H860" i="26"/>
  <c r="K856" i="26"/>
  <c r="O856" i="26"/>
  <c r="K866" i="26"/>
  <c r="H859" i="26"/>
  <c r="G858" i="26"/>
  <c r="H858" i="26" s="1"/>
  <c r="O855" i="26"/>
  <c r="K855" i="26"/>
  <c r="H851" i="26"/>
  <c r="O847" i="26"/>
  <c r="K847" i="26"/>
  <c r="H843" i="26"/>
  <c r="O839" i="26"/>
  <c r="K839" i="26"/>
  <c r="H835" i="26"/>
  <c r="O831" i="26"/>
  <c r="K831" i="26"/>
  <c r="H827" i="26"/>
  <c r="O823" i="26"/>
  <c r="K823" i="26"/>
  <c r="H819" i="26"/>
  <c r="O815" i="26"/>
  <c r="K815" i="26"/>
  <c r="H850" i="26"/>
  <c r="K846" i="26"/>
  <c r="H842" i="26"/>
  <c r="K838" i="26"/>
  <c r="O838" i="26"/>
  <c r="H834" i="26"/>
  <c r="K830" i="26"/>
  <c r="O830" i="26"/>
  <c r="H826" i="26"/>
  <c r="K822" i="26"/>
  <c r="O822" i="26"/>
  <c r="H818" i="26"/>
  <c r="K814" i="26"/>
  <c r="O814" i="26"/>
  <c r="G848" i="26"/>
  <c r="H848" i="26" s="1"/>
  <c r="O845" i="26"/>
  <c r="K845" i="26"/>
  <c r="G840" i="26"/>
  <c r="H840" i="26" s="1"/>
  <c r="K837" i="26"/>
  <c r="H833" i="26"/>
  <c r="G832" i="26"/>
  <c r="H832" i="26" s="1"/>
  <c r="O829" i="26"/>
  <c r="K829" i="26"/>
  <c r="H825" i="26"/>
  <c r="O821" i="26"/>
  <c r="K821" i="26"/>
  <c r="H817" i="26"/>
  <c r="O813" i="26"/>
  <c r="K813" i="26"/>
  <c r="H824" i="26"/>
  <c r="K820" i="26"/>
  <c r="O820" i="26"/>
  <c r="H816" i="26"/>
  <c r="K812" i="26"/>
  <c r="O812" i="26"/>
  <c r="H855" i="26"/>
  <c r="G854" i="26"/>
  <c r="H854" i="26" s="1"/>
  <c r="O851" i="26"/>
  <c r="K851" i="26"/>
  <c r="H847" i="26"/>
  <c r="O843" i="26"/>
  <c r="K843" i="26"/>
  <c r="H839" i="26"/>
  <c r="O835" i="26"/>
  <c r="K835" i="26"/>
  <c r="H831" i="26"/>
  <c r="O827" i="26"/>
  <c r="K827" i="26"/>
  <c r="H823" i="26"/>
  <c r="O819" i="26"/>
  <c r="K819" i="26"/>
  <c r="H815" i="26"/>
  <c r="O811" i="26"/>
  <c r="K811" i="26"/>
  <c r="H846" i="26"/>
  <c r="G845" i="26"/>
  <c r="H845" i="26" s="1"/>
  <c r="K842" i="26"/>
  <c r="O842" i="26"/>
  <c r="H838" i="26"/>
  <c r="K834" i="26"/>
  <c r="O834" i="26"/>
  <c r="H830" i="26"/>
  <c r="K826" i="26"/>
  <c r="O826" i="26"/>
  <c r="H822" i="26"/>
  <c r="K818" i="26"/>
  <c r="O818" i="26"/>
  <c r="H814" i="26"/>
  <c r="H837" i="26"/>
  <c r="O833" i="26"/>
  <c r="K833" i="26"/>
  <c r="K825" i="26"/>
  <c r="H821" i="26"/>
  <c r="G820" i="26"/>
  <c r="H820" i="26" s="1"/>
  <c r="O817" i="26"/>
  <c r="K817" i="26"/>
  <c r="H813" i="26"/>
  <c r="G812" i="26"/>
  <c r="H812" i="26" s="1"/>
  <c r="H811" i="26"/>
  <c r="H15" i="27"/>
  <c r="AJ15" i="27"/>
  <c r="AJ14" i="27"/>
  <c r="H14" i="27"/>
  <c r="AG14" i="27" s="1"/>
  <c r="H807" i="26"/>
  <c r="G809" i="26"/>
  <c r="H809" i="26" s="1"/>
  <c r="G803" i="26"/>
  <c r="H803" i="26" s="1"/>
  <c r="H805" i="26"/>
  <c r="G804" i="26"/>
  <c r="H804" i="26" s="1"/>
  <c r="G808" i="26"/>
  <c r="H808" i="26" s="1"/>
  <c r="H802" i="26"/>
  <c r="H810" i="26"/>
  <c r="H797" i="26"/>
  <c r="K801" i="26"/>
  <c r="O800" i="26"/>
  <c r="H800" i="26"/>
  <c r="K799" i="26"/>
  <c r="O798" i="26"/>
  <c r="H798" i="26"/>
  <c r="K797" i="26"/>
  <c r="O796" i="26"/>
  <c r="H796" i="26"/>
  <c r="K795" i="26"/>
  <c r="O794" i="26"/>
  <c r="H794" i="26"/>
  <c r="K793" i="26"/>
  <c r="H801" i="26"/>
  <c r="H799" i="26"/>
  <c r="H795" i="26"/>
  <c r="H793" i="26"/>
  <c r="H784" i="26"/>
  <c r="H770" i="26"/>
  <c r="H774" i="26"/>
  <c r="H788" i="26"/>
  <c r="H782" i="26"/>
  <c r="H780" i="26"/>
  <c r="H778" i="26"/>
  <c r="H772" i="26"/>
  <c r="H786" i="26"/>
  <c r="H771" i="26"/>
  <c r="G792" i="26"/>
  <c r="H792" i="26" s="1"/>
  <c r="G790" i="26"/>
  <c r="H790" i="26" s="1"/>
  <c r="H776" i="26"/>
  <c r="AJ12" i="27"/>
  <c r="AJ10" i="27"/>
  <c r="H12" i="27"/>
  <c r="AG12" i="27" s="1"/>
  <c r="H9" i="27"/>
  <c r="N9" i="27" s="1"/>
  <c r="H13" i="27"/>
  <c r="AG13" i="27" s="1"/>
  <c r="D9" i="27"/>
  <c r="AJ13" i="27"/>
  <c r="D10" i="27"/>
  <c r="H11" i="27"/>
  <c r="N11" i="27" s="1"/>
  <c r="D11" i="27"/>
  <c r="O792" i="26"/>
  <c r="K791" i="26"/>
  <c r="O790" i="26"/>
  <c r="K789" i="26"/>
  <c r="O788" i="26"/>
  <c r="K787" i="26"/>
  <c r="O786" i="26"/>
  <c r="K785" i="26"/>
  <c r="O784" i="26"/>
  <c r="K783" i="26"/>
  <c r="O782" i="26"/>
  <c r="K781" i="26"/>
  <c r="K779" i="26"/>
  <c r="K777" i="26"/>
  <c r="O776" i="26"/>
  <c r="K775" i="26"/>
  <c r="O774" i="26"/>
  <c r="K773" i="26"/>
  <c r="O772" i="26"/>
  <c r="K771" i="26"/>
  <c r="O770" i="26"/>
  <c r="K769" i="26"/>
  <c r="O768" i="26"/>
  <c r="H768" i="26"/>
  <c r="K767" i="26"/>
  <c r="H791" i="26"/>
  <c r="H789" i="26"/>
  <c r="H787" i="26"/>
  <c r="H785" i="26"/>
  <c r="H783" i="26"/>
  <c r="H781" i="26"/>
  <c r="H779" i="26"/>
  <c r="H777" i="26"/>
  <c r="H775" i="26"/>
  <c r="H773" i="26"/>
  <c r="H769" i="26"/>
  <c r="H767" i="26"/>
  <c r="G756" i="26"/>
  <c r="H756" i="26" s="1"/>
  <c r="H746" i="26"/>
  <c r="H760" i="26"/>
  <c r="H752" i="26"/>
  <c r="H766" i="26"/>
  <c r="H761" i="26"/>
  <c r="H757" i="26"/>
  <c r="H753" i="26"/>
  <c r="H744" i="26"/>
  <c r="H764" i="26"/>
  <c r="H743" i="26"/>
  <c r="H762" i="26"/>
  <c r="H758" i="26"/>
  <c r="H754" i="26"/>
  <c r="H750" i="26"/>
  <c r="H748" i="26"/>
  <c r="H765" i="26"/>
  <c r="G763" i="26"/>
  <c r="H763" i="26" s="1"/>
  <c r="G759" i="26"/>
  <c r="H759" i="26" s="1"/>
  <c r="G755" i="26"/>
  <c r="H755" i="26" s="1"/>
  <c r="G751" i="26"/>
  <c r="H751" i="26" s="1"/>
  <c r="D8" i="27"/>
  <c r="AJ8" i="27"/>
  <c r="O766" i="26"/>
  <c r="K765" i="26"/>
  <c r="K763" i="26"/>
  <c r="O762" i="26"/>
  <c r="K761" i="26"/>
  <c r="O760" i="26"/>
  <c r="K759" i="26"/>
  <c r="O758" i="26"/>
  <c r="K757" i="26"/>
  <c r="O756" i="26"/>
  <c r="K755" i="26"/>
  <c r="O754" i="26"/>
  <c r="K753" i="26"/>
  <c r="O752" i="26"/>
  <c r="K751" i="26"/>
  <c r="O750" i="26"/>
  <c r="K749" i="26"/>
  <c r="K747" i="26"/>
  <c r="O746" i="26"/>
  <c r="K745" i="26"/>
  <c r="O744" i="26"/>
  <c r="K743" i="26"/>
  <c r="O742" i="26"/>
  <c r="K741" i="26"/>
  <c r="H749" i="26"/>
  <c r="H747" i="26"/>
  <c r="H745" i="26"/>
  <c r="H741" i="26"/>
  <c r="H737" i="26"/>
  <c r="H735" i="26"/>
  <c r="H739" i="26"/>
  <c r="K740" i="26"/>
  <c r="O739" i="26"/>
  <c r="K738" i="26"/>
  <c r="O737" i="26"/>
  <c r="K736" i="26"/>
  <c r="O735" i="26"/>
  <c r="K734" i="26"/>
  <c r="O733" i="26"/>
  <c r="H733" i="26"/>
  <c r="K732" i="26"/>
  <c r="H740" i="26"/>
  <c r="H738" i="26"/>
  <c r="H736" i="26"/>
  <c r="H734" i="26"/>
  <c r="H732" i="26"/>
  <c r="AJ7" i="27"/>
  <c r="H7" i="27"/>
  <c r="H718" i="26"/>
  <c r="K720" i="26"/>
  <c r="H719" i="26"/>
  <c r="K718" i="26"/>
  <c r="O717" i="26"/>
  <c r="H717" i="26"/>
  <c r="K716" i="26"/>
  <c r="O715" i="26"/>
  <c r="H715" i="26"/>
  <c r="K714" i="26"/>
  <c r="O713" i="26"/>
  <c r="H713" i="26"/>
  <c r="K712" i="26"/>
  <c r="O711" i="26"/>
  <c r="H711" i="26"/>
  <c r="K710" i="26"/>
  <c r="H720" i="26"/>
  <c r="H716" i="26"/>
  <c r="H714" i="26"/>
  <c r="H712" i="26"/>
  <c r="H710" i="26"/>
  <c r="K704" i="26"/>
  <c r="O705" i="26"/>
  <c r="O700" i="26"/>
  <c r="K701" i="26"/>
  <c r="H709" i="26"/>
  <c r="O703" i="26"/>
  <c r="G702" i="26"/>
  <c r="H702" i="26" s="1"/>
  <c r="H701" i="26"/>
  <c r="H708" i="26"/>
  <c r="O702" i="26"/>
  <c r="H700" i="26"/>
  <c r="H707" i="26"/>
  <c r="H699" i="26"/>
  <c r="H698" i="26"/>
  <c r="H697" i="26"/>
  <c r="H704" i="26"/>
  <c r="D6" i="27"/>
  <c r="H6" i="27"/>
  <c r="N6" i="27" s="1"/>
  <c r="AJ6" i="27"/>
  <c r="A5" i="27"/>
  <c r="J684" i="26"/>
  <c r="K684" i="26" s="1"/>
  <c r="J685" i="26"/>
  <c r="K685" i="26" s="1"/>
  <c r="J686" i="26"/>
  <c r="K686" i="26" s="1"/>
  <c r="J687" i="26"/>
  <c r="O687" i="26" s="1"/>
  <c r="J688" i="26"/>
  <c r="O688" i="26" s="1"/>
  <c r="J689" i="26"/>
  <c r="O689" i="26" s="1"/>
  <c r="J690" i="26"/>
  <c r="O690" i="26" s="1"/>
  <c r="J691" i="26"/>
  <c r="O691" i="26" s="1"/>
  <c r="J692" i="26"/>
  <c r="K692" i="26" s="1"/>
  <c r="J693" i="26"/>
  <c r="K693" i="26" s="1"/>
  <c r="J694" i="26"/>
  <c r="O694" i="26" s="1"/>
  <c r="J695" i="26"/>
  <c r="O695" i="26" s="1"/>
  <c r="J696" i="26"/>
  <c r="O696" i="26" s="1"/>
  <c r="F685" i="26"/>
  <c r="G685" i="26" s="1"/>
  <c r="L685" i="26"/>
  <c r="N685" i="26"/>
  <c r="P685" i="26"/>
  <c r="F686" i="26"/>
  <c r="G686" i="26" s="1"/>
  <c r="L686" i="26"/>
  <c r="N686" i="26"/>
  <c r="P686" i="26"/>
  <c r="F687" i="26"/>
  <c r="L687" i="26"/>
  <c r="N687" i="26"/>
  <c r="P687" i="26"/>
  <c r="F688" i="26"/>
  <c r="L688" i="26"/>
  <c r="N688" i="26"/>
  <c r="P688" i="26"/>
  <c r="F689" i="26"/>
  <c r="L689" i="26"/>
  <c r="N689" i="26"/>
  <c r="P689" i="26"/>
  <c r="F690" i="26"/>
  <c r="L690" i="26"/>
  <c r="N690" i="26"/>
  <c r="P690" i="26"/>
  <c r="F691" i="26"/>
  <c r="L691" i="26"/>
  <c r="N691" i="26"/>
  <c r="P691" i="26"/>
  <c r="F692" i="26"/>
  <c r="G692" i="26" s="1"/>
  <c r="H692" i="26" s="1"/>
  <c r="L692" i="26"/>
  <c r="N692" i="26"/>
  <c r="P692" i="26"/>
  <c r="F693" i="26"/>
  <c r="G693" i="26" s="1"/>
  <c r="H693" i="26" s="1"/>
  <c r="L693" i="26"/>
  <c r="N693" i="26"/>
  <c r="P693" i="26"/>
  <c r="F694" i="26"/>
  <c r="G694" i="26" s="1"/>
  <c r="L694" i="26"/>
  <c r="N694" i="26"/>
  <c r="P694" i="26"/>
  <c r="F695" i="26"/>
  <c r="G695" i="26" s="1"/>
  <c r="F696" i="26"/>
  <c r="F684" i="26"/>
  <c r="G684" i="26" s="1"/>
  <c r="P684" i="26"/>
  <c r="N684" i="26"/>
  <c r="L684" i="26"/>
  <c r="N682" i="26"/>
  <c r="A4" i="27"/>
  <c r="F672" i="26"/>
  <c r="G672" i="26" s="1"/>
  <c r="J672" i="26"/>
  <c r="O672" i="26" s="1"/>
  <c r="L672" i="26"/>
  <c r="N672" i="26"/>
  <c r="P672" i="26"/>
  <c r="F673" i="26"/>
  <c r="G673" i="26" s="1"/>
  <c r="K673" i="26"/>
  <c r="L673" i="26"/>
  <c r="N673" i="26"/>
  <c r="P673" i="26"/>
  <c r="F674" i="26"/>
  <c r="G674" i="26" s="1"/>
  <c r="J674" i="26"/>
  <c r="O674" i="26" s="1"/>
  <c r="L674" i="26"/>
  <c r="N674" i="26"/>
  <c r="P674" i="26"/>
  <c r="F675" i="26"/>
  <c r="J675" i="26"/>
  <c r="K675" i="26" s="1"/>
  <c r="L675" i="26"/>
  <c r="N675" i="26"/>
  <c r="P675" i="26"/>
  <c r="F676" i="26"/>
  <c r="G676" i="26" s="1"/>
  <c r="J676" i="26"/>
  <c r="O676" i="26" s="1"/>
  <c r="L676" i="26"/>
  <c r="N676" i="26"/>
  <c r="P676" i="26"/>
  <c r="F677" i="26"/>
  <c r="G677" i="26" s="1"/>
  <c r="J677" i="26"/>
  <c r="K677" i="26" s="1"/>
  <c r="L677" i="26"/>
  <c r="N677" i="26"/>
  <c r="P677" i="26"/>
  <c r="F678" i="26"/>
  <c r="G678" i="26" s="1"/>
  <c r="J678" i="26"/>
  <c r="O678" i="26" s="1"/>
  <c r="L678" i="26"/>
  <c r="N678" i="26"/>
  <c r="P678" i="26"/>
  <c r="F679" i="26"/>
  <c r="G679" i="26" s="1"/>
  <c r="J679" i="26"/>
  <c r="K679" i="26" s="1"/>
  <c r="L679" i="26"/>
  <c r="N679" i="26"/>
  <c r="P679" i="26"/>
  <c r="F680" i="26"/>
  <c r="G680" i="26" s="1"/>
  <c r="J680" i="26"/>
  <c r="O680" i="26" s="1"/>
  <c r="L680" i="26"/>
  <c r="N680" i="26"/>
  <c r="P680" i="26"/>
  <c r="F681" i="26"/>
  <c r="J681" i="26"/>
  <c r="K681" i="26" s="1"/>
  <c r="L681" i="26"/>
  <c r="N681" i="26"/>
  <c r="P681" i="26"/>
  <c r="F682" i="26"/>
  <c r="J682" i="26"/>
  <c r="O682" i="26" s="1"/>
  <c r="L682" i="26"/>
  <c r="P682" i="26"/>
  <c r="F683" i="26"/>
  <c r="G683" i="26" s="1"/>
  <c r="J683" i="26"/>
  <c r="K683" i="26" s="1"/>
  <c r="A3" i="27"/>
  <c r="F646" i="26"/>
  <c r="G646" i="26" s="1"/>
  <c r="J646" i="26"/>
  <c r="O646" i="26" s="1"/>
  <c r="L646" i="26"/>
  <c r="N646" i="26"/>
  <c r="P646" i="26"/>
  <c r="F647" i="26"/>
  <c r="G647" i="26" s="1"/>
  <c r="J647" i="26"/>
  <c r="K647" i="26" s="1"/>
  <c r="L647" i="26"/>
  <c r="N647" i="26"/>
  <c r="P647" i="26"/>
  <c r="F648" i="26"/>
  <c r="J648" i="26"/>
  <c r="O648" i="26" s="1"/>
  <c r="L648" i="26"/>
  <c r="N648" i="26"/>
  <c r="P648" i="26"/>
  <c r="F649" i="26"/>
  <c r="G649" i="26" s="1"/>
  <c r="J649" i="26"/>
  <c r="K649" i="26" s="1"/>
  <c r="L649" i="26"/>
  <c r="N649" i="26"/>
  <c r="P649" i="26"/>
  <c r="F650" i="26"/>
  <c r="G650" i="26" s="1"/>
  <c r="J650" i="26"/>
  <c r="O650" i="26" s="1"/>
  <c r="L650" i="26"/>
  <c r="N650" i="26"/>
  <c r="P650" i="26"/>
  <c r="F651" i="26"/>
  <c r="J651" i="26"/>
  <c r="K651" i="26" s="1"/>
  <c r="L651" i="26"/>
  <c r="N651" i="26"/>
  <c r="P651" i="26"/>
  <c r="F652" i="26"/>
  <c r="J652" i="26"/>
  <c r="O652" i="26" s="1"/>
  <c r="L652" i="26"/>
  <c r="N652" i="26"/>
  <c r="P652" i="26"/>
  <c r="F653" i="26"/>
  <c r="G653" i="26" s="1"/>
  <c r="J653" i="26"/>
  <c r="K653" i="26" s="1"/>
  <c r="L653" i="26"/>
  <c r="N653" i="26"/>
  <c r="P653" i="26"/>
  <c r="F654" i="26"/>
  <c r="G654" i="26" s="1"/>
  <c r="J654" i="26"/>
  <c r="O654" i="26" s="1"/>
  <c r="L654" i="26"/>
  <c r="N654" i="26"/>
  <c r="P654" i="26"/>
  <c r="F655" i="26"/>
  <c r="G655" i="26" s="1"/>
  <c r="J655" i="26"/>
  <c r="K655" i="26" s="1"/>
  <c r="L655" i="26"/>
  <c r="N655" i="26"/>
  <c r="P655" i="26"/>
  <c r="F656" i="26"/>
  <c r="J656" i="26"/>
  <c r="O656" i="26" s="1"/>
  <c r="F657" i="26"/>
  <c r="J657" i="26"/>
  <c r="K657" i="26" s="1"/>
  <c r="F658" i="26"/>
  <c r="G658" i="26" s="1"/>
  <c r="J658" i="26"/>
  <c r="O658" i="26" s="1"/>
  <c r="L658" i="26"/>
  <c r="N658" i="26"/>
  <c r="P658" i="26"/>
  <c r="F659" i="26"/>
  <c r="J659" i="26"/>
  <c r="K659" i="26" s="1"/>
  <c r="L659" i="26"/>
  <c r="N659" i="26"/>
  <c r="P659" i="26"/>
  <c r="F660" i="26"/>
  <c r="G660" i="26" s="1"/>
  <c r="J660" i="26"/>
  <c r="O660" i="26" s="1"/>
  <c r="L660" i="26"/>
  <c r="N660" i="26"/>
  <c r="P660" i="26"/>
  <c r="F661" i="26"/>
  <c r="J661" i="26"/>
  <c r="K661" i="26" s="1"/>
  <c r="L661" i="26"/>
  <c r="N661" i="26"/>
  <c r="P661" i="26"/>
  <c r="F662" i="26"/>
  <c r="G662" i="26" s="1"/>
  <c r="J662" i="26"/>
  <c r="O662" i="26" s="1"/>
  <c r="L662" i="26"/>
  <c r="N662" i="26"/>
  <c r="P662" i="26"/>
  <c r="F663" i="26"/>
  <c r="J663" i="26"/>
  <c r="K663" i="26" s="1"/>
  <c r="L663" i="26"/>
  <c r="N663" i="26"/>
  <c r="P663" i="26"/>
  <c r="F664" i="26"/>
  <c r="G664" i="26" s="1"/>
  <c r="J664" i="26"/>
  <c r="O664" i="26" s="1"/>
  <c r="L664" i="26"/>
  <c r="N664" i="26"/>
  <c r="P664" i="26"/>
  <c r="F665" i="26"/>
  <c r="J665" i="26"/>
  <c r="K665" i="26" s="1"/>
  <c r="L665" i="26"/>
  <c r="N665" i="26"/>
  <c r="P665" i="26"/>
  <c r="F666" i="26"/>
  <c r="G666" i="26" s="1"/>
  <c r="J666" i="26"/>
  <c r="O666" i="26" s="1"/>
  <c r="L666" i="26"/>
  <c r="N666" i="26"/>
  <c r="P666" i="26"/>
  <c r="F667" i="26"/>
  <c r="G667" i="26" s="1"/>
  <c r="J667" i="26"/>
  <c r="K667" i="26" s="1"/>
  <c r="L667" i="26"/>
  <c r="N667" i="26"/>
  <c r="P667" i="26"/>
  <c r="F668" i="26"/>
  <c r="J668" i="26"/>
  <c r="O668" i="26" s="1"/>
  <c r="F669" i="26"/>
  <c r="G669" i="26" s="1"/>
  <c r="J669" i="26"/>
  <c r="K669" i="26" s="1"/>
  <c r="L669" i="26"/>
  <c r="N669" i="26"/>
  <c r="P669" i="26"/>
  <c r="F670" i="26"/>
  <c r="J670" i="26"/>
  <c r="O670" i="26" s="1"/>
  <c r="L670" i="26"/>
  <c r="N670" i="26"/>
  <c r="P670" i="26"/>
  <c r="F671" i="26"/>
  <c r="G671" i="26" s="1"/>
  <c r="J671" i="26"/>
  <c r="K671" i="26" s="1"/>
  <c r="L671" i="26"/>
  <c r="N671" i="26"/>
  <c r="P671" i="26"/>
  <c r="L19" i="27" l="1"/>
  <c r="AK19" i="27"/>
  <c r="AH19" i="27"/>
  <c r="AG19" i="27"/>
  <c r="N19" i="27"/>
  <c r="AJ3" i="27"/>
  <c r="AH3" i="27"/>
  <c r="F2" i="18"/>
  <c r="L2" i="18" s="1"/>
  <c r="D3" i="27"/>
  <c r="G3" i="27"/>
  <c r="J3" i="27"/>
  <c r="D4" i="27"/>
  <c r="G4" i="27"/>
  <c r="M4" i="27" s="1"/>
  <c r="D5" i="27"/>
  <c r="G5" i="27"/>
  <c r="M2325" i="26"/>
  <c r="F22" i="18" s="1"/>
  <c r="L22" i="18" s="1"/>
  <c r="I25" i="18"/>
  <c r="O25" i="18" s="1"/>
  <c r="M2145" i="26"/>
  <c r="M2105" i="26"/>
  <c r="I19" i="18"/>
  <c r="O19" i="18" s="1"/>
  <c r="M22" i="18"/>
  <c r="E14" i="18"/>
  <c r="J24" i="18"/>
  <c r="P24" i="18" s="1"/>
  <c r="F17" i="18"/>
  <c r="L17" i="18" s="1"/>
  <c r="E23" i="18"/>
  <c r="M2154" i="26"/>
  <c r="J22" i="18"/>
  <c r="P22" i="18" s="1"/>
  <c r="E22" i="18"/>
  <c r="M2280" i="26"/>
  <c r="F11" i="18"/>
  <c r="L11" i="18" s="1"/>
  <c r="F25" i="18"/>
  <c r="L25" i="18" s="1"/>
  <c r="F14" i="18"/>
  <c r="L14" i="18" s="1"/>
  <c r="F3" i="18"/>
  <c r="L3" i="18" s="1"/>
  <c r="M2204" i="26"/>
  <c r="J13" i="18"/>
  <c r="M13" i="18"/>
  <c r="E13" i="18"/>
  <c r="I6" i="18"/>
  <c r="O6" i="18" s="1"/>
  <c r="J3" i="18"/>
  <c r="M3" i="18"/>
  <c r="E3" i="18"/>
  <c r="E7" i="18"/>
  <c r="J7" i="18"/>
  <c r="M7" i="18"/>
  <c r="J11" i="18"/>
  <c r="E11" i="18"/>
  <c r="M11" i="18"/>
  <c r="I12" i="18"/>
  <c r="O12" i="18" s="1"/>
  <c r="M2133" i="26"/>
  <c r="M2306" i="26"/>
  <c r="M2195" i="26"/>
  <c r="F12" i="18" s="1"/>
  <c r="L12" i="18" s="1"/>
  <c r="J21" i="18"/>
  <c r="M21" i="18"/>
  <c r="E21" i="18"/>
  <c r="M20" i="18"/>
  <c r="E20" i="18"/>
  <c r="J20" i="18"/>
  <c r="M2" i="18"/>
  <c r="J2" i="18"/>
  <c r="E2" i="18"/>
  <c r="I9" i="18"/>
  <c r="O9" i="18" s="1"/>
  <c r="M24" i="18"/>
  <c r="E24" i="18"/>
  <c r="M25" i="18"/>
  <c r="E25" i="18"/>
  <c r="J25" i="18"/>
  <c r="M17" i="18"/>
  <c r="E17" i="18"/>
  <c r="J17" i="18"/>
  <c r="M4" i="18"/>
  <c r="E4" i="18"/>
  <c r="J4" i="18"/>
  <c r="M15" i="18"/>
  <c r="E15" i="18"/>
  <c r="J15" i="18"/>
  <c r="M2238" i="26"/>
  <c r="M2209" i="26"/>
  <c r="E8" i="18"/>
  <c r="J8" i="18"/>
  <c r="M8" i="18"/>
  <c r="J5" i="18"/>
  <c r="M5" i="18"/>
  <c r="E5" i="18"/>
  <c r="E6" i="18"/>
  <c r="J6" i="18"/>
  <c r="M6" i="18"/>
  <c r="J16" i="18"/>
  <c r="M16" i="18"/>
  <c r="E16" i="18"/>
  <c r="J23" i="18"/>
  <c r="I2" i="18"/>
  <c r="O2" i="18" s="1"/>
  <c r="M23" i="18"/>
  <c r="M2118" i="26"/>
  <c r="F5" i="18" s="1"/>
  <c r="L5" i="18" s="1"/>
  <c r="M2249" i="26"/>
  <c r="F16" i="18" s="1"/>
  <c r="L16" i="18" s="1"/>
  <c r="F20" i="18"/>
  <c r="L20" i="18" s="1"/>
  <c r="M2286" i="26"/>
  <c r="E19" i="18"/>
  <c r="M19" i="18"/>
  <c r="J19" i="18"/>
  <c r="M2243" i="26"/>
  <c r="I15" i="18"/>
  <c r="O15" i="18" s="1"/>
  <c r="M2173" i="26"/>
  <c r="J10" i="18"/>
  <c r="M10" i="18"/>
  <c r="M2177" i="26"/>
  <c r="I10" i="18"/>
  <c r="O10" i="18" s="1"/>
  <c r="M2274" i="26"/>
  <c r="F18" i="18" s="1"/>
  <c r="L18" i="18" s="1"/>
  <c r="M18" i="18"/>
  <c r="J18" i="18"/>
  <c r="E18" i="18"/>
  <c r="M2290" i="26"/>
  <c r="F9" i="18"/>
  <c r="L9" i="18" s="1"/>
  <c r="M2151" i="26"/>
  <c r="F8" i="18" s="1"/>
  <c r="L8" i="18" s="1"/>
  <c r="M2113" i="26"/>
  <c r="I4" i="18"/>
  <c r="O4" i="18" s="1"/>
  <c r="I16" i="18"/>
  <c r="O16" i="18" s="1"/>
  <c r="M2140" i="26"/>
  <c r="F7" i="18" s="1"/>
  <c r="L7" i="18" s="1"/>
  <c r="J9" i="18"/>
  <c r="M9" i="18"/>
  <c r="M12" i="18"/>
  <c r="J12" i="18"/>
  <c r="E12" i="18"/>
  <c r="M14" i="18"/>
  <c r="J14" i="18"/>
  <c r="AH16" i="15"/>
  <c r="AK16" i="15" s="1"/>
  <c r="M2131" i="26"/>
  <c r="F23" i="18"/>
  <c r="L23" i="18" s="1"/>
  <c r="M2110" i="26"/>
  <c r="F24" i="18"/>
  <c r="L24" i="18" s="1"/>
  <c r="M2316" i="26"/>
  <c r="F21" i="18" s="1"/>
  <c r="L21" i="18" s="1"/>
  <c r="I14" i="18"/>
  <c r="O14" i="18" s="1"/>
  <c r="I5" i="18"/>
  <c r="O5" i="18" s="1"/>
  <c r="AI6" i="31"/>
  <c r="AL6" i="31" s="1"/>
  <c r="AI7" i="27"/>
  <c r="AL7" i="27" s="1"/>
  <c r="I4" i="31"/>
  <c r="O4" i="31" s="1"/>
  <c r="K689" i="26"/>
  <c r="I14" i="31"/>
  <c r="O14" i="31" s="1"/>
  <c r="AI12" i="31"/>
  <c r="AL12" i="31" s="1"/>
  <c r="E8" i="31"/>
  <c r="AI8" i="31"/>
  <c r="AL8" i="31" s="1"/>
  <c r="I6" i="31"/>
  <c r="O6" i="31" s="1"/>
  <c r="M2" i="31"/>
  <c r="AH2" i="31"/>
  <c r="I19" i="31"/>
  <c r="O19" i="31" s="1"/>
  <c r="AI19" i="31"/>
  <c r="AL19" i="31" s="1"/>
  <c r="I17" i="31"/>
  <c r="O17" i="31" s="1"/>
  <c r="AI17" i="31"/>
  <c r="AL17" i="31" s="1"/>
  <c r="J28" i="31"/>
  <c r="E28" i="31"/>
  <c r="J30" i="31"/>
  <c r="E30" i="31"/>
  <c r="J21" i="31"/>
  <c r="E21" i="31"/>
  <c r="I25" i="31"/>
  <c r="O25" i="31" s="1"/>
  <c r="AI25" i="31"/>
  <c r="AL25" i="31" s="1"/>
  <c r="J31" i="31"/>
  <c r="E31" i="31"/>
  <c r="AI7" i="31"/>
  <c r="AL7" i="31" s="1"/>
  <c r="AI14" i="31"/>
  <c r="AL14" i="31" s="1"/>
  <c r="AI28" i="31"/>
  <c r="AL28" i="31" s="1"/>
  <c r="I28" i="31"/>
  <c r="O28" i="31" s="1"/>
  <c r="I33" i="31"/>
  <c r="O33" i="31" s="1"/>
  <c r="AI33" i="31"/>
  <c r="AL33" i="31" s="1"/>
  <c r="E15" i="31"/>
  <c r="J15" i="31"/>
  <c r="P15" i="31" s="1"/>
  <c r="J27" i="31"/>
  <c r="E27" i="31"/>
  <c r="AI15" i="31"/>
  <c r="AL15" i="31" s="1"/>
  <c r="I15" i="31"/>
  <c r="O15" i="31" s="1"/>
  <c r="AI11" i="31"/>
  <c r="AL11" i="31" s="1"/>
  <c r="AI27" i="31"/>
  <c r="AL27" i="31" s="1"/>
  <c r="I27" i="31"/>
  <c r="O27" i="31" s="1"/>
  <c r="I31" i="31"/>
  <c r="O31" i="31" s="1"/>
  <c r="AI31" i="31"/>
  <c r="AL31" i="31" s="1"/>
  <c r="J29" i="31"/>
  <c r="E29" i="31"/>
  <c r="I10" i="31"/>
  <c r="O10" i="31" s="1"/>
  <c r="AI10" i="31"/>
  <c r="AL10" i="31" s="1"/>
  <c r="J22" i="31"/>
  <c r="E22" i="31"/>
  <c r="I23" i="31"/>
  <c r="O23" i="31" s="1"/>
  <c r="AI23" i="31"/>
  <c r="AL23" i="31" s="1"/>
  <c r="AI21" i="31"/>
  <c r="AL21" i="31" s="1"/>
  <c r="I21" i="31"/>
  <c r="O21" i="31" s="1"/>
  <c r="I16" i="31"/>
  <c r="O16" i="31" s="1"/>
  <c r="AI16" i="31"/>
  <c r="AL16" i="31" s="1"/>
  <c r="J18" i="31"/>
  <c r="E18" i="31"/>
  <c r="I29" i="31"/>
  <c r="O29" i="31" s="1"/>
  <c r="AI29" i="31"/>
  <c r="AL29" i="31" s="1"/>
  <c r="AI24" i="31"/>
  <c r="AL24" i="31" s="1"/>
  <c r="I24" i="31"/>
  <c r="O24" i="31" s="1"/>
  <c r="J26" i="31"/>
  <c r="E26" i="31"/>
  <c r="I22" i="31"/>
  <c r="O22" i="31" s="1"/>
  <c r="AI22" i="31"/>
  <c r="AL22" i="31" s="1"/>
  <c r="J16" i="31"/>
  <c r="E16" i="31"/>
  <c r="J25" i="31"/>
  <c r="E25" i="31"/>
  <c r="J23" i="31"/>
  <c r="E23" i="31"/>
  <c r="AI26" i="31"/>
  <c r="AL26" i="31" s="1"/>
  <c r="I26" i="31"/>
  <c r="O26" i="31" s="1"/>
  <c r="J19" i="31"/>
  <c r="E19" i="31"/>
  <c r="AI20" i="31"/>
  <c r="AL20" i="31" s="1"/>
  <c r="I20" i="31"/>
  <c r="O20" i="31" s="1"/>
  <c r="J20" i="31"/>
  <c r="E20" i="31"/>
  <c r="AI30" i="31"/>
  <c r="AL30" i="31" s="1"/>
  <c r="I30" i="31"/>
  <c r="O30" i="31" s="1"/>
  <c r="J24" i="31"/>
  <c r="E24" i="31"/>
  <c r="AI3" i="31"/>
  <c r="AL3" i="31" s="1"/>
  <c r="J17" i="31"/>
  <c r="E17" i="31"/>
  <c r="AI5" i="31"/>
  <c r="AL5" i="31" s="1"/>
  <c r="I18" i="31"/>
  <c r="O18" i="31" s="1"/>
  <c r="AI18" i="31"/>
  <c r="AL18" i="31" s="1"/>
  <c r="I32" i="31"/>
  <c r="O32" i="31" s="1"/>
  <c r="I13" i="31"/>
  <c r="O13" i="31" s="1"/>
  <c r="AI13" i="31"/>
  <c r="AL13" i="31" s="1"/>
  <c r="J33" i="31"/>
  <c r="E33" i="31"/>
  <c r="J32" i="31"/>
  <c r="E32" i="31"/>
  <c r="I7" i="31"/>
  <c r="O7" i="31" s="1"/>
  <c r="I3" i="31"/>
  <c r="O3" i="31" s="1"/>
  <c r="I8" i="31"/>
  <c r="O8" i="31" s="1"/>
  <c r="I12" i="31"/>
  <c r="O12" i="31" s="1"/>
  <c r="I9" i="31"/>
  <c r="O9" i="31" s="1"/>
  <c r="J8" i="31"/>
  <c r="P8" i="31" s="1"/>
  <c r="E10" i="31"/>
  <c r="J10" i="31"/>
  <c r="J9" i="31"/>
  <c r="E9" i="31"/>
  <c r="E12" i="31"/>
  <c r="J12" i="31"/>
  <c r="J5" i="31"/>
  <c r="E5" i="31"/>
  <c r="E4" i="31"/>
  <c r="J4" i="31"/>
  <c r="I11" i="31"/>
  <c r="O11" i="31" s="1"/>
  <c r="AF33" i="15"/>
  <c r="J14" i="31"/>
  <c r="E14" i="31"/>
  <c r="E3" i="31"/>
  <c r="J3" i="31"/>
  <c r="J7" i="31"/>
  <c r="E7" i="31"/>
  <c r="E6" i="31"/>
  <c r="E13" i="31"/>
  <c r="J13" i="31"/>
  <c r="I5" i="31"/>
  <c r="O5" i="31" s="1"/>
  <c r="J6" i="31"/>
  <c r="M1943" i="26"/>
  <c r="E11" i="31"/>
  <c r="J11" i="31"/>
  <c r="P2" i="31"/>
  <c r="M1744" i="26"/>
  <c r="M2002" i="26"/>
  <c r="M1682" i="26"/>
  <c r="M2038" i="26"/>
  <c r="M2072" i="26"/>
  <c r="M2043" i="26"/>
  <c r="M1865" i="26"/>
  <c r="M1690" i="26"/>
  <c r="M1867" i="26"/>
  <c r="M1786" i="26"/>
  <c r="M1990" i="26"/>
  <c r="M1836" i="26"/>
  <c r="M1718" i="26"/>
  <c r="M1950" i="26"/>
  <c r="M1948" i="26"/>
  <c r="M1814" i="26"/>
  <c r="M1979" i="26"/>
  <c r="M1939" i="26"/>
  <c r="M1935" i="26"/>
  <c r="M1719" i="26"/>
  <c r="M2009" i="26"/>
  <c r="M1715" i="26"/>
  <c r="M1898" i="26"/>
  <c r="M2074" i="26"/>
  <c r="M2057" i="26"/>
  <c r="M1732" i="26"/>
  <c r="M1949" i="26"/>
  <c r="M1967" i="26"/>
  <c r="M1985" i="26"/>
  <c r="M1892" i="26"/>
  <c r="M1805" i="26"/>
  <c r="M1904" i="26"/>
  <c r="M2044" i="26"/>
  <c r="M1671" i="26"/>
  <c r="M1911" i="26"/>
  <c r="M1930" i="26"/>
  <c r="M1847" i="26"/>
  <c r="M2078" i="26"/>
  <c r="M2055" i="26"/>
  <c r="M1999" i="26"/>
  <c r="M2024" i="26"/>
  <c r="M1953" i="26"/>
  <c r="M1859" i="26"/>
  <c r="M1874" i="26"/>
  <c r="M1918" i="26"/>
  <c r="M1701" i="26"/>
  <c r="M1747" i="26"/>
  <c r="AH7" i="15"/>
  <c r="AK7" i="15" s="1"/>
  <c r="M1919" i="26"/>
  <c r="M1684" i="26"/>
  <c r="M1994" i="26"/>
  <c r="M1947" i="26"/>
  <c r="M2029" i="26"/>
  <c r="M1760" i="26"/>
  <c r="M1825" i="26"/>
  <c r="M1754" i="26"/>
  <c r="M1846" i="26"/>
  <c r="M1849" i="26"/>
  <c r="M1714" i="26"/>
  <c r="M1934" i="26"/>
  <c r="M1848" i="26"/>
  <c r="M1745" i="26"/>
  <c r="M2052" i="26"/>
  <c r="M1787" i="26"/>
  <c r="M1855" i="26"/>
  <c r="M1740" i="26"/>
  <c r="M2020" i="26"/>
  <c r="M1884" i="26"/>
  <c r="M1683" i="26"/>
  <c r="M2022" i="26"/>
  <c r="M1822" i="26"/>
  <c r="M2069" i="26"/>
  <c r="M1782" i="26"/>
  <c r="M1812" i="26"/>
  <c r="M2056" i="26"/>
  <c r="M2006" i="26"/>
  <c r="M2065" i="26"/>
  <c r="M2031" i="26"/>
  <c r="M1969" i="26"/>
  <c r="M1952" i="26"/>
  <c r="M1693" i="26"/>
  <c r="M1828" i="26"/>
  <c r="M2040" i="26"/>
  <c r="M1829" i="26"/>
  <c r="M1963" i="26"/>
  <c r="M1997" i="26"/>
  <c r="M2007" i="26"/>
  <c r="M1933" i="26"/>
  <c r="M1807" i="26"/>
  <c r="M1960" i="26"/>
  <c r="M1795" i="26"/>
  <c r="M1811" i="26"/>
  <c r="M1831" i="26"/>
  <c r="M1840" i="26"/>
  <c r="M2030" i="26"/>
  <c r="M2066" i="26"/>
  <c r="M1752" i="26"/>
  <c r="M1951" i="26"/>
  <c r="M1788" i="26"/>
  <c r="M2037" i="26"/>
  <c r="M1729" i="26"/>
  <c r="M1691" i="26"/>
  <c r="M1940" i="26"/>
  <c r="M1852" i="26"/>
  <c r="M1670" i="26"/>
  <c r="M1876" i="26"/>
  <c r="M1778" i="26"/>
  <c r="M1711" i="26"/>
  <c r="M1973" i="26"/>
  <c r="M1735" i="26"/>
  <c r="M1673" i="26"/>
  <c r="M1996" i="26"/>
  <c r="M1771" i="26"/>
  <c r="M2036" i="26"/>
  <c r="M1769" i="26"/>
  <c r="M1702" i="26"/>
  <c r="M1914" i="26"/>
  <c r="M1908" i="26"/>
  <c r="M1915" i="26"/>
  <c r="M1750" i="26"/>
  <c r="M1762" i="26"/>
  <c r="M1885" i="26"/>
  <c r="M2023" i="26"/>
  <c r="M1993" i="26"/>
  <c r="M1809" i="26"/>
  <c r="M2013" i="26"/>
  <c r="M2012" i="26"/>
  <c r="M1695" i="26"/>
  <c r="M1803" i="26"/>
  <c r="M1992" i="26"/>
  <c r="M1776" i="26"/>
  <c r="M1981" i="26"/>
  <c r="M2049" i="26"/>
  <c r="M1991" i="26"/>
  <c r="M1910" i="26"/>
  <c r="M1917" i="26"/>
  <c r="M1837" i="26"/>
  <c r="M1739" i="26"/>
  <c r="M1877" i="26"/>
  <c r="M1763" i="26"/>
  <c r="M1770" i="26"/>
  <c r="M1767" i="26"/>
  <c r="M1781" i="26"/>
  <c r="M2046" i="26"/>
  <c r="M2033" i="26"/>
  <c r="M1832" i="26"/>
  <c r="M1871" i="26"/>
  <c r="M1717" i="26"/>
  <c r="M2076" i="26"/>
  <c r="M1677" i="26"/>
  <c r="M1954" i="26"/>
  <c r="M1891" i="26"/>
  <c r="M1692" i="26"/>
  <c r="M1931" i="26"/>
  <c r="M1955" i="26"/>
  <c r="M1713" i="26"/>
  <c r="M1886" i="26"/>
  <c r="M1864" i="26"/>
  <c r="M1697" i="26"/>
  <c r="M1982" i="26"/>
  <c r="M1736" i="26"/>
  <c r="M1900" i="26"/>
  <c r="M1839" i="26"/>
  <c r="M1694" i="26"/>
  <c r="M1972" i="26"/>
  <c r="M2048" i="26"/>
  <c r="M1792" i="26"/>
  <c r="M1838" i="26"/>
  <c r="M1984" i="26"/>
  <c r="M2061" i="26"/>
  <c r="M1783" i="26"/>
  <c r="M1995" i="26"/>
  <c r="M1842" i="26"/>
  <c r="M1938" i="26"/>
  <c r="M2077" i="26"/>
  <c r="M1765" i="26"/>
  <c r="M1819" i="26"/>
  <c r="M1862" i="26"/>
  <c r="M2001" i="26"/>
  <c r="M1942" i="26"/>
  <c r="M1989" i="26"/>
  <c r="M1899" i="26"/>
  <c r="M1873" i="26"/>
  <c r="M1806" i="26"/>
  <c r="M1666" i="26"/>
  <c r="M1872" i="26"/>
  <c r="M1720" i="26"/>
  <c r="M1749" i="26"/>
  <c r="M1728" i="26"/>
  <c r="M1722" i="26"/>
  <c r="M1699" i="26"/>
  <c r="M1705" i="26"/>
  <c r="M1801" i="26"/>
  <c r="M2018" i="26"/>
  <c r="M2026" i="26"/>
  <c r="M1746" i="26"/>
  <c r="M1741" i="26"/>
  <c r="M1887" i="26"/>
  <c r="M1810" i="26"/>
  <c r="M2063" i="26"/>
  <c r="M1880" i="26"/>
  <c r="M1857" i="26"/>
  <c r="M1928" i="26"/>
  <c r="M1902" i="26"/>
  <c r="M1879" i="26"/>
  <c r="M1706" i="26"/>
  <c r="M1823" i="26"/>
  <c r="M1804" i="26"/>
  <c r="M1927" i="26"/>
  <c r="M1707" i="26"/>
  <c r="M1922" i="26"/>
  <c r="M1816" i="26"/>
  <c r="M1775" i="26"/>
  <c r="M2068" i="26"/>
  <c r="M1854" i="26"/>
  <c r="M2021" i="26"/>
  <c r="M1773" i="26"/>
  <c r="M1866" i="26"/>
  <c r="M2016" i="26"/>
  <c r="M1883" i="26"/>
  <c r="M1672" i="26"/>
  <c r="M1798" i="26"/>
  <c r="M1978" i="26"/>
  <c r="M1987" i="26"/>
  <c r="M1826" i="26"/>
  <c r="M1946" i="26"/>
  <c r="M1882" i="26"/>
  <c r="M2073" i="26"/>
  <c r="M1901" i="26"/>
  <c r="M2019" i="26"/>
  <c r="M1921" i="26"/>
  <c r="M1958" i="26"/>
  <c r="M2075" i="26"/>
  <c r="M1818" i="26"/>
  <c r="M1802" i="26"/>
  <c r="M1678" i="26"/>
  <c r="M1716" i="26"/>
  <c r="M1668" i="26"/>
  <c r="M1688" i="26"/>
  <c r="M1827" i="26"/>
  <c r="M1764" i="26"/>
  <c r="M1932" i="26"/>
  <c r="M2034" i="26"/>
  <c r="M2011" i="26"/>
  <c r="M1753" i="26"/>
  <c r="M1725" i="26"/>
  <c r="M1909" i="26"/>
  <c r="M1895" i="26"/>
  <c r="M2010" i="26"/>
  <c r="M1870" i="26"/>
  <c r="M1757" i="26"/>
  <c r="M1980" i="26"/>
  <c r="M1869" i="26"/>
  <c r="M1850" i="26"/>
  <c r="M1941" i="26"/>
  <c r="M1968" i="26"/>
  <c r="M1845" i="26"/>
  <c r="M1704" i="26"/>
  <c r="M1913" i="26"/>
  <c r="M1841" i="26"/>
  <c r="M1878" i="26"/>
  <c r="M1944" i="26"/>
  <c r="M1923" i="26"/>
  <c r="M2028" i="26"/>
  <c r="M1959" i="26"/>
  <c r="M1962" i="26"/>
  <c r="M2067" i="26"/>
  <c r="M2025" i="26"/>
  <c r="M1861" i="26"/>
  <c r="M1681" i="26"/>
  <c r="M1784" i="26"/>
  <c r="M1970" i="26"/>
  <c r="M2000" i="26"/>
  <c r="M1772" i="26"/>
  <c r="M2050" i="26"/>
  <c r="M1875" i="26"/>
  <c r="M1897" i="26"/>
  <c r="M2039" i="26"/>
  <c r="M2064" i="26"/>
  <c r="M2008" i="26"/>
  <c r="M1894" i="26"/>
  <c r="M1937" i="26"/>
  <c r="M1844" i="26"/>
  <c r="M2058" i="26"/>
  <c r="M1835" i="26"/>
  <c r="M1726" i="26"/>
  <c r="M1738" i="26"/>
  <c r="M1924" i="26"/>
  <c r="M1779" i="26"/>
  <c r="O693" i="26"/>
  <c r="M1700" i="26"/>
  <c r="M1789" i="26"/>
  <c r="M1853" i="26"/>
  <c r="M1957" i="26"/>
  <c r="M2042" i="26"/>
  <c r="M1975" i="26"/>
  <c r="M1751" i="26"/>
  <c r="M1906" i="26"/>
  <c r="M1817" i="26"/>
  <c r="M1903" i="26"/>
  <c r="M1863" i="26"/>
  <c r="M1730" i="26"/>
  <c r="M1893" i="26"/>
  <c r="M1796" i="26"/>
  <c r="M1790" i="26"/>
  <c r="M2070" i="26"/>
  <c r="M1851" i="26"/>
  <c r="M1777" i="26"/>
  <c r="M2045" i="26"/>
  <c r="M1907" i="26"/>
  <c r="M1675" i="26"/>
  <c r="M1890" i="26"/>
  <c r="M1799" i="26"/>
  <c r="M1988" i="26"/>
  <c r="M1889" i="26"/>
  <c r="M1965" i="26"/>
  <c r="M2051" i="26"/>
  <c r="M1755" i="26"/>
  <c r="M1808" i="26"/>
  <c r="M2060" i="26"/>
  <c r="M1977" i="26"/>
  <c r="M1756" i="26"/>
  <c r="M1912" i="26"/>
  <c r="M1971" i="26"/>
  <c r="M2071" i="26"/>
  <c r="M1860" i="26"/>
  <c r="M1976" i="26"/>
  <c r="M1759" i="26"/>
  <c r="M1888" i="26"/>
  <c r="M2047" i="26"/>
  <c r="M1926" i="26"/>
  <c r="M1905" i="26"/>
  <c r="M1797" i="26"/>
  <c r="M2004" i="26"/>
  <c r="M1793" i="26"/>
  <c r="M1679" i="26"/>
  <c r="M1742" i="26"/>
  <c r="M1761" i="26"/>
  <c r="M1737" i="26"/>
  <c r="M1696" i="26"/>
  <c r="M1685" i="26"/>
  <c r="M1680" i="26"/>
  <c r="M2059" i="26"/>
  <c r="M1983" i="26"/>
  <c r="M1920" i="26"/>
  <c r="M1686" i="26"/>
  <c r="M1964" i="26"/>
  <c r="M1833" i="26"/>
  <c r="M2027" i="26"/>
  <c r="M1824" i="26"/>
  <c r="M1785" i="26"/>
  <c r="M1986" i="26"/>
  <c r="M1834" i="26"/>
  <c r="M1724" i="26"/>
  <c r="M1881" i="26"/>
  <c r="M1929" i="26"/>
  <c r="M1712" i="26"/>
  <c r="M1925" i="26"/>
  <c r="M1794" i="26"/>
  <c r="M1974" i="26"/>
  <c r="M1916" i="26"/>
  <c r="M1731" i="26"/>
  <c r="M1821" i="26"/>
  <c r="M2015" i="26"/>
  <c r="M1998" i="26"/>
  <c r="M1727" i="26"/>
  <c r="M1733" i="26"/>
  <c r="M1936" i="26"/>
  <c r="M1858" i="26"/>
  <c r="M1945" i="26"/>
  <c r="M1896" i="26"/>
  <c r="M1689" i="26"/>
  <c r="M1961" i="26"/>
  <c r="M2032" i="26"/>
  <c r="M1708" i="26"/>
  <c r="M1791" i="26"/>
  <c r="M2005" i="26"/>
  <c r="M1766" i="26"/>
  <c r="M2017" i="26"/>
  <c r="M2062" i="26"/>
  <c r="M2003" i="26"/>
  <c r="M2035" i="26"/>
  <c r="M1820" i="26"/>
  <c r="M1774" i="26"/>
  <c r="M1966" i="26"/>
  <c r="M1743" i="26"/>
  <c r="M1703" i="26"/>
  <c r="M1667" i="26"/>
  <c r="M1669" i="26"/>
  <c r="N42" i="15"/>
  <c r="AF32" i="15"/>
  <c r="N35" i="15"/>
  <c r="N44" i="15"/>
  <c r="I1664" i="26" a="1"/>
  <c r="I1664" i="26" s="1"/>
  <c r="M1664" i="26" s="1"/>
  <c r="I1658" i="26" a="1"/>
  <c r="I1658" i="26" s="1"/>
  <c r="M1658" i="26" s="1"/>
  <c r="I1662" i="26" a="1"/>
  <c r="I1662" i="26" s="1"/>
  <c r="M1662" i="26" s="1"/>
  <c r="I1665" i="26" a="1"/>
  <c r="I1665" i="26" s="1"/>
  <c r="M1665" i="26" s="1"/>
  <c r="I1656" i="26" a="1"/>
  <c r="I1656" i="26" s="1"/>
  <c r="M1656" i="26" s="1"/>
  <c r="I1663" i="26" a="1"/>
  <c r="I1663" i="26" s="1"/>
  <c r="M1663" i="26" s="1"/>
  <c r="I1661" i="26" a="1"/>
  <c r="I1661" i="26" s="1"/>
  <c r="M1661" i="26" s="1"/>
  <c r="I1653" i="26" a="1"/>
  <c r="I1653" i="26" s="1"/>
  <c r="I1660" i="26" a="1"/>
  <c r="I1660" i="26" s="1"/>
  <c r="M1660" i="26" s="1"/>
  <c r="I1651" i="26" a="1"/>
  <c r="I1651" i="26" s="1"/>
  <c r="M1651" i="26" s="1"/>
  <c r="I1652" i="26" a="1"/>
  <c r="I1652" i="26" s="1"/>
  <c r="M1652" i="26" s="1"/>
  <c r="I1659" i="26" a="1"/>
  <c r="I1659" i="26" s="1"/>
  <c r="M1659" i="26" s="1"/>
  <c r="N39" i="15"/>
  <c r="I1655" i="26" a="1"/>
  <c r="I1655" i="26" s="1"/>
  <c r="M1655" i="26" s="1"/>
  <c r="I1657" i="26" a="1"/>
  <c r="I1657" i="26" s="1"/>
  <c r="I1654" i="26" a="1"/>
  <c r="I1654" i="26" s="1"/>
  <c r="M1654" i="26" s="1"/>
  <c r="AH5" i="15"/>
  <c r="AK5" i="15" s="1"/>
  <c r="AI13" i="27"/>
  <c r="AL13" i="27" s="1"/>
  <c r="AI10" i="27"/>
  <c r="AL10" i="27" s="1"/>
  <c r="N10" i="27"/>
  <c r="N28" i="27"/>
  <c r="I1342" i="26" a="1"/>
  <c r="I1342" i="26" s="1"/>
  <c r="M1342" i="26" s="1"/>
  <c r="I1571" i="26" a="1"/>
  <c r="I1571" i="26" s="1"/>
  <c r="M1571" i="26" s="1"/>
  <c r="I1513" i="26" a="1"/>
  <c r="I1513" i="26" s="1"/>
  <c r="M1513" i="26" s="1"/>
  <c r="I1362" i="26" a="1"/>
  <c r="I1362" i="26" s="1"/>
  <c r="M1362" i="26" s="1"/>
  <c r="I1304" i="26" a="1"/>
  <c r="I1304" i="26" s="1"/>
  <c r="M1304" i="26" s="1"/>
  <c r="I1264" i="26" a="1"/>
  <c r="I1264" i="26" s="1"/>
  <c r="M1264" i="26" s="1"/>
  <c r="I1559" i="26" a="1"/>
  <c r="I1559" i="26" s="1"/>
  <c r="M1559" i="26" s="1"/>
  <c r="I1499" i="26" a="1"/>
  <c r="I1499" i="26" s="1"/>
  <c r="M1499" i="26" s="1"/>
  <c r="I1447" i="26" a="1"/>
  <c r="I1447" i="26" s="1"/>
  <c r="M1447" i="26" s="1"/>
  <c r="I1392" i="26" a="1"/>
  <c r="I1392" i="26" s="1"/>
  <c r="M1392" i="26" s="1"/>
  <c r="I1384" i="26" a="1"/>
  <c r="I1384" i="26" s="1"/>
  <c r="M1384" i="26" s="1"/>
  <c r="AG34" i="27"/>
  <c r="AG8" i="27"/>
  <c r="I1106" i="26" a="1"/>
  <c r="I1106" i="26" s="1"/>
  <c r="M1106" i="26" s="1"/>
  <c r="I1478" i="26" a="1"/>
  <c r="I1478" i="26" s="1"/>
  <c r="M1478" i="26" s="1"/>
  <c r="I1475" i="26" a="1"/>
  <c r="I1475" i="26" s="1"/>
  <c r="M1475" i="26" s="1"/>
  <c r="I1455" i="26" a="1"/>
  <c r="I1455" i="26" s="1"/>
  <c r="M1455" i="26" s="1"/>
  <c r="I1425" i="26" a="1"/>
  <c r="I1425" i="26" s="1"/>
  <c r="M1425" i="26" s="1"/>
  <c r="I1288" i="26" a="1"/>
  <c r="I1288" i="26" s="1"/>
  <c r="M1288" i="26" s="1"/>
  <c r="I1431" i="26" a="1"/>
  <c r="I1431" i="26" s="1"/>
  <c r="M1431" i="26" s="1"/>
  <c r="I1125" i="26" a="1"/>
  <c r="I1125" i="26" s="1"/>
  <c r="M1125" i="26" s="1"/>
  <c r="I1330" i="26" a="1"/>
  <c r="I1330" i="26" s="1"/>
  <c r="M1330" i="26" s="1"/>
  <c r="I1504" i="26" a="1"/>
  <c r="I1504" i="26" s="1"/>
  <c r="M1504" i="26" s="1"/>
  <c r="I1536" i="26" a="1"/>
  <c r="I1536" i="26" s="1"/>
  <c r="M1536" i="26" s="1"/>
  <c r="I1547" i="26" a="1"/>
  <c r="I1547" i="26" s="1"/>
  <c r="M1547" i="26" s="1"/>
  <c r="I1515" i="26" a="1"/>
  <c r="I1515" i="26" s="1"/>
  <c r="M1515" i="26" s="1"/>
  <c r="I1600" i="26" a="1"/>
  <c r="I1600" i="26" s="1"/>
  <c r="M1600" i="26" s="1"/>
  <c r="M1614" i="26"/>
  <c r="I1595" i="26" a="1"/>
  <c r="I1595" i="26" s="1"/>
  <c r="M1595" i="26" s="1"/>
  <c r="I1641" i="26" a="1"/>
  <c r="I1641" i="26" s="1"/>
  <c r="M1641" i="26" s="1"/>
  <c r="I1157" i="26" a="1"/>
  <c r="I1157" i="26" s="1"/>
  <c r="M1157" i="26" s="1"/>
  <c r="I1111" i="26" a="1"/>
  <c r="I1111" i="26" s="1"/>
  <c r="M1111" i="26" s="1"/>
  <c r="I1219" i="26" a="1"/>
  <c r="I1219" i="26" s="1"/>
  <c r="M1219" i="26" s="1"/>
  <c r="I1196" i="26" a="1"/>
  <c r="I1196" i="26" s="1"/>
  <c r="M1196" i="26" s="1"/>
  <c r="M1630" i="26"/>
  <c r="I1050" i="26" a="1"/>
  <c r="I1050" i="26" s="1"/>
  <c r="M1050" i="26" s="1"/>
  <c r="I1145" i="26" a="1"/>
  <c r="I1145" i="26" s="1"/>
  <c r="M1145" i="26" s="1"/>
  <c r="I1232" i="26" a="1"/>
  <c r="I1232" i="26" s="1"/>
  <c r="M1232" i="26" s="1"/>
  <c r="I1248" i="26" a="1"/>
  <c r="I1248" i="26" s="1"/>
  <c r="M1248" i="26" s="1"/>
  <c r="I1253" i="26" a="1"/>
  <c r="I1253" i="26" s="1"/>
  <c r="M1253" i="26" s="1"/>
  <c r="I1346" i="26" a="1"/>
  <c r="I1346" i="26" s="1"/>
  <c r="M1346" i="26" s="1"/>
  <c r="I1213" i="26" a="1"/>
  <c r="I1213" i="26" s="1"/>
  <c r="M1213" i="26" s="1"/>
  <c r="I1303" i="26" a="1"/>
  <c r="I1303" i="26" s="1"/>
  <c r="M1303" i="26" s="1"/>
  <c r="I1340" i="26" a="1"/>
  <c r="I1340" i="26" s="1"/>
  <c r="M1340" i="26" s="1"/>
  <c r="I1337" i="26" a="1"/>
  <c r="I1337" i="26" s="1"/>
  <c r="M1337" i="26" s="1"/>
  <c r="I1378" i="26" a="1"/>
  <c r="I1378" i="26" s="1"/>
  <c r="M1378" i="26" s="1"/>
  <c r="I1401" i="26" a="1"/>
  <c r="I1401" i="26" s="1"/>
  <c r="M1401" i="26" s="1"/>
  <c r="I1409" i="26" a="1"/>
  <c r="I1409" i="26" s="1"/>
  <c r="M1409" i="26" s="1"/>
  <c r="I1398" i="26" a="1"/>
  <c r="I1398" i="26" s="1"/>
  <c r="M1398" i="26" s="1"/>
  <c r="I1405" i="26" a="1"/>
  <c r="I1405" i="26" s="1"/>
  <c r="M1405" i="26" s="1"/>
  <c r="I1394" i="26" a="1"/>
  <c r="I1394" i="26" s="1"/>
  <c r="M1394" i="26" s="1"/>
  <c r="I1553" i="26" a="1"/>
  <c r="I1553" i="26" s="1"/>
  <c r="M1553" i="26" s="1"/>
  <c r="I1523" i="26" a="1"/>
  <c r="I1523" i="26" s="1"/>
  <c r="M1523" i="26" s="1"/>
  <c r="I1555" i="26" a="1"/>
  <c r="I1555" i="26" s="1"/>
  <c r="M1555" i="26" s="1"/>
  <c r="I1562" i="26" a="1"/>
  <c r="I1562" i="26" s="1"/>
  <c r="M1562" i="26" s="1"/>
  <c r="I1517" i="26" a="1"/>
  <c r="I1517" i="26" s="1"/>
  <c r="M1517" i="26" s="1"/>
  <c r="I1552" i="26" a="1"/>
  <c r="I1552" i="26" s="1"/>
  <c r="M1552" i="26" s="1"/>
  <c r="M1612" i="26"/>
  <c r="M1609" i="26"/>
  <c r="M1620" i="26"/>
  <c r="I1585" i="26" a="1"/>
  <c r="I1585" i="26" s="1"/>
  <c r="M1585" i="26" s="1"/>
  <c r="I1602" i="26" a="1"/>
  <c r="I1602" i="26" s="1"/>
  <c r="M1602" i="26" s="1"/>
  <c r="I1589" i="26" a="1"/>
  <c r="I1589" i="26" s="1"/>
  <c r="M1589" i="26" s="1"/>
  <c r="I1643" i="26" a="1"/>
  <c r="I1643" i="26" s="1"/>
  <c r="M1643" i="26" s="1"/>
  <c r="I1599" i="26" a="1"/>
  <c r="I1599" i="26" s="1"/>
  <c r="M1599" i="26" s="1"/>
  <c r="I1236" i="26" a="1"/>
  <c r="I1236" i="26" s="1"/>
  <c r="M1236" i="26" s="1"/>
  <c r="I1161" i="26" a="1"/>
  <c r="I1161" i="26" s="1"/>
  <c r="M1161" i="26" s="1"/>
  <c r="I1385" i="26" a="1"/>
  <c r="I1385" i="26" s="1"/>
  <c r="M1385" i="26" s="1"/>
  <c r="I1193" i="26" a="1"/>
  <c r="I1193" i="26" s="1"/>
  <c r="M1193" i="26" s="1"/>
  <c r="I1442" i="26" a="1"/>
  <c r="I1442" i="26" s="1"/>
  <c r="M1442" i="26" s="1"/>
  <c r="I1444" i="26" a="1"/>
  <c r="I1444" i="26" s="1"/>
  <c r="M1444" i="26" s="1"/>
  <c r="I1438" i="26" a="1"/>
  <c r="I1438" i="26" s="1"/>
  <c r="M1438" i="26" s="1"/>
  <c r="I1446" i="26" a="1"/>
  <c r="I1446" i="26" s="1"/>
  <c r="M1446" i="26" s="1"/>
  <c r="M1183" i="26"/>
  <c r="I1315" i="26" a="1"/>
  <c r="I1315" i="26" s="1"/>
  <c r="M1315" i="26" s="1"/>
  <c r="I1456" i="26" a="1"/>
  <c r="I1456" i="26" s="1"/>
  <c r="M1456" i="26" s="1"/>
  <c r="I1197" i="26" a="1"/>
  <c r="I1197" i="26" s="1"/>
  <c r="M1197" i="26" s="1"/>
  <c r="M1177" i="26"/>
  <c r="I1134" i="26" a="1"/>
  <c r="I1134" i="26" s="1"/>
  <c r="M1134" i="26" s="1"/>
  <c r="I1223" i="26" a="1"/>
  <c r="I1223" i="26" s="1"/>
  <c r="M1223" i="26" s="1"/>
  <c r="I1150" i="26" a="1"/>
  <c r="I1150" i="26" s="1"/>
  <c r="M1150" i="26" s="1"/>
  <c r="I1156" i="26" a="1"/>
  <c r="I1156" i="26" s="1"/>
  <c r="M1156" i="26" s="1"/>
  <c r="I1237" i="26" a="1"/>
  <c r="I1237" i="26" s="1"/>
  <c r="M1237" i="26" s="1"/>
  <c r="I1318" i="26" a="1"/>
  <c r="I1318" i="26" s="1"/>
  <c r="M1318" i="26" s="1"/>
  <c r="I1312" i="26" a="1"/>
  <c r="I1312" i="26" s="1"/>
  <c r="M1312" i="26" s="1"/>
  <c r="I1241" i="26" a="1"/>
  <c r="I1241" i="26" s="1"/>
  <c r="M1241" i="26" s="1"/>
  <c r="I1244" i="26" a="1"/>
  <c r="I1244" i="26" s="1"/>
  <c r="M1244" i="26" s="1"/>
  <c r="I1310" i="26" a="1"/>
  <c r="I1310" i="26" s="1"/>
  <c r="M1310" i="26" s="1"/>
  <c r="I1379" i="26" a="1"/>
  <c r="I1379" i="26" s="1"/>
  <c r="M1379" i="26" s="1"/>
  <c r="I1343" i="26" a="1"/>
  <c r="I1343" i="26" s="1"/>
  <c r="M1343" i="26" s="1"/>
  <c r="I1380" i="26" a="1"/>
  <c r="I1380" i="26" s="1"/>
  <c r="M1380" i="26" s="1"/>
  <c r="I1286" i="26" a="1"/>
  <c r="I1286" i="26" s="1"/>
  <c r="M1286" i="26" s="1"/>
  <c r="I1402" i="26" a="1"/>
  <c r="I1402" i="26" s="1"/>
  <c r="M1402" i="26" s="1"/>
  <c r="I1341" i="26" a="1"/>
  <c r="I1341" i="26" s="1"/>
  <c r="M1341" i="26" s="1"/>
  <c r="I1445" i="26" a="1"/>
  <c r="I1445" i="26" s="1"/>
  <c r="M1445" i="26" s="1"/>
  <c r="I1474" i="26" a="1"/>
  <c r="I1474" i="26" s="1"/>
  <c r="M1474" i="26" s="1"/>
  <c r="I1423" i="26" a="1"/>
  <c r="I1423" i="26" s="1"/>
  <c r="M1423" i="26" s="1"/>
  <c r="I1374" i="26" a="1"/>
  <c r="I1374" i="26" s="1"/>
  <c r="M1374" i="26" s="1"/>
  <c r="I1473" i="26" a="1"/>
  <c r="I1473" i="26" s="1"/>
  <c r="M1473" i="26" s="1"/>
  <c r="I1451" i="26" a="1"/>
  <c r="I1451" i="26" s="1"/>
  <c r="M1451" i="26" s="1"/>
  <c r="I1512" i="26" a="1"/>
  <c r="I1512" i="26" s="1"/>
  <c r="M1512" i="26" s="1"/>
  <c r="I1514" i="26" a="1"/>
  <c r="I1514" i="26" s="1"/>
  <c r="M1514" i="26" s="1"/>
  <c r="I1527" i="26" a="1"/>
  <c r="I1527" i="26" s="1"/>
  <c r="M1527" i="26" s="1"/>
  <c r="I1519" i="26" a="1"/>
  <c r="I1519" i="26" s="1"/>
  <c r="M1519" i="26" s="1"/>
  <c r="I1524" i="26" a="1"/>
  <c r="I1524" i="26" s="1"/>
  <c r="M1524" i="26" s="1"/>
  <c r="I1563" i="26" a="1"/>
  <c r="I1563" i="26" s="1"/>
  <c r="M1563" i="26" s="1"/>
  <c r="I1560" i="26" a="1"/>
  <c r="I1560" i="26" s="1"/>
  <c r="M1560" i="26" s="1"/>
  <c r="I1521" i="26" a="1"/>
  <c r="I1521" i="26" s="1"/>
  <c r="M1521" i="26" s="1"/>
  <c r="I1246" i="26" a="1"/>
  <c r="I1246" i="26" s="1"/>
  <c r="M1246" i="26" s="1"/>
  <c r="I1291" i="26" a="1"/>
  <c r="I1291" i="26" s="1"/>
  <c r="M1291" i="26" s="1"/>
  <c r="I1192" i="26" a="1"/>
  <c r="I1192" i="26" s="1"/>
  <c r="M1192" i="26" s="1"/>
  <c r="I1306" i="26" a="1"/>
  <c r="I1306" i="26" s="1"/>
  <c r="M1306" i="26" s="1"/>
  <c r="I1292" i="26" a="1"/>
  <c r="I1292" i="26" s="1"/>
  <c r="M1292" i="26" s="1"/>
  <c r="I1421" i="26" a="1"/>
  <c r="I1421" i="26" s="1"/>
  <c r="M1421" i="26" s="1"/>
  <c r="I1529" i="26" a="1"/>
  <c r="I1529" i="26" s="1"/>
  <c r="M1529" i="26" s="1"/>
  <c r="I1083" i="26" a="1"/>
  <c r="I1083" i="26" s="1"/>
  <c r="M1083" i="26" s="1"/>
  <c r="I1440" i="26" a="1"/>
  <c r="I1440" i="26" s="1"/>
  <c r="M1440" i="26" s="1"/>
  <c r="I1239" i="26" a="1"/>
  <c r="I1239" i="26" s="1"/>
  <c r="M1239" i="26" s="1"/>
  <c r="I1540" i="26" a="1"/>
  <c r="I1540" i="26" s="1"/>
  <c r="M1540" i="26" s="1"/>
  <c r="I1518" i="26" a="1"/>
  <c r="I1518" i="26" s="1"/>
  <c r="M1518" i="26" s="1"/>
  <c r="I1139" i="26" a="1"/>
  <c r="I1139" i="26" s="1"/>
  <c r="M1139" i="26" s="1"/>
  <c r="I1222" i="26" a="1"/>
  <c r="I1222" i="26" s="1"/>
  <c r="M1222" i="26" s="1"/>
  <c r="I1116" i="26" a="1"/>
  <c r="I1116" i="26" s="1"/>
  <c r="M1116" i="26" s="1"/>
  <c r="I1316" i="26" a="1"/>
  <c r="I1316" i="26" s="1"/>
  <c r="M1316" i="26" s="1"/>
  <c r="I1403" i="26" a="1"/>
  <c r="I1403" i="26" s="1"/>
  <c r="M1403" i="26" s="1"/>
  <c r="I1351" i="26" a="1"/>
  <c r="I1351" i="26" s="1"/>
  <c r="M1351" i="26" s="1"/>
  <c r="I1389" i="26" a="1"/>
  <c r="I1389" i="26" s="1"/>
  <c r="M1389" i="26" s="1"/>
  <c r="I1393" i="26" a="1"/>
  <c r="I1393" i="26" s="1"/>
  <c r="M1393" i="26" s="1"/>
  <c r="I1295" i="26" a="1"/>
  <c r="I1295" i="26" s="1"/>
  <c r="M1295" i="26" s="1"/>
  <c r="I1047" i="26" a="1"/>
  <c r="I1047" i="26" s="1"/>
  <c r="M1047" i="26" s="1"/>
  <c r="I1305" i="26" a="1"/>
  <c r="I1305" i="26" s="1"/>
  <c r="M1305" i="26" s="1"/>
  <c r="I1233" i="26" a="1"/>
  <c r="I1233" i="26" s="1"/>
  <c r="M1233" i="26" s="1"/>
  <c r="I1199" i="26" a="1"/>
  <c r="I1199" i="26" s="1"/>
  <c r="M1199" i="26" s="1"/>
  <c r="I1166" i="26" a="1"/>
  <c r="I1166" i="26" s="1"/>
  <c r="M1166" i="26" s="1"/>
  <c r="I1221" i="26" a="1"/>
  <c r="I1221" i="26" s="1"/>
  <c r="M1221" i="26" s="1"/>
  <c r="I1224" i="26" a="1"/>
  <c r="I1224" i="26" s="1"/>
  <c r="M1224" i="26" s="1"/>
  <c r="I1228" i="26" a="1"/>
  <c r="I1228" i="26" s="1"/>
  <c r="M1228" i="26" s="1"/>
  <c r="I1354" i="26" a="1"/>
  <c r="I1354" i="26" s="1"/>
  <c r="M1354" i="26" s="1"/>
  <c r="I1381" i="26" a="1"/>
  <c r="I1381" i="26" s="1"/>
  <c r="M1381" i="26" s="1"/>
  <c r="M1173" i="26"/>
  <c r="I1396" i="26" a="1"/>
  <c r="I1396" i="26" s="1"/>
  <c r="M1396" i="26" s="1"/>
  <c r="I1267" i="26" a="1"/>
  <c r="I1267" i="26" s="1"/>
  <c r="M1267" i="26" s="1"/>
  <c r="I1317" i="26" a="1"/>
  <c r="I1317" i="26" s="1"/>
  <c r="M1317" i="26" s="1"/>
  <c r="I1355" i="26" a="1"/>
  <c r="I1355" i="26" s="1"/>
  <c r="M1355" i="26" s="1"/>
  <c r="I1397" i="26" a="1"/>
  <c r="I1397" i="26" s="1"/>
  <c r="M1397" i="26" s="1"/>
  <c r="I1352" i="26" a="1"/>
  <c r="I1352" i="26" s="1"/>
  <c r="M1352" i="26" s="1"/>
  <c r="I1481" i="26" a="1"/>
  <c r="I1481" i="26" s="1"/>
  <c r="M1481" i="26" s="1"/>
  <c r="I1488" i="26" a="1"/>
  <c r="I1488" i="26" s="1"/>
  <c r="M1488" i="26" s="1"/>
  <c r="I1492" i="26" a="1"/>
  <c r="I1492" i="26" s="1"/>
  <c r="M1492" i="26" s="1"/>
  <c r="I1496" i="26" a="1"/>
  <c r="I1496" i="26" s="1"/>
  <c r="M1496" i="26" s="1"/>
  <c r="I1556" i="26" a="1"/>
  <c r="I1556" i="26" s="1"/>
  <c r="M1556" i="26" s="1"/>
  <c r="I1596" i="26" a="1"/>
  <c r="I1596" i="26" s="1"/>
  <c r="M1596" i="26" s="1"/>
  <c r="I1597" i="26" a="1"/>
  <c r="I1597" i="26" s="1"/>
  <c r="M1597" i="26" s="1"/>
  <c r="I1605" i="26" a="1"/>
  <c r="I1605" i="26" s="1"/>
  <c r="M1605" i="26" s="1"/>
  <c r="M1628" i="26"/>
  <c r="M1632" i="26"/>
  <c r="M1626" i="26"/>
  <c r="I1644" i="26" a="1"/>
  <c r="I1644" i="26" s="1"/>
  <c r="M1644" i="26" s="1"/>
  <c r="I1591" i="26" a="1"/>
  <c r="I1591" i="26" s="1"/>
  <c r="M1591" i="26" s="1"/>
  <c r="I1583" i="26" a="1"/>
  <c r="I1583" i="26" s="1"/>
  <c r="M1583" i="26" s="1"/>
  <c r="I1587" i="26" a="1"/>
  <c r="I1587" i="26" s="1"/>
  <c r="M1587" i="26" s="1"/>
  <c r="I1188" i="26" a="1"/>
  <c r="I1188" i="26" s="1"/>
  <c r="M1188" i="26" s="1"/>
  <c r="I1311" i="26" a="1"/>
  <c r="I1311" i="26" s="1"/>
  <c r="M1311" i="26" s="1"/>
  <c r="I1534" i="26" a="1"/>
  <c r="I1534" i="26" s="1"/>
  <c r="M1534" i="26" s="1"/>
  <c r="I1198" i="26" a="1"/>
  <c r="I1198" i="26" s="1"/>
  <c r="M1198" i="26" s="1"/>
  <c r="I1184" i="26" a="1"/>
  <c r="I1184" i="26" s="1"/>
  <c r="M1184" i="26" s="1"/>
  <c r="I1191" i="26" a="1"/>
  <c r="I1191" i="26" s="1"/>
  <c r="M1191" i="26" s="1"/>
  <c r="I1195" i="26" a="1"/>
  <c r="I1195" i="26" s="1"/>
  <c r="M1195" i="26" s="1"/>
  <c r="I1299" i="26" a="1"/>
  <c r="I1299" i="26" s="1"/>
  <c r="M1299" i="26" s="1"/>
  <c r="I1545" i="26" a="1"/>
  <c r="I1545" i="26" s="1"/>
  <c r="M1545" i="26" s="1"/>
  <c r="I1509" i="26" a="1"/>
  <c r="I1509" i="26" s="1"/>
  <c r="M1509" i="26" s="1"/>
  <c r="I1594" i="26" a="1"/>
  <c r="I1594" i="26" s="1"/>
  <c r="M1594" i="26" s="1"/>
  <c r="I1604" i="26" a="1"/>
  <c r="I1604" i="26" s="1"/>
  <c r="M1604" i="26" s="1"/>
  <c r="I1650" i="26" a="1"/>
  <c r="I1650" i="26" s="1"/>
  <c r="M1650" i="26" s="1"/>
  <c r="I1045" i="26" a="1"/>
  <c r="I1045" i="26" s="1"/>
  <c r="M1045" i="26" s="1"/>
  <c r="I1163" i="26" a="1"/>
  <c r="I1163" i="26" s="1"/>
  <c r="M1163" i="26" s="1"/>
  <c r="I1071" i="26" a="1"/>
  <c r="I1071" i="26" s="1"/>
  <c r="M1071" i="26" s="1"/>
  <c r="I1110" i="26" a="1"/>
  <c r="I1110" i="26" s="1"/>
  <c r="M1110" i="26" s="1"/>
  <c r="I1314" i="26" a="1"/>
  <c r="I1314" i="26" s="1"/>
  <c r="M1314" i="26" s="1"/>
  <c r="I1251" i="26" a="1"/>
  <c r="I1251" i="26" s="1"/>
  <c r="M1251" i="26" s="1"/>
  <c r="I1348" i="26" a="1"/>
  <c r="I1348" i="26" s="1"/>
  <c r="M1348" i="26" s="1"/>
  <c r="I1345" i="26" a="1"/>
  <c r="I1345" i="26" s="1"/>
  <c r="M1345" i="26" s="1"/>
  <c r="I1049" i="26" a="1"/>
  <c r="I1049" i="26" s="1"/>
  <c r="M1049" i="26" s="1"/>
  <c r="I1132" i="26" a="1"/>
  <c r="I1132" i="26" s="1"/>
  <c r="M1132" i="26" s="1"/>
  <c r="I1129" i="26" a="1"/>
  <c r="I1129" i="26" s="1"/>
  <c r="M1129" i="26" s="1"/>
  <c r="I1261" i="26" a="1"/>
  <c r="I1261" i="26" s="1"/>
  <c r="M1261" i="26" s="1"/>
  <c r="I1215" i="26" a="1"/>
  <c r="I1215" i="26" s="1"/>
  <c r="M1215" i="26" s="1"/>
  <c r="I1104" i="26" a="1"/>
  <c r="I1104" i="26" s="1"/>
  <c r="M1104" i="26" s="1"/>
  <c r="I1103" i="26" a="1"/>
  <c r="I1103" i="26" s="1"/>
  <c r="M1103" i="26" s="1"/>
  <c r="I1217" i="26" a="1"/>
  <c r="I1217" i="26" s="1"/>
  <c r="M1217" i="26" s="1"/>
  <c r="I1298" i="26" a="1"/>
  <c r="I1298" i="26" s="1"/>
  <c r="M1298" i="26" s="1"/>
  <c r="I1334" i="26" a="1"/>
  <c r="I1334" i="26" s="1"/>
  <c r="M1334" i="26" s="1"/>
  <c r="I1320" i="26" a="1"/>
  <c r="I1320" i="26" s="1"/>
  <c r="M1320" i="26" s="1"/>
  <c r="I1410" i="26" a="1"/>
  <c r="I1410" i="26" s="1"/>
  <c r="M1410" i="26" s="1"/>
  <c r="I1359" i="26" a="1"/>
  <c r="I1359" i="26" s="1"/>
  <c r="M1359" i="26" s="1"/>
  <c r="I1404" i="26" a="1"/>
  <c r="I1404" i="26" s="1"/>
  <c r="M1404" i="26" s="1"/>
  <c r="I1328" i="26" a="1"/>
  <c r="I1328" i="26" s="1"/>
  <c r="M1328" i="26" s="1"/>
  <c r="I1324" i="26" a="1"/>
  <c r="I1324" i="26" s="1"/>
  <c r="M1324" i="26" s="1"/>
  <c r="I1502" i="26" a="1"/>
  <c r="I1502" i="26" s="1"/>
  <c r="M1502" i="26" s="1"/>
  <c r="I1532" i="26" a="1"/>
  <c r="I1532" i="26" s="1"/>
  <c r="M1532" i="26" s="1"/>
  <c r="I1541" i="26" a="1"/>
  <c r="I1541" i="26" s="1"/>
  <c r="M1541" i="26" s="1"/>
  <c r="I1542" i="26" a="1"/>
  <c r="I1542" i="26" s="1"/>
  <c r="M1542" i="26" s="1"/>
  <c r="I1528" i="26" a="1"/>
  <c r="I1528" i="26" s="1"/>
  <c r="M1528" i="26" s="1"/>
  <c r="I1485" i="26" a="1"/>
  <c r="I1485" i="26" s="1"/>
  <c r="M1485" i="26" s="1"/>
  <c r="I1290" i="26" a="1"/>
  <c r="I1290" i="26" s="1"/>
  <c r="M1290" i="26" s="1"/>
  <c r="I1297" i="26" a="1"/>
  <c r="I1297" i="26" s="1"/>
  <c r="AH22" i="15" s="1"/>
  <c r="AK22" i="15" s="1"/>
  <c r="I1054" i="26" a="1"/>
  <c r="I1054" i="26" s="1"/>
  <c r="M1054" i="26" s="1"/>
  <c r="I1275" i="26" a="1"/>
  <c r="I1275" i="26" s="1"/>
  <c r="M1275" i="26" s="1"/>
  <c r="I1257" i="26" a="1"/>
  <c r="I1257" i="26" s="1"/>
  <c r="M1257" i="26" s="1"/>
  <c r="I1052" i="26" a="1"/>
  <c r="I1052" i="26" s="1"/>
  <c r="M1052" i="26" s="1"/>
  <c r="I1141" i="26" a="1"/>
  <c r="I1141" i="26" s="1"/>
  <c r="M1141" i="26" s="1"/>
  <c r="I1121" i="26" a="1"/>
  <c r="I1121" i="26" s="1"/>
  <c r="M1121" i="26" s="1"/>
  <c r="I1100" i="26" a="1"/>
  <c r="I1100" i="26" s="1"/>
  <c r="M1100" i="26" s="1"/>
  <c r="I1143" i="26" a="1"/>
  <c r="I1143" i="26" s="1"/>
  <c r="M1143" i="26" s="1"/>
  <c r="I1284" i="26" a="1"/>
  <c r="I1284" i="26" s="1"/>
  <c r="M1284" i="26" s="1"/>
  <c r="I1265" i="26" a="1"/>
  <c r="I1265" i="26" s="1"/>
  <c r="M1265" i="26" s="1"/>
  <c r="I1225" i="26" a="1"/>
  <c r="I1225" i="26" s="1"/>
  <c r="M1225" i="26" s="1"/>
  <c r="I1338" i="26" a="1"/>
  <c r="I1338" i="26" s="1"/>
  <c r="M1338" i="26" s="1"/>
  <c r="I1371" i="26" a="1"/>
  <c r="I1371" i="26" s="1"/>
  <c r="M1371" i="26" s="1"/>
  <c r="I1377" i="26" a="1"/>
  <c r="I1377" i="26" s="1"/>
  <c r="M1377" i="26" s="1"/>
  <c r="I1366" i="26" a="1"/>
  <c r="I1366" i="26" s="1"/>
  <c r="M1366" i="26" s="1"/>
  <c r="I1400" i="26" a="1"/>
  <c r="I1400" i="26" s="1"/>
  <c r="M1400" i="26" s="1"/>
  <c r="I1282" i="26" a="1"/>
  <c r="I1282" i="26" s="1"/>
  <c r="M1282" i="26" s="1"/>
  <c r="I1332" i="26" a="1"/>
  <c r="I1332" i="26" s="1"/>
  <c r="M1332" i="26" s="1"/>
  <c r="I1293" i="26" a="1"/>
  <c r="I1293" i="26" s="1"/>
  <c r="M1293" i="26" s="1"/>
  <c r="I1361" i="26" a="1"/>
  <c r="I1361" i="26" s="1"/>
  <c r="M1361" i="26" s="1"/>
  <c r="I1372" i="26" a="1"/>
  <c r="I1372" i="26" s="1"/>
  <c r="M1372" i="26" s="1"/>
  <c r="I1491" i="26" a="1"/>
  <c r="I1491" i="26" s="1"/>
  <c r="M1491" i="26" s="1"/>
  <c r="I1439" i="26" a="1"/>
  <c r="I1439" i="26" s="1"/>
  <c r="M1439" i="26" s="1"/>
  <c r="I1471" i="26" a="1"/>
  <c r="I1471" i="26" s="1"/>
  <c r="M1471" i="26" s="1"/>
  <c r="I1457" i="26" a="1"/>
  <c r="I1457" i="26" s="1"/>
  <c r="M1457" i="26" s="1"/>
  <c r="I1507" i="26" a="1"/>
  <c r="I1507" i="26" s="1"/>
  <c r="M1507" i="26" s="1"/>
  <c r="I1551" i="26" a="1"/>
  <c r="I1551" i="26" s="1"/>
  <c r="M1551" i="26" s="1"/>
  <c r="I1544" i="26" a="1"/>
  <c r="I1544" i="26" s="1"/>
  <c r="M1544" i="26" s="1"/>
  <c r="I1546" i="26" a="1"/>
  <c r="I1546" i="26" s="1"/>
  <c r="M1546" i="26" s="1"/>
  <c r="I1497" i="26" a="1"/>
  <c r="I1497" i="26" s="1"/>
  <c r="M1497" i="26" s="1"/>
  <c r="I1503" i="26" a="1"/>
  <c r="I1503" i="26" s="1"/>
  <c r="M1503" i="26" s="1"/>
  <c r="I1501" i="26" a="1"/>
  <c r="I1501" i="26" s="1"/>
  <c r="M1501" i="26" s="1"/>
  <c r="I1568" i="26" a="1"/>
  <c r="I1568" i="26" s="1"/>
  <c r="M1568" i="26" s="1"/>
  <c r="M1613" i="26"/>
  <c r="I1593" i="26" a="1"/>
  <c r="I1593" i="26" s="1"/>
  <c r="I1588" i="26" a="1"/>
  <c r="I1588" i="26" s="1"/>
  <c r="M1588" i="26" s="1"/>
  <c r="I1598" i="26" a="1"/>
  <c r="I1598" i="26" s="1"/>
  <c r="M1598" i="26" s="1"/>
  <c r="I1648" i="26" a="1"/>
  <c r="I1648" i="26" s="1"/>
  <c r="M1648" i="26" s="1"/>
  <c r="I1586" i="26" a="1"/>
  <c r="I1586" i="26" s="1"/>
  <c r="M1586" i="26" s="1"/>
  <c r="I1639" i="26" a="1"/>
  <c r="I1639" i="26" s="1"/>
  <c r="M1639" i="26" s="1"/>
  <c r="M1617" i="26"/>
  <c r="I1268" i="26" a="1"/>
  <c r="I1268" i="26" s="1"/>
  <c r="M1268" i="26" s="1"/>
  <c r="M1607" i="26"/>
  <c r="I1105" i="26" a="1"/>
  <c r="I1105" i="26" s="1"/>
  <c r="M1105" i="26" s="1"/>
  <c r="I1323" i="26" a="1"/>
  <c r="I1323" i="26" s="1"/>
  <c r="M1323" i="26" s="1"/>
  <c r="I1460" i="26" a="1"/>
  <c r="I1460" i="26" s="1"/>
  <c r="M1460" i="26" s="1"/>
  <c r="I1538" i="26" a="1"/>
  <c r="I1538" i="26" s="1"/>
  <c r="M1538" i="26" s="1"/>
  <c r="I1048" i="26" a="1"/>
  <c r="I1048" i="26" s="1"/>
  <c r="M1048" i="26" s="1"/>
  <c r="I1081" i="26" a="1"/>
  <c r="I1081" i="26" s="1"/>
  <c r="M1081" i="26" s="1"/>
  <c r="I1117" i="26" a="1"/>
  <c r="I1117" i="26" s="1"/>
  <c r="M1117" i="26" s="1"/>
  <c r="I1168" i="26" a="1"/>
  <c r="I1168" i="26" s="1"/>
  <c r="M1168" i="26" s="1"/>
  <c r="I1097" i="26" a="1"/>
  <c r="I1097" i="26" s="1"/>
  <c r="M1097" i="26" s="1"/>
  <c r="I1136" i="26" a="1"/>
  <c r="I1136" i="26" s="1"/>
  <c r="M1136" i="26" s="1"/>
  <c r="I1278" i="26" a="1"/>
  <c r="I1278" i="26" s="1"/>
  <c r="M1278" i="26" s="1"/>
  <c r="I1285" i="26" a="1"/>
  <c r="I1285" i="26" s="1"/>
  <c r="M1285" i="26" s="1"/>
  <c r="I1287" i="26" a="1"/>
  <c r="I1287" i="26" s="1"/>
  <c r="M1287" i="26" s="1"/>
  <c r="I1277" i="26" a="1"/>
  <c r="I1277" i="26" s="1"/>
  <c r="M1277" i="26" s="1"/>
  <c r="I1281" i="26" a="1"/>
  <c r="I1281" i="26" s="1"/>
  <c r="M1281" i="26" s="1"/>
  <c r="I1194" i="26" a="1"/>
  <c r="I1194" i="26" s="1"/>
  <c r="M1194" i="26" s="1"/>
  <c r="I1220" i="26" a="1"/>
  <c r="I1220" i="26" s="1"/>
  <c r="M1220" i="26" s="1"/>
  <c r="I1235" i="26" a="1"/>
  <c r="I1235" i="26" s="1"/>
  <c r="M1235" i="26" s="1"/>
  <c r="I1234" i="26" a="1"/>
  <c r="I1234" i="26" s="1"/>
  <c r="M1234" i="26" s="1"/>
  <c r="I1308" i="26" a="1"/>
  <c r="I1308" i="26" s="1"/>
  <c r="M1308" i="26" s="1"/>
  <c r="I1250" i="26" a="1"/>
  <c r="I1250" i="26" s="1"/>
  <c r="M1250" i="26" s="1"/>
  <c r="I1258" i="26" a="1"/>
  <c r="I1258" i="26" s="1"/>
  <c r="M1258" i="26" s="1"/>
  <c r="I1256" i="26" a="1"/>
  <c r="I1256" i="26" s="1"/>
  <c r="AH19" i="15" s="1"/>
  <c r="AK19" i="15" s="1"/>
  <c r="I1294" i="26" a="1"/>
  <c r="I1294" i="26" s="1"/>
  <c r="M1294" i="26" s="1"/>
  <c r="I1212" i="26" a="1"/>
  <c r="I1212" i="26" s="1"/>
  <c r="M1212" i="26" s="1"/>
  <c r="I1218" i="26" a="1"/>
  <c r="I1218" i="26" s="1"/>
  <c r="M1218" i="26" s="1"/>
  <c r="I1358" i="26" a="1"/>
  <c r="I1358" i="26" s="1"/>
  <c r="M1358" i="26" s="1"/>
  <c r="I1254" i="26" a="1"/>
  <c r="I1254" i="26" s="1"/>
  <c r="M1254" i="26" s="1"/>
  <c r="I1347" i="26" a="1"/>
  <c r="I1347" i="26" s="1"/>
  <c r="M1347" i="26" s="1"/>
  <c r="I1387" i="26" a="1"/>
  <c r="I1387" i="26" s="1"/>
  <c r="M1387" i="26" s="1"/>
  <c r="I1386" i="26" a="1"/>
  <c r="I1386" i="26" s="1"/>
  <c r="M1386" i="26" s="1"/>
  <c r="I1383" i="26" a="1"/>
  <c r="I1383" i="26" s="1"/>
  <c r="M1383" i="26" s="1"/>
  <c r="I1344" i="26" a="1"/>
  <c r="I1344" i="26" s="1"/>
  <c r="M1344" i="26" s="1"/>
  <c r="I1307" i="26" a="1"/>
  <c r="I1307" i="26" s="1"/>
  <c r="M1307" i="26" s="1"/>
  <c r="I1365" i="26" a="1"/>
  <c r="I1365" i="26" s="1"/>
  <c r="M1365" i="26" s="1"/>
  <c r="I1388" i="26" a="1"/>
  <c r="I1388" i="26" s="1"/>
  <c r="M1388" i="26" s="1"/>
  <c r="I1437" i="26" a="1"/>
  <c r="I1437" i="26" s="1"/>
  <c r="M1437" i="26" s="1"/>
  <c r="I1469" i="26" a="1"/>
  <c r="I1469" i="26" s="1"/>
  <c r="M1469" i="26" s="1"/>
  <c r="I1495" i="26" a="1"/>
  <c r="I1495" i="26" s="1"/>
  <c r="M1495" i="26" s="1"/>
  <c r="I1535" i="26" a="1"/>
  <c r="I1535" i="26" s="1"/>
  <c r="M1535" i="26" s="1"/>
  <c r="I1465" i="26" a="1"/>
  <c r="I1465" i="26" s="1"/>
  <c r="M1465" i="26" s="1"/>
  <c r="I1443" i="26" a="1"/>
  <c r="I1443" i="26" s="1"/>
  <c r="M1443" i="26" s="1"/>
  <c r="I1505" i="26" a="1"/>
  <c r="I1505" i="26" s="1"/>
  <c r="M1505" i="26" s="1"/>
  <c r="I1489" i="26" a="1"/>
  <c r="I1489" i="26" s="1"/>
  <c r="M1489" i="26" s="1"/>
  <c r="I1490" i="26" a="1"/>
  <c r="I1490" i="26" s="1"/>
  <c r="M1490" i="26" s="1"/>
  <c r="I1494" i="26" a="1"/>
  <c r="I1494" i="26" s="1"/>
  <c r="M1494" i="26" s="1"/>
  <c r="I1498" i="26" a="1"/>
  <c r="I1498" i="26" s="1"/>
  <c r="M1498" i="26" s="1"/>
  <c r="I1565" i="26" a="1"/>
  <c r="I1565" i="26" s="1"/>
  <c r="M1565" i="26" s="1"/>
  <c r="I1584" i="26" a="1"/>
  <c r="I1584" i="26" s="1"/>
  <c r="M1584" i="26" s="1"/>
  <c r="I1581" i="26" a="1"/>
  <c r="I1581" i="26" s="1"/>
  <c r="M1581" i="26" s="1"/>
  <c r="I1582" i="26" a="1"/>
  <c r="I1582" i="26" s="1"/>
  <c r="M1582" i="26" s="1"/>
  <c r="I1646" i="26" a="1"/>
  <c r="I1646" i="26" s="1"/>
  <c r="M1646" i="26" s="1"/>
  <c r="M1624" i="26"/>
  <c r="M1634" i="26"/>
  <c r="I1637" i="26" a="1"/>
  <c r="I1637" i="26" s="1"/>
  <c r="M1637" i="26" s="1"/>
  <c r="M1623" i="26"/>
  <c r="I1424" i="26" a="1"/>
  <c r="I1424" i="26" s="1"/>
  <c r="M1424" i="26" s="1"/>
  <c r="I1187" i="26" a="1"/>
  <c r="I1187" i="26" s="1"/>
  <c r="M1187" i="26" s="1"/>
  <c r="I1506" i="26" a="1"/>
  <c r="I1506" i="26" s="1"/>
  <c r="M1506" i="26" s="1"/>
  <c r="I1274" i="26" a="1"/>
  <c r="I1274" i="26" s="1"/>
  <c r="M1274" i="26" s="1"/>
  <c r="I1226" i="26" a="1"/>
  <c r="I1226" i="26" s="1"/>
  <c r="M1226" i="26" s="1"/>
  <c r="I1331" i="26" a="1"/>
  <c r="I1331" i="26" s="1"/>
  <c r="M1331" i="26" s="1"/>
  <c r="I1185" i="26" a="1"/>
  <c r="I1185" i="26" s="1"/>
  <c r="M1185" i="26" s="1"/>
  <c r="I1578" i="26" a="1"/>
  <c r="I1578" i="26" s="1"/>
  <c r="M1578" i="26" s="1"/>
  <c r="M1621" i="26"/>
  <c r="I1558" i="26" a="1"/>
  <c r="I1558" i="26" s="1"/>
  <c r="M1558" i="26" s="1"/>
  <c r="I1426" i="26" a="1"/>
  <c r="I1426" i="26" s="1"/>
  <c r="M1426" i="26" s="1"/>
  <c r="I1458" i="26" a="1"/>
  <c r="I1458" i="26" s="1"/>
  <c r="M1458" i="26" s="1"/>
  <c r="I1561" i="26" a="1"/>
  <c r="I1561" i="26" s="1"/>
  <c r="M1561" i="26" s="1"/>
  <c r="I1146" i="26" a="1"/>
  <c r="I1146" i="26" s="1"/>
  <c r="M1146" i="26" s="1"/>
  <c r="I1516" i="26" a="1"/>
  <c r="I1516" i="26" s="1"/>
  <c r="M1516" i="26" s="1"/>
  <c r="I1319" i="26" a="1"/>
  <c r="I1319" i="26" s="1"/>
  <c r="M1319" i="26" s="1"/>
  <c r="I1417" i="26" a="1"/>
  <c r="I1417" i="26" s="1"/>
  <c r="M1417" i="26" s="1"/>
  <c r="I1158" i="26" a="1"/>
  <c r="I1158" i="26" s="1"/>
  <c r="M1158" i="26" s="1"/>
  <c r="I1511" i="26" a="1"/>
  <c r="I1511" i="26" s="1"/>
  <c r="M1511" i="26" s="1"/>
  <c r="I1466" i="26" a="1"/>
  <c r="I1466" i="26" s="1"/>
  <c r="M1466" i="26" s="1"/>
  <c r="I1462" i="26" a="1"/>
  <c r="I1462" i="26" s="1"/>
  <c r="M1462" i="26" s="1"/>
  <c r="I1472" i="26" a="1"/>
  <c r="I1472" i="26" s="1"/>
  <c r="M1472" i="26" s="1"/>
  <c r="I1522" i="26" a="1"/>
  <c r="I1522" i="26" s="1"/>
  <c r="M1522" i="26" s="1"/>
  <c r="I1468" i="26" a="1"/>
  <c r="I1468" i="26" s="1"/>
  <c r="M1468" i="26" s="1"/>
  <c r="I1603" i="26" a="1"/>
  <c r="I1603" i="26" s="1"/>
  <c r="M1603" i="26" s="1"/>
  <c r="I1601" i="26" a="1"/>
  <c r="I1601" i="26" s="1"/>
  <c r="M1180" i="26"/>
  <c r="I1526" i="26" a="1"/>
  <c r="I1526" i="26" s="1"/>
  <c r="M1526" i="26" s="1"/>
  <c r="I1570" i="26" a="1"/>
  <c r="I1570" i="26" s="1"/>
  <c r="M1570" i="26" s="1"/>
  <c r="I1575" i="26" a="1"/>
  <c r="I1575" i="26" s="1"/>
  <c r="M1575" i="26" s="1"/>
  <c r="I1572" i="26" a="1"/>
  <c r="I1572" i="26" s="1"/>
  <c r="M1572" i="26" s="1"/>
  <c r="I1574" i="26" a="1"/>
  <c r="I1574" i="26" s="1"/>
  <c r="M1574" i="26" s="1"/>
  <c r="I1579" i="26" a="1"/>
  <c r="I1579" i="26" s="1"/>
  <c r="M1579" i="26" s="1"/>
  <c r="I1454" i="26" a="1"/>
  <c r="I1454" i="26" s="1"/>
  <c r="M1454" i="26" s="1"/>
  <c r="I1577" i="26" a="1"/>
  <c r="I1577" i="26" s="1"/>
  <c r="M1577" i="26" s="1"/>
  <c r="I1189" i="26" a="1"/>
  <c r="I1189" i="26" s="1"/>
  <c r="M1189" i="26" s="1"/>
  <c r="I1276" i="26" a="1"/>
  <c r="I1276" i="26" s="1"/>
  <c r="M1276" i="26" s="1"/>
  <c r="I1476" i="26" a="1"/>
  <c r="I1476" i="26" s="1"/>
  <c r="M1476" i="26" s="1"/>
  <c r="I1434" i="26" a="1"/>
  <c r="I1434" i="26" s="1"/>
  <c r="M1434" i="26" s="1"/>
  <c r="I1391" i="26" a="1"/>
  <c r="I1391" i="26" s="1"/>
  <c r="M1391" i="26" s="1"/>
  <c r="I1470" i="26" a="1"/>
  <c r="I1470" i="26" s="1"/>
  <c r="M1470" i="26" s="1"/>
  <c r="I1554" i="26" a="1"/>
  <c r="I1554" i="26" s="1"/>
  <c r="M1554" i="26" s="1"/>
  <c r="I1530" i="26" a="1"/>
  <c r="I1530" i="26" s="1"/>
  <c r="M1530" i="26" s="1"/>
  <c r="I1548" i="26" a="1"/>
  <c r="I1548" i="26" s="1"/>
  <c r="M1548" i="26" s="1"/>
  <c r="N33" i="27"/>
  <c r="I1043" i="26" a="1"/>
  <c r="I1043" i="26" s="1"/>
  <c r="M1043" i="26" s="1"/>
  <c r="I1046" i="26" a="1"/>
  <c r="I1046" i="26" s="1"/>
  <c r="M1046" i="26" s="1"/>
  <c r="I1082" i="26" a="1"/>
  <c r="I1082" i="26" s="1"/>
  <c r="M1082" i="26" s="1"/>
  <c r="I1148" i="26" a="1"/>
  <c r="I1148" i="26" s="1"/>
  <c r="M1148" i="26" s="1"/>
  <c r="M1181" i="26"/>
  <c r="I1152" i="26" a="1"/>
  <c r="I1152" i="26" s="1"/>
  <c r="M1152" i="26" s="1"/>
  <c r="I1227" i="26" a="1"/>
  <c r="I1227" i="26" s="1"/>
  <c r="M1227" i="26" s="1"/>
  <c r="I1280" i="26" a="1"/>
  <c r="I1280" i="26" s="1"/>
  <c r="M1280" i="26" s="1"/>
  <c r="I1247" i="26" a="1"/>
  <c r="I1247" i="26" s="1"/>
  <c r="M1247" i="26" s="1"/>
  <c r="I1260" i="26" a="1"/>
  <c r="I1260" i="26" s="1"/>
  <c r="M1260" i="26" s="1"/>
  <c r="I1262" i="26" a="1"/>
  <c r="I1262" i="26" s="1"/>
  <c r="M1262" i="26" s="1"/>
  <c r="I1313" i="26" a="1"/>
  <c r="I1313" i="26" s="1"/>
  <c r="M1313" i="26" s="1"/>
  <c r="I1406" i="26" a="1"/>
  <c r="I1406" i="26" s="1"/>
  <c r="M1406" i="26" s="1"/>
  <c r="I1363" i="26" a="1"/>
  <c r="I1363" i="26" s="1"/>
  <c r="M1363" i="26" s="1"/>
  <c r="I1407" i="26" a="1"/>
  <c r="I1407" i="26" s="1"/>
  <c r="M1407" i="26" s="1"/>
  <c r="I1349" i="26" a="1"/>
  <c r="I1349" i="26" s="1"/>
  <c r="M1349" i="26" s="1"/>
  <c r="I1411" i="26" a="1"/>
  <c r="I1411" i="26" s="1"/>
  <c r="M1411" i="26" s="1"/>
  <c r="I1412" i="26" a="1"/>
  <c r="I1412" i="26" s="1"/>
  <c r="M1412" i="26" s="1"/>
  <c r="I1422" i="26" a="1"/>
  <c r="I1422" i="26" s="1"/>
  <c r="M1422" i="26" s="1"/>
  <c r="I1453" i="26" a="1"/>
  <c r="I1453" i="26" s="1"/>
  <c r="M1453" i="26" s="1"/>
  <c r="I1482" i="26" a="1"/>
  <c r="I1482" i="26" s="1"/>
  <c r="M1482" i="26" s="1"/>
  <c r="I1479" i="26" a="1"/>
  <c r="I1479" i="26" s="1"/>
  <c r="M1479" i="26" s="1"/>
  <c r="I1390" i="26" a="1"/>
  <c r="I1390" i="26" s="1"/>
  <c r="M1390" i="26" s="1"/>
  <c r="I1433" i="26" a="1"/>
  <c r="I1433" i="26" s="1"/>
  <c r="M1433" i="26" s="1"/>
  <c r="I1428" i="26" a="1"/>
  <c r="I1428" i="26" s="1"/>
  <c r="M1428" i="26" s="1"/>
  <c r="I1436" i="26" a="1"/>
  <c r="I1436" i="26" s="1"/>
  <c r="M1436" i="26" s="1"/>
  <c r="I1427" i="26" a="1"/>
  <c r="I1427" i="26" s="1"/>
  <c r="M1427" i="26" s="1"/>
  <c r="I1430" i="26" a="1"/>
  <c r="I1430" i="26" s="1"/>
  <c r="M1430" i="26" s="1"/>
  <c r="I1459" i="26" a="1"/>
  <c r="I1459" i="26" s="1"/>
  <c r="M1459" i="26" s="1"/>
  <c r="I1566" i="26" a="1"/>
  <c r="I1566" i="26" s="1"/>
  <c r="M1566" i="26" s="1"/>
  <c r="I1543" i="26" a="1"/>
  <c r="I1543" i="26" s="1"/>
  <c r="M1543" i="26" s="1"/>
  <c r="I1493" i="26" a="1"/>
  <c r="I1493" i="26" s="1"/>
  <c r="M1493" i="26" s="1"/>
  <c r="I1573" i="26" a="1"/>
  <c r="I1573" i="26" s="1"/>
  <c r="M1573" i="26" s="1"/>
  <c r="I1525" i="26" a="1"/>
  <c r="I1525" i="26" s="1"/>
  <c r="M1525" i="26" s="1"/>
  <c r="I1580" i="26" a="1"/>
  <c r="I1580" i="26" s="1"/>
  <c r="M1580" i="26" s="1"/>
  <c r="M1616" i="26"/>
  <c r="I1638" i="26" a="1"/>
  <c r="I1638" i="26" s="1"/>
  <c r="M1638" i="26" s="1"/>
  <c r="I1592" i="26" a="1"/>
  <c r="I1592" i="26" s="1"/>
  <c r="M1592" i="26" s="1"/>
  <c r="M1611" i="26"/>
  <c r="I1645" i="26" a="1"/>
  <c r="I1645" i="26" s="1"/>
  <c r="M1645" i="26" s="1"/>
  <c r="I1144" i="26" a="1"/>
  <c r="I1144" i="26" s="1"/>
  <c r="M1144" i="26" s="1"/>
  <c r="I1395" i="26" a="1"/>
  <c r="I1395" i="26" s="1"/>
  <c r="M1395" i="26" s="1"/>
  <c r="I1550" i="26" a="1"/>
  <c r="I1550" i="26" s="1"/>
  <c r="M1550" i="26" s="1"/>
  <c r="I1569" i="26" a="1"/>
  <c r="I1569" i="26" s="1"/>
  <c r="M1569" i="26" s="1"/>
  <c r="I1240" i="26" a="1"/>
  <c r="I1240" i="26" s="1"/>
  <c r="M1240" i="26" s="1"/>
  <c r="I1099" i="26" a="1"/>
  <c r="I1099" i="26" s="1"/>
  <c r="M1099" i="26" s="1"/>
  <c r="I1120" i="26" a="1"/>
  <c r="I1120" i="26" s="1"/>
  <c r="M1120" i="26" s="1"/>
  <c r="I1229" i="26" a="1"/>
  <c r="I1229" i="26" s="1"/>
  <c r="M1229" i="26" s="1"/>
  <c r="I1138" i="26" a="1"/>
  <c r="I1138" i="26" s="1"/>
  <c r="M1138" i="26" s="1"/>
  <c r="I1216" i="26" a="1"/>
  <c r="I1216" i="26" s="1"/>
  <c r="I16" i="15" s="1"/>
  <c r="O16" i="15" s="1"/>
  <c r="I1211" i="26" a="1"/>
  <c r="I1211" i="26" s="1"/>
  <c r="M1211" i="26" s="1"/>
  <c r="I1255" i="26" a="1"/>
  <c r="I1255" i="26" s="1"/>
  <c r="M1182" i="26"/>
  <c r="I1243" i="26" a="1"/>
  <c r="I1243" i="26" s="1"/>
  <c r="M1243" i="26" s="1"/>
  <c r="I1127" i="26" a="1"/>
  <c r="I1127" i="26" s="1"/>
  <c r="M1127" i="26" s="1"/>
  <c r="I1230" i="26" a="1"/>
  <c r="I1230" i="26" s="1"/>
  <c r="M1230" i="26" s="1"/>
  <c r="I1296" i="26" a="1"/>
  <c r="I1296" i="26" s="1"/>
  <c r="M1296" i="26" s="1"/>
  <c r="I1249" i="26" a="1"/>
  <c r="I1249" i="26" s="1"/>
  <c r="M1249" i="26" s="1"/>
  <c r="I1238" i="26" a="1"/>
  <c r="I1238" i="26" s="1"/>
  <c r="M1238" i="26" s="1"/>
  <c r="I1190" i="26" a="1"/>
  <c r="I1190" i="26" s="1"/>
  <c r="M1190" i="26" s="1"/>
  <c r="I1263" i="26" a="1"/>
  <c r="I1263" i="26" s="1"/>
  <c r="M1263" i="26" s="1"/>
  <c r="I1186" i="26" a="1"/>
  <c r="I1186" i="26" s="1"/>
  <c r="M1186" i="26" s="1"/>
  <c r="I1326" i="26" a="1"/>
  <c r="I1326" i="26" s="1"/>
  <c r="M1326" i="26" s="1"/>
  <c r="I1382" i="26" a="1"/>
  <c r="I1382" i="26" s="1"/>
  <c r="M1382" i="26" s="1"/>
  <c r="I1416" i="26" a="1"/>
  <c r="I1416" i="26" s="1"/>
  <c r="M1416" i="26" s="1"/>
  <c r="I1283" i="26" a="1"/>
  <c r="I1283" i="26" s="1"/>
  <c r="M1283" i="26" s="1"/>
  <c r="I1376" i="26" a="1"/>
  <c r="I1376" i="26" s="1"/>
  <c r="M1376" i="26" s="1"/>
  <c r="I1279" i="26" a="1"/>
  <c r="I1279" i="26" s="1"/>
  <c r="M1279" i="26" s="1"/>
  <c r="I1335" i="26" a="1"/>
  <c r="I1335" i="26" s="1"/>
  <c r="M1335" i="26" s="1"/>
  <c r="I1370" i="26" a="1"/>
  <c r="I1370" i="26" s="1"/>
  <c r="M1370" i="26" s="1"/>
  <c r="I1413" i="26" a="1"/>
  <c r="I1413" i="26" s="1"/>
  <c r="M1413" i="26" s="1"/>
  <c r="I1325" i="26" a="1"/>
  <c r="I1325" i="26" s="1"/>
  <c r="M1325" i="26" s="1"/>
  <c r="I1322" i="26" a="1"/>
  <c r="I1322" i="26" s="1"/>
  <c r="M1322" i="26" s="1"/>
  <c r="I1333" i="26" a="1"/>
  <c r="I1333" i="26" s="1"/>
  <c r="M1333" i="26" s="1"/>
  <c r="I1321" i="26" a="1"/>
  <c r="I1321" i="26" s="1"/>
  <c r="M1321" i="26" s="1"/>
  <c r="I1329" i="26" a="1"/>
  <c r="I1329" i="26" s="1"/>
  <c r="M1329" i="26" s="1"/>
  <c r="I1414" i="26" a="1"/>
  <c r="I1414" i="26" s="1"/>
  <c r="M1414" i="26" s="1"/>
  <c r="I1356" i="26" a="1"/>
  <c r="I1356" i="26" s="1"/>
  <c r="M1356" i="26" s="1"/>
  <c r="I1353" i="26" a="1"/>
  <c r="I1353" i="26" s="1"/>
  <c r="M1353" i="26" s="1"/>
  <c r="I1415" i="26" a="1"/>
  <c r="I1415" i="26" s="1"/>
  <c r="M1415" i="26" s="1"/>
  <c r="I1302" i="26" a="1"/>
  <c r="I1302" i="26" s="1"/>
  <c r="M1302" i="26" s="1"/>
  <c r="I1301" i="26" a="1"/>
  <c r="I1301" i="26" s="1"/>
  <c r="M1301" i="26" s="1"/>
  <c r="I1309" i="26" a="1"/>
  <c r="I1309" i="26" s="1"/>
  <c r="M1309" i="26" s="1"/>
  <c r="I1419" i="26" a="1"/>
  <c r="I1419" i="26" s="1"/>
  <c r="M1419" i="26" s="1"/>
  <c r="I1486" i="26" a="1"/>
  <c r="I1486" i="26" s="1"/>
  <c r="M1486" i="26" s="1"/>
  <c r="I1483" i="26" a="1"/>
  <c r="I1483" i="26" s="1"/>
  <c r="M1483" i="26" s="1"/>
  <c r="I1463" i="26" a="1"/>
  <c r="I1463" i="26" s="1"/>
  <c r="M1463" i="26" s="1"/>
  <c r="I1441" i="26" a="1"/>
  <c r="I1441" i="26" s="1"/>
  <c r="M1441" i="26" s="1"/>
  <c r="I1408" i="26" a="1"/>
  <c r="I1408" i="26" s="1"/>
  <c r="M1408" i="26" s="1"/>
  <c r="I1520" i="26" a="1"/>
  <c r="I1520" i="26" s="1"/>
  <c r="M1520" i="26" s="1"/>
  <c r="I1531" i="26" a="1"/>
  <c r="I1531" i="26" s="1"/>
  <c r="M1531" i="26" s="1"/>
  <c r="I1539" i="26" a="1"/>
  <c r="I1539" i="26" s="1"/>
  <c r="M1539" i="26" s="1"/>
  <c r="I1533" i="26" a="1"/>
  <c r="I1533" i="26" s="1"/>
  <c r="M1533" i="26" s="1"/>
  <c r="M1622" i="26"/>
  <c r="M1625" i="26"/>
  <c r="M1633" i="26"/>
  <c r="M1629" i="26"/>
  <c r="M1635" i="26"/>
  <c r="M1610" i="26"/>
  <c r="I1640" i="26" a="1"/>
  <c r="I1640" i="26" s="1"/>
  <c r="M1640" i="26" s="1"/>
  <c r="M1618" i="26"/>
  <c r="I1647" i="26" a="1"/>
  <c r="I1647" i="26" s="1"/>
  <c r="M1647" i="26" s="1"/>
  <c r="I1252" i="26" a="1"/>
  <c r="I1252" i="26" s="1"/>
  <c r="M1252" i="26" s="1"/>
  <c r="I1375" i="26" a="1"/>
  <c r="I1375" i="26" s="1"/>
  <c r="M1375" i="26" s="1"/>
  <c r="I1420" i="26" a="1"/>
  <c r="I1420" i="26" s="1"/>
  <c r="M1420" i="26" s="1"/>
  <c r="I1128" i="26" a="1"/>
  <c r="I1128" i="26" s="1"/>
  <c r="M1128" i="26" s="1"/>
  <c r="I1242" i="26" a="1"/>
  <c r="I1242" i="26" s="1"/>
  <c r="M1242" i="26" s="1"/>
  <c r="I1452" i="26" a="1"/>
  <c r="I1452" i="26" s="1"/>
  <c r="M1452" i="26" s="1"/>
  <c r="I1510" i="26" a="1"/>
  <c r="I1510" i="26" s="1"/>
  <c r="M1510" i="26" s="1"/>
  <c r="I1399" i="26" a="1"/>
  <c r="I1399" i="26" s="1"/>
  <c r="M1399" i="26" s="1"/>
  <c r="I1289" i="26" a="1"/>
  <c r="I1289" i="26" s="1"/>
  <c r="M1289" i="26" s="1"/>
  <c r="I1450" i="26" a="1"/>
  <c r="I1450" i="26" s="1"/>
  <c r="M1450" i="26" s="1"/>
  <c r="AG20" i="27"/>
  <c r="I1053" i="26" a="1"/>
  <c r="I1053" i="26" s="1"/>
  <c r="M1053" i="26" s="1"/>
  <c r="I1101" i="26" a="1"/>
  <c r="I1101" i="26" s="1"/>
  <c r="M1101" i="26" s="1"/>
  <c r="I1098" i="26" a="1"/>
  <c r="I1098" i="26" s="1"/>
  <c r="M1098" i="26" s="1"/>
  <c r="I1245" i="26" a="1"/>
  <c r="I1245" i="26" s="1"/>
  <c r="M1245" i="26" s="1"/>
  <c r="I1271" i="26" a="1"/>
  <c r="I1271" i="26" s="1"/>
  <c r="M1271" i="26" s="1"/>
  <c r="I1259" i="26" a="1"/>
  <c r="I1259" i="26" s="1"/>
  <c r="M1259" i="26" s="1"/>
  <c r="M1174" i="26"/>
  <c r="M1176" i="26"/>
  <c r="I1231" i="26" a="1"/>
  <c r="I1231" i="26" s="1"/>
  <c r="M1231" i="26" s="1"/>
  <c r="I1300" i="26" a="1"/>
  <c r="I1300" i="26" s="1"/>
  <c r="M1300" i="26" s="1"/>
  <c r="I1273" i="26" a="1"/>
  <c r="I1273" i="26" s="1"/>
  <c r="M1273" i="26" s="1"/>
  <c r="I1214" i="26" a="1"/>
  <c r="I1214" i="26" s="1"/>
  <c r="M1214" i="26" s="1"/>
  <c r="I1269" i="26" a="1"/>
  <c r="I1269" i="26" s="1"/>
  <c r="M1269" i="26" s="1"/>
  <c r="I1270" i="26" a="1"/>
  <c r="I1270" i="26" s="1"/>
  <c r="M1270" i="26" s="1"/>
  <c r="I1350" i="26" a="1"/>
  <c r="I1350" i="26" s="1"/>
  <c r="M1350" i="26" s="1"/>
  <c r="I1339" i="26" a="1"/>
  <c r="I1339" i="26" s="1"/>
  <c r="M1339" i="26" s="1"/>
  <c r="I1373" i="26" a="1"/>
  <c r="I1373" i="26" s="1"/>
  <c r="M1373" i="26" s="1"/>
  <c r="I1367" i="26" a="1"/>
  <c r="I1367" i="26" s="1"/>
  <c r="M1367" i="26" s="1"/>
  <c r="I1364" i="26" a="1"/>
  <c r="I1364" i="26" s="1"/>
  <c r="M1364" i="26" s="1"/>
  <c r="I1336" i="26" a="1"/>
  <c r="I1336" i="26" s="1"/>
  <c r="M1336" i="26" s="1"/>
  <c r="I1360" i="26" a="1"/>
  <c r="I1360" i="26" s="1"/>
  <c r="M1360" i="26" s="1"/>
  <c r="I1368" i="26" a="1"/>
  <c r="I1368" i="26" s="1"/>
  <c r="M1368" i="26" s="1"/>
  <c r="I1357" i="26" a="1"/>
  <c r="I1357" i="26" s="1"/>
  <c r="M1357" i="26" s="1"/>
  <c r="I1418" i="26" a="1"/>
  <c r="I1418" i="26" s="1"/>
  <c r="M1418" i="26" s="1"/>
  <c r="I1429" i="26" a="1"/>
  <c r="I1429" i="26" s="1"/>
  <c r="M1429" i="26" s="1"/>
  <c r="I1461" i="26" a="1"/>
  <c r="I1461" i="26" s="1"/>
  <c r="M1461" i="26" s="1"/>
  <c r="I1487" i="26" a="1"/>
  <c r="I1487" i="26" s="1"/>
  <c r="M1487" i="26" s="1"/>
  <c r="I1449" i="26" a="1"/>
  <c r="I1449" i="26" s="1"/>
  <c r="M1449" i="26" s="1"/>
  <c r="I1435" i="26" a="1"/>
  <c r="I1435" i="26" s="1"/>
  <c r="M1435" i="26" s="1"/>
  <c r="I1467" i="26" a="1"/>
  <c r="I1467" i="26" s="1"/>
  <c r="M1467" i="26" s="1"/>
  <c r="I1500" i="26" a="1"/>
  <c r="I1500" i="26" s="1"/>
  <c r="M1500" i="26" s="1"/>
  <c r="I1576" i="26" a="1"/>
  <c r="I1576" i="26" s="1"/>
  <c r="M1576" i="26" s="1"/>
  <c r="I1537" i="26" a="1"/>
  <c r="I1537" i="26" s="1"/>
  <c r="M1537" i="26" s="1"/>
  <c r="I1484" i="26" a="1"/>
  <c r="I1484" i="26" s="1"/>
  <c r="M1484" i="26" s="1"/>
  <c r="I1477" i="26" a="1"/>
  <c r="I1477" i="26" s="1"/>
  <c r="M1477" i="26" s="1"/>
  <c r="I1549" i="26" a="1"/>
  <c r="I1549" i="26" s="1"/>
  <c r="M1549" i="26" s="1"/>
  <c r="I1590" i="26" a="1"/>
  <c r="I1590" i="26" s="1"/>
  <c r="M1590" i="26" s="1"/>
  <c r="M1636" i="26"/>
  <c r="I1642" i="26" a="1"/>
  <c r="I1642" i="26" s="1"/>
  <c r="M1608" i="26"/>
  <c r="M1627" i="26"/>
  <c r="M1615" i="26"/>
  <c r="I1649" i="26" a="1"/>
  <c r="I1649" i="26" s="1"/>
  <c r="M1649" i="26" s="1"/>
  <c r="M1631" i="26"/>
  <c r="M1619" i="26"/>
  <c r="I1508" i="26" a="1"/>
  <c r="I1508" i="26" s="1"/>
  <c r="M1508" i="26" s="1"/>
  <c r="I1480" i="26" a="1"/>
  <c r="I1480" i="26" s="1"/>
  <c r="M1480" i="26" s="1"/>
  <c r="I1369" i="26" a="1"/>
  <c r="I1369" i="26" s="1"/>
  <c r="M1369" i="26" s="1"/>
  <c r="I1327" i="26" a="1"/>
  <c r="I1327" i="26" s="1"/>
  <c r="M1327" i="26" s="1"/>
  <c r="I1272" i="26" a="1"/>
  <c r="I1272" i="26" s="1"/>
  <c r="M1272" i="26" s="1"/>
  <c r="I1448" i="26" a="1"/>
  <c r="I1448" i="26" s="1"/>
  <c r="M1448" i="26" s="1"/>
  <c r="I1266" i="26" a="1"/>
  <c r="I1266" i="26" s="1"/>
  <c r="M1266" i="26" s="1"/>
  <c r="I1567" i="26" a="1"/>
  <c r="I1567" i="26" s="1"/>
  <c r="M1567" i="26" s="1"/>
  <c r="I1432" i="26" a="1"/>
  <c r="I1432" i="26" s="1"/>
  <c r="M1432" i="26" s="1"/>
  <c r="I1464" i="26" a="1"/>
  <c r="I1464" i="26" s="1"/>
  <c r="M1464" i="26" s="1"/>
  <c r="I1564" i="26" a="1"/>
  <c r="I1564" i="26" s="1"/>
  <c r="M1564" i="26" s="1"/>
  <c r="I1557" i="26" a="1"/>
  <c r="I1557" i="26" s="1"/>
  <c r="M1557" i="26" s="1"/>
  <c r="N47" i="15"/>
  <c r="N40" i="15"/>
  <c r="AF48" i="15"/>
  <c r="N48" i="15"/>
  <c r="AF46" i="15"/>
  <c r="N46" i="15"/>
  <c r="AF45" i="15"/>
  <c r="N45" i="15"/>
  <c r="N37" i="15"/>
  <c r="N41" i="15"/>
  <c r="N43" i="15"/>
  <c r="AF31" i="15"/>
  <c r="N38" i="15"/>
  <c r="N27" i="15"/>
  <c r="AF28" i="15"/>
  <c r="AF24" i="15"/>
  <c r="N26" i="15"/>
  <c r="N36" i="15"/>
  <c r="AF36" i="15"/>
  <c r="N34" i="15"/>
  <c r="AF34" i="15"/>
  <c r="N30" i="15"/>
  <c r="AF30" i="15"/>
  <c r="N29" i="15"/>
  <c r="AF29" i="15"/>
  <c r="N23" i="15"/>
  <c r="AF25" i="15"/>
  <c r="N25" i="15"/>
  <c r="N21" i="15"/>
  <c r="N20" i="15"/>
  <c r="N19" i="15"/>
  <c r="N18" i="15"/>
  <c r="AF22" i="15"/>
  <c r="N22" i="15"/>
  <c r="N13" i="15"/>
  <c r="N14" i="15"/>
  <c r="N16" i="15"/>
  <c r="N8" i="15"/>
  <c r="AF5" i="15"/>
  <c r="AF6" i="15"/>
  <c r="N17" i="15"/>
  <c r="AF17" i="15"/>
  <c r="N12" i="15"/>
  <c r="AF12" i="15"/>
  <c r="I1084" i="26" a="1"/>
  <c r="I1084" i="26" s="1"/>
  <c r="M1084" i="26" s="1"/>
  <c r="I1154" i="26" a="1"/>
  <c r="I1154" i="26" s="1"/>
  <c r="M1154" i="26" s="1"/>
  <c r="I1077" i="26" a="1"/>
  <c r="I1077" i="26" s="1"/>
  <c r="M1077" i="26" s="1"/>
  <c r="I1115" i="26" a="1"/>
  <c r="I1115" i="26" s="1"/>
  <c r="M1115" i="26" s="1"/>
  <c r="I1170" i="26" a="1"/>
  <c r="I1170" i="26" s="1"/>
  <c r="M1170" i="26" s="1"/>
  <c r="I1164" i="26" a="1"/>
  <c r="I1164" i="26" s="1"/>
  <c r="M1164" i="26" s="1"/>
  <c r="I1160" i="26" a="1"/>
  <c r="I1160" i="26" s="1"/>
  <c r="M1160" i="26" s="1"/>
  <c r="I1118" i="26" a="1"/>
  <c r="I1118" i="26" s="1"/>
  <c r="M1118" i="26" s="1"/>
  <c r="I1109" i="26" a="1"/>
  <c r="I1109" i="26" s="1"/>
  <c r="M1109" i="26" s="1"/>
  <c r="I1107" i="26" a="1"/>
  <c r="I1107" i="26" s="1"/>
  <c r="M1107" i="26" s="1"/>
  <c r="I1114" i="26" a="1"/>
  <c r="I1114" i="26" s="1"/>
  <c r="I8" i="15" s="1"/>
  <c r="O8" i="15" s="1"/>
  <c r="I1113" i="26" a="1"/>
  <c r="I1113" i="26" s="1"/>
  <c r="M1113" i="26" s="1"/>
  <c r="I1151" i="26" a="1"/>
  <c r="I1151" i="26" s="1"/>
  <c r="M1151" i="26" s="1"/>
  <c r="I1079" i="26" a="1"/>
  <c r="I1079" i="26" s="1"/>
  <c r="M1079" i="26" s="1"/>
  <c r="I1075" i="26" a="1"/>
  <c r="I1075" i="26" s="1"/>
  <c r="M1075" i="26" s="1"/>
  <c r="I1167" i="26" a="1"/>
  <c r="I1167" i="26" s="1"/>
  <c r="M1167" i="26" s="1"/>
  <c r="I1165" i="26" a="1"/>
  <c r="I1165" i="26" s="1"/>
  <c r="M1165" i="26" s="1"/>
  <c r="I1068" i="26" a="1"/>
  <c r="I1068" i="26" s="1"/>
  <c r="M1068" i="26" s="1"/>
  <c r="I1073" i="26" a="1"/>
  <c r="I1073" i="26" s="1"/>
  <c r="M1073" i="26" s="1"/>
  <c r="I1076" i="26" a="1"/>
  <c r="I1076" i="26" s="1"/>
  <c r="M1076" i="26" s="1"/>
  <c r="I1085" i="26" a="1"/>
  <c r="I1085" i="26" s="1"/>
  <c r="M1085" i="26" s="1"/>
  <c r="I1147" i="26" a="1"/>
  <c r="I1147" i="26" s="1"/>
  <c r="I1149" i="26" a="1"/>
  <c r="I1149" i="26" s="1"/>
  <c r="M1149" i="26" s="1"/>
  <c r="I1140" i="26" a="1"/>
  <c r="I1140" i="26" s="1"/>
  <c r="M1140" i="26" s="1"/>
  <c r="I1142" i="26" a="1"/>
  <c r="I1142" i="26" s="1"/>
  <c r="M1142" i="26" s="1"/>
  <c r="I1072" i="26" a="1"/>
  <c r="I1072" i="26" s="1"/>
  <c r="M1072" i="26" s="1"/>
  <c r="I1119" i="26" a="1"/>
  <c r="I1119" i="26" s="1"/>
  <c r="M1119" i="26" s="1"/>
  <c r="I1123" i="26" a="1"/>
  <c r="I1123" i="26" s="1"/>
  <c r="M1123" i="26" s="1"/>
  <c r="I1153" i="26" a="1"/>
  <c r="I1153" i="26" s="1"/>
  <c r="M1153" i="26" s="1"/>
  <c r="AF7" i="15"/>
  <c r="N7" i="15"/>
  <c r="I1126" i="26" a="1"/>
  <c r="I1126" i="26" s="1"/>
  <c r="M1126" i="26" s="1"/>
  <c r="I1155" i="26" a="1"/>
  <c r="I1155" i="26" s="1"/>
  <c r="M1155" i="26" s="1"/>
  <c r="I1080" i="26" a="1"/>
  <c r="I1080" i="26" s="1"/>
  <c r="M1080" i="26" s="1"/>
  <c r="N9" i="15"/>
  <c r="AF9" i="15"/>
  <c r="K696" i="26"/>
  <c r="I917" i="26" a="1"/>
  <c r="I917" i="26" s="1"/>
  <c r="M917" i="26" s="1"/>
  <c r="O684" i="26"/>
  <c r="O692" i="26"/>
  <c r="K695" i="26"/>
  <c r="I949" i="26" a="1"/>
  <c r="I949" i="26" s="1"/>
  <c r="AI27" i="27" s="1"/>
  <c r="AL27" i="27" s="1"/>
  <c r="I943" i="26" a="1"/>
  <c r="I943" i="26" s="1"/>
  <c r="M943" i="26" s="1"/>
  <c r="M1606" i="26"/>
  <c r="M1593" i="26"/>
  <c r="O686" i="26"/>
  <c r="K694" i="26"/>
  <c r="I873" i="26" a="1"/>
  <c r="I873" i="26" s="1"/>
  <c r="M873" i="26" s="1"/>
  <c r="I1039" i="26" a="1"/>
  <c r="I1039" i="26" s="1"/>
  <c r="M1039" i="26" s="1"/>
  <c r="I1131" i="26" a="1"/>
  <c r="I1131" i="26" s="1"/>
  <c r="M1131" i="26" s="1"/>
  <c r="I1159" i="26" a="1"/>
  <c r="I1159" i="26" s="1"/>
  <c r="M1159" i="26" s="1"/>
  <c r="I1069" i="26" a="1"/>
  <c r="I1069" i="26" s="1"/>
  <c r="M1069" i="26" s="1"/>
  <c r="M1172" i="26"/>
  <c r="I1130" i="26" a="1"/>
  <c r="I1130" i="26" s="1"/>
  <c r="M1178" i="26"/>
  <c r="I1108" i="26" a="1"/>
  <c r="I1108" i="26" s="1"/>
  <c r="M1108" i="26" s="1"/>
  <c r="I1135" i="26" a="1"/>
  <c r="I1135" i="26" s="1"/>
  <c r="M1135" i="26" s="1"/>
  <c r="AF4" i="15"/>
  <c r="I1171" i="26" a="1"/>
  <c r="I1171" i="26" s="1"/>
  <c r="M1171" i="26" s="1"/>
  <c r="N11" i="15"/>
  <c r="AF11" i="15"/>
  <c r="I1169" i="26" a="1"/>
  <c r="I1169" i="26" s="1"/>
  <c r="M1169" i="26" s="1"/>
  <c r="I1078" i="26" a="1"/>
  <c r="I1078" i="26" s="1"/>
  <c r="M1078" i="26" s="1"/>
  <c r="I1137" i="26" a="1"/>
  <c r="I1137" i="26" s="1"/>
  <c r="M1137" i="26" s="1"/>
  <c r="I1102" i="26" a="1"/>
  <c r="I1102" i="26" s="1"/>
  <c r="M1102" i="26" s="1"/>
  <c r="I1096" i="26" a="1"/>
  <c r="I1096" i="26" s="1"/>
  <c r="M1096" i="26" s="1"/>
  <c r="M1175" i="26"/>
  <c r="I1074" i="26" a="1"/>
  <c r="I1074" i="26" s="1"/>
  <c r="M1074" i="26" s="1"/>
  <c r="I1133" i="26" a="1"/>
  <c r="I1133" i="26" s="1"/>
  <c r="I1095" i="26" a="1"/>
  <c r="I1095" i="26" s="1"/>
  <c r="M1095" i="26" s="1"/>
  <c r="I1124" i="26" a="1"/>
  <c r="I1124" i="26" s="1"/>
  <c r="M1124" i="26" s="1"/>
  <c r="I1162" i="26" a="1"/>
  <c r="I1162" i="26" s="1"/>
  <c r="M1162" i="26" s="1"/>
  <c r="I963" i="26" a="1"/>
  <c r="I963" i="26" s="1"/>
  <c r="M963" i="26" s="1"/>
  <c r="K687" i="26"/>
  <c r="AH8" i="15"/>
  <c r="AK8" i="15" s="1"/>
  <c r="O685" i="26"/>
  <c r="I899" i="26" a="1"/>
  <c r="I899" i="26" s="1"/>
  <c r="M899" i="26" s="1"/>
  <c r="I1044" i="26" a="1"/>
  <c r="I1044" i="26" s="1"/>
  <c r="M1044" i="26" s="1"/>
  <c r="I1094" i="26" a="1"/>
  <c r="I1094" i="26" s="1"/>
  <c r="M1094" i="26" s="1"/>
  <c r="I1067" i="26" a="1"/>
  <c r="I1067" i="26" s="1"/>
  <c r="M1067" i="26" s="1"/>
  <c r="I1112" i="26" a="1"/>
  <c r="I1112" i="26" s="1"/>
  <c r="M1179" i="26"/>
  <c r="AF10" i="15"/>
  <c r="N10" i="15"/>
  <c r="K688" i="26"/>
  <c r="I885" i="26" a="1"/>
  <c r="I885" i="26" s="1"/>
  <c r="M885" i="26" s="1"/>
  <c r="I990" i="26" a="1"/>
  <c r="I990" i="26" s="1"/>
  <c r="M990" i="26" s="1"/>
  <c r="I913" i="26" a="1"/>
  <c r="I913" i="26" s="1"/>
  <c r="M913" i="26" s="1"/>
  <c r="I1051" i="26" a="1"/>
  <c r="I1051" i="26" s="1"/>
  <c r="M1051" i="26" s="1"/>
  <c r="I1070" i="26" a="1"/>
  <c r="I1070" i="26" s="1"/>
  <c r="M1070" i="26" s="1"/>
  <c r="I1122" i="26" a="1"/>
  <c r="I1122" i="26" s="1"/>
  <c r="M1122" i="26" s="1"/>
  <c r="M1062" i="26"/>
  <c r="M1059" i="26"/>
  <c r="M1090" i="26"/>
  <c r="M1087" i="26"/>
  <c r="M1086" i="26"/>
  <c r="AG22" i="27"/>
  <c r="N22" i="27"/>
  <c r="M1092" i="26"/>
  <c r="M1091" i="26"/>
  <c r="M1061" i="26"/>
  <c r="M1055" i="26"/>
  <c r="M1058" i="26"/>
  <c r="M1089" i="26"/>
  <c r="M1056" i="26"/>
  <c r="M1063" i="26"/>
  <c r="I923" i="26" a="1"/>
  <c r="I923" i="26" s="1"/>
  <c r="M923" i="26" s="1"/>
  <c r="I846" i="26" a="1"/>
  <c r="I846" i="26" s="1"/>
  <c r="M846" i="26" s="1"/>
  <c r="I880" i="26" a="1"/>
  <c r="I880" i="26" s="1"/>
  <c r="M880" i="26" s="1"/>
  <c r="I897" i="26" a="1"/>
  <c r="I897" i="26" s="1"/>
  <c r="M897" i="26" s="1"/>
  <c r="I889" i="26" a="1"/>
  <c r="I889" i="26" s="1"/>
  <c r="M889" i="26" s="1"/>
  <c r="I942" i="26" a="1"/>
  <c r="I942" i="26" s="1"/>
  <c r="M942" i="26" s="1"/>
  <c r="I977" i="26" a="1"/>
  <c r="I977" i="26" s="1"/>
  <c r="M977" i="26" s="1"/>
  <c r="I957" i="26" a="1"/>
  <c r="I957" i="26" s="1"/>
  <c r="M957" i="26" s="1"/>
  <c r="I971" i="26" a="1"/>
  <c r="I971" i="26" s="1"/>
  <c r="M971" i="26" s="1"/>
  <c r="I983" i="26" a="1"/>
  <c r="I983" i="26" s="1"/>
  <c r="M983" i="26" s="1"/>
  <c r="I989" i="26" a="1"/>
  <c r="I989" i="26" s="1"/>
  <c r="M989" i="26" s="1"/>
  <c r="I962" i="26" a="1"/>
  <c r="I962" i="26" s="1"/>
  <c r="M962" i="26" s="1"/>
  <c r="I956" i="26" a="1"/>
  <c r="I956" i="26" s="1"/>
  <c r="M956" i="26" s="1"/>
  <c r="I1033" i="26" a="1"/>
  <c r="I1033" i="26" s="1"/>
  <c r="M1033" i="26" s="1"/>
  <c r="I903" i="26" a="1"/>
  <c r="I903" i="26" s="1"/>
  <c r="M903" i="26" s="1"/>
  <c r="I886" i="26" a="1"/>
  <c r="I886" i="26" s="1"/>
  <c r="M886" i="26" s="1"/>
  <c r="I882" i="26" a="1"/>
  <c r="I882" i="26" s="1"/>
  <c r="M882" i="26" s="1"/>
  <c r="I887" i="26" a="1"/>
  <c r="I887" i="26" s="1"/>
  <c r="M887" i="26" s="1"/>
  <c r="I965" i="26" a="1"/>
  <c r="I965" i="26" s="1"/>
  <c r="M965" i="26" s="1"/>
  <c r="I894" i="26" a="1"/>
  <c r="I894" i="26" s="1"/>
  <c r="M894" i="26" s="1"/>
  <c r="I907" i="26" a="1"/>
  <c r="I907" i="26" s="1"/>
  <c r="M907" i="26" s="1"/>
  <c r="I959" i="26" a="1"/>
  <c r="I959" i="26" s="1"/>
  <c r="M959" i="26" s="1"/>
  <c r="I968" i="26" a="1"/>
  <c r="I968" i="26" s="1"/>
  <c r="M968" i="26" s="1"/>
  <c r="I961" i="26" a="1"/>
  <c r="I961" i="26" s="1"/>
  <c r="M961" i="26" s="1"/>
  <c r="I979" i="26" a="1"/>
  <c r="I979" i="26" s="1"/>
  <c r="M979" i="26" s="1"/>
  <c r="I950" i="26" a="1"/>
  <c r="I950" i="26" s="1"/>
  <c r="M950" i="26" s="1"/>
  <c r="I1034" i="26" a="1"/>
  <c r="I1034" i="26" s="1"/>
  <c r="M1034" i="26" s="1"/>
  <c r="I874" i="26" a="1"/>
  <c r="I874" i="26" s="1"/>
  <c r="M874" i="26" s="1"/>
  <c r="I862" i="26" a="1"/>
  <c r="I862" i="26" s="1"/>
  <c r="M862" i="26" s="1"/>
  <c r="I877" i="26" a="1"/>
  <c r="I877" i="26" s="1"/>
  <c r="M877" i="26" s="1"/>
  <c r="I872" i="26" a="1"/>
  <c r="I872" i="26" s="1"/>
  <c r="M872" i="26" s="1"/>
  <c r="I947" i="26" a="1"/>
  <c r="I947" i="26" s="1"/>
  <c r="M947" i="26" s="1"/>
  <c r="I969" i="26" a="1"/>
  <c r="I969" i="26" s="1"/>
  <c r="M969" i="26" s="1"/>
  <c r="I879" i="26" a="1"/>
  <c r="I879" i="26" s="1"/>
  <c r="M879" i="26" s="1"/>
  <c r="I902" i="26" a="1"/>
  <c r="I902" i="26" s="1"/>
  <c r="M902" i="26" s="1"/>
  <c r="I905" i="26" a="1"/>
  <c r="I905" i="26" s="1"/>
  <c r="M905" i="26" s="1"/>
  <c r="I895" i="26" a="1"/>
  <c r="I895" i="26" s="1"/>
  <c r="M895" i="26" s="1"/>
  <c r="I951" i="26" a="1"/>
  <c r="I951" i="26" s="1"/>
  <c r="M951" i="26" s="1"/>
  <c r="I944" i="26" a="1"/>
  <c r="I944" i="26" s="1"/>
  <c r="I985" i="26" a="1"/>
  <c r="I985" i="26" s="1"/>
  <c r="M985" i="26" s="1"/>
  <c r="I1036" i="26" a="1"/>
  <c r="I1036" i="26" s="1"/>
  <c r="M1036" i="26" s="1"/>
  <c r="I994" i="26" a="1"/>
  <c r="I994" i="26" s="1"/>
  <c r="M994" i="26" s="1"/>
  <c r="I869" i="26" a="1"/>
  <c r="I869" i="26" s="1"/>
  <c r="M869" i="26" s="1"/>
  <c r="I893" i="26" a="1"/>
  <c r="I893" i="26" s="1"/>
  <c r="M893" i="26" s="1"/>
  <c r="I876" i="26" a="1"/>
  <c r="I876" i="26" s="1"/>
  <c r="M876" i="26" s="1"/>
  <c r="I911" i="26" a="1"/>
  <c r="I911" i="26" s="1"/>
  <c r="M911" i="26" s="1"/>
  <c r="I912" i="26" a="1"/>
  <c r="I912" i="26" s="1"/>
  <c r="M912" i="26" s="1"/>
  <c r="I896" i="26" a="1"/>
  <c r="I896" i="26" s="1"/>
  <c r="M896" i="26" s="1"/>
  <c r="I955" i="26" a="1"/>
  <c r="I955" i="26" s="1"/>
  <c r="M955" i="26" s="1"/>
  <c r="I987" i="26" a="1"/>
  <c r="I987" i="26" s="1"/>
  <c r="M987" i="26" s="1"/>
  <c r="I952" i="26" a="1"/>
  <c r="I952" i="26" s="1"/>
  <c r="M952" i="26" s="1"/>
  <c r="I901" i="26" a="1"/>
  <c r="I901" i="26" s="1"/>
  <c r="M901" i="26" s="1"/>
  <c r="I948" i="26" a="1"/>
  <c r="I948" i="26" s="1"/>
  <c r="M948" i="26" s="1"/>
  <c r="I945" i="26" a="1"/>
  <c r="I945" i="26" s="1"/>
  <c r="M945" i="26" s="1"/>
  <c r="I878" i="26" a="1"/>
  <c r="I878" i="26" s="1"/>
  <c r="M878" i="26" s="1"/>
  <c r="I1038" i="26" a="1"/>
  <c r="I1038" i="26" s="1"/>
  <c r="M1038" i="26" s="1"/>
  <c r="I981" i="26" a="1"/>
  <c r="I981" i="26" s="1"/>
  <c r="M981" i="26" s="1"/>
  <c r="I870" i="26" a="1"/>
  <c r="I870" i="26" s="1"/>
  <c r="M870" i="26" s="1"/>
  <c r="I871" i="26" a="1"/>
  <c r="I871" i="26" s="1"/>
  <c r="M871" i="26" s="1"/>
  <c r="I881" i="26" a="1"/>
  <c r="I881" i="26" s="1"/>
  <c r="M881" i="26" s="1"/>
  <c r="I915" i="26" a="1"/>
  <c r="I915" i="26" s="1"/>
  <c r="M915" i="26" s="1"/>
  <c r="I925" i="26" a="1"/>
  <c r="I925" i="26" s="1"/>
  <c r="M925" i="26" s="1"/>
  <c r="I937" i="26" a="1"/>
  <c r="I937" i="26" s="1"/>
  <c r="M937" i="26" s="1"/>
  <c r="I1003" i="26" a="1"/>
  <c r="I1003" i="26" s="1"/>
  <c r="M1003" i="26" s="1"/>
  <c r="I960" i="26" a="1"/>
  <c r="I960" i="26" s="1"/>
  <c r="M960" i="26" s="1"/>
  <c r="I910" i="26" a="1"/>
  <c r="I910" i="26" s="1"/>
  <c r="M910" i="26" s="1"/>
  <c r="I958" i="26" a="1"/>
  <c r="I958" i="26" s="1"/>
  <c r="M958" i="26" s="1"/>
  <c r="I993" i="26" a="1"/>
  <c r="I993" i="26" s="1"/>
  <c r="M993" i="26" s="1"/>
  <c r="I946" i="26" a="1"/>
  <c r="I946" i="26" s="1"/>
  <c r="M946" i="26" s="1"/>
  <c r="I938" i="26" a="1"/>
  <c r="I938" i="26" s="1"/>
  <c r="M938" i="26" s="1"/>
  <c r="I829" i="26" a="1"/>
  <c r="I829" i="26" s="1"/>
  <c r="M829" i="26" s="1"/>
  <c r="I916" i="26" a="1"/>
  <c r="I916" i="26" s="1"/>
  <c r="M916" i="26" s="1"/>
  <c r="I991" i="26" a="1"/>
  <c r="I991" i="26" s="1"/>
  <c r="M991" i="26" s="1"/>
  <c r="I988" i="26" a="1"/>
  <c r="I988" i="26" s="1"/>
  <c r="M988" i="26" s="1"/>
  <c r="I918" i="26" a="1"/>
  <c r="I918" i="26" s="1"/>
  <c r="M918" i="26" s="1"/>
  <c r="I1041" i="26" a="1"/>
  <c r="I1041" i="26" s="1"/>
  <c r="M1041" i="26" s="1"/>
  <c r="I970" i="26" a="1"/>
  <c r="I970" i="26" s="1"/>
  <c r="M970" i="26" s="1"/>
  <c r="I973" i="26" a="1"/>
  <c r="I973" i="26" s="1"/>
  <c r="M973" i="26" s="1"/>
  <c r="I966" i="26" a="1"/>
  <c r="I966" i="26" s="1"/>
  <c r="M966" i="26" s="1"/>
  <c r="I998" i="26" a="1"/>
  <c r="I998" i="26" s="1"/>
  <c r="M998" i="26" s="1"/>
  <c r="I1002" i="26" a="1"/>
  <c r="I1002" i="26" s="1"/>
  <c r="M1002" i="26" s="1"/>
  <c r="I954" i="26" a="1"/>
  <c r="I954" i="26" s="1"/>
  <c r="M954" i="26" s="1"/>
  <c r="I978" i="26" a="1"/>
  <c r="I978" i="26" s="1"/>
  <c r="M978" i="26" s="1"/>
  <c r="I1000" i="26" a="1"/>
  <c r="I1000" i="26" s="1"/>
  <c r="M1000" i="26" s="1"/>
  <c r="I1006" i="26" a="1"/>
  <c r="I1006" i="26" s="1"/>
  <c r="M1006" i="26" s="1"/>
  <c r="I996" i="26" a="1"/>
  <c r="I996" i="26" s="1"/>
  <c r="M996" i="26" s="1"/>
  <c r="I984" i="26" a="1"/>
  <c r="I984" i="26" s="1"/>
  <c r="M984" i="26" s="1"/>
  <c r="I1001" i="26" a="1"/>
  <c r="I1001" i="26" s="1"/>
  <c r="M1001" i="26" s="1"/>
  <c r="I1005" i="26" a="1"/>
  <c r="I1005" i="26" s="1"/>
  <c r="M1005" i="26" s="1"/>
  <c r="I1023" i="26" a="1"/>
  <c r="I1023" i="26" s="1"/>
  <c r="M1023" i="26" s="1"/>
  <c r="I1030" i="26" a="1"/>
  <c r="I1030" i="26" s="1"/>
  <c r="M1030" i="26" s="1"/>
  <c r="I1024" i="26" a="1"/>
  <c r="I1024" i="26" s="1"/>
  <c r="M1024" i="26" s="1"/>
  <c r="I1026" i="26" a="1"/>
  <c r="I1026" i="26" s="1"/>
  <c r="AI33" i="27" s="1"/>
  <c r="AL33" i="27" s="1"/>
  <c r="I1027" i="26" a="1"/>
  <c r="I1027" i="26" s="1"/>
  <c r="M1027" i="26" s="1"/>
  <c r="I1029" i="26" a="1"/>
  <c r="I1029" i="26" s="1"/>
  <c r="M1029" i="26" s="1"/>
  <c r="I1022" i="26" a="1"/>
  <c r="I1022" i="26" s="1"/>
  <c r="M1022" i="26" s="1"/>
  <c r="I1028" i="26" a="1"/>
  <c r="I1028" i="26" s="1"/>
  <c r="M1028" i="26" s="1"/>
  <c r="I1031" i="26" a="1"/>
  <c r="I1031" i="26" s="1"/>
  <c r="M1031" i="26" s="1"/>
  <c r="I1021" i="26" a="1"/>
  <c r="I1021" i="26" s="1"/>
  <c r="M1021" i="26" s="1"/>
  <c r="I919" i="26" a="1"/>
  <c r="I919" i="26" s="1"/>
  <c r="M919" i="26" s="1"/>
  <c r="I997" i="26" a="1"/>
  <c r="I997" i="26" s="1"/>
  <c r="M997" i="26" s="1"/>
  <c r="I967" i="26" a="1"/>
  <c r="I967" i="26" s="1"/>
  <c r="M967" i="26" s="1"/>
  <c r="I999" i="26" a="1"/>
  <c r="I999" i="26" s="1"/>
  <c r="M999" i="26" s="1"/>
  <c r="I975" i="26" a="1"/>
  <c r="I975" i="26" s="1"/>
  <c r="M975" i="26" s="1"/>
  <c r="I935" i="26" a="1"/>
  <c r="I935" i="26" s="1"/>
  <c r="M935" i="26" s="1"/>
  <c r="I936" i="26" a="1"/>
  <c r="I936" i="26" s="1"/>
  <c r="M936" i="26" s="1"/>
  <c r="I980" i="26" a="1"/>
  <c r="I980" i="26" s="1"/>
  <c r="M980" i="26" s="1"/>
  <c r="I974" i="26" a="1"/>
  <c r="I974" i="26" s="1"/>
  <c r="M974" i="26" s="1"/>
  <c r="I976" i="26" a="1"/>
  <c r="I976" i="26" s="1"/>
  <c r="M976" i="26" s="1"/>
  <c r="I914" i="26" a="1"/>
  <c r="I914" i="26" s="1"/>
  <c r="M914" i="26" s="1"/>
  <c r="I1025" i="26" a="1"/>
  <c r="I1025" i="26" s="1"/>
  <c r="M1025" i="26" s="1"/>
  <c r="I941" i="26" a="1"/>
  <c r="I941" i="26" s="1"/>
  <c r="M941" i="26" s="1"/>
  <c r="I972" i="26" a="1"/>
  <c r="I972" i="26" s="1"/>
  <c r="I922" i="26" a="1"/>
  <c r="I922" i="26" s="1"/>
  <c r="M922" i="26" s="1"/>
  <c r="I837" i="26" a="1"/>
  <c r="I837" i="26" s="1"/>
  <c r="M837" i="26" s="1"/>
  <c r="I854" i="26" a="1"/>
  <c r="I854" i="26" s="1"/>
  <c r="M854" i="26" s="1"/>
  <c r="I832" i="26" a="1"/>
  <c r="I832" i="26" s="1"/>
  <c r="M832" i="26" s="1"/>
  <c r="I849" i="26" a="1"/>
  <c r="I849" i="26" s="1"/>
  <c r="M849" i="26" s="1"/>
  <c r="I865" i="26" a="1"/>
  <c r="I865" i="26" s="1"/>
  <c r="M865" i="26" s="1"/>
  <c r="I939" i="26" a="1"/>
  <c r="I939" i="26" s="1"/>
  <c r="M939" i="26" s="1"/>
  <c r="I964" i="26" a="1"/>
  <c r="I964" i="26" s="1"/>
  <c r="M964" i="26" s="1"/>
  <c r="I884" i="26" a="1"/>
  <c r="I884" i="26" s="1"/>
  <c r="M884" i="26" s="1"/>
  <c r="I1040" i="26" a="1"/>
  <c r="I1040" i="26" s="1"/>
  <c r="M1040" i="26" s="1"/>
  <c r="I909" i="26" a="1"/>
  <c r="I909" i="26" s="1"/>
  <c r="M909" i="26" s="1"/>
  <c r="I826" i="26" a="1"/>
  <c r="I826" i="26" s="1"/>
  <c r="M826" i="26" s="1"/>
  <c r="I814" i="26" a="1"/>
  <c r="I814" i="26" s="1"/>
  <c r="M814" i="26" s="1"/>
  <c r="I815" i="26" a="1"/>
  <c r="I815" i="26" s="1"/>
  <c r="M815" i="26" s="1"/>
  <c r="I855" i="26" a="1"/>
  <c r="I855" i="26" s="1"/>
  <c r="M855" i="26" s="1"/>
  <c r="I833" i="26" a="1"/>
  <c r="I833" i="26" s="1"/>
  <c r="M833" i="26" s="1"/>
  <c r="I834" i="26" a="1"/>
  <c r="I834" i="26" s="1"/>
  <c r="M834" i="26" s="1"/>
  <c r="I819" i="26" a="1"/>
  <c r="I819" i="26" s="1"/>
  <c r="M819" i="26" s="1"/>
  <c r="I859" i="26" a="1"/>
  <c r="I859" i="26" s="1"/>
  <c r="M859" i="26" s="1"/>
  <c r="I953" i="26" a="1"/>
  <c r="I953" i="26" s="1"/>
  <c r="M953" i="26" s="1"/>
  <c r="I982" i="26" a="1"/>
  <c r="I982" i="26" s="1"/>
  <c r="M982" i="26" s="1"/>
  <c r="I986" i="26" a="1"/>
  <c r="I986" i="26" s="1"/>
  <c r="M986" i="26" s="1"/>
  <c r="I900" i="26" a="1"/>
  <c r="I900" i="26" s="1"/>
  <c r="M900" i="26" s="1"/>
  <c r="I891" i="26" a="1"/>
  <c r="I891" i="26" s="1"/>
  <c r="M891" i="26" s="1"/>
  <c r="I838" i="26" a="1"/>
  <c r="I838" i="26" s="1"/>
  <c r="M838" i="26" s="1"/>
  <c r="I839" i="26" a="1"/>
  <c r="I839" i="26" s="1"/>
  <c r="M839" i="26" s="1"/>
  <c r="I843" i="26" a="1"/>
  <c r="I843" i="26" s="1"/>
  <c r="AI18" i="27" s="1"/>
  <c r="AL18" i="27" s="1"/>
  <c r="I853" i="26" a="1"/>
  <c r="I853" i="26" s="1"/>
  <c r="M853" i="26" s="1"/>
  <c r="I866" i="26" a="1"/>
  <c r="I866" i="26" s="1"/>
  <c r="M866" i="26" s="1"/>
  <c r="I836" i="26" a="1"/>
  <c r="I836" i="26" s="1"/>
  <c r="M836" i="26" s="1"/>
  <c r="I934" i="26" a="1"/>
  <c r="I934" i="26" s="1"/>
  <c r="M934" i="26" s="1"/>
  <c r="I908" i="26" a="1"/>
  <c r="I908" i="26" s="1"/>
  <c r="M908" i="26" s="1"/>
  <c r="I995" i="26" a="1"/>
  <c r="I995" i="26" s="1"/>
  <c r="M995" i="26" s="1"/>
  <c r="I992" i="26" a="1"/>
  <c r="I992" i="26" s="1"/>
  <c r="I906" i="26" a="1"/>
  <c r="I906" i="26" s="1"/>
  <c r="M906" i="26" s="1"/>
  <c r="I904" i="26" a="1"/>
  <c r="I904" i="26" s="1"/>
  <c r="M904" i="26" s="1"/>
  <c r="I818" i="26" a="1"/>
  <c r="I818" i="26" s="1"/>
  <c r="M818" i="26" s="1"/>
  <c r="I868" i="26" a="1"/>
  <c r="I868" i="26" s="1"/>
  <c r="M868" i="26" s="1"/>
  <c r="I888" i="26" a="1"/>
  <c r="I888" i="26" s="1"/>
  <c r="AI22" i="27" s="1"/>
  <c r="AL22" i="27" s="1"/>
  <c r="I1032" i="26" a="1"/>
  <c r="I1032" i="26" s="1"/>
  <c r="M1032" i="26" s="1"/>
  <c r="I875" i="26" a="1"/>
  <c r="I875" i="26" s="1"/>
  <c r="I898" i="26" a="1"/>
  <c r="I898" i="26" s="1"/>
  <c r="I921" i="26" a="1"/>
  <c r="I921" i="26" s="1"/>
  <c r="M921" i="26" s="1"/>
  <c r="I822" i="26" a="1"/>
  <c r="I822" i="26" s="1"/>
  <c r="M822" i="26" s="1"/>
  <c r="I823" i="26" a="1"/>
  <c r="I823" i="26" s="1"/>
  <c r="M823" i="26" s="1"/>
  <c r="I821" i="26" a="1"/>
  <c r="I821" i="26" s="1"/>
  <c r="M821" i="26" s="1"/>
  <c r="I830" i="26" a="1"/>
  <c r="I830" i="26" s="1"/>
  <c r="M830" i="26" s="1"/>
  <c r="I848" i="26" a="1"/>
  <c r="I848" i="26" s="1"/>
  <c r="M848" i="26" s="1"/>
  <c r="I857" i="26" a="1"/>
  <c r="I857" i="26" s="1"/>
  <c r="M857" i="26" s="1"/>
  <c r="I883" i="26" a="1"/>
  <c r="I883" i="26" s="1"/>
  <c r="I920" i="26" a="1"/>
  <c r="I920" i="26" s="1"/>
  <c r="M920" i="26" s="1"/>
  <c r="I940" i="26" a="1"/>
  <c r="I940" i="26" s="1"/>
  <c r="M940" i="26" s="1"/>
  <c r="I1042" i="26" a="1"/>
  <c r="I1042" i="26" s="1"/>
  <c r="M1042" i="26" s="1"/>
  <c r="I811" i="26" a="1"/>
  <c r="I811" i="26" s="1"/>
  <c r="M811" i="26" s="1"/>
  <c r="I845" i="26" a="1"/>
  <c r="I845" i="26" s="1"/>
  <c r="M845" i="26" s="1"/>
  <c r="I852" i="26" a="1"/>
  <c r="I852" i="26" s="1"/>
  <c r="M852" i="26" s="1"/>
  <c r="I825" i="26" a="1"/>
  <c r="I825" i="26" s="1"/>
  <c r="M825" i="26" s="1"/>
  <c r="I851" i="26" a="1"/>
  <c r="I851" i="26" s="1"/>
  <c r="M851" i="26" s="1"/>
  <c r="I860" i="26" a="1"/>
  <c r="I860" i="26" s="1"/>
  <c r="M860" i="26" s="1"/>
  <c r="I863" i="26" a="1"/>
  <c r="I863" i="26" s="1"/>
  <c r="AI20" i="27" s="1"/>
  <c r="AL20" i="27" s="1"/>
  <c r="I1035" i="26" a="1"/>
  <c r="I1035" i="26" s="1"/>
  <c r="M1035" i="26" s="1"/>
  <c r="I1004" i="26" a="1"/>
  <c r="I1004" i="26" s="1"/>
  <c r="M1004" i="26" s="1"/>
  <c r="I892" i="26" a="1"/>
  <c r="I892" i="26" s="1"/>
  <c r="M892" i="26" s="1"/>
  <c r="I890" i="26" a="1"/>
  <c r="I890" i="26" s="1"/>
  <c r="M890" i="26" s="1"/>
  <c r="I1037" i="26" a="1"/>
  <c r="I1037" i="26" s="1"/>
  <c r="I924" i="26" a="1"/>
  <c r="I924" i="26" s="1"/>
  <c r="M924" i="26" s="1"/>
  <c r="I813" i="26" a="1"/>
  <c r="I813" i="26" s="1"/>
  <c r="M813" i="26" s="1"/>
  <c r="I831" i="26" a="1"/>
  <c r="I831" i="26" s="1"/>
  <c r="M831" i="26" s="1"/>
  <c r="I835" i="26" a="1"/>
  <c r="I835" i="26" s="1"/>
  <c r="M835" i="26" s="1"/>
  <c r="I856" i="26" a="1"/>
  <c r="I856" i="26" s="1"/>
  <c r="M856" i="26" s="1"/>
  <c r="I864" i="26" a="1"/>
  <c r="I864" i="26" s="1"/>
  <c r="M864" i="26" s="1"/>
  <c r="I828" i="26" a="1"/>
  <c r="I828" i="26" s="1"/>
  <c r="M828" i="26" s="1"/>
  <c r="N30" i="27"/>
  <c r="N26" i="27"/>
  <c r="AG31" i="27"/>
  <c r="N31" i="27"/>
  <c r="N29" i="27"/>
  <c r="AG21" i="27"/>
  <c r="N21" i="27"/>
  <c r="N27" i="27"/>
  <c r="AG24" i="27"/>
  <c r="N24" i="27"/>
  <c r="N23" i="27"/>
  <c r="N17" i="27"/>
  <c r="I840" i="26" a="1"/>
  <c r="I840" i="26" s="1"/>
  <c r="I841" i="26" a="1"/>
  <c r="I841" i="26" s="1"/>
  <c r="M841" i="26" s="1"/>
  <c r="I842" i="26" a="1"/>
  <c r="I842" i="26" s="1"/>
  <c r="I844" i="26" a="1"/>
  <c r="I844" i="26" s="1"/>
  <c r="M844" i="26" s="1"/>
  <c r="I827" i="26" a="1"/>
  <c r="I827" i="26" s="1"/>
  <c r="M827" i="26" s="1"/>
  <c r="I816" i="26" a="1"/>
  <c r="I816" i="26" s="1"/>
  <c r="M816" i="26" s="1"/>
  <c r="I824" i="26" a="1"/>
  <c r="I824" i="26" s="1"/>
  <c r="M824" i="26" s="1"/>
  <c r="I847" i="26" a="1"/>
  <c r="I847" i="26" s="1"/>
  <c r="M847" i="26" s="1"/>
  <c r="I805" i="26" a="1"/>
  <c r="I805" i="26" s="1"/>
  <c r="M805" i="26" s="1"/>
  <c r="I812" i="26" a="1"/>
  <c r="I812" i="26" s="1"/>
  <c r="M812" i="26" s="1"/>
  <c r="I867" i="26" a="1"/>
  <c r="I867" i="26" s="1"/>
  <c r="M867" i="26" s="1"/>
  <c r="I861" i="26" a="1"/>
  <c r="I861" i="26" s="1"/>
  <c r="M861" i="26" s="1"/>
  <c r="I850" i="26" a="1"/>
  <c r="I850" i="26" s="1"/>
  <c r="M850" i="26" s="1"/>
  <c r="I820" i="26" a="1"/>
  <c r="I820" i="26" s="1"/>
  <c r="I817" i="26" a="1"/>
  <c r="I817" i="26" s="1"/>
  <c r="M817" i="26" s="1"/>
  <c r="I858" i="26" a="1"/>
  <c r="I858" i="26" s="1"/>
  <c r="M858" i="26" s="1"/>
  <c r="N18" i="27"/>
  <c r="AG18" i="27"/>
  <c r="AG16" i="27"/>
  <c r="I804" i="26" a="1"/>
  <c r="I804" i="26" s="1"/>
  <c r="M804" i="26" s="1"/>
  <c r="I808" i="26" a="1"/>
  <c r="I808" i="26" s="1"/>
  <c r="M808" i="26" s="1"/>
  <c r="I809" i="26" a="1"/>
  <c r="I809" i="26" s="1"/>
  <c r="M809" i="26" s="1"/>
  <c r="I810" i="26" a="1"/>
  <c r="I810" i="26" s="1"/>
  <c r="M810" i="26" s="1"/>
  <c r="I802" i="26" a="1"/>
  <c r="I802" i="26" s="1"/>
  <c r="N14" i="27"/>
  <c r="AG15" i="27"/>
  <c r="N15" i="27"/>
  <c r="I803" i="26" a="1"/>
  <c r="I803" i="26" s="1"/>
  <c r="M803" i="26" s="1"/>
  <c r="I807" i="26" a="1"/>
  <c r="I807" i="26" s="1"/>
  <c r="I806" i="26" a="1"/>
  <c r="I806" i="26" s="1"/>
  <c r="I801" i="26" a="1"/>
  <c r="I801" i="26" s="1"/>
  <c r="M801" i="26" s="1"/>
  <c r="I773" i="26" a="1"/>
  <c r="I773" i="26" s="1"/>
  <c r="M773" i="26" s="1"/>
  <c r="I777" i="26" a="1"/>
  <c r="I777" i="26" s="1"/>
  <c r="M777" i="26" s="1"/>
  <c r="I795" i="26" a="1"/>
  <c r="I795" i="26" s="1"/>
  <c r="M795" i="26" s="1"/>
  <c r="I781" i="26" a="1"/>
  <c r="I781" i="26" s="1"/>
  <c r="M781" i="26" s="1"/>
  <c r="I793" i="26" a="1"/>
  <c r="I793" i="26" s="1"/>
  <c r="I797" i="26" a="1"/>
  <c r="I797" i="26" s="1"/>
  <c r="M797" i="26" s="1"/>
  <c r="I798" i="26" a="1"/>
  <c r="I798" i="26" s="1"/>
  <c r="M798" i="26" s="1"/>
  <c r="I746" i="26" a="1"/>
  <c r="I746" i="26" s="1"/>
  <c r="M746" i="26" s="1"/>
  <c r="I786" i="26" a="1"/>
  <c r="I786" i="26" s="1"/>
  <c r="M786" i="26" s="1"/>
  <c r="I770" i="26" a="1"/>
  <c r="I770" i="26" s="1"/>
  <c r="M770" i="26" s="1"/>
  <c r="I794" i="26" a="1"/>
  <c r="I794" i="26" s="1"/>
  <c r="M794" i="26" s="1"/>
  <c r="I784" i="26" a="1"/>
  <c r="I784" i="26" s="1"/>
  <c r="M784" i="26" s="1"/>
  <c r="I772" i="26" a="1"/>
  <c r="I772" i="26" s="1"/>
  <c r="M772" i="26" s="1"/>
  <c r="I800" i="26" a="1"/>
  <c r="I800" i="26" s="1"/>
  <c r="M800" i="26" s="1"/>
  <c r="I767" i="26" a="1"/>
  <c r="I767" i="26" s="1"/>
  <c r="M767" i="26" s="1"/>
  <c r="I769" i="26" a="1"/>
  <c r="I769" i="26" s="1"/>
  <c r="M769" i="26" s="1"/>
  <c r="I787" i="26" a="1"/>
  <c r="I787" i="26" s="1"/>
  <c r="M787" i="26" s="1"/>
  <c r="I778" i="26" a="1"/>
  <c r="I778" i="26" s="1"/>
  <c r="M778" i="26" s="1"/>
  <c r="I776" i="26" a="1"/>
  <c r="I776" i="26" s="1"/>
  <c r="M776" i="26" s="1"/>
  <c r="I782" i="26" a="1"/>
  <c r="I782" i="26" s="1"/>
  <c r="M782" i="26" s="1"/>
  <c r="I796" i="26" a="1"/>
  <c r="I796" i="26" s="1"/>
  <c r="I751" i="26" a="1"/>
  <c r="I751" i="26" s="1"/>
  <c r="M751" i="26" s="1"/>
  <c r="I791" i="26" a="1"/>
  <c r="I791" i="26" s="1"/>
  <c r="M791" i="26" s="1"/>
  <c r="I788" i="26" a="1"/>
  <c r="I788" i="26" s="1"/>
  <c r="I13" i="27" s="1"/>
  <c r="O13" i="27" s="1"/>
  <c r="I779" i="26" a="1"/>
  <c r="I779" i="26" s="1"/>
  <c r="M779" i="26" s="1"/>
  <c r="I768" i="26" a="1"/>
  <c r="I768" i="26" s="1"/>
  <c r="M768" i="26" s="1"/>
  <c r="I771" i="26" a="1"/>
  <c r="I771" i="26" s="1"/>
  <c r="I799" i="26" a="1"/>
  <c r="I799" i="26" s="1"/>
  <c r="M799" i="26" s="1"/>
  <c r="N13" i="27"/>
  <c r="AG9" i="27"/>
  <c r="N12" i="27"/>
  <c r="I790" i="26" a="1"/>
  <c r="I790" i="26" s="1"/>
  <c r="M790" i="26" s="1"/>
  <c r="I785" i="26" a="1"/>
  <c r="I785" i="26" s="1"/>
  <c r="M785" i="26" s="1"/>
  <c r="I792" i="26" a="1"/>
  <c r="I792" i="26" s="1"/>
  <c r="M792" i="26" s="1"/>
  <c r="I789" i="26" a="1"/>
  <c r="I789" i="26" s="1"/>
  <c r="M789" i="26" s="1"/>
  <c r="I750" i="26" a="1"/>
  <c r="I750" i="26" s="1"/>
  <c r="M750" i="26" s="1"/>
  <c r="I753" i="26" a="1"/>
  <c r="I753" i="26" s="1"/>
  <c r="I10" i="27" s="1"/>
  <c r="O10" i="27" s="1"/>
  <c r="I754" i="26" a="1"/>
  <c r="I754" i="26" s="1"/>
  <c r="M754" i="26" s="1"/>
  <c r="I780" i="26" a="1"/>
  <c r="I780" i="26" s="1"/>
  <c r="M780" i="26" s="1"/>
  <c r="I748" i="26" a="1"/>
  <c r="I748" i="26" s="1"/>
  <c r="M748" i="26" s="1"/>
  <c r="I755" i="26" a="1"/>
  <c r="I755" i="26" s="1"/>
  <c r="M755" i="26" s="1"/>
  <c r="I775" i="26" a="1"/>
  <c r="I775" i="26" s="1"/>
  <c r="M775" i="26" s="1"/>
  <c r="I774" i="26" a="1"/>
  <c r="I774" i="26" s="1"/>
  <c r="I743" i="26" a="1"/>
  <c r="I743" i="26" s="1"/>
  <c r="M743" i="26" s="1"/>
  <c r="I783" i="26" a="1"/>
  <c r="I783" i="26" s="1"/>
  <c r="M783" i="26" s="1"/>
  <c r="I749" i="26" a="1"/>
  <c r="I749" i="26" s="1"/>
  <c r="M749" i="26" s="1"/>
  <c r="AG11" i="27"/>
  <c r="I757" i="26" a="1"/>
  <c r="I757" i="26" s="1"/>
  <c r="M757" i="26" s="1"/>
  <c r="I758" i="26" a="1"/>
  <c r="I758" i="26" s="1"/>
  <c r="M758" i="26" s="1"/>
  <c r="I761" i="26" a="1"/>
  <c r="I761" i="26" s="1"/>
  <c r="M761" i="26" s="1"/>
  <c r="I759" i="26" a="1"/>
  <c r="I759" i="26" s="1"/>
  <c r="M759" i="26" s="1"/>
  <c r="I765" i="26" a="1"/>
  <c r="I765" i="26" s="1"/>
  <c r="M765" i="26" s="1"/>
  <c r="I763" i="26" a="1"/>
  <c r="I763" i="26" s="1"/>
  <c r="M763" i="26" s="1"/>
  <c r="I756" i="26" a="1"/>
  <c r="I756" i="26" s="1"/>
  <c r="M756" i="26" s="1"/>
  <c r="I741" i="26" a="1"/>
  <c r="I741" i="26" s="1"/>
  <c r="I744" i="26" a="1"/>
  <c r="I744" i="26" s="1"/>
  <c r="M744" i="26" s="1"/>
  <c r="I745" i="26" a="1"/>
  <c r="I745" i="26" s="1"/>
  <c r="I752" i="26" a="1"/>
  <c r="I752" i="26" s="1"/>
  <c r="I764" i="26" a="1"/>
  <c r="I764" i="26" s="1"/>
  <c r="M764" i="26" s="1"/>
  <c r="I747" i="26" a="1"/>
  <c r="I747" i="26" s="1"/>
  <c r="M747" i="26" s="1"/>
  <c r="I742" i="26" a="1"/>
  <c r="I742" i="26" s="1"/>
  <c r="M742" i="26" s="1"/>
  <c r="I762" i="26" a="1"/>
  <c r="I762" i="26" s="1"/>
  <c r="M762" i="26" s="1"/>
  <c r="I766" i="26" a="1"/>
  <c r="I766" i="26" s="1"/>
  <c r="M766" i="26" s="1"/>
  <c r="I760" i="26" a="1"/>
  <c r="I760" i="26" s="1"/>
  <c r="M760" i="26" s="1"/>
  <c r="I739" i="26" a="1"/>
  <c r="I739" i="26" s="1"/>
  <c r="M739" i="26" s="1"/>
  <c r="I735" i="26" a="1"/>
  <c r="I735" i="26" s="1"/>
  <c r="M735" i="26" s="1"/>
  <c r="I738" i="26" a="1"/>
  <c r="I738" i="26" s="1"/>
  <c r="M738" i="26" s="1"/>
  <c r="I733" i="26" a="1"/>
  <c r="I733" i="26" s="1"/>
  <c r="M733" i="26" s="1"/>
  <c r="I740" i="26" a="1"/>
  <c r="I740" i="26" s="1"/>
  <c r="M740" i="26" s="1"/>
  <c r="I734" i="26" a="1"/>
  <c r="I734" i="26" s="1"/>
  <c r="M734" i="26" s="1"/>
  <c r="I732" i="26" a="1"/>
  <c r="I732" i="26" s="1"/>
  <c r="I736" i="26" a="1"/>
  <c r="I736" i="26" s="1"/>
  <c r="I737" i="26" a="1"/>
  <c r="I737" i="26" s="1"/>
  <c r="M737" i="26" s="1"/>
  <c r="I716" i="26" a="1"/>
  <c r="I716" i="26" s="1"/>
  <c r="M716" i="26" s="1"/>
  <c r="I715" i="26" a="1"/>
  <c r="I715" i="26" s="1"/>
  <c r="M715" i="26" s="1"/>
  <c r="I718" i="26" a="1"/>
  <c r="I718" i="26" s="1"/>
  <c r="M718" i="26" s="1"/>
  <c r="I717" i="26" a="1"/>
  <c r="I717" i="26" s="1"/>
  <c r="I712" i="26" a="1"/>
  <c r="I712" i="26" s="1"/>
  <c r="M712" i="26" s="1"/>
  <c r="I719" i="26" a="1"/>
  <c r="I719" i="26" s="1"/>
  <c r="M719" i="26" s="1"/>
  <c r="N7" i="27"/>
  <c r="AG7" i="27"/>
  <c r="I713" i="26" a="1"/>
  <c r="I713" i="26" s="1"/>
  <c r="M713" i="26" s="1"/>
  <c r="I710" i="26" a="1"/>
  <c r="I710" i="26" s="1"/>
  <c r="M710" i="26" s="1"/>
  <c r="I714" i="26" a="1"/>
  <c r="I714" i="26" s="1"/>
  <c r="M714" i="26" s="1"/>
  <c r="I711" i="26" a="1"/>
  <c r="I711" i="26" s="1"/>
  <c r="M711" i="26" s="1"/>
  <c r="I697" i="26" a="1"/>
  <c r="I697" i="26" s="1"/>
  <c r="M697" i="26" s="1"/>
  <c r="I720" i="26" a="1"/>
  <c r="I720" i="26" s="1"/>
  <c r="M720" i="26" s="1"/>
  <c r="O657" i="26"/>
  <c r="K690" i="26"/>
  <c r="K682" i="26"/>
  <c r="I701" i="26" a="1"/>
  <c r="I701" i="26" s="1"/>
  <c r="M701" i="26" s="1"/>
  <c r="I702" i="26" a="1"/>
  <c r="I702" i="26" s="1"/>
  <c r="M702" i="26" s="1"/>
  <c r="K680" i="26"/>
  <c r="O683" i="26"/>
  <c r="K678" i="26"/>
  <c r="I707" i="26" a="1"/>
  <c r="I707" i="26" s="1"/>
  <c r="M707" i="26" s="1"/>
  <c r="I700" i="26" a="1"/>
  <c r="I700" i="26" s="1"/>
  <c r="M700" i="26" s="1"/>
  <c r="K691" i="26"/>
  <c r="I705" i="26" a="1"/>
  <c r="I705" i="26" s="1"/>
  <c r="M705" i="26" s="1"/>
  <c r="I698" i="26" a="1"/>
  <c r="I698" i="26" s="1"/>
  <c r="M698" i="26" s="1"/>
  <c r="I703" i="26" a="1"/>
  <c r="I703" i="26" s="1"/>
  <c r="M703" i="26" s="1"/>
  <c r="I699" i="26" a="1"/>
  <c r="I699" i="26" s="1"/>
  <c r="M699" i="26" s="1"/>
  <c r="I704" i="26" a="1"/>
  <c r="I704" i="26" s="1"/>
  <c r="M704" i="26" s="1"/>
  <c r="I708" i="26" a="1"/>
  <c r="I708" i="26" s="1"/>
  <c r="M708" i="26" s="1"/>
  <c r="I709" i="26" a="1"/>
  <c r="I709" i="26" s="1"/>
  <c r="M709" i="26" s="1"/>
  <c r="I706" i="26" a="1"/>
  <c r="I706" i="26" s="1"/>
  <c r="M706" i="26" s="1"/>
  <c r="J4" i="27"/>
  <c r="P4" i="27" s="1"/>
  <c r="AG6" i="27"/>
  <c r="AJ5" i="27"/>
  <c r="H5" i="27"/>
  <c r="AG5" i="27" s="1"/>
  <c r="H4" i="27"/>
  <c r="N4" i="27" s="1"/>
  <c r="G687" i="26"/>
  <c r="H687" i="26" s="1"/>
  <c r="G696" i="26"/>
  <c r="H696" i="26" s="1"/>
  <c r="H694" i="26"/>
  <c r="G691" i="26"/>
  <c r="H691" i="26" s="1"/>
  <c r="G688" i="26"/>
  <c r="H688" i="26" s="1"/>
  <c r="H695" i="26"/>
  <c r="G689" i="26"/>
  <c r="H689" i="26" s="1"/>
  <c r="G690" i="26"/>
  <c r="H690" i="26" s="1"/>
  <c r="H686" i="26"/>
  <c r="H685" i="26"/>
  <c r="H684" i="26"/>
  <c r="AJ4" i="27"/>
  <c r="I4" i="27"/>
  <c r="O4" i="27" s="1"/>
  <c r="E4" i="27"/>
  <c r="H677" i="26"/>
  <c r="G682" i="26"/>
  <c r="H682" i="26" s="1"/>
  <c r="H678" i="26"/>
  <c r="H674" i="26"/>
  <c r="G675" i="26"/>
  <c r="H675" i="26" s="1"/>
  <c r="H679" i="26"/>
  <c r="H680" i="26"/>
  <c r="H676" i="26"/>
  <c r="G681" i="26"/>
  <c r="H681" i="26" s="1"/>
  <c r="H683" i="26"/>
  <c r="O681" i="26"/>
  <c r="O679" i="26"/>
  <c r="O677" i="26"/>
  <c r="K676" i="26"/>
  <c r="O675" i="26"/>
  <c r="K674" i="26"/>
  <c r="O673" i="26"/>
  <c r="H673" i="26"/>
  <c r="K672" i="26"/>
  <c r="H672" i="26"/>
  <c r="H3" i="27"/>
  <c r="N3" i="27" s="1"/>
  <c r="G670" i="26"/>
  <c r="H670" i="26" s="1"/>
  <c r="G668" i="26"/>
  <c r="H668" i="26" s="1"/>
  <c r="G651" i="26"/>
  <c r="H651" i="26" s="1"/>
  <c r="G657" i="26"/>
  <c r="H657" i="26" s="1"/>
  <c r="H666" i="26"/>
  <c r="H662" i="26"/>
  <c r="H658" i="26"/>
  <c r="H653" i="26"/>
  <c r="H649" i="26"/>
  <c r="H669" i="26"/>
  <c r="G663" i="26"/>
  <c r="H663" i="26" s="1"/>
  <c r="G659" i="26"/>
  <c r="H659" i="26" s="1"/>
  <c r="H654" i="26"/>
  <c r="H650" i="26"/>
  <c r="H667" i="26"/>
  <c r="H664" i="26"/>
  <c r="H660" i="26"/>
  <c r="H655" i="26"/>
  <c r="H671" i="26"/>
  <c r="G665" i="26"/>
  <c r="H665" i="26" s="1"/>
  <c r="G661" i="26"/>
  <c r="H661" i="26" s="1"/>
  <c r="G656" i="26"/>
  <c r="H656" i="26" s="1"/>
  <c r="G652" i="26"/>
  <c r="H652" i="26" s="1"/>
  <c r="G648" i="26"/>
  <c r="H648" i="26" s="1"/>
  <c r="O671" i="26"/>
  <c r="K670" i="26"/>
  <c r="O669" i="26"/>
  <c r="K668" i="26"/>
  <c r="O667" i="26"/>
  <c r="K666" i="26"/>
  <c r="O665" i="26"/>
  <c r="K664" i="26"/>
  <c r="O663" i="26"/>
  <c r="K662" i="26"/>
  <c r="O661" i="26"/>
  <c r="K660" i="26"/>
  <c r="O659" i="26"/>
  <c r="K658" i="26"/>
  <c r="K656" i="26"/>
  <c r="O655" i="26"/>
  <c r="K654" i="26"/>
  <c r="O653" i="26"/>
  <c r="K652" i="26"/>
  <c r="O651" i="26"/>
  <c r="K650" i="26"/>
  <c r="O649" i="26"/>
  <c r="K648" i="26"/>
  <c r="O647" i="26"/>
  <c r="H647" i="26"/>
  <c r="K646" i="26"/>
  <c r="H646" i="26"/>
  <c r="A2" i="27"/>
  <c r="A2" i="15"/>
  <c r="G2" i="15" s="1"/>
  <c r="P55" i="26"/>
  <c r="L13" i="30"/>
  <c r="AK13" i="30"/>
  <c r="D21" i="30"/>
  <c r="D22" i="30"/>
  <c r="D23" i="30"/>
  <c r="D24" i="30"/>
  <c r="D25" i="30"/>
  <c r="D26" i="30"/>
  <c r="D27" i="30"/>
  <c r="D28" i="30"/>
  <c r="D29" i="30"/>
  <c r="A21" i="30"/>
  <c r="A22" i="30"/>
  <c r="A23" i="30"/>
  <c r="A24" i="30"/>
  <c r="A25" i="30"/>
  <c r="A26" i="30"/>
  <c r="A27" i="30"/>
  <c r="A28" i="30"/>
  <c r="A29" i="30"/>
  <c r="D14" i="30"/>
  <c r="D15" i="30"/>
  <c r="D16" i="30"/>
  <c r="D17" i="30"/>
  <c r="D18" i="30"/>
  <c r="D19" i="30"/>
  <c r="D20" i="30"/>
  <c r="A10" i="30"/>
  <c r="A11" i="30"/>
  <c r="A12" i="30"/>
  <c r="A13" i="30"/>
  <c r="A14" i="30"/>
  <c r="A15" i="30"/>
  <c r="A16" i="30"/>
  <c r="A17" i="30"/>
  <c r="A18" i="30"/>
  <c r="A19" i="30"/>
  <c r="A20" i="30"/>
  <c r="D9" i="30"/>
  <c r="D10" i="30"/>
  <c r="A9" i="30"/>
  <c r="F592" i="26"/>
  <c r="J592" i="26"/>
  <c r="L592" i="26"/>
  <c r="N592" i="26"/>
  <c r="P592" i="26"/>
  <c r="F593" i="26"/>
  <c r="G593" i="26" s="1"/>
  <c r="J593" i="26"/>
  <c r="K593" i="26" s="1"/>
  <c r="L593" i="26"/>
  <c r="N593" i="26"/>
  <c r="P593" i="26"/>
  <c r="F594" i="26"/>
  <c r="G594" i="26" s="1"/>
  <c r="J594" i="26"/>
  <c r="O594" i="26" s="1"/>
  <c r="L594" i="26"/>
  <c r="N594" i="26"/>
  <c r="P594" i="26"/>
  <c r="F595" i="26"/>
  <c r="G595" i="26" s="1"/>
  <c r="J595" i="26"/>
  <c r="K595" i="26" s="1"/>
  <c r="L595" i="26"/>
  <c r="N595" i="26"/>
  <c r="P595" i="26"/>
  <c r="F596" i="26"/>
  <c r="G596" i="26" s="1"/>
  <c r="J596" i="26"/>
  <c r="O596" i="26" s="1"/>
  <c r="L596" i="26"/>
  <c r="N596" i="26"/>
  <c r="P596" i="26"/>
  <c r="F597" i="26"/>
  <c r="J597" i="26"/>
  <c r="K597" i="26" s="1"/>
  <c r="L597" i="26"/>
  <c r="N597" i="26"/>
  <c r="P597" i="26"/>
  <c r="F598" i="26"/>
  <c r="G598" i="26" s="1"/>
  <c r="J598" i="26"/>
  <c r="O598" i="26" s="1"/>
  <c r="L598" i="26"/>
  <c r="N598" i="26"/>
  <c r="P598" i="26"/>
  <c r="F599" i="26"/>
  <c r="G599" i="26" s="1"/>
  <c r="J599" i="26"/>
  <c r="K599" i="26" s="1"/>
  <c r="L599" i="26"/>
  <c r="N599" i="26"/>
  <c r="P599" i="26"/>
  <c r="F600" i="26"/>
  <c r="G600" i="26" s="1"/>
  <c r="J600" i="26"/>
  <c r="O600" i="26" s="1"/>
  <c r="L600" i="26"/>
  <c r="N600" i="26"/>
  <c r="P600" i="26"/>
  <c r="F601" i="26"/>
  <c r="G601" i="26" s="1"/>
  <c r="J601" i="26"/>
  <c r="K601" i="26" s="1"/>
  <c r="L601" i="26"/>
  <c r="N601" i="26"/>
  <c r="P601" i="26"/>
  <c r="F602" i="26"/>
  <c r="J602" i="26"/>
  <c r="O602" i="26" s="1"/>
  <c r="L602" i="26"/>
  <c r="N602" i="26"/>
  <c r="P602" i="26"/>
  <c r="F603" i="26"/>
  <c r="G603" i="26" s="1"/>
  <c r="J603" i="26"/>
  <c r="K603" i="26" s="1"/>
  <c r="L603" i="26"/>
  <c r="N603" i="26"/>
  <c r="P603" i="26"/>
  <c r="F604" i="26"/>
  <c r="J604" i="26"/>
  <c r="O604" i="26" s="1"/>
  <c r="L604" i="26"/>
  <c r="N604" i="26"/>
  <c r="P604" i="26"/>
  <c r="F605" i="26"/>
  <c r="G605" i="26" s="1"/>
  <c r="J605" i="26"/>
  <c r="K605" i="26" s="1"/>
  <c r="L605" i="26"/>
  <c r="N605" i="26"/>
  <c r="P605" i="26"/>
  <c r="F606" i="26"/>
  <c r="G606" i="26" s="1"/>
  <c r="J606" i="26"/>
  <c r="O606" i="26" s="1"/>
  <c r="L606" i="26"/>
  <c r="N606" i="26"/>
  <c r="P606" i="26"/>
  <c r="F607" i="26"/>
  <c r="J607" i="26"/>
  <c r="K607" i="26" s="1"/>
  <c r="L607" i="26"/>
  <c r="N607" i="26"/>
  <c r="P607" i="26"/>
  <c r="F608" i="26"/>
  <c r="G608" i="26" s="1"/>
  <c r="J608" i="26"/>
  <c r="O608" i="26" s="1"/>
  <c r="L608" i="26"/>
  <c r="N608" i="26"/>
  <c r="P608" i="26"/>
  <c r="F609" i="26"/>
  <c r="G609" i="26" s="1"/>
  <c r="J609" i="26"/>
  <c r="K609" i="26" s="1"/>
  <c r="L609" i="26"/>
  <c r="N609" i="26"/>
  <c r="P609" i="26"/>
  <c r="F610" i="26"/>
  <c r="G610" i="26" s="1"/>
  <c r="J610" i="26"/>
  <c r="O610" i="26" s="1"/>
  <c r="L610" i="26"/>
  <c r="N610" i="26"/>
  <c r="P610" i="26"/>
  <c r="F611" i="26"/>
  <c r="G611" i="26" s="1"/>
  <c r="J611" i="26"/>
  <c r="K611" i="26" s="1"/>
  <c r="L611" i="26"/>
  <c r="N611" i="26"/>
  <c r="P611" i="26"/>
  <c r="F612" i="26"/>
  <c r="J612" i="26"/>
  <c r="O612" i="26" s="1"/>
  <c r="L612" i="26"/>
  <c r="N612" i="26"/>
  <c r="P612" i="26"/>
  <c r="F613" i="26"/>
  <c r="G613" i="26" s="1"/>
  <c r="J613" i="26"/>
  <c r="K613" i="26" s="1"/>
  <c r="L613" i="26"/>
  <c r="N613" i="26"/>
  <c r="P613" i="26"/>
  <c r="F614" i="26"/>
  <c r="G614" i="26" s="1"/>
  <c r="J614" i="26"/>
  <c r="O614" i="26" s="1"/>
  <c r="L614" i="26"/>
  <c r="N614" i="26"/>
  <c r="P614" i="26"/>
  <c r="F615" i="26"/>
  <c r="G615" i="26" s="1"/>
  <c r="J615" i="26"/>
  <c r="K615" i="26" s="1"/>
  <c r="F616" i="26"/>
  <c r="G616" i="26" s="1"/>
  <c r="J616" i="26"/>
  <c r="O616" i="26" s="1"/>
  <c r="L616" i="26"/>
  <c r="N616" i="26"/>
  <c r="P616" i="26"/>
  <c r="F617" i="26"/>
  <c r="G617" i="26" s="1"/>
  <c r="J617" i="26"/>
  <c r="K617" i="26" s="1"/>
  <c r="L617" i="26"/>
  <c r="N617" i="26"/>
  <c r="P617" i="26"/>
  <c r="F618" i="26"/>
  <c r="G618" i="26" s="1"/>
  <c r="J618" i="26"/>
  <c r="L618" i="26"/>
  <c r="N618" i="26"/>
  <c r="P618" i="26"/>
  <c r="F619" i="26"/>
  <c r="J619" i="26"/>
  <c r="L619" i="26"/>
  <c r="N619" i="26"/>
  <c r="P619" i="26"/>
  <c r="F620" i="26"/>
  <c r="J620" i="26"/>
  <c r="O620" i="26" s="1"/>
  <c r="L620" i="26"/>
  <c r="N620" i="26"/>
  <c r="P620" i="26"/>
  <c r="F621" i="26"/>
  <c r="G621" i="26" s="1"/>
  <c r="J621" i="26"/>
  <c r="L621" i="26"/>
  <c r="N621" i="26"/>
  <c r="P621" i="26"/>
  <c r="F622" i="26"/>
  <c r="G622" i="26" s="1"/>
  <c r="J622" i="26"/>
  <c r="O622" i="26" s="1"/>
  <c r="L622" i="26"/>
  <c r="N622" i="26"/>
  <c r="P622" i="26"/>
  <c r="F623" i="26"/>
  <c r="J623" i="26"/>
  <c r="L623" i="26"/>
  <c r="N623" i="26"/>
  <c r="P623" i="26"/>
  <c r="F624" i="26"/>
  <c r="J624" i="26"/>
  <c r="L624" i="26"/>
  <c r="N624" i="26"/>
  <c r="P624" i="26"/>
  <c r="F625" i="26"/>
  <c r="G625" i="26" s="1"/>
  <c r="J625" i="26"/>
  <c r="L625" i="26"/>
  <c r="N625" i="26"/>
  <c r="P625" i="26"/>
  <c r="F626" i="26"/>
  <c r="J626" i="26"/>
  <c r="O626" i="26" s="1"/>
  <c r="L626" i="26"/>
  <c r="N626" i="26"/>
  <c r="P626" i="26"/>
  <c r="F627" i="26"/>
  <c r="J627" i="26"/>
  <c r="L627" i="26"/>
  <c r="N627" i="26"/>
  <c r="P627" i="26"/>
  <c r="F628" i="26"/>
  <c r="G628" i="26" s="1"/>
  <c r="J628" i="26"/>
  <c r="L628" i="26"/>
  <c r="N628" i="26"/>
  <c r="P628" i="26"/>
  <c r="F629" i="26"/>
  <c r="G629" i="26" s="1"/>
  <c r="J629" i="26"/>
  <c r="L629" i="26"/>
  <c r="N629" i="26"/>
  <c r="P629" i="26"/>
  <c r="F630" i="26"/>
  <c r="G630" i="26" s="1"/>
  <c r="J630" i="26"/>
  <c r="L630" i="26"/>
  <c r="N630" i="26"/>
  <c r="P630" i="26"/>
  <c r="F631" i="26"/>
  <c r="G631" i="26" s="1"/>
  <c r="J631" i="26"/>
  <c r="L631" i="26"/>
  <c r="N631" i="26"/>
  <c r="P631" i="26"/>
  <c r="F632" i="26"/>
  <c r="G632" i="26" s="1"/>
  <c r="J632" i="26"/>
  <c r="O632" i="26" s="1"/>
  <c r="F633" i="26"/>
  <c r="G633" i="26" s="1"/>
  <c r="J633" i="26"/>
  <c r="L633" i="26"/>
  <c r="N633" i="26"/>
  <c r="P633" i="26"/>
  <c r="F634" i="26"/>
  <c r="G634" i="26" s="1"/>
  <c r="J634" i="26"/>
  <c r="L634" i="26"/>
  <c r="N634" i="26"/>
  <c r="P634" i="26"/>
  <c r="F635" i="26"/>
  <c r="G635" i="26" s="1"/>
  <c r="J635" i="26"/>
  <c r="L635" i="26"/>
  <c r="N635" i="26"/>
  <c r="P635" i="26"/>
  <c r="F636" i="26"/>
  <c r="G636" i="26" s="1"/>
  <c r="J636" i="26"/>
  <c r="L636" i="26"/>
  <c r="N636" i="26"/>
  <c r="P636" i="26"/>
  <c r="F637" i="26"/>
  <c r="G637" i="26" s="1"/>
  <c r="J637" i="26"/>
  <c r="L637" i="26"/>
  <c r="N637" i="26"/>
  <c r="P637" i="26"/>
  <c r="F638" i="26"/>
  <c r="G638" i="26" s="1"/>
  <c r="J638" i="26"/>
  <c r="L638" i="26"/>
  <c r="N638" i="26"/>
  <c r="P638" i="26"/>
  <c r="F639" i="26"/>
  <c r="G639" i="26" s="1"/>
  <c r="J639" i="26"/>
  <c r="L639" i="26"/>
  <c r="N639" i="26"/>
  <c r="P639" i="26"/>
  <c r="F640" i="26"/>
  <c r="G640" i="26" s="1"/>
  <c r="J640" i="26"/>
  <c r="L640" i="26"/>
  <c r="N640" i="26"/>
  <c r="P640" i="26"/>
  <c r="F641" i="26"/>
  <c r="G641" i="26" s="1"/>
  <c r="J641" i="26"/>
  <c r="L641" i="26"/>
  <c r="N641" i="26"/>
  <c r="P641" i="26"/>
  <c r="F642" i="26"/>
  <c r="G642" i="26" s="1"/>
  <c r="J642" i="26"/>
  <c r="L642" i="26"/>
  <c r="N642" i="26"/>
  <c r="P642" i="26"/>
  <c r="F643" i="26"/>
  <c r="G643" i="26" s="1"/>
  <c r="J643" i="26"/>
  <c r="L643" i="26"/>
  <c r="N643" i="26"/>
  <c r="P643" i="26"/>
  <c r="F644" i="26"/>
  <c r="G644" i="26" s="1"/>
  <c r="J644" i="26"/>
  <c r="L644" i="26"/>
  <c r="N644" i="26"/>
  <c r="P644" i="26"/>
  <c r="F645" i="26"/>
  <c r="G645" i="26" s="1"/>
  <c r="J645" i="26"/>
  <c r="L645" i="26"/>
  <c r="N645" i="26"/>
  <c r="P645" i="26"/>
  <c r="P548" i="26"/>
  <c r="P549" i="26"/>
  <c r="P550" i="26"/>
  <c r="P551" i="26"/>
  <c r="P552" i="26"/>
  <c r="P553" i="26"/>
  <c r="P554" i="26"/>
  <c r="P555" i="26"/>
  <c r="P556" i="26"/>
  <c r="P557" i="26"/>
  <c r="P558" i="26"/>
  <c r="P559" i="26"/>
  <c r="P560" i="26"/>
  <c r="P561" i="26"/>
  <c r="P563" i="26"/>
  <c r="P564" i="26"/>
  <c r="P565" i="26"/>
  <c r="P566" i="26"/>
  <c r="P567" i="26"/>
  <c r="P568" i="26"/>
  <c r="P569" i="26"/>
  <c r="P570" i="26"/>
  <c r="P571" i="26"/>
  <c r="P572" i="26"/>
  <c r="P573" i="26"/>
  <c r="P574" i="26"/>
  <c r="P575" i="26"/>
  <c r="P576" i="26"/>
  <c r="P577" i="26"/>
  <c r="P579" i="26"/>
  <c r="P580" i="26"/>
  <c r="P581" i="26"/>
  <c r="P582" i="26"/>
  <c r="P583" i="26"/>
  <c r="P584" i="26"/>
  <c r="P585" i="26"/>
  <c r="P586" i="26"/>
  <c r="P587" i="26"/>
  <c r="P588" i="26"/>
  <c r="P589" i="26"/>
  <c r="P590" i="26"/>
  <c r="N554" i="26"/>
  <c r="N555" i="26"/>
  <c r="N556" i="26"/>
  <c r="N557" i="26"/>
  <c r="N558" i="26"/>
  <c r="N559" i="26"/>
  <c r="N560" i="26"/>
  <c r="N561" i="26"/>
  <c r="N563" i="26"/>
  <c r="N564" i="26"/>
  <c r="N565" i="26"/>
  <c r="N566" i="26"/>
  <c r="N567" i="26"/>
  <c r="N568" i="26"/>
  <c r="N569" i="26"/>
  <c r="N570" i="26"/>
  <c r="N571" i="26"/>
  <c r="N572" i="26"/>
  <c r="N573" i="26"/>
  <c r="N574" i="26"/>
  <c r="N575" i="26"/>
  <c r="N576" i="26"/>
  <c r="N577" i="26"/>
  <c r="N579" i="26"/>
  <c r="N580" i="26"/>
  <c r="N581" i="26"/>
  <c r="N582" i="26"/>
  <c r="N583" i="26"/>
  <c r="N584" i="26"/>
  <c r="N585" i="26"/>
  <c r="N586" i="26"/>
  <c r="N587" i="26"/>
  <c r="N588" i="26"/>
  <c r="N589" i="26"/>
  <c r="N590" i="26"/>
  <c r="N591" i="26"/>
  <c r="L554" i="26"/>
  <c r="L555" i="26"/>
  <c r="L556" i="26"/>
  <c r="L557" i="26"/>
  <c r="L558" i="26"/>
  <c r="L559" i="26"/>
  <c r="L560" i="26"/>
  <c r="L561" i="26"/>
  <c r="L563" i="26"/>
  <c r="L564" i="26"/>
  <c r="L565" i="26"/>
  <c r="L566" i="26"/>
  <c r="L567" i="26"/>
  <c r="L568" i="26"/>
  <c r="L569" i="26"/>
  <c r="L570" i="26"/>
  <c r="L571" i="26"/>
  <c r="L572" i="26"/>
  <c r="L573" i="26"/>
  <c r="L574" i="26"/>
  <c r="L575" i="26"/>
  <c r="L576" i="26"/>
  <c r="L577" i="26"/>
  <c r="L579" i="26"/>
  <c r="L580" i="26"/>
  <c r="L581" i="26"/>
  <c r="L582" i="26"/>
  <c r="L583" i="26"/>
  <c r="L584" i="26"/>
  <c r="L585" i="26"/>
  <c r="L586" i="26"/>
  <c r="L587" i="26"/>
  <c r="L588" i="26"/>
  <c r="L589" i="26"/>
  <c r="L590" i="26"/>
  <c r="F588" i="26"/>
  <c r="G588" i="26" s="1"/>
  <c r="J588" i="26"/>
  <c r="F589" i="26"/>
  <c r="G589" i="26" s="1"/>
  <c r="J589" i="26"/>
  <c r="K589" i="26" s="1"/>
  <c r="F590" i="26"/>
  <c r="G590" i="26" s="1"/>
  <c r="J590" i="26"/>
  <c r="O590" i="26" s="1"/>
  <c r="F591" i="26"/>
  <c r="G591" i="26" s="1"/>
  <c r="J591" i="26"/>
  <c r="K591" i="26" s="1"/>
  <c r="L591" i="26"/>
  <c r="P591" i="26"/>
  <c r="F547" i="26"/>
  <c r="G547" i="26" s="1"/>
  <c r="J547" i="26"/>
  <c r="L547" i="26"/>
  <c r="N547" i="26"/>
  <c r="P547" i="26"/>
  <c r="F548" i="26"/>
  <c r="G548" i="26" s="1"/>
  <c r="J548" i="26"/>
  <c r="K548" i="26" s="1"/>
  <c r="L548" i="26"/>
  <c r="N548" i="26"/>
  <c r="F549" i="26"/>
  <c r="G549" i="26" s="1"/>
  <c r="J549" i="26"/>
  <c r="O549" i="26" s="1"/>
  <c r="L549" i="26"/>
  <c r="N549" i="26"/>
  <c r="F550" i="26"/>
  <c r="J550" i="26"/>
  <c r="K550" i="26" s="1"/>
  <c r="L550" i="26"/>
  <c r="N550" i="26"/>
  <c r="F551" i="26"/>
  <c r="G551" i="26" s="1"/>
  <c r="J551" i="26"/>
  <c r="O551" i="26" s="1"/>
  <c r="L551" i="26"/>
  <c r="N551" i="26"/>
  <c r="F552" i="26"/>
  <c r="G552" i="26" s="1"/>
  <c r="J552" i="26"/>
  <c r="K552" i="26" s="1"/>
  <c r="L552" i="26"/>
  <c r="N552" i="26"/>
  <c r="F553" i="26"/>
  <c r="G553" i="26" s="1"/>
  <c r="J553" i="26"/>
  <c r="O553" i="26" s="1"/>
  <c r="L553" i="26"/>
  <c r="N553" i="26"/>
  <c r="F554" i="26"/>
  <c r="G554" i="26" s="1"/>
  <c r="J554" i="26"/>
  <c r="K554" i="26" s="1"/>
  <c r="F555" i="26"/>
  <c r="G555" i="26" s="1"/>
  <c r="J555" i="26"/>
  <c r="F556" i="26"/>
  <c r="G556" i="26" s="1"/>
  <c r="J556" i="26"/>
  <c r="K556" i="26" s="1"/>
  <c r="F557" i="26"/>
  <c r="G557" i="26" s="1"/>
  <c r="J557" i="26"/>
  <c r="O557" i="26" s="1"/>
  <c r="F558" i="26"/>
  <c r="G558" i="26" s="1"/>
  <c r="J558" i="26"/>
  <c r="K558" i="26" s="1"/>
  <c r="F559" i="26"/>
  <c r="J559" i="26"/>
  <c r="O559" i="26" s="1"/>
  <c r="F560" i="26"/>
  <c r="J560" i="26"/>
  <c r="K560" i="26" s="1"/>
  <c r="F561" i="26"/>
  <c r="G561" i="26" s="1"/>
  <c r="J561" i="26"/>
  <c r="O561" i="26" s="1"/>
  <c r="F562" i="26"/>
  <c r="G562" i="26" s="1"/>
  <c r="J562" i="26"/>
  <c r="K562" i="26" s="1"/>
  <c r="F563" i="26"/>
  <c r="J563" i="26"/>
  <c r="O563" i="26" s="1"/>
  <c r="F564" i="26"/>
  <c r="G564" i="26" s="1"/>
  <c r="J564" i="26"/>
  <c r="K564" i="26" s="1"/>
  <c r="F565" i="26"/>
  <c r="J565" i="26"/>
  <c r="O565" i="26" s="1"/>
  <c r="F566" i="26"/>
  <c r="G566" i="26" s="1"/>
  <c r="J566" i="26"/>
  <c r="K566" i="26" s="1"/>
  <c r="F567" i="26"/>
  <c r="J567" i="26"/>
  <c r="O567" i="26" s="1"/>
  <c r="F568" i="26"/>
  <c r="G568" i="26" s="1"/>
  <c r="J568" i="26"/>
  <c r="K568" i="26" s="1"/>
  <c r="F569" i="26"/>
  <c r="G569" i="26" s="1"/>
  <c r="J569" i="26"/>
  <c r="O569" i="26" s="1"/>
  <c r="F570" i="26"/>
  <c r="G570" i="26" s="1"/>
  <c r="J570" i="26"/>
  <c r="K570" i="26" s="1"/>
  <c r="F571" i="26"/>
  <c r="G571" i="26" s="1"/>
  <c r="J571" i="26"/>
  <c r="O571" i="26" s="1"/>
  <c r="F572" i="26"/>
  <c r="G572" i="26" s="1"/>
  <c r="J572" i="26"/>
  <c r="K572" i="26" s="1"/>
  <c r="F573" i="26"/>
  <c r="G573" i="26" s="1"/>
  <c r="J573" i="26"/>
  <c r="O573" i="26" s="1"/>
  <c r="F574" i="26"/>
  <c r="G574" i="26" s="1"/>
  <c r="J574" i="26"/>
  <c r="K574" i="26" s="1"/>
  <c r="F575" i="26"/>
  <c r="G575" i="26" s="1"/>
  <c r="J575" i="26"/>
  <c r="O575" i="26" s="1"/>
  <c r="F576" i="26"/>
  <c r="G576" i="26" s="1"/>
  <c r="J576" i="26"/>
  <c r="K576" i="26" s="1"/>
  <c r="F577" i="26"/>
  <c r="G577" i="26" s="1"/>
  <c r="J577" i="26"/>
  <c r="O577" i="26" s="1"/>
  <c r="F578" i="26"/>
  <c r="J578" i="26"/>
  <c r="K578" i="26" s="1"/>
  <c r="F579" i="26"/>
  <c r="G579" i="26" s="1"/>
  <c r="J579" i="26"/>
  <c r="O579" i="26" s="1"/>
  <c r="F580" i="26"/>
  <c r="G580" i="26" s="1"/>
  <c r="J580" i="26"/>
  <c r="K580" i="26" s="1"/>
  <c r="F581" i="26"/>
  <c r="J581" i="26"/>
  <c r="O581" i="26" s="1"/>
  <c r="F582" i="26"/>
  <c r="J582" i="26"/>
  <c r="K582" i="26" s="1"/>
  <c r="F583" i="26"/>
  <c r="G583" i="26" s="1"/>
  <c r="J583" i="26"/>
  <c r="O583" i="26" s="1"/>
  <c r="F584" i="26"/>
  <c r="G584" i="26" s="1"/>
  <c r="J584" i="26"/>
  <c r="K584" i="26" s="1"/>
  <c r="F585" i="26"/>
  <c r="J585" i="26"/>
  <c r="O585" i="26" s="1"/>
  <c r="F586" i="26"/>
  <c r="G586" i="26" s="1"/>
  <c r="J586" i="26"/>
  <c r="K586" i="26" s="1"/>
  <c r="F587" i="26"/>
  <c r="G587" i="26" s="1"/>
  <c r="J587" i="26"/>
  <c r="O587" i="26" s="1"/>
  <c r="N502" i="26"/>
  <c r="P502" i="26"/>
  <c r="N503" i="26"/>
  <c r="P503" i="26"/>
  <c r="N504" i="26"/>
  <c r="P504" i="26"/>
  <c r="N505" i="26"/>
  <c r="P505" i="26"/>
  <c r="N506" i="26"/>
  <c r="P506" i="26"/>
  <c r="N507" i="26"/>
  <c r="P507" i="26"/>
  <c r="N508" i="26"/>
  <c r="P508" i="26"/>
  <c r="N509" i="26"/>
  <c r="P509" i="26"/>
  <c r="N510" i="26"/>
  <c r="P510" i="26"/>
  <c r="N511" i="26"/>
  <c r="P511" i="26"/>
  <c r="N514" i="26"/>
  <c r="P514" i="26"/>
  <c r="N515" i="26"/>
  <c r="P515" i="26"/>
  <c r="N516" i="26"/>
  <c r="P516" i="26"/>
  <c r="N517" i="26"/>
  <c r="P517" i="26"/>
  <c r="N518" i="26"/>
  <c r="P518" i="26"/>
  <c r="N519" i="26"/>
  <c r="P519" i="26"/>
  <c r="N521" i="26"/>
  <c r="P521" i="26"/>
  <c r="N522" i="26"/>
  <c r="P522" i="26"/>
  <c r="N523" i="26"/>
  <c r="P523" i="26"/>
  <c r="N524" i="26"/>
  <c r="P524" i="26"/>
  <c r="N525" i="26"/>
  <c r="P525" i="26"/>
  <c r="N526" i="26"/>
  <c r="P526" i="26"/>
  <c r="N527" i="26"/>
  <c r="P527" i="26"/>
  <c r="N528" i="26"/>
  <c r="P528" i="26"/>
  <c r="N529" i="26"/>
  <c r="P529" i="26"/>
  <c r="N531" i="26"/>
  <c r="P531" i="26"/>
  <c r="N533" i="26"/>
  <c r="P533" i="26"/>
  <c r="N534" i="26"/>
  <c r="P534" i="26"/>
  <c r="N535" i="26"/>
  <c r="P535" i="26"/>
  <c r="N536" i="26"/>
  <c r="P536" i="26"/>
  <c r="N537" i="26"/>
  <c r="P537" i="26"/>
  <c r="N538" i="26"/>
  <c r="P538" i="26"/>
  <c r="N539" i="26"/>
  <c r="P539" i="26"/>
  <c r="N540" i="26"/>
  <c r="P540" i="26"/>
  <c r="N541" i="26"/>
  <c r="P541" i="26"/>
  <c r="N542" i="26"/>
  <c r="P542" i="26"/>
  <c r="N544" i="26"/>
  <c r="P544" i="26"/>
  <c r="N546" i="26"/>
  <c r="P546" i="26"/>
  <c r="L502" i="26"/>
  <c r="L503" i="26"/>
  <c r="L504" i="26"/>
  <c r="L505" i="26"/>
  <c r="L506" i="26"/>
  <c r="L507" i="26"/>
  <c r="L508" i="26"/>
  <c r="L509" i="26"/>
  <c r="L510" i="26"/>
  <c r="L511" i="26"/>
  <c r="L514" i="26"/>
  <c r="L515" i="26"/>
  <c r="L516" i="26"/>
  <c r="L517" i="26"/>
  <c r="L518" i="26"/>
  <c r="L519" i="26"/>
  <c r="L521" i="26"/>
  <c r="L522" i="26"/>
  <c r="L523" i="26"/>
  <c r="L524" i="26"/>
  <c r="L525" i="26"/>
  <c r="L526" i="26"/>
  <c r="L527" i="26"/>
  <c r="L528" i="26"/>
  <c r="L529" i="26"/>
  <c r="L531" i="26"/>
  <c r="L533" i="26"/>
  <c r="L534" i="26"/>
  <c r="L535" i="26"/>
  <c r="L536" i="26"/>
  <c r="L537" i="26"/>
  <c r="L538" i="26"/>
  <c r="L539" i="26"/>
  <c r="L540" i="26"/>
  <c r="L541" i="26"/>
  <c r="L542" i="26"/>
  <c r="L544" i="26"/>
  <c r="L546" i="26"/>
  <c r="J502" i="26"/>
  <c r="J503" i="26"/>
  <c r="O503" i="26" s="1"/>
  <c r="J504" i="26"/>
  <c r="O504" i="26" s="1"/>
  <c r="J505" i="26"/>
  <c r="O505" i="26" s="1"/>
  <c r="J506" i="26"/>
  <c r="K506" i="26" s="1"/>
  <c r="J507" i="26"/>
  <c r="O507" i="26" s="1"/>
  <c r="J508" i="26"/>
  <c r="O508" i="26" s="1"/>
  <c r="J509" i="26"/>
  <c r="O509" i="26" s="1"/>
  <c r="J510" i="26"/>
  <c r="K510" i="26" s="1"/>
  <c r="J511" i="26"/>
  <c r="O511" i="26" s="1"/>
  <c r="J512" i="26"/>
  <c r="O512" i="26" s="1"/>
  <c r="J513" i="26"/>
  <c r="O513" i="26" s="1"/>
  <c r="J514" i="26"/>
  <c r="K514" i="26" s="1"/>
  <c r="J515" i="26"/>
  <c r="K515" i="26" s="1"/>
  <c r="J516" i="26"/>
  <c r="J517" i="26"/>
  <c r="O517" i="26" s="1"/>
  <c r="J518" i="26"/>
  <c r="J519" i="26"/>
  <c r="J520" i="26"/>
  <c r="O520" i="26" s="1"/>
  <c r="J521" i="26"/>
  <c r="O521" i="26" s="1"/>
  <c r="J522" i="26"/>
  <c r="O522" i="26" s="1"/>
  <c r="J523" i="26"/>
  <c r="J524" i="26"/>
  <c r="K524" i="26" s="1"/>
  <c r="J525" i="26"/>
  <c r="O525" i="26" s="1"/>
  <c r="J526" i="26"/>
  <c r="J527" i="26"/>
  <c r="K527" i="26" s="1"/>
  <c r="J528" i="26"/>
  <c r="K528" i="26" s="1"/>
  <c r="J529" i="26"/>
  <c r="K529" i="26" s="1"/>
  <c r="J530" i="26"/>
  <c r="K530" i="26" s="1"/>
  <c r="J531" i="26"/>
  <c r="O531" i="26" s="1"/>
  <c r="J532" i="26"/>
  <c r="K532" i="26" s="1"/>
  <c r="J533" i="26"/>
  <c r="K533" i="26" s="1"/>
  <c r="J534" i="26"/>
  <c r="J535" i="26"/>
  <c r="O535" i="26" s="1"/>
  <c r="J536" i="26"/>
  <c r="K536" i="26" s="1"/>
  <c r="J537" i="26"/>
  <c r="O537" i="26" s="1"/>
  <c r="J538" i="26"/>
  <c r="O538" i="26" s="1"/>
  <c r="J539" i="26"/>
  <c r="O539" i="26" s="1"/>
  <c r="J540" i="26"/>
  <c r="O540" i="26" s="1"/>
  <c r="J541" i="26"/>
  <c r="K541" i="26" s="1"/>
  <c r="J542" i="26"/>
  <c r="J543" i="26"/>
  <c r="J544" i="26"/>
  <c r="K544" i="26" s="1"/>
  <c r="J545" i="26"/>
  <c r="K545" i="26" s="1"/>
  <c r="J546" i="26"/>
  <c r="O546" i="26" s="1"/>
  <c r="F514" i="26"/>
  <c r="G514" i="26" s="1"/>
  <c r="F515" i="26"/>
  <c r="G515" i="26" s="1"/>
  <c r="F516" i="26"/>
  <c r="F517" i="26"/>
  <c r="G517" i="26" s="1"/>
  <c r="F518" i="26"/>
  <c r="G518" i="26" s="1"/>
  <c r="F519" i="26"/>
  <c r="G519" i="26" s="1"/>
  <c r="F520" i="26"/>
  <c r="G520" i="26" s="1"/>
  <c r="F521" i="26"/>
  <c r="G521" i="26" s="1"/>
  <c r="F522" i="26"/>
  <c r="F534" i="26"/>
  <c r="F535" i="26"/>
  <c r="G535" i="26" s="1"/>
  <c r="F536" i="26"/>
  <c r="G536" i="26" s="1"/>
  <c r="F537" i="26"/>
  <c r="G537" i="26" s="1"/>
  <c r="F538" i="26"/>
  <c r="G538" i="26" s="1"/>
  <c r="F539" i="26"/>
  <c r="G539" i="26" s="1"/>
  <c r="H539" i="26" s="1"/>
  <c r="F540" i="26"/>
  <c r="F541" i="26"/>
  <c r="G541" i="26" s="1"/>
  <c r="F542" i="26"/>
  <c r="G542" i="26" s="1"/>
  <c r="F543" i="26"/>
  <c r="G543" i="26" s="1"/>
  <c r="F544" i="26"/>
  <c r="G544" i="26" s="1"/>
  <c r="F545" i="26"/>
  <c r="G545" i="26" s="1"/>
  <c r="F546" i="26"/>
  <c r="F502" i="26"/>
  <c r="G502" i="26" s="1"/>
  <c r="F503" i="26"/>
  <c r="G503" i="26" s="1"/>
  <c r="F504" i="26"/>
  <c r="G504" i="26" s="1"/>
  <c r="H504" i="26" s="1"/>
  <c r="F505" i="26"/>
  <c r="G505" i="26" s="1"/>
  <c r="H505" i="26" s="1"/>
  <c r="F506" i="26"/>
  <c r="G506" i="26" s="1"/>
  <c r="H506" i="26" s="1"/>
  <c r="F507" i="26"/>
  <c r="F508" i="26"/>
  <c r="G508" i="26" s="1"/>
  <c r="H508" i="26" s="1"/>
  <c r="F509" i="26"/>
  <c r="G509" i="26" s="1"/>
  <c r="F510" i="26"/>
  <c r="G510" i="26" s="1"/>
  <c r="F511" i="26"/>
  <c r="G511" i="26" s="1"/>
  <c r="F512" i="26"/>
  <c r="G512" i="26" s="1"/>
  <c r="H512" i="26" s="1"/>
  <c r="F513" i="26"/>
  <c r="G513" i="26" s="1"/>
  <c r="J470" i="26"/>
  <c r="K470" i="26" s="1"/>
  <c r="L470" i="26"/>
  <c r="N470" i="26"/>
  <c r="P470" i="26"/>
  <c r="J471" i="26"/>
  <c r="K471" i="26" s="1"/>
  <c r="L471" i="26"/>
  <c r="N471" i="26"/>
  <c r="P471" i="26"/>
  <c r="J472" i="26"/>
  <c r="K472" i="26" s="1"/>
  <c r="L472" i="26"/>
  <c r="N472" i="26"/>
  <c r="P472" i="26"/>
  <c r="J473" i="26"/>
  <c r="K473" i="26" s="1"/>
  <c r="L473" i="26"/>
  <c r="N473" i="26"/>
  <c r="P473" i="26"/>
  <c r="J474" i="26"/>
  <c r="O474" i="26" s="1"/>
  <c r="L474" i="26"/>
  <c r="N474" i="26"/>
  <c r="P474" i="26"/>
  <c r="J475" i="26"/>
  <c r="K475" i="26" s="1"/>
  <c r="L475" i="26"/>
  <c r="N475" i="26"/>
  <c r="P475" i="26"/>
  <c r="J476" i="26"/>
  <c r="K476" i="26" s="1"/>
  <c r="L476" i="26"/>
  <c r="N476" i="26"/>
  <c r="P476" i="26"/>
  <c r="J477" i="26"/>
  <c r="O477" i="26" s="1"/>
  <c r="L477" i="26"/>
  <c r="N477" i="26"/>
  <c r="P477" i="26"/>
  <c r="J478" i="26"/>
  <c r="K478" i="26" s="1"/>
  <c r="J479" i="26"/>
  <c r="K479" i="26" s="1"/>
  <c r="L479" i="26"/>
  <c r="N479" i="26"/>
  <c r="P479" i="26"/>
  <c r="J480" i="26"/>
  <c r="L480" i="26"/>
  <c r="N480" i="26"/>
  <c r="P480" i="26"/>
  <c r="J481" i="26"/>
  <c r="L481" i="26"/>
  <c r="N481" i="26"/>
  <c r="P481" i="26"/>
  <c r="J482" i="26"/>
  <c r="O482" i="26" s="1"/>
  <c r="L482" i="26"/>
  <c r="N482" i="26"/>
  <c r="P482" i="26"/>
  <c r="J483" i="26"/>
  <c r="K483" i="26" s="1"/>
  <c r="L483" i="26"/>
  <c r="N483" i="26"/>
  <c r="P483" i="26"/>
  <c r="J484" i="26"/>
  <c r="K484" i="26" s="1"/>
  <c r="L484" i="26"/>
  <c r="N484" i="26"/>
  <c r="P484" i="26"/>
  <c r="J485" i="26"/>
  <c r="O485" i="26" s="1"/>
  <c r="L485" i="26"/>
  <c r="N485" i="26"/>
  <c r="P485" i="26"/>
  <c r="J486" i="26"/>
  <c r="O486" i="26" s="1"/>
  <c r="L486" i="26"/>
  <c r="N486" i="26"/>
  <c r="P486" i="26"/>
  <c r="J487" i="26"/>
  <c r="O487" i="26" s="1"/>
  <c r="L487" i="26"/>
  <c r="N487" i="26"/>
  <c r="P487" i="26"/>
  <c r="J488" i="26"/>
  <c r="K488" i="26" s="1"/>
  <c r="L488" i="26"/>
  <c r="N488" i="26"/>
  <c r="P488" i="26"/>
  <c r="J489" i="26"/>
  <c r="K489" i="26" s="1"/>
  <c r="L489" i="26"/>
  <c r="N489" i="26"/>
  <c r="P489" i="26"/>
  <c r="J490" i="26"/>
  <c r="O490" i="26" s="1"/>
  <c r="J491" i="26"/>
  <c r="O491" i="26" s="1"/>
  <c r="L491" i="26"/>
  <c r="N491" i="26"/>
  <c r="P491" i="26"/>
  <c r="J492" i="26"/>
  <c r="L492" i="26"/>
  <c r="N492" i="26"/>
  <c r="P492" i="26"/>
  <c r="J493" i="26"/>
  <c r="O493" i="26" s="1"/>
  <c r="L493" i="26"/>
  <c r="N493" i="26"/>
  <c r="P493" i="26"/>
  <c r="J494" i="26"/>
  <c r="O494" i="26" s="1"/>
  <c r="L494" i="26"/>
  <c r="N494" i="26"/>
  <c r="P494" i="26"/>
  <c r="J495" i="26"/>
  <c r="K495" i="26" s="1"/>
  <c r="L495" i="26"/>
  <c r="N495" i="26"/>
  <c r="P495" i="26"/>
  <c r="J496" i="26"/>
  <c r="O496" i="26" s="1"/>
  <c r="L496" i="26"/>
  <c r="N496" i="26"/>
  <c r="P496" i="26"/>
  <c r="J497" i="26"/>
  <c r="O497" i="26" s="1"/>
  <c r="L497" i="26"/>
  <c r="N497" i="26"/>
  <c r="P497" i="26"/>
  <c r="J498" i="26"/>
  <c r="K498" i="26" s="1"/>
  <c r="L498" i="26"/>
  <c r="N498" i="26"/>
  <c r="P498" i="26"/>
  <c r="J499" i="26"/>
  <c r="K499" i="26" s="1"/>
  <c r="L499" i="26"/>
  <c r="N499" i="26"/>
  <c r="P499" i="26"/>
  <c r="J500" i="26"/>
  <c r="K500" i="26" s="1"/>
  <c r="L500" i="26"/>
  <c r="N500" i="26"/>
  <c r="P500" i="26"/>
  <c r="J501" i="26"/>
  <c r="O501" i="26" s="1"/>
  <c r="L501" i="26"/>
  <c r="N501" i="26"/>
  <c r="P501" i="26"/>
  <c r="F470" i="26"/>
  <c r="G470" i="26" s="1"/>
  <c r="F471" i="26"/>
  <c r="F472" i="26"/>
  <c r="G472" i="26" s="1"/>
  <c r="F473" i="26"/>
  <c r="G473" i="26" s="1"/>
  <c r="F474" i="26"/>
  <c r="F475" i="26"/>
  <c r="G475" i="26" s="1"/>
  <c r="F476" i="26"/>
  <c r="F477" i="26"/>
  <c r="G477" i="26" s="1"/>
  <c r="F478" i="26"/>
  <c r="G478" i="26" s="1"/>
  <c r="F479" i="26"/>
  <c r="G479" i="26" s="1"/>
  <c r="H479" i="26" s="1"/>
  <c r="F480" i="26"/>
  <c r="G480" i="26" s="1"/>
  <c r="F481" i="26"/>
  <c r="G481" i="26" s="1"/>
  <c r="F482" i="26"/>
  <c r="G482" i="26" s="1"/>
  <c r="F483" i="26"/>
  <c r="G483" i="26" s="1"/>
  <c r="F484" i="26"/>
  <c r="F485" i="26"/>
  <c r="G485" i="26" s="1"/>
  <c r="F486" i="26"/>
  <c r="G486" i="26" s="1"/>
  <c r="F487" i="26"/>
  <c r="G487" i="26" s="1"/>
  <c r="H487" i="26" s="1"/>
  <c r="F488" i="26"/>
  <c r="G488" i="26" s="1"/>
  <c r="F489" i="26"/>
  <c r="G489" i="26" s="1"/>
  <c r="F490" i="26"/>
  <c r="G490" i="26" s="1"/>
  <c r="F491" i="26"/>
  <c r="G491" i="26" s="1"/>
  <c r="F492" i="26"/>
  <c r="G492" i="26" s="1"/>
  <c r="F493" i="26"/>
  <c r="G493" i="26" s="1"/>
  <c r="F494" i="26"/>
  <c r="G494" i="26" s="1"/>
  <c r="F495" i="26"/>
  <c r="G495" i="26" s="1"/>
  <c r="H495" i="26" s="1"/>
  <c r="F496" i="26"/>
  <c r="F497" i="26"/>
  <c r="G497" i="26" s="1"/>
  <c r="F498" i="26"/>
  <c r="G498" i="26" s="1"/>
  <c r="F499" i="26"/>
  <c r="G499" i="26" s="1"/>
  <c r="F500" i="26"/>
  <c r="G500" i="26" s="1"/>
  <c r="F501" i="26"/>
  <c r="G501" i="26" s="1"/>
  <c r="J460" i="26"/>
  <c r="J461" i="26"/>
  <c r="K461" i="26" s="1"/>
  <c r="J462" i="26"/>
  <c r="K462" i="26" s="1"/>
  <c r="J463" i="26"/>
  <c r="J464" i="26"/>
  <c r="K464" i="26" s="1"/>
  <c r="J465" i="26"/>
  <c r="K465" i="26" s="1"/>
  <c r="J466" i="26"/>
  <c r="K466" i="26" s="1"/>
  <c r="J467" i="26"/>
  <c r="K467" i="26" s="1"/>
  <c r="J468" i="26"/>
  <c r="K468" i="26" s="1"/>
  <c r="J469" i="26"/>
  <c r="K469" i="26" s="1"/>
  <c r="J451" i="26"/>
  <c r="O451" i="26" s="1"/>
  <c r="J452" i="26"/>
  <c r="K452" i="26" s="1"/>
  <c r="J453" i="26"/>
  <c r="K453" i="26" s="1"/>
  <c r="J454" i="26"/>
  <c r="K454" i="26" s="1"/>
  <c r="J455" i="26"/>
  <c r="O455" i="26" s="1"/>
  <c r="J456" i="26"/>
  <c r="O456" i="26" s="1"/>
  <c r="J457" i="26"/>
  <c r="O457" i="26" s="1"/>
  <c r="J458" i="26"/>
  <c r="O458" i="26" s="1"/>
  <c r="J459" i="26"/>
  <c r="K459" i="26" s="1"/>
  <c r="J441" i="26"/>
  <c r="O441" i="26" s="1"/>
  <c r="J442" i="26"/>
  <c r="K442" i="26" s="1"/>
  <c r="J443" i="26"/>
  <c r="J444" i="26"/>
  <c r="K444" i="26" s="1"/>
  <c r="J445" i="26"/>
  <c r="O445" i="26" s="1"/>
  <c r="J446" i="26"/>
  <c r="O446" i="26" s="1"/>
  <c r="J447" i="26"/>
  <c r="O447" i="26" s="1"/>
  <c r="J448" i="26"/>
  <c r="J449" i="26"/>
  <c r="K449" i="26" s="1"/>
  <c r="J450" i="26"/>
  <c r="K450" i="26" s="1"/>
  <c r="J433" i="26"/>
  <c r="K433" i="26" s="1"/>
  <c r="J434" i="26"/>
  <c r="J435" i="26"/>
  <c r="O435" i="26" s="1"/>
  <c r="J436" i="26"/>
  <c r="K436" i="26" s="1"/>
  <c r="J437" i="26"/>
  <c r="O437" i="26" s="1"/>
  <c r="J438" i="26"/>
  <c r="O438" i="26" s="1"/>
  <c r="J439" i="26"/>
  <c r="O439" i="26" s="1"/>
  <c r="J440" i="26"/>
  <c r="O440" i="26" s="1"/>
  <c r="J425" i="26"/>
  <c r="O425" i="26" s="1"/>
  <c r="J426" i="26"/>
  <c r="O426" i="26" s="1"/>
  <c r="J427" i="26"/>
  <c r="K427" i="26" s="1"/>
  <c r="J428" i="26"/>
  <c r="K428" i="26" s="1"/>
  <c r="J429" i="26"/>
  <c r="O429" i="26" s="1"/>
  <c r="J430" i="26"/>
  <c r="K430" i="26" s="1"/>
  <c r="J431" i="26"/>
  <c r="O431" i="26" s="1"/>
  <c r="J432" i="26"/>
  <c r="K432" i="26" s="1"/>
  <c r="P426" i="26"/>
  <c r="P427" i="26"/>
  <c r="P428" i="26"/>
  <c r="P429" i="26"/>
  <c r="P430" i="26"/>
  <c r="P432" i="26"/>
  <c r="P433" i="26"/>
  <c r="P434" i="26"/>
  <c r="P435" i="26"/>
  <c r="P436" i="26"/>
  <c r="P437" i="26"/>
  <c r="P438" i="26"/>
  <c r="P439" i="26"/>
  <c r="P440" i="26"/>
  <c r="P441" i="26"/>
  <c r="P442" i="26"/>
  <c r="P443" i="26"/>
  <c r="P444" i="26"/>
  <c r="P445" i="26"/>
  <c r="P446" i="26"/>
  <c r="P447" i="26"/>
  <c r="P449" i="26"/>
  <c r="P450" i="26"/>
  <c r="P451" i="26"/>
  <c r="P452" i="26"/>
  <c r="P453" i="26"/>
  <c r="P454" i="26"/>
  <c r="P455" i="26"/>
  <c r="P456" i="26"/>
  <c r="P459" i="26"/>
  <c r="P460" i="26"/>
  <c r="P461" i="26"/>
  <c r="P462" i="26"/>
  <c r="P463" i="26"/>
  <c r="P464" i="26"/>
  <c r="P465" i="26"/>
  <c r="P466" i="26"/>
  <c r="P468" i="26"/>
  <c r="P469" i="26"/>
  <c r="N426" i="26"/>
  <c r="N427" i="26"/>
  <c r="N428" i="26"/>
  <c r="N429" i="26"/>
  <c r="N430" i="26"/>
  <c r="N432" i="26"/>
  <c r="N433" i="26"/>
  <c r="N434" i="26"/>
  <c r="N435" i="26"/>
  <c r="N436" i="26"/>
  <c r="N437" i="26"/>
  <c r="N438" i="26"/>
  <c r="N439" i="26"/>
  <c r="N440" i="26"/>
  <c r="N441" i="26"/>
  <c r="N442" i="26"/>
  <c r="N443" i="26"/>
  <c r="N444" i="26"/>
  <c r="N445" i="26"/>
  <c r="N446" i="26"/>
  <c r="N447" i="26"/>
  <c r="N449" i="26"/>
  <c r="N450" i="26"/>
  <c r="N451" i="26"/>
  <c r="N452" i="26"/>
  <c r="N453" i="26"/>
  <c r="N454" i="26"/>
  <c r="N455" i="26"/>
  <c r="N456" i="26"/>
  <c r="N459" i="26"/>
  <c r="N460" i="26"/>
  <c r="N461" i="26"/>
  <c r="N462" i="26"/>
  <c r="N463" i="26"/>
  <c r="N464" i="26"/>
  <c r="N465" i="26"/>
  <c r="N466" i="26"/>
  <c r="N468" i="26"/>
  <c r="N469" i="26"/>
  <c r="L426" i="26"/>
  <c r="L427" i="26"/>
  <c r="L428" i="26"/>
  <c r="L429" i="26"/>
  <c r="L430" i="26"/>
  <c r="L432" i="26"/>
  <c r="L433" i="26"/>
  <c r="L434" i="26"/>
  <c r="L435" i="26"/>
  <c r="L436" i="26"/>
  <c r="L437" i="26"/>
  <c r="L438" i="26"/>
  <c r="L439" i="26"/>
  <c r="L440" i="26"/>
  <c r="L441" i="26"/>
  <c r="L442" i="26"/>
  <c r="L443" i="26"/>
  <c r="L444" i="26"/>
  <c r="L445" i="26"/>
  <c r="L446" i="26"/>
  <c r="L447" i="26"/>
  <c r="L449" i="26"/>
  <c r="L450" i="26"/>
  <c r="L451" i="26"/>
  <c r="L452" i="26"/>
  <c r="L453" i="26"/>
  <c r="L454" i="26"/>
  <c r="L455" i="26"/>
  <c r="L456" i="26"/>
  <c r="L459" i="26"/>
  <c r="L460" i="26"/>
  <c r="L461" i="26"/>
  <c r="L462" i="26"/>
  <c r="L463" i="26"/>
  <c r="L464" i="26"/>
  <c r="L465" i="26"/>
  <c r="L466" i="26"/>
  <c r="L468" i="26"/>
  <c r="L469" i="26"/>
  <c r="F425" i="26"/>
  <c r="G425" i="26" s="1"/>
  <c r="F426" i="26"/>
  <c r="G426" i="26" s="1"/>
  <c r="F427" i="26"/>
  <c r="F428" i="26"/>
  <c r="G428" i="26" s="1"/>
  <c r="H428" i="26" s="1"/>
  <c r="F429" i="26"/>
  <c r="G429" i="26" s="1"/>
  <c r="F430" i="26"/>
  <c r="G430" i="26" s="1"/>
  <c r="F431" i="26"/>
  <c r="G431" i="26" s="1"/>
  <c r="F432" i="26"/>
  <c r="G432" i="26" s="1"/>
  <c r="F433" i="26"/>
  <c r="G433" i="26" s="1"/>
  <c r="F434" i="26"/>
  <c r="G434" i="26" s="1"/>
  <c r="F435" i="26"/>
  <c r="G435" i="26" s="1"/>
  <c r="H435" i="26" s="1"/>
  <c r="F436" i="26"/>
  <c r="G436" i="26" s="1"/>
  <c r="H436" i="26" s="1"/>
  <c r="F437" i="26"/>
  <c r="G437" i="26" s="1"/>
  <c r="F438" i="26"/>
  <c r="G438" i="26" s="1"/>
  <c r="F439" i="26"/>
  <c r="G439" i="26" s="1"/>
  <c r="F440" i="26"/>
  <c r="G440" i="26" s="1"/>
  <c r="F441" i="26"/>
  <c r="G441" i="26" s="1"/>
  <c r="F442" i="26"/>
  <c r="G442" i="26" s="1"/>
  <c r="F443" i="26"/>
  <c r="F444" i="26"/>
  <c r="G444" i="26" s="1"/>
  <c r="H444" i="26" s="1"/>
  <c r="F445" i="26"/>
  <c r="G445" i="26" s="1"/>
  <c r="F446" i="26"/>
  <c r="G446" i="26" s="1"/>
  <c r="F447" i="26"/>
  <c r="G447" i="26" s="1"/>
  <c r="F448" i="26"/>
  <c r="G448" i="26" s="1"/>
  <c r="F449" i="26"/>
  <c r="G449" i="26" s="1"/>
  <c r="F450" i="26"/>
  <c r="G450" i="26" s="1"/>
  <c r="F451" i="26"/>
  <c r="F452" i="26"/>
  <c r="G452" i="26" s="1"/>
  <c r="H452" i="26" s="1"/>
  <c r="F453" i="26"/>
  <c r="G453" i="26" s="1"/>
  <c r="F454" i="26"/>
  <c r="G454" i="26" s="1"/>
  <c r="H454" i="26" s="1"/>
  <c r="F455" i="26"/>
  <c r="F456" i="26"/>
  <c r="G456" i="26" s="1"/>
  <c r="F457" i="26"/>
  <c r="F458" i="26"/>
  <c r="G458" i="26" s="1"/>
  <c r="F459" i="26"/>
  <c r="F460" i="26"/>
  <c r="G460" i="26" s="1"/>
  <c r="F461" i="26"/>
  <c r="G461" i="26" s="1"/>
  <c r="F462" i="26"/>
  <c r="G462" i="26" s="1"/>
  <c r="H462" i="26" s="1"/>
  <c r="F463" i="26"/>
  <c r="G463" i="26" s="1"/>
  <c r="H463" i="26" s="1"/>
  <c r="F464" i="26"/>
  <c r="G464" i="26" s="1"/>
  <c r="F465" i="26"/>
  <c r="G465" i="26" s="1"/>
  <c r="H465" i="26" s="1"/>
  <c r="F466" i="26"/>
  <c r="G466" i="26" s="1"/>
  <c r="F467" i="26"/>
  <c r="F468" i="26"/>
  <c r="G468" i="26" s="1"/>
  <c r="F469" i="26"/>
  <c r="G469" i="26" s="1"/>
  <c r="L425" i="26"/>
  <c r="P425" i="26"/>
  <c r="N425" i="26"/>
  <c r="F406" i="26"/>
  <c r="F407" i="26"/>
  <c r="G407" i="26" s="1"/>
  <c r="F408" i="26"/>
  <c r="F409" i="26"/>
  <c r="G409" i="26" s="1"/>
  <c r="F410" i="26"/>
  <c r="G410" i="26" s="1"/>
  <c r="H410" i="26" s="1"/>
  <c r="F411" i="26"/>
  <c r="F412" i="26"/>
  <c r="F413" i="26"/>
  <c r="G413" i="26" s="1"/>
  <c r="H413" i="26" s="1"/>
  <c r="F414" i="26"/>
  <c r="F415" i="26"/>
  <c r="G415" i="26" s="1"/>
  <c r="F416" i="26"/>
  <c r="F417" i="26"/>
  <c r="F418" i="26"/>
  <c r="G418" i="26" s="1"/>
  <c r="H418" i="26" s="1"/>
  <c r="F419" i="26"/>
  <c r="F420" i="26"/>
  <c r="F421" i="26"/>
  <c r="G421" i="26" s="1"/>
  <c r="H421" i="26" s="1"/>
  <c r="F422" i="26"/>
  <c r="F423" i="26"/>
  <c r="G423" i="26" s="1"/>
  <c r="F424" i="26"/>
  <c r="G424" i="26" s="1"/>
  <c r="P406" i="26"/>
  <c r="P407" i="26"/>
  <c r="P408" i="26"/>
  <c r="P409" i="26"/>
  <c r="P410" i="26"/>
  <c r="P411" i="26"/>
  <c r="P412" i="26"/>
  <c r="P415" i="26"/>
  <c r="P416" i="26"/>
  <c r="P417" i="26"/>
  <c r="P418" i="26"/>
  <c r="P419" i="26"/>
  <c r="P420" i="26"/>
  <c r="P421" i="26"/>
  <c r="P423" i="26"/>
  <c r="P405" i="26"/>
  <c r="N406" i="26"/>
  <c r="N407" i="26"/>
  <c r="N408" i="26"/>
  <c r="N409" i="26"/>
  <c r="N410" i="26"/>
  <c r="N411" i="26"/>
  <c r="N412" i="26"/>
  <c r="N415" i="26"/>
  <c r="N416" i="26"/>
  <c r="N417" i="26"/>
  <c r="N418" i="26"/>
  <c r="N419" i="26"/>
  <c r="N420" i="26"/>
  <c r="N421" i="26"/>
  <c r="N423" i="26"/>
  <c r="N405" i="26"/>
  <c r="L406" i="26"/>
  <c r="L407" i="26"/>
  <c r="L408" i="26"/>
  <c r="L409" i="26"/>
  <c r="L410" i="26"/>
  <c r="L411" i="26"/>
  <c r="L412" i="26"/>
  <c r="L415" i="26"/>
  <c r="L416" i="26"/>
  <c r="L417" i="26"/>
  <c r="L418" i="26"/>
  <c r="L419" i="26"/>
  <c r="L420" i="26"/>
  <c r="L421" i="26"/>
  <c r="L423" i="26"/>
  <c r="L405" i="26"/>
  <c r="J405" i="26"/>
  <c r="J406" i="26"/>
  <c r="K406" i="26" s="1"/>
  <c r="J407" i="26"/>
  <c r="O407" i="26" s="1"/>
  <c r="J408" i="26"/>
  <c r="O408" i="26" s="1"/>
  <c r="J409" i="26"/>
  <c r="O409" i="26" s="1"/>
  <c r="J410" i="26"/>
  <c r="J411" i="26"/>
  <c r="J412" i="26"/>
  <c r="O412" i="26" s="1"/>
  <c r="J413" i="26"/>
  <c r="O413" i="26" s="1"/>
  <c r="J414" i="26"/>
  <c r="K414" i="26" s="1"/>
  <c r="J415" i="26"/>
  <c r="O415" i="26" s="1"/>
  <c r="J416" i="26"/>
  <c r="K416" i="26" s="1"/>
  <c r="J417" i="26"/>
  <c r="J418" i="26"/>
  <c r="O418" i="26" s="1"/>
  <c r="J419" i="26"/>
  <c r="O419" i="26" s="1"/>
  <c r="J420" i="26"/>
  <c r="O420" i="26" s="1"/>
  <c r="J421" i="26"/>
  <c r="O421" i="26" s="1"/>
  <c r="J422" i="26"/>
  <c r="K422" i="26" s="1"/>
  <c r="J423" i="26"/>
  <c r="K423" i="26" s="1"/>
  <c r="J424" i="26"/>
  <c r="O424" i="26" s="1"/>
  <c r="F405" i="26"/>
  <c r="D7" i="30"/>
  <c r="D8" i="30"/>
  <c r="A8" i="30"/>
  <c r="A7" i="30"/>
  <c r="N387" i="26"/>
  <c r="N388" i="26"/>
  <c r="N389" i="26"/>
  <c r="N390" i="26"/>
  <c r="N391" i="26"/>
  <c r="N392" i="26"/>
  <c r="N393" i="26"/>
  <c r="N394" i="26"/>
  <c r="N396" i="26"/>
  <c r="N397" i="26"/>
  <c r="N398" i="26"/>
  <c r="N399" i="26"/>
  <c r="N400" i="26"/>
  <c r="N401" i="26"/>
  <c r="N403" i="26"/>
  <c r="P387" i="26"/>
  <c r="P388" i="26"/>
  <c r="P389" i="26"/>
  <c r="P390" i="26"/>
  <c r="P391" i="26"/>
  <c r="P392" i="26"/>
  <c r="P393" i="26"/>
  <c r="P394" i="26"/>
  <c r="P396" i="26"/>
  <c r="P397" i="26"/>
  <c r="P398" i="26"/>
  <c r="P399" i="26"/>
  <c r="P400" i="26"/>
  <c r="P401" i="26"/>
  <c r="P403" i="26"/>
  <c r="L388" i="26"/>
  <c r="L389" i="26"/>
  <c r="L390" i="26"/>
  <c r="L391" i="26"/>
  <c r="L392" i="26"/>
  <c r="L393" i="26"/>
  <c r="L394" i="26"/>
  <c r="L396" i="26"/>
  <c r="L397" i="26"/>
  <c r="L398" i="26"/>
  <c r="L399" i="26"/>
  <c r="L400" i="26"/>
  <c r="L401" i="26"/>
  <c r="L403" i="26"/>
  <c r="L387" i="26"/>
  <c r="J402" i="26"/>
  <c r="O402" i="26" s="1"/>
  <c r="J403" i="26"/>
  <c r="O403" i="26" s="1"/>
  <c r="J404" i="26"/>
  <c r="J387" i="26"/>
  <c r="O387" i="26" s="1"/>
  <c r="J388" i="26"/>
  <c r="K388" i="26" s="1"/>
  <c r="J389" i="26"/>
  <c r="O389" i="26" s="1"/>
  <c r="J390" i="26"/>
  <c r="K390" i="26" s="1"/>
  <c r="J391" i="26"/>
  <c r="O391" i="26" s="1"/>
  <c r="J392" i="26"/>
  <c r="O392" i="26" s="1"/>
  <c r="J393" i="26"/>
  <c r="J394" i="26"/>
  <c r="K394" i="26" s="1"/>
  <c r="J395" i="26"/>
  <c r="O395" i="26" s="1"/>
  <c r="J396" i="26"/>
  <c r="O396" i="26" s="1"/>
  <c r="J397" i="26"/>
  <c r="O397" i="26" s="1"/>
  <c r="J398" i="26"/>
  <c r="K398" i="26" s="1"/>
  <c r="J399" i="26"/>
  <c r="O399" i="26" s="1"/>
  <c r="J400" i="26"/>
  <c r="O400" i="26" s="1"/>
  <c r="J401" i="26"/>
  <c r="K401" i="26" s="1"/>
  <c r="F387" i="26"/>
  <c r="G387" i="26" s="1"/>
  <c r="F388" i="26"/>
  <c r="G388" i="26" s="1"/>
  <c r="H388" i="26" s="1"/>
  <c r="F389" i="26"/>
  <c r="F390" i="26"/>
  <c r="G390" i="26" s="1"/>
  <c r="H390" i="26" s="1"/>
  <c r="F391" i="26"/>
  <c r="G391" i="26" s="1"/>
  <c r="H391" i="26" s="1"/>
  <c r="F392" i="26"/>
  <c r="G392" i="26" s="1"/>
  <c r="F393" i="26"/>
  <c r="G393" i="26" s="1"/>
  <c r="F394" i="26"/>
  <c r="G394" i="26" s="1"/>
  <c r="H394" i="26" s="1"/>
  <c r="F395" i="26"/>
  <c r="F396" i="26"/>
  <c r="F397" i="26"/>
  <c r="G397" i="26" s="1"/>
  <c r="H397" i="26" s="1"/>
  <c r="F377" i="26"/>
  <c r="G377" i="26" s="1"/>
  <c r="H377" i="26" s="1"/>
  <c r="P23" i="19"/>
  <c r="O23" i="19"/>
  <c r="N23" i="19"/>
  <c r="M23" i="19"/>
  <c r="L23" i="19"/>
  <c r="D25" i="19"/>
  <c r="D26" i="19"/>
  <c r="D27" i="19"/>
  <c r="D28" i="19"/>
  <c r="D29" i="19"/>
  <c r="D30" i="19"/>
  <c r="D31" i="19"/>
  <c r="D32" i="19"/>
  <c r="D34" i="19"/>
  <c r="D35" i="19"/>
  <c r="D36" i="19"/>
  <c r="D37" i="19"/>
  <c r="A26" i="19"/>
  <c r="A27" i="19"/>
  <c r="A28" i="19"/>
  <c r="A29" i="19"/>
  <c r="A30" i="19"/>
  <c r="A31" i="19"/>
  <c r="A32" i="19"/>
  <c r="A33" i="19"/>
  <c r="D33" i="19" s="1"/>
  <c r="A34" i="19"/>
  <c r="A35" i="19"/>
  <c r="A36" i="19"/>
  <c r="A37" i="19"/>
  <c r="A24" i="19"/>
  <c r="D24" i="19" s="1"/>
  <c r="D6" i="30"/>
  <c r="A6" i="30"/>
  <c r="D5" i="30"/>
  <c r="A5" i="30"/>
  <c r="D4" i="30"/>
  <c r="A4" i="30"/>
  <c r="N353" i="26"/>
  <c r="P353" i="26"/>
  <c r="N354" i="26"/>
  <c r="P354" i="26"/>
  <c r="N355" i="26"/>
  <c r="P355" i="26"/>
  <c r="N356" i="26"/>
  <c r="P356" i="26"/>
  <c r="N357" i="26"/>
  <c r="P357" i="26"/>
  <c r="N358" i="26"/>
  <c r="P358" i="26"/>
  <c r="N359" i="26"/>
  <c r="P359" i="26"/>
  <c r="N361" i="26"/>
  <c r="P361" i="26"/>
  <c r="N362" i="26"/>
  <c r="P362" i="26"/>
  <c r="N363" i="26"/>
  <c r="P363" i="26"/>
  <c r="N364" i="26"/>
  <c r="P364" i="26"/>
  <c r="N366" i="26"/>
  <c r="P366" i="26"/>
  <c r="N367" i="26"/>
  <c r="P367" i="26"/>
  <c r="N369" i="26"/>
  <c r="P369" i="26"/>
  <c r="N370" i="26"/>
  <c r="P370" i="26"/>
  <c r="N371" i="26"/>
  <c r="P371" i="26"/>
  <c r="N372" i="26"/>
  <c r="P372" i="26"/>
  <c r="N373" i="26"/>
  <c r="P373" i="26"/>
  <c r="N374" i="26"/>
  <c r="P374" i="26"/>
  <c r="N375" i="26"/>
  <c r="P375" i="26"/>
  <c r="N377" i="26"/>
  <c r="P377" i="26"/>
  <c r="N378" i="26"/>
  <c r="P378" i="26"/>
  <c r="N379" i="26"/>
  <c r="P379" i="26"/>
  <c r="N380" i="26"/>
  <c r="P380" i="26"/>
  <c r="N381" i="26"/>
  <c r="P381" i="26"/>
  <c r="N383" i="26"/>
  <c r="P383" i="26"/>
  <c r="N384" i="26"/>
  <c r="P384" i="26"/>
  <c r="N386" i="26"/>
  <c r="P386" i="26"/>
  <c r="L374" i="26"/>
  <c r="L86" i="26"/>
  <c r="L187" i="26"/>
  <c r="L188" i="26"/>
  <c r="L189" i="26"/>
  <c r="L190" i="26"/>
  <c r="L191" i="26"/>
  <c r="L192" i="26"/>
  <c r="L193" i="26"/>
  <c r="L194" i="26"/>
  <c r="L195" i="26"/>
  <c r="L196" i="26"/>
  <c r="L197" i="26"/>
  <c r="A23" i="19"/>
  <c r="D23" i="19" s="1"/>
  <c r="A22" i="19"/>
  <c r="A21" i="19"/>
  <c r="D21" i="19" s="1"/>
  <c r="A25" i="19"/>
  <c r="A38" i="19"/>
  <c r="A20" i="19"/>
  <c r="D20" i="19" s="1"/>
  <c r="A19" i="19"/>
  <c r="A18" i="19"/>
  <c r="A16" i="19"/>
  <c r="A17" i="19"/>
  <c r="D17" i="19" s="1"/>
  <c r="L349" i="26"/>
  <c r="P352" i="26"/>
  <c r="P344" i="26"/>
  <c r="P345" i="26"/>
  <c r="P346" i="26"/>
  <c r="P347" i="26"/>
  <c r="P348" i="26"/>
  <c r="P349" i="26"/>
  <c r="P351" i="26"/>
  <c r="P343" i="26"/>
  <c r="N344" i="26"/>
  <c r="N345" i="26"/>
  <c r="N346" i="26"/>
  <c r="N347" i="26"/>
  <c r="N348" i="26"/>
  <c r="N349" i="26"/>
  <c r="N351" i="26"/>
  <c r="N352" i="26"/>
  <c r="N343" i="26"/>
  <c r="A15" i="19"/>
  <c r="D15" i="19" s="1"/>
  <c r="L344" i="26"/>
  <c r="L345" i="26"/>
  <c r="L346" i="26"/>
  <c r="L347" i="26"/>
  <c r="L348" i="26"/>
  <c r="L351" i="26"/>
  <c r="L352" i="26"/>
  <c r="L353" i="26"/>
  <c r="L354" i="26"/>
  <c r="L355" i="26"/>
  <c r="L356" i="26"/>
  <c r="L357" i="26"/>
  <c r="L358" i="26"/>
  <c r="L359" i="26"/>
  <c r="L361" i="26"/>
  <c r="L362" i="26"/>
  <c r="L363" i="26"/>
  <c r="L364" i="26"/>
  <c r="L366" i="26"/>
  <c r="L367" i="26"/>
  <c r="L369" i="26"/>
  <c r="L370" i="26"/>
  <c r="L371" i="26"/>
  <c r="L372" i="26"/>
  <c r="L373" i="26"/>
  <c r="L375" i="26"/>
  <c r="L377" i="26"/>
  <c r="L378" i="26"/>
  <c r="L379" i="26"/>
  <c r="L380" i="26"/>
  <c r="L381" i="26"/>
  <c r="L383" i="26"/>
  <c r="L384" i="26"/>
  <c r="L386" i="26"/>
  <c r="J343" i="26"/>
  <c r="K343" i="26" s="1"/>
  <c r="J344" i="26"/>
  <c r="K344" i="26" s="1"/>
  <c r="J345" i="26"/>
  <c r="K345" i="26" s="1"/>
  <c r="J346" i="26"/>
  <c r="K346" i="26" s="1"/>
  <c r="J347" i="26"/>
  <c r="K347" i="26" s="1"/>
  <c r="J348" i="26"/>
  <c r="K348" i="26" s="1"/>
  <c r="J349" i="26"/>
  <c r="K349" i="26" s="1"/>
  <c r="J350" i="26"/>
  <c r="K350" i="26" s="1"/>
  <c r="J351" i="26"/>
  <c r="K351" i="26" s="1"/>
  <c r="J352" i="26"/>
  <c r="O352" i="26" s="1"/>
  <c r="J353" i="26"/>
  <c r="K353" i="26" s="1"/>
  <c r="J354" i="26"/>
  <c r="K354" i="26" s="1"/>
  <c r="J355" i="26"/>
  <c r="K355" i="26" s="1"/>
  <c r="J356" i="26"/>
  <c r="K356" i="26" s="1"/>
  <c r="J357" i="26"/>
  <c r="O357" i="26" s="1"/>
  <c r="J358" i="26"/>
  <c r="K358" i="26" s="1"/>
  <c r="J359" i="26"/>
  <c r="O359" i="26" s="1"/>
  <c r="J360" i="26"/>
  <c r="O360" i="26" s="1"/>
  <c r="J361" i="26"/>
  <c r="K361" i="26" s="1"/>
  <c r="J362" i="26"/>
  <c r="K362" i="26" s="1"/>
  <c r="J363" i="26"/>
  <c r="K363" i="26" s="1"/>
  <c r="J364" i="26"/>
  <c r="K364" i="26" s="1"/>
  <c r="J365" i="26"/>
  <c r="K365" i="26" s="1"/>
  <c r="J366" i="26"/>
  <c r="O366" i="26" s="1"/>
  <c r="J367" i="26"/>
  <c r="O367" i="26" s="1"/>
  <c r="J368" i="26"/>
  <c r="J369" i="26"/>
  <c r="K369" i="26" s="1"/>
  <c r="J370" i="26"/>
  <c r="K370" i="26" s="1"/>
  <c r="J371" i="26"/>
  <c r="K371" i="26" s="1"/>
  <c r="J372" i="26"/>
  <c r="O372" i="26" s="1"/>
  <c r="J373" i="26"/>
  <c r="K373" i="26" s="1"/>
  <c r="J374" i="26"/>
  <c r="K374" i="26" s="1"/>
  <c r="J375" i="26"/>
  <c r="K375" i="26" s="1"/>
  <c r="J376" i="26"/>
  <c r="O376" i="26" s="1"/>
  <c r="J377" i="26"/>
  <c r="J378" i="26"/>
  <c r="K378" i="26" s="1"/>
  <c r="J379" i="26"/>
  <c r="K379" i="26" s="1"/>
  <c r="J380" i="26"/>
  <c r="K380" i="26" s="1"/>
  <c r="J381" i="26"/>
  <c r="O381" i="26" s="1"/>
  <c r="J382" i="26"/>
  <c r="O382" i="26" s="1"/>
  <c r="J383" i="26"/>
  <c r="K383" i="26" s="1"/>
  <c r="J384" i="26"/>
  <c r="O384" i="26" s="1"/>
  <c r="J385" i="26"/>
  <c r="K385" i="26" s="1"/>
  <c r="J386" i="26"/>
  <c r="K386" i="26" s="1"/>
  <c r="F343" i="26"/>
  <c r="G343" i="26" s="1"/>
  <c r="H343" i="26" s="1"/>
  <c r="F344" i="26"/>
  <c r="F345" i="26"/>
  <c r="G345" i="26" s="1"/>
  <c r="F346" i="26"/>
  <c r="G346" i="26" s="1"/>
  <c r="F347" i="26"/>
  <c r="G347" i="26" s="1"/>
  <c r="H347" i="26" s="1"/>
  <c r="F348" i="26"/>
  <c r="G348" i="26" s="1"/>
  <c r="F349" i="26"/>
  <c r="G349" i="26" s="1"/>
  <c r="F350" i="26"/>
  <c r="G350" i="26" s="1"/>
  <c r="H350" i="26" s="1"/>
  <c r="F351" i="26"/>
  <c r="G351" i="26" s="1"/>
  <c r="H351" i="26" s="1"/>
  <c r="F352" i="26"/>
  <c r="G352" i="26" s="1"/>
  <c r="H352" i="26" s="1"/>
  <c r="F353" i="26"/>
  <c r="F354" i="26"/>
  <c r="G354" i="26" s="1"/>
  <c r="F355" i="26"/>
  <c r="G355" i="26" s="1"/>
  <c r="H355" i="26" s="1"/>
  <c r="F356" i="26"/>
  <c r="G356" i="26" s="1"/>
  <c r="F357" i="26"/>
  <c r="G357" i="26" s="1"/>
  <c r="F358" i="26"/>
  <c r="G358" i="26" s="1"/>
  <c r="F359" i="26"/>
  <c r="G359" i="26" s="1"/>
  <c r="H359" i="26" s="1"/>
  <c r="F360" i="26"/>
  <c r="G360" i="26" s="1"/>
  <c r="F361" i="26"/>
  <c r="G361" i="26" s="1"/>
  <c r="H361" i="26" s="1"/>
  <c r="F362" i="26"/>
  <c r="F363" i="26"/>
  <c r="G363" i="26" s="1"/>
  <c r="H363" i="26" s="1"/>
  <c r="F364" i="26"/>
  <c r="G364" i="26" s="1"/>
  <c r="F365" i="26"/>
  <c r="G365" i="26" s="1"/>
  <c r="F366" i="26"/>
  <c r="G366" i="26" s="1"/>
  <c r="F367" i="26"/>
  <c r="G367" i="26" s="1"/>
  <c r="H367" i="26" s="1"/>
  <c r="F368" i="26"/>
  <c r="G368" i="26" s="1"/>
  <c r="F369" i="26"/>
  <c r="G369" i="26" s="1"/>
  <c r="F370" i="26"/>
  <c r="G370" i="26" s="1"/>
  <c r="F371" i="26"/>
  <c r="G371" i="26" s="1"/>
  <c r="H371" i="26" s="1"/>
  <c r="F372" i="26"/>
  <c r="G372" i="26" s="1"/>
  <c r="F373" i="26"/>
  <c r="G373" i="26" s="1"/>
  <c r="F374" i="26"/>
  <c r="F375" i="26"/>
  <c r="G375" i="26" s="1"/>
  <c r="H375" i="26" s="1"/>
  <c r="F376" i="26"/>
  <c r="F378" i="26"/>
  <c r="G378" i="26" s="1"/>
  <c r="F379" i="26"/>
  <c r="G379" i="26" s="1"/>
  <c r="H379" i="26" s="1"/>
  <c r="F380" i="26"/>
  <c r="G380" i="26" s="1"/>
  <c r="F381" i="26"/>
  <c r="G381" i="26" s="1"/>
  <c r="F382" i="26"/>
  <c r="G382" i="26" s="1"/>
  <c r="F383" i="26"/>
  <c r="F384" i="26"/>
  <c r="G384" i="26" s="1"/>
  <c r="H384" i="26" s="1"/>
  <c r="F385" i="26"/>
  <c r="G385" i="26" s="1"/>
  <c r="F386" i="26"/>
  <c r="G386" i="26" s="1"/>
  <c r="J342" i="26"/>
  <c r="K342" i="26" s="1"/>
  <c r="J115" i="26"/>
  <c r="K115" i="26" s="1"/>
  <c r="L115" i="26"/>
  <c r="N115" i="26"/>
  <c r="P115" i="26"/>
  <c r="J116" i="26"/>
  <c r="K116" i="26" s="1"/>
  <c r="L116" i="26"/>
  <c r="N116" i="26"/>
  <c r="P116" i="26"/>
  <c r="J117" i="26"/>
  <c r="L117" i="26"/>
  <c r="N117" i="26"/>
  <c r="P117" i="26"/>
  <c r="J118" i="26"/>
  <c r="O118" i="26" s="1"/>
  <c r="L118" i="26"/>
  <c r="N118" i="26"/>
  <c r="P118" i="26"/>
  <c r="J119" i="26"/>
  <c r="O119" i="26" s="1"/>
  <c r="L119" i="26"/>
  <c r="N119" i="26"/>
  <c r="P119" i="26"/>
  <c r="J120" i="26"/>
  <c r="O120" i="26" s="1"/>
  <c r="J121" i="26"/>
  <c r="O121" i="26" s="1"/>
  <c r="J122" i="26"/>
  <c r="K122" i="26" s="1"/>
  <c r="L122" i="26"/>
  <c r="N122" i="26"/>
  <c r="P122" i="26"/>
  <c r="J123" i="26"/>
  <c r="K123" i="26" s="1"/>
  <c r="J124" i="26"/>
  <c r="K124" i="26" s="1"/>
  <c r="L124" i="26"/>
  <c r="N124" i="26"/>
  <c r="P124" i="26"/>
  <c r="J125" i="26"/>
  <c r="O125" i="26" s="1"/>
  <c r="L125" i="26"/>
  <c r="N125" i="26"/>
  <c r="P125" i="26"/>
  <c r="J126" i="26"/>
  <c r="O126" i="26" s="1"/>
  <c r="L126" i="26"/>
  <c r="N126" i="26"/>
  <c r="P126" i="26"/>
  <c r="J127" i="26"/>
  <c r="O127" i="26" s="1"/>
  <c r="L127" i="26"/>
  <c r="N127" i="26"/>
  <c r="P127" i="26"/>
  <c r="J128" i="26"/>
  <c r="O128" i="26" s="1"/>
  <c r="L128" i="26"/>
  <c r="N128" i="26"/>
  <c r="P128" i="26"/>
  <c r="J129" i="26"/>
  <c r="O129" i="26" s="1"/>
  <c r="J130" i="26"/>
  <c r="K130" i="26" s="1"/>
  <c r="J131" i="26"/>
  <c r="K131" i="26" s="1"/>
  <c r="L131" i="26"/>
  <c r="N131" i="26"/>
  <c r="P131" i="26"/>
  <c r="J132" i="26"/>
  <c r="K132" i="26" s="1"/>
  <c r="L132" i="26"/>
  <c r="N132" i="26"/>
  <c r="P132" i="26"/>
  <c r="J133" i="26"/>
  <c r="O133" i="26" s="1"/>
  <c r="L133" i="26"/>
  <c r="N133" i="26"/>
  <c r="P133" i="26"/>
  <c r="J134" i="26"/>
  <c r="O134" i="26" s="1"/>
  <c r="L134" i="26"/>
  <c r="N134" i="26"/>
  <c r="P134" i="26"/>
  <c r="J135" i="26"/>
  <c r="O135" i="26" s="1"/>
  <c r="L135" i="26"/>
  <c r="N135" i="26"/>
  <c r="P135" i="26"/>
  <c r="J136" i="26"/>
  <c r="O136" i="26" s="1"/>
  <c r="J137" i="26"/>
  <c r="O137" i="26" s="1"/>
  <c r="L137" i="26"/>
  <c r="N137" i="26"/>
  <c r="P137" i="26"/>
  <c r="J138" i="26"/>
  <c r="K138" i="26" s="1"/>
  <c r="L138" i="26"/>
  <c r="N138" i="26"/>
  <c r="P138" i="26"/>
  <c r="J139" i="26"/>
  <c r="K139" i="26" s="1"/>
  <c r="L139" i="26"/>
  <c r="N139" i="26"/>
  <c r="P139" i="26"/>
  <c r="J140" i="26"/>
  <c r="K140" i="26" s="1"/>
  <c r="L140" i="26"/>
  <c r="N140" i="26"/>
  <c r="P140" i="26"/>
  <c r="J141" i="26"/>
  <c r="O141" i="26" s="1"/>
  <c r="L141" i="26"/>
  <c r="N141" i="26"/>
  <c r="P141" i="26"/>
  <c r="J142" i="26"/>
  <c r="O142" i="26" s="1"/>
  <c r="L142" i="26"/>
  <c r="N142" i="26"/>
  <c r="P142" i="26"/>
  <c r="J143" i="26"/>
  <c r="O143" i="26" s="1"/>
  <c r="L143" i="26"/>
  <c r="N143" i="26"/>
  <c r="P143" i="26"/>
  <c r="J144" i="26"/>
  <c r="O144" i="26" s="1"/>
  <c r="L144" i="26"/>
  <c r="N144" i="26"/>
  <c r="P144" i="26"/>
  <c r="J145" i="26"/>
  <c r="K145" i="26" s="1"/>
  <c r="L145" i="26"/>
  <c r="N145" i="26"/>
  <c r="P145" i="26"/>
  <c r="J146" i="26"/>
  <c r="L146" i="26"/>
  <c r="N146" i="26"/>
  <c r="P146" i="26"/>
  <c r="J147" i="26"/>
  <c r="K147" i="26" s="1"/>
  <c r="J148" i="26"/>
  <c r="K148" i="26" s="1"/>
  <c r="L148" i="26"/>
  <c r="N148" i="26"/>
  <c r="P148" i="26"/>
  <c r="J149" i="26"/>
  <c r="O149" i="26" s="1"/>
  <c r="L149" i="26"/>
  <c r="N149" i="26"/>
  <c r="P149" i="26"/>
  <c r="J150" i="26"/>
  <c r="O150" i="26" s="1"/>
  <c r="L150" i="26"/>
  <c r="N150" i="26"/>
  <c r="P150" i="26"/>
  <c r="J151" i="26"/>
  <c r="O151" i="26" s="1"/>
  <c r="L151" i="26"/>
  <c r="N151" i="26"/>
  <c r="P151" i="26"/>
  <c r="J152" i="26"/>
  <c r="O152" i="26" s="1"/>
  <c r="L152" i="26"/>
  <c r="N152" i="26"/>
  <c r="P152" i="26"/>
  <c r="J153" i="26"/>
  <c r="K153" i="26" s="1"/>
  <c r="L153" i="26"/>
  <c r="N153" i="26"/>
  <c r="P153" i="26"/>
  <c r="J154" i="26"/>
  <c r="L154" i="26"/>
  <c r="N154" i="26"/>
  <c r="P154" i="26"/>
  <c r="J155" i="26"/>
  <c r="O155" i="26" s="1"/>
  <c r="L155" i="26"/>
  <c r="N155" i="26"/>
  <c r="P155" i="26"/>
  <c r="J156" i="26"/>
  <c r="K156" i="26" s="1"/>
  <c r="J157" i="26"/>
  <c r="L157" i="26"/>
  <c r="N157" i="26"/>
  <c r="P157" i="26"/>
  <c r="J158" i="26"/>
  <c r="O158" i="26" s="1"/>
  <c r="L158" i="26"/>
  <c r="N158" i="26"/>
  <c r="P158" i="26"/>
  <c r="J159" i="26"/>
  <c r="L159" i="26"/>
  <c r="N159" i="26"/>
  <c r="P159" i="26"/>
  <c r="J160" i="26"/>
  <c r="O160" i="26" s="1"/>
  <c r="L160" i="26"/>
  <c r="N160" i="26"/>
  <c r="P160" i="26"/>
  <c r="J161" i="26"/>
  <c r="O161" i="26" s="1"/>
  <c r="L161" i="26"/>
  <c r="N161" i="26"/>
  <c r="P161" i="26"/>
  <c r="J162" i="26"/>
  <c r="L162" i="26"/>
  <c r="N162" i="26"/>
  <c r="P162" i="26"/>
  <c r="J163" i="26"/>
  <c r="O163" i="26" s="1"/>
  <c r="L163" i="26"/>
  <c r="N163" i="26"/>
  <c r="P163" i="26"/>
  <c r="J164" i="26"/>
  <c r="K164" i="26" s="1"/>
  <c r="L164" i="26"/>
  <c r="N164" i="26"/>
  <c r="P164" i="26"/>
  <c r="J165" i="26"/>
  <c r="O165" i="26" s="1"/>
  <c r="L165" i="26"/>
  <c r="N165" i="26"/>
  <c r="P165" i="26"/>
  <c r="J166" i="26"/>
  <c r="O166" i="26" s="1"/>
  <c r="L166" i="26"/>
  <c r="N166" i="26"/>
  <c r="P166" i="26"/>
  <c r="J167" i="26"/>
  <c r="O167" i="26" s="1"/>
  <c r="J168" i="26"/>
  <c r="O168" i="26" s="1"/>
  <c r="L168" i="26"/>
  <c r="N168" i="26"/>
  <c r="P168" i="26"/>
  <c r="J169" i="26"/>
  <c r="O169" i="26" s="1"/>
  <c r="L169" i="26"/>
  <c r="N169" i="26"/>
  <c r="P169" i="26"/>
  <c r="J170" i="26"/>
  <c r="K170" i="26" s="1"/>
  <c r="L170" i="26"/>
  <c r="N170" i="26"/>
  <c r="P170" i="26"/>
  <c r="J171" i="26"/>
  <c r="O171" i="26" s="1"/>
  <c r="L171" i="26"/>
  <c r="N171" i="26"/>
  <c r="P171" i="26"/>
  <c r="J172" i="26"/>
  <c r="K172" i="26" s="1"/>
  <c r="L172" i="26"/>
  <c r="N172" i="26"/>
  <c r="P172" i="26"/>
  <c r="J173" i="26"/>
  <c r="K173" i="26" s="1"/>
  <c r="L173" i="26"/>
  <c r="N173" i="26"/>
  <c r="P173" i="26"/>
  <c r="J174" i="26"/>
  <c r="O174" i="26" s="1"/>
  <c r="L174" i="26"/>
  <c r="N174" i="26"/>
  <c r="P174" i="26"/>
  <c r="J175" i="26"/>
  <c r="O175" i="26" s="1"/>
  <c r="L175" i="26"/>
  <c r="N175" i="26"/>
  <c r="P175" i="26"/>
  <c r="J176" i="26"/>
  <c r="O176" i="26" s="1"/>
  <c r="J177" i="26"/>
  <c r="O177" i="26" s="1"/>
  <c r="L177" i="26"/>
  <c r="N177" i="26"/>
  <c r="P177" i="26"/>
  <c r="J178" i="26"/>
  <c r="K178" i="26" s="1"/>
  <c r="L178" i="26"/>
  <c r="N178" i="26"/>
  <c r="P178" i="26"/>
  <c r="J179" i="26"/>
  <c r="L179" i="26"/>
  <c r="N179" i="26"/>
  <c r="P179" i="26"/>
  <c r="J180" i="26"/>
  <c r="L180" i="26"/>
  <c r="N180" i="26"/>
  <c r="P180" i="26"/>
  <c r="J181" i="26"/>
  <c r="O181" i="26" s="1"/>
  <c r="L181" i="26"/>
  <c r="N181" i="26"/>
  <c r="P181" i="26"/>
  <c r="J182" i="26"/>
  <c r="O182" i="26" s="1"/>
  <c r="L182" i="26"/>
  <c r="N182" i="26"/>
  <c r="P182" i="26"/>
  <c r="J183" i="26"/>
  <c r="O183" i="26" s="1"/>
  <c r="L183" i="26"/>
  <c r="N183" i="26"/>
  <c r="P183" i="26"/>
  <c r="J184" i="26"/>
  <c r="O184" i="26" s="1"/>
  <c r="L184" i="26"/>
  <c r="N184" i="26"/>
  <c r="P184" i="26"/>
  <c r="J185" i="26"/>
  <c r="O185" i="26" s="1"/>
  <c r="J186" i="26"/>
  <c r="K186" i="26" s="1"/>
  <c r="L186" i="26"/>
  <c r="N186" i="26"/>
  <c r="P186" i="26"/>
  <c r="J187" i="26"/>
  <c r="K187" i="26" s="1"/>
  <c r="N187" i="26"/>
  <c r="P187" i="26"/>
  <c r="J188" i="26"/>
  <c r="N188" i="26"/>
  <c r="P188" i="26"/>
  <c r="J189" i="26"/>
  <c r="O189" i="26" s="1"/>
  <c r="N189" i="26"/>
  <c r="P189" i="26"/>
  <c r="J190" i="26"/>
  <c r="O190" i="26" s="1"/>
  <c r="N190" i="26"/>
  <c r="P190" i="26"/>
  <c r="J191" i="26"/>
  <c r="O191" i="26" s="1"/>
  <c r="N191" i="26"/>
  <c r="P191" i="26"/>
  <c r="J192" i="26"/>
  <c r="O192" i="26" s="1"/>
  <c r="N192" i="26"/>
  <c r="P192" i="26"/>
  <c r="J193" i="26"/>
  <c r="O193" i="26" s="1"/>
  <c r="N193" i="26"/>
  <c r="P193" i="26"/>
  <c r="J194" i="26"/>
  <c r="K194" i="26" s="1"/>
  <c r="N194" i="26"/>
  <c r="P194" i="26"/>
  <c r="J195" i="26"/>
  <c r="O195" i="26" s="1"/>
  <c r="N195" i="26"/>
  <c r="P195" i="26"/>
  <c r="J196" i="26"/>
  <c r="N196" i="26"/>
  <c r="P196" i="26"/>
  <c r="J197" i="26"/>
  <c r="O197" i="26" s="1"/>
  <c r="N197" i="26"/>
  <c r="P197" i="26"/>
  <c r="J198" i="26"/>
  <c r="O198" i="26" s="1"/>
  <c r="J199" i="26"/>
  <c r="L199" i="26"/>
  <c r="N199" i="26"/>
  <c r="P199" i="26"/>
  <c r="J200" i="26"/>
  <c r="O200" i="26" s="1"/>
  <c r="L200" i="26"/>
  <c r="N200" i="26"/>
  <c r="P200" i="26"/>
  <c r="J201" i="26"/>
  <c r="O201" i="26" s="1"/>
  <c r="L201" i="26"/>
  <c r="N201" i="26"/>
  <c r="P201" i="26"/>
  <c r="J202" i="26"/>
  <c r="L202" i="26"/>
  <c r="N202" i="26"/>
  <c r="P202" i="26"/>
  <c r="J203" i="26"/>
  <c r="O203" i="26" s="1"/>
  <c r="L203" i="26"/>
  <c r="N203" i="26"/>
  <c r="P203" i="26"/>
  <c r="J204" i="26"/>
  <c r="K204" i="26" s="1"/>
  <c r="L204" i="26"/>
  <c r="N204" i="26"/>
  <c r="P204" i="26"/>
  <c r="J205" i="26"/>
  <c r="O205" i="26" s="1"/>
  <c r="L205" i="26"/>
  <c r="N205" i="26"/>
  <c r="P205" i="26"/>
  <c r="J206" i="26"/>
  <c r="O206" i="26" s="1"/>
  <c r="L206" i="26"/>
  <c r="N206" i="26"/>
  <c r="P206" i="26"/>
  <c r="J207" i="26"/>
  <c r="O207" i="26" s="1"/>
  <c r="L207" i="26"/>
  <c r="N207" i="26"/>
  <c r="P207" i="26"/>
  <c r="J208" i="26"/>
  <c r="O208" i="26" s="1"/>
  <c r="J209" i="26"/>
  <c r="O209" i="26" s="1"/>
  <c r="L209" i="26"/>
  <c r="N209" i="26"/>
  <c r="P209" i="26"/>
  <c r="J210" i="26"/>
  <c r="K210" i="26" s="1"/>
  <c r="L210" i="26"/>
  <c r="N210" i="26"/>
  <c r="P210" i="26"/>
  <c r="J211" i="26"/>
  <c r="O211" i="26" s="1"/>
  <c r="L211" i="26"/>
  <c r="N211" i="26"/>
  <c r="P211" i="26"/>
  <c r="J212" i="26"/>
  <c r="K212" i="26" s="1"/>
  <c r="L212" i="26"/>
  <c r="N212" i="26"/>
  <c r="P212" i="26"/>
  <c r="J213" i="26"/>
  <c r="K213" i="26" s="1"/>
  <c r="L213" i="26"/>
  <c r="N213" i="26"/>
  <c r="P213" i="26"/>
  <c r="J214" i="26"/>
  <c r="O214" i="26" s="1"/>
  <c r="L214" i="26"/>
  <c r="N214" i="26"/>
  <c r="P214" i="26"/>
  <c r="J215" i="26"/>
  <c r="O215" i="26" s="1"/>
  <c r="L215" i="26"/>
  <c r="N215" i="26"/>
  <c r="P215" i="26"/>
  <c r="J216" i="26"/>
  <c r="O216" i="26" s="1"/>
  <c r="L216" i="26"/>
  <c r="N216" i="26"/>
  <c r="P216" i="26"/>
  <c r="J217" i="26"/>
  <c r="K217" i="26" s="1"/>
  <c r="L217" i="26"/>
  <c r="N217" i="26"/>
  <c r="P217" i="26"/>
  <c r="J218" i="26"/>
  <c r="K218" i="26" s="1"/>
  <c r="J219" i="26"/>
  <c r="O219" i="26" s="1"/>
  <c r="L219" i="26"/>
  <c r="N219" i="26"/>
  <c r="P219" i="26"/>
  <c r="J220" i="26"/>
  <c r="K220" i="26" s="1"/>
  <c r="L220" i="26"/>
  <c r="N220" i="26"/>
  <c r="P220" i="26"/>
  <c r="J221" i="26"/>
  <c r="O221" i="26" s="1"/>
  <c r="L221" i="26"/>
  <c r="N221" i="26"/>
  <c r="P221" i="26"/>
  <c r="J222" i="26"/>
  <c r="O222" i="26" s="1"/>
  <c r="L222" i="26"/>
  <c r="N222" i="26"/>
  <c r="P222" i="26"/>
  <c r="J223" i="26"/>
  <c r="O223" i="26" s="1"/>
  <c r="L223" i="26"/>
  <c r="N223" i="26"/>
  <c r="P223" i="26"/>
  <c r="J224" i="26"/>
  <c r="O224" i="26" s="1"/>
  <c r="L224" i="26"/>
  <c r="N224" i="26"/>
  <c r="P224" i="26"/>
  <c r="J225" i="26"/>
  <c r="O225" i="26" s="1"/>
  <c r="L225" i="26"/>
  <c r="N225" i="26"/>
  <c r="P225" i="26"/>
  <c r="J226" i="26"/>
  <c r="K226" i="26" s="1"/>
  <c r="L226" i="26"/>
  <c r="N226" i="26"/>
  <c r="P226" i="26"/>
  <c r="J227" i="26"/>
  <c r="L227" i="26"/>
  <c r="N227" i="26"/>
  <c r="P227" i="26"/>
  <c r="J228" i="26"/>
  <c r="L228" i="26"/>
  <c r="N228" i="26"/>
  <c r="P228" i="26"/>
  <c r="J229" i="26"/>
  <c r="O229" i="26" s="1"/>
  <c r="J230" i="26"/>
  <c r="O230" i="26" s="1"/>
  <c r="L230" i="26"/>
  <c r="N230" i="26"/>
  <c r="P230" i="26"/>
  <c r="J231" i="26"/>
  <c r="O231" i="26" s="1"/>
  <c r="L231" i="26"/>
  <c r="N231" i="26"/>
  <c r="P231" i="26"/>
  <c r="J232" i="26"/>
  <c r="O232" i="26" s="1"/>
  <c r="L232" i="26"/>
  <c r="N232" i="26"/>
  <c r="P232" i="26"/>
  <c r="J233" i="26"/>
  <c r="O233" i="26" s="1"/>
  <c r="L233" i="26"/>
  <c r="N233" i="26"/>
  <c r="P233" i="26"/>
  <c r="J234" i="26"/>
  <c r="K234" i="26" s="1"/>
  <c r="L234" i="26"/>
  <c r="N234" i="26"/>
  <c r="P234" i="26"/>
  <c r="J235" i="26"/>
  <c r="K235" i="26" s="1"/>
  <c r="J236" i="26"/>
  <c r="L236" i="26"/>
  <c r="N236" i="26"/>
  <c r="P236" i="26"/>
  <c r="J237" i="26"/>
  <c r="O237" i="26" s="1"/>
  <c r="L237" i="26"/>
  <c r="N237" i="26"/>
  <c r="P237" i="26"/>
  <c r="J238" i="26"/>
  <c r="O238" i="26" s="1"/>
  <c r="L238" i="26"/>
  <c r="N238" i="26"/>
  <c r="P238" i="26"/>
  <c r="J239" i="26"/>
  <c r="O239" i="26" s="1"/>
  <c r="L239" i="26"/>
  <c r="N239" i="26"/>
  <c r="P239" i="26"/>
  <c r="J240" i="26"/>
  <c r="O240" i="26" s="1"/>
  <c r="L240" i="26"/>
  <c r="N240" i="26"/>
  <c r="P240" i="26"/>
  <c r="J241" i="26"/>
  <c r="O241" i="26" s="1"/>
  <c r="L241" i="26"/>
  <c r="N241" i="26"/>
  <c r="P241" i="26"/>
  <c r="J242" i="26"/>
  <c r="K242" i="26" s="1"/>
  <c r="L242" i="26"/>
  <c r="N242" i="26"/>
  <c r="P242" i="26"/>
  <c r="J243" i="26"/>
  <c r="O243" i="26" s="1"/>
  <c r="L243" i="26"/>
  <c r="N243" i="26"/>
  <c r="P243" i="26"/>
  <c r="J244" i="26"/>
  <c r="J245" i="26"/>
  <c r="O245" i="26" s="1"/>
  <c r="L245" i="26"/>
  <c r="N245" i="26"/>
  <c r="P245" i="26"/>
  <c r="J246" i="26"/>
  <c r="O246" i="26" s="1"/>
  <c r="L246" i="26"/>
  <c r="N246" i="26"/>
  <c r="P246" i="26"/>
  <c r="J247" i="26"/>
  <c r="O247" i="26" s="1"/>
  <c r="L247" i="26"/>
  <c r="N247" i="26"/>
  <c r="P247" i="26"/>
  <c r="J248" i="26"/>
  <c r="O248" i="26" s="1"/>
  <c r="L248" i="26"/>
  <c r="N248" i="26"/>
  <c r="P248" i="26"/>
  <c r="J249" i="26"/>
  <c r="L249" i="26"/>
  <c r="N249" i="26"/>
  <c r="P249" i="26"/>
  <c r="J250" i="26"/>
  <c r="K250" i="26" s="1"/>
  <c r="L250" i="26"/>
  <c r="N250" i="26"/>
  <c r="P250" i="26"/>
  <c r="J251" i="26"/>
  <c r="K251" i="26" s="1"/>
  <c r="L251" i="26"/>
  <c r="N251" i="26"/>
  <c r="P251" i="26"/>
  <c r="J252" i="26"/>
  <c r="L252" i="26"/>
  <c r="N252" i="26"/>
  <c r="P252" i="26"/>
  <c r="J253" i="26"/>
  <c r="O253" i="26" s="1"/>
  <c r="L253" i="26"/>
  <c r="N253" i="26"/>
  <c r="P253" i="26"/>
  <c r="J254" i="26"/>
  <c r="O254" i="26" s="1"/>
  <c r="J255" i="26"/>
  <c r="O255" i="26" s="1"/>
  <c r="L255" i="26"/>
  <c r="N255" i="26"/>
  <c r="P255" i="26"/>
  <c r="J256" i="26"/>
  <c r="O256" i="26" s="1"/>
  <c r="L256" i="26"/>
  <c r="N256" i="26"/>
  <c r="P256" i="26"/>
  <c r="J257" i="26"/>
  <c r="L257" i="26"/>
  <c r="N257" i="26"/>
  <c r="P257" i="26"/>
  <c r="J258" i="26"/>
  <c r="K258" i="26" s="1"/>
  <c r="L258" i="26"/>
  <c r="N258" i="26"/>
  <c r="P258" i="26"/>
  <c r="J259" i="26"/>
  <c r="O259" i="26" s="1"/>
  <c r="L259" i="26"/>
  <c r="N259" i="26"/>
  <c r="P259" i="26"/>
  <c r="J260" i="26"/>
  <c r="L260" i="26"/>
  <c r="N260" i="26"/>
  <c r="P260" i="26"/>
  <c r="J261" i="26"/>
  <c r="O261" i="26" s="1"/>
  <c r="L261" i="26"/>
  <c r="N261" i="26"/>
  <c r="P261" i="26"/>
  <c r="J262" i="26"/>
  <c r="O262" i="26" s="1"/>
  <c r="L262" i="26"/>
  <c r="N262" i="26"/>
  <c r="P262" i="26"/>
  <c r="J263" i="26"/>
  <c r="J264" i="26"/>
  <c r="O264" i="26" s="1"/>
  <c r="L264" i="26"/>
  <c r="N264" i="26"/>
  <c r="P264" i="26"/>
  <c r="J265" i="26"/>
  <c r="O265" i="26" s="1"/>
  <c r="L265" i="26"/>
  <c r="N265" i="26"/>
  <c r="P265" i="26"/>
  <c r="J266" i="26"/>
  <c r="K266" i="26" s="1"/>
  <c r="L266" i="26"/>
  <c r="N266" i="26"/>
  <c r="P266" i="26"/>
  <c r="J267" i="26"/>
  <c r="O267" i="26" s="1"/>
  <c r="L267" i="26"/>
  <c r="N267" i="26"/>
  <c r="P267" i="26"/>
  <c r="J268" i="26"/>
  <c r="K268" i="26" s="1"/>
  <c r="L268" i="26"/>
  <c r="N268" i="26"/>
  <c r="P268" i="26"/>
  <c r="J269" i="26"/>
  <c r="O269" i="26" s="1"/>
  <c r="L269" i="26"/>
  <c r="N269" i="26"/>
  <c r="P269" i="26"/>
  <c r="J270" i="26"/>
  <c r="O270" i="26" s="1"/>
  <c r="L270" i="26"/>
  <c r="N270" i="26"/>
  <c r="P270" i="26"/>
  <c r="J271" i="26"/>
  <c r="O271" i="26" s="1"/>
  <c r="L271" i="26"/>
  <c r="N271" i="26"/>
  <c r="P271" i="26"/>
  <c r="J272" i="26"/>
  <c r="O272" i="26" s="1"/>
  <c r="L272" i="26"/>
  <c r="N272" i="26"/>
  <c r="P272" i="26"/>
  <c r="J273" i="26"/>
  <c r="K273" i="26" s="1"/>
  <c r="N273" i="26"/>
  <c r="P273" i="26"/>
  <c r="J274" i="26"/>
  <c r="K274" i="26" s="1"/>
  <c r="L274" i="26"/>
  <c r="N274" i="26"/>
  <c r="P274" i="26"/>
  <c r="J275" i="26"/>
  <c r="K275" i="26" s="1"/>
  <c r="L275" i="26"/>
  <c r="N275" i="26"/>
  <c r="P275" i="26"/>
  <c r="J276" i="26"/>
  <c r="K276" i="26" s="1"/>
  <c r="L276" i="26"/>
  <c r="N276" i="26"/>
  <c r="P276" i="26"/>
  <c r="J277" i="26"/>
  <c r="O277" i="26" s="1"/>
  <c r="L277" i="26"/>
  <c r="N277" i="26"/>
  <c r="P277" i="26"/>
  <c r="J278" i="26"/>
  <c r="O278" i="26" s="1"/>
  <c r="L278" i="26"/>
  <c r="N278" i="26"/>
  <c r="P278" i="26"/>
  <c r="J279" i="26"/>
  <c r="O279" i="26" s="1"/>
  <c r="L279" i="26"/>
  <c r="N279" i="26"/>
  <c r="P279" i="26"/>
  <c r="J280" i="26"/>
  <c r="O280" i="26" s="1"/>
  <c r="L280" i="26"/>
  <c r="N280" i="26"/>
  <c r="P280" i="26"/>
  <c r="J281" i="26"/>
  <c r="O281" i="26" s="1"/>
  <c r="L281" i="26"/>
  <c r="N281" i="26"/>
  <c r="P281" i="26"/>
  <c r="J282" i="26"/>
  <c r="K282" i="26" s="1"/>
  <c r="L282" i="26"/>
  <c r="N282" i="26"/>
  <c r="P282" i="26"/>
  <c r="J283" i="26"/>
  <c r="O283" i="26" s="1"/>
  <c r="L283" i="26"/>
  <c r="N283" i="26"/>
  <c r="P283" i="26"/>
  <c r="J284" i="26"/>
  <c r="K284" i="26" s="1"/>
  <c r="L284" i="26"/>
  <c r="N284" i="26"/>
  <c r="P284" i="26"/>
  <c r="J285" i="26"/>
  <c r="L285" i="26"/>
  <c r="N285" i="26"/>
  <c r="P285" i="26"/>
  <c r="J286" i="26"/>
  <c r="O286" i="26" s="1"/>
  <c r="L286" i="26"/>
  <c r="N286" i="26"/>
  <c r="P286" i="26"/>
  <c r="J287" i="26"/>
  <c r="O287" i="26" s="1"/>
  <c r="L287" i="26"/>
  <c r="N287" i="26"/>
  <c r="P287" i="26"/>
  <c r="J288" i="26"/>
  <c r="O288" i="26" s="1"/>
  <c r="L288" i="26"/>
  <c r="N288" i="26"/>
  <c r="P288" i="26"/>
  <c r="J289" i="26"/>
  <c r="O289" i="26" s="1"/>
  <c r="L289" i="26"/>
  <c r="N289" i="26"/>
  <c r="P289" i="26"/>
  <c r="J290" i="26"/>
  <c r="K290" i="26" s="1"/>
  <c r="L290" i="26"/>
  <c r="N290" i="26"/>
  <c r="P290" i="26"/>
  <c r="J291" i="26"/>
  <c r="O291" i="26" s="1"/>
  <c r="L291" i="26"/>
  <c r="N291" i="26"/>
  <c r="P291" i="26"/>
  <c r="J292" i="26"/>
  <c r="K292" i="26" s="1"/>
  <c r="L292" i="26"/>
  <c r="N292" i="26"/>
  <c r="P292" i="26"/>
  <c r="J293" i="26"/>
  <c r="L293" i="26"/>
  <c r="N293" i="26"/>
  <c r="P293" i="26"/>
  <c r="J294" i="26"/>
  <c r="O294" i="26" s="1"/>
  <c r="L294" i="26"/>
  <c r="N294" i="26"/>
  <c r="P294" i="26"/>
  <c r="J295" i="26"/>
  <c r="O295" i="26" s="1"/>
  <c r="L295" i="26"/>
  <c r="N295" i="26"/>
  <c r="P295" i="26"/>
  <c r="J296" i="26"/>
  <c r="O296" i="26" s="1"/>
  <c r="L296" i="26"/>
  <c r="N296" i="26"/>
  <c r="P296" i="26"/>
  <c r="J297" i="26"/>
  <c r="K297" i="26" s="1"/>
  <c r="L297" i="26"/>
  <c r="N297" i="26"/>
  <c r="P297" i="26"/>
  <c r="J298" i="26"/>
  <c r="K298" i="26" s="1"/>
  <c r="L298" i="26"/>
  <c r="N298" i="26"/>
  <c r="P298" i="26"/>
  <c r="J299" i="26"/>
  <c r="O299" i="26" s="1"/>
  <c r="L299" i="26"/>
  <c r="N299" i="26"/>
  <c r="P299" i="26"/>
  <c r="J300" i="26"/>
  <c r="K300" i="26" s="1"/>
  <c r="J301" i="26"/>
  <c r="L301" i="26"/>
  <c r="N301" i="26"/>
  <c r="P301" i="26"/>
  <c r="J302" i="26"/>
  <c r="O302" i="26" s="1"/>
  <c r="L302" i="26"/>
  <c r="N302" i="26"/>
  <c r="P302" i="26"/>
  <c r="J303" i="26"/>
  <c r="O303" i="26" s="1"/>
  <c r="L303" i="26"/>
  <c r="N303" i="26"/>
  <c r="P303" i="26"/>
  <c r="J304" i="26"/>
  <c r="O304" i="26" s="1"/>
  <c r="L304" i="26"/>
  <c r="N304" i="26"/>
  <c r="P304" i="26"/>
  <c r="J305" i="26"/>
  <c r="O305" i="26" s="1"/>
  <c r="L305" i="26"/>
  <c r="N305" i="26"/>
  <c r="P305" i="26"/>
  <c r="J306" i="26"/>
  <c r="K306" i="26" s="1"/>
  <c r="L306" i="26"/>
  <c r="N306" i="26"/>
  <c r="P306" i="26"/>
  <c r="J307" i="26"/>
  <c r="O307" i="26" s="1"/>
  <c r="L307" i="26"/>
  <c r="N307" i="26"/>
  <c r="P307" i="26"/>
  <c r="J308" i="26"/>
  <c r="K308" i="26" s="1"/>
  <c r="L308" i="26"/>
  <c r="N308" i="26"/>
  <c r="P308" i="26"/>
  <c r="J309" i="26"/>
  <c r="K309" i="26" s="1"/>
  <c r="L309" i="26"/>
  <c r="N309" i="26"/>
  <c r="P309" i="26"/>
  <c r="J310" i="26"/>
  <c r="O310" i="26" s="1"/>
  <c r="L310" i="26"/>
  <c r="N310" i="26"/>
  <c r="P310" i="26"/>
  <c r="J311" i="26"/>
  <c r="O311" i="26" s="1"/>
  <c r="L311" i="26"/>
  <c r="N311" i="26"/>
  <c r="P311" i="26"/>
  <c r="J312" i="26"/>
  <c r="O312" i="26" s="1"/>
  <c r="L312" i="26"/>
  <c r="N312" i="26"/>
  <c r="P312" i="26"/>
  <c r="J313" i="26"/>
  <c r="K313" i="26" s="1"/>
  <c r="L313" i="26"/>
  <c r="N313" i="26"/>
  <c r="P313" i="26"/>
  <c r="J314" i="26"/>
  <c r="K314" i="26" s="1"/>
  <c r="L314" i="26"/>
  <c r="N314" i="26"/>
  <c r="P314" i="26"/>
  <c r="J315" i="26"/>
  <c r="O315" i="26" s="1"/>
  <c r="L315" i="26"/>
  <c r="N315" i="26"/>
  <c r="P315" i="26"/>
  <c r="J316" i="26"/>
  <c r="K316" i="26" s="1"/>
  <c r="L316" i="26"/>
  <c r="N316" i="26"/>
  <c r="P316" i="26"/>
  <c r="J317" i="26"/>
  <c r="O317" i="26" s="1"/>
  <c r="L317" i="26"/>
  <c r="N317" i="26"/>
  <c r="P317" i="26"/>
  <c r="J318" i="26"/>
  <c r="O318" i="26" s="1"/>
  <c r="L318" i="26"/>
  <c r="N318" i="26"/>
  <c r="P318" i="26"/>
  <c r="J319" i="26"/>
  <c r="O319" i="26" s="1"/>
  <c r="L319" i="26"/>
  <c r="N319" i="26"/>
  <c r="P319" i="26"/>
  <c r="J320" i="26"/>
  <c r="O320" i="26" s="1"/>
  <c r="L320" i="26"/>
  <c r="N320" i="26"/>
  <c r="P320" i="26"/>
  <c r="J321" i="26"/>
  <c r="O321" i="26" s="1"/>
  <c r="L321" i="26"/>
  <c r="N321" i="26"/>
  <c r="P321" i="26"/>
  <c r="J322" i="26"/>
  <c r="K322" i="26" s="1"/>
  <c r="J323" i="26"/>
  <c r="O323" i="26" s="1"/>
  <c r="L323" i="26"/>
  <c r="N323" i="26"/>
  <c r="P323" i="26"/>
  <c r="J324" i="26"/>
  <c r="K324" i="26" s="1"/>
  <c r="L324" i="26"/>
  <c r="N324" i="26"/>
  <c r="P324" i="26"/>
  <c r="J325" i="26"/>
  <c r="K325" i="26" s="1"/>
  <c r="L325" i="26"/>
  <c r="N325" i="26"/>
  <c r="P325" i="26"/>
  <c r="J326" i="26"/>
  <c r="O326" i="26" s="1"/>
  <c r="L326" i="26"/>
  <c r="N326" i="26"/>
  <c r="P326" i="26"/>
  <c r="J327" i="26"/>
  <c r="O327" i="26" s="1"/>
  <c r="L327" i="26"/>
  <c r="N327" i="26"/>
  <c r="P327" i="26"/>
  <c r="J328" i="26"/>
  <c r="O328" i="26" s="1"/>
  <c r="L328" i="26"/>
  <c r="N328" i="26"/>
  <c r="P328" i="26"/>
  <c r="J329" i="26"/>
  <c r="O329" i="26" s="1"/>
  <c r="L329" i="26"/>
  <c r="N329" i="26"/>
  <c r="P329" i="26"/>
  <c r="J330" i="26"/>
  <c r="K330" i="26" s="1"/>
  <c r="L330" i="26"/>
  <c r="N330" i="26"/>
  <c r="P330" i="26"/>
  <c r="J331" i="26"/>
  <c r="K331" i="26" s="1"/>
  <c r="L331" i="26"/>
  <c r="N331" i="26"/>
  <c r="P331" i="26"/>
  <c r="J332" i="26"/>
  <c r="L332" i="26"/>
  <c r="N332" i="26"/>
  <c r="P332" i="26"/>
  <c r="J333" i="26"/>
  <c r="O333" i="26" s="1"/>
  <c r="L333" i="26"/>
  <c r="N333" i="26"/>
  <c r="P333" i="26"/>
  <c r="J334" i="26"/>
  <c r="K334" i="26" s="1"/>
  <c r="L334" i="26"/>
  <c r="N334" i="26"/>
  <c r="P334" i="26"/>
  <c r="J335" i="26"/>
  <c r="O335" i="26" s="1"/>
  <c r="L335" i="26"/>
  <c r="N335" i="26"/>
  <c r="P335" i="26"/>
  <c r="J336" i="26"/>
  <c r="O336" i="26" s="1"/>
  <c r="L336" i="26"/>
  <c r="N336" i="26"/>
  <c r="P336" i="26"/>
  <c r="J337" i="26"/>
  <c r="K337" i="26" s="1"/>
  <c r="L337" i="26"/>
  <c r="N337" i="26"/>
  <c r="P337" i="26"/>
  <c r="J338" i="26"/>
  <c r="K338" i="26" s="1"/>
  <c r="L338" i="26"/>
  <c r="N338" i="26"/>
  <c r="P338" i="26"/>
  <c r="J339" i="26"/>
  <c r="K339" i="26" s="1"/>
  <c r="L339" i="26"/>
  <c r="N339" i="26"/>
  <c r="P339" i="26"/>
  <c r="J340" i="26"/>
  <c r="O340" i="26" s="1"/>
  <c r="L340" i="26"/>
  <c r="N340" i="26"/>
  <c r="P340" i="26"/>
  <c r="J341" i="26"/>
  <c r="K341" i="26" s="1"/>
  <c r="L341" i="26"/>
  <c r="N341" i="26"/>
  <c r="P341" i="26"/>
  <c r="J114" i="26"/>
  <c r="K114" i="26" s="1"/>
  <c r="F340" i="26"/>
  <c r="G340" i="26" s="1"/>
  <c r="H340" i="26" s="1"/>
  <c r="F341" i="26"/>
  <c r="G341" i="26" s="1"/>
  <c r="H341" i="26" s="1"/>
  <c r="F342" i="26"/>
  <c r="G342" i="26" s="1"/>
  <c r="F115" i="26"/>
  <c r="F116" i="26"/>
  <c r="F117" i="26"/>
  <c r="F118" i="26"/>
  <c r="G118" i="26" s="1"/>
  <c r="H118" i="26" s="1"/>
  <c r="F119" i="26"/>
  <c r="G119" i="26" s="1"/>
  <c r="H119" i="26" s="1"/>
  <c r="F120" i="26"/>
  <c r="G120" i="26" s="1"/>
  <c r="F121" i="26"/>
  <c r="F122" i="26"/>
  <c r="F123" i="26"/>
  <c r="F124" i="26"/>
  <c r="G124" i="26" s="1"/>
  <c r="F125" i="26"/>
  <c r="G125" i="26" s="1"/>
  <c r="H125" i="26" s="1"/>
  <c r="F126" i="26"/>
  <c r="G126" i="26" s="1"/>
  <c r="F127" i="26"/>
  <c r="G127" i="26" s="1"/>
  <c r="H127" i="26" s="1"/>
  <c r="F128" i="26"/>
  <c r="G128" i="26" s="1"/>
  <c r="F129" i="26"/>
  <c r="G129" i="26" s="1"/>
  <c r="H129" i="26" s="1"/>
  <c r="F130" i="26"/>
  <c r="G130" i="26" s="1"/>
  <c r="F131" i="26"/>
  <c r="G131" i="26" s="1"/>
  <c r="H131" i="26" s="1"/>
  <c r="F132" i="26"/>
  <c r="F133" i="26"/>
  <c r="G133" i="26" s="1"/>
  <c r="H133" i="26" s="1"/>
  <c r="F134" i="26"/>
  <c r="G134" i="26" s="1"/>
  <c r="H134" i="26" s="1"/>
  <c r="F135" i="26"/>
  <c r="G135" i="26" s="1"/>
  <c r="H135" i="26" s="1"/>
  <c r="F136" i="26"/>
  <c r="G136" i="26" s="1"/>
  <c r="F137" i="26"/>
  <c r="G137" i="26" s="1"/>
  <c r="H137" i="26" s="1"/>
  <c r="F138" i="26"/>
  <c r="F139" i="26"/>
  <c r="G139" i="26" s="1"/>
  <c r="H139" i="26" s="1"/>
  <c r="F140" i="26"/>
  <c r="G140" i="26" s="1"/>
  <c r="F141" i="26"/>
  <c r="G141" i="26" s="1"/>
  <c r="H141" i="26" s="1"/>
  <c r="F142" i="26"/>
  <c r="G142" i="26" s="1"/>
  <c r="F143" i="26"/>
  <c r="G143" i="26" s="1"/>
  <c r="H143" i="26" s="1"/>
  <c r="F144" i="26"/>
  <c r="G144" i="26" s="1"/>
  <c r="F145" i="26"/>
  <c r="G145" i="26" s="1"/>
  <c r="H145" i="26" s="1"/>
  <c r="F146" i="26"/>
  <c r="G146" i="26" s="1"/>
  <c r="F147" i="26"/>
  <c r="G147" i="26" s="1"/>
  <c r="H147" i="26" s="1"/>
  <c r="F148" i="26"/>
  <c r="F149" i="26"/>
  <c r="G149" i="26" s="1"/>
  <c r="H149" i="26" s="1"/>
  <c r="F150" i="26"/>
  <c r="G150" i="26" s="1"/>
  <c r="H150" i="26" s="1"/>
  <c r="F151" i="26"/>
  <c r="G151" i="26" s="1"/>
  <c r="H151" i="26" s="1"/>
  <c r="F152" i="26"/>
  <c r="G152" i="26" s="1"/>
  <c r="F153" i="26"/>
  <c r="G153" i="26" s="1"/>
  <c r="H153" i="26" s="1"/>
  <c r="F154" i="26"/>
  <c r="G154" i="26" s="1"/>
  <c r="F155" i="26"/>
  <c r="G155" i="26" s="1"/>
  <c r="H155" i="26" s="1"/>
  <c r="F156" i="26"/>
  <c r="F157" i="26"/>
  <c r="G157" i="26" s="1"/>
  <c r="H157" i="26" s="1"/>
  <c r="F158" i="26"/>
  <c r="G158" i="26" s="1"/>
  <c r="F159" i="26"/>
  <c r="G159" i="26" s="1"/>
  <c r="H159" i="26" s="1"/>
  <c r="F160" i="26"/>
  <c r="G160" i="26" s="1"/>
  <c r="F161" i="26"/>
  <c r="G161" i="26" s="1"/>
  <c r="H161" i="26" s="1"/>
  <c r="F162" i="26"/>
  <c r="G162" i="26" s="1"/>
  <c r="F163" i="26"/>
  <c r="G163" i="26" s="1"/>
  <c r="H163" i="26" s="1"/>
  <c r="F164" i="26"/>
  <c r="F165" i="26"/>
  <c r="G165" i="26" s="1"/>
  <c r="H165" i="26" s="1"/>
  <c r="F166" i="26"/>
  <c r="G166" i="26" s="1"/>
  <c r="H166" i="26" s="1"/>
  <c r="F167" i="26"/>
  <c r="G167" i="26" s="1"/>
  <c r="H167" i="26" s="1"/>
  <c r="F168" i="26"/>
  <c r="G168" i="26" s="1"/>
  <c r="F169" i="26"/>
  <c r="G169" i="26" s="1"/>
  <c r="H169" i="26" s="1"/>
  <c r="F170" i="26"/>
  <c r="G170" i="26" s="1"/>
  <c r="F171" i="26"/>
  <c r="G171" i="26" s="1"/>
  <c r="H171" i="26" s="1"/>
  <c r="F172" i="26"/>
  <c r="F173" i="26"/>
  <c r="G173" i="26" s="1"/>
  <c r="H173" i="26" s="1"/>
  <c r="F174" i="26"/>
  <c r="G174" i="26" s="1"/>
  <c r="F175" i="26"/>
  <c r="G175" i="26" s="1"/>
  <c r="H175" i="26" s="1"/>
  <c r="F176" i="26"/>
  <c r="F177" i="26"/>
  <c r="G177" i="26" s="1"/>
  <c r="H177" i="26" s="1"/>
  <c r="F178" i="26"/>
  <c r="G178" i="26" s="1"/>
  <c r="F179" i="26"/>
  <c r="G179" i="26" s="1"/>
  <c r="H179" i="26" s="1"/>
  <c r="F180" i="26"/>
  <c r="F181" i="26"/>
  <c r="G181" i="26" s="1"/>
  <c r="H181" i="26" s="1"/>
  <c r="F182" i="26"/>
  <c r="G182" i="26" s="1"/>
  <c r="H182" i="26" s="1"/>
  <c r="F183" i="26"/>
  <c r="G183" i="26" s="1"/>
  <c r="H183" i="26" s="1"/>
  <c r="F184" i="26"/>
  <c r="G184" i="26" s="1"/>
  <c r="F185" i="26"/>
  <c r="G185" i="26" s="1"/>
  <c r="H185" i="26" s="1"/>
  <c r="F199" i="26"/>
  <c r="G199" i="26" s="1"/>
  <c r="H199" i="26" s="1"/>
  <c r="F200" i="26"/>
  <c r="G200" i="26" s="1"/>
  <c r="F201" i="26"/>
  <c r="G201" i="26" s="1"/>
  <c r="H201" i="26" s="1"/>
  <c r="F202" i="26"/>
  <c r="G202" i="26" s="1"/>
  <c r="F203" i="26"/>
  <c r="G203" i="26" s="1"/>
  <c r="H203" i="26" s="1"/>
  <c r="F204" i="26"/>
  <c r="G204" i="26" s="1"/>
  <c r="F205" i="26"/>
  <c r="G205" i="26" s="1"/>
  <c r="H205" i="26" s="1"/>
  <c r="F206" i="26"/>
  <c r="G206" i="26" s="1"/>
  <c r="F207" i="26"/>
  <c r="G207" i="26" s="1"/>
  <c r="H207" i="26" s="1"/>
  <c r="F208" i="26"/>
  <c r="F209" i="26"/>
  <c r="G209" i="26" s="1"/>
  <c r="H209" i="26" s="1"/>
  <c r="F210" i="26"/>
  <c r="G210" i="26" s="1"/>
  <c r="F211" i="26"/>
  <c r="G211" i="26" s="1"/>
  <c r="H211" i="26" s="1"/>
  <c r="F212" i="26"/>
  <c r="F213" i="26"/>
  <c r="G213" i="26" s="1"/>
  <c r="H213" i="26" s="1"/>
  <c r="F214" i="26"/>
  <c r="G214" i="26" s="1"/>
  <c r="H214" i="26" s="1"/>
  <c r="F215" i="26"/>
  <c r="G215" i="26" s="1"/>
  <c r="H215" i="26" s="1"/>
  <c r="F216" i="26"/>
  <c r="G216" i="26" s="1"/>
  <c r="F217" i="26"/>
  <c r="G217" i="26" s="1"/>
  <c r="H217" i="26" s="1"/>
  <c r="F218" i="26"/>
  <c r="G218" i="26" s="1"/>
  <c r="F219" i="26"/>
  <c r="G219" i="26" s="1"/>
  <c r="H219" i="26" s="1"/>
  <c r="F220" i="26"/>
  <c r="G220" i="26" s="1"/>
  <c r="F221" i="26"/>
  <c r="G221" i="26" s="1"/>
  <c r="H221" i="26" s="1"/>
  <c r="F222" i="26"/>
  <c r="G222" i="26" s="1"/>
  <c r="F223" i="26"/>
  <c r="G223" i="26" s="1"/>
  <c r="H223" i="26" s="1"/>
  <c r="F224" i="26"/>
  <c r="G224" i="26" s="1"/>
  <c r="F225" i="26"/>
  <c r="G225" i="26" s="1"/>
  <c r="H225" i="26" s="1"/>
  <c r="F226" i="26"/>
  <c r="G226" i="26" s="1"/>
  <c r="F227" i="26"/>
  <c r="G227" i="26" s="1"/>
  <c r="H227" i="26" s="1"/>
  <c r="F228" i="26"/>
  <c r="F229" i="26"/>
  <c r="G229" i="26" s="1"/>
  <c r="H229" i="26" s="1"/>
  <c r="F230" i="26"/>
  <c r="G230" i="26" s="1"/>
  <c r="H230" i="26" s="1"/>
  <c r="F231" i="26"/>
  <c r="G231" i="26" s="1"/>
  <c r="H231" i="26" s="1"/>
  <c r="F232" i="26"/>
  <c r="G232" i="26" s="1"/>
  <c r="F233" i="26"/>
  <c r="G233" i="26" s="1"/>
  <c r="H233" i="26" s="1"/>
  <c r="F234" i="26"/>
  <c r="F235" i="26"/>
  <c r="G235" i="26" s="1"/>
  <c r="H235" i="26" s="1"/>
  <c r="F236" i="26"/>
  <c r="G236" i="26" s="1"/>
  <c r="F237" i="26"/>
  <c r="G237" i="26" s="1"/>
  <c r="H237" i="26" s="1"/>
  <c r="F238" i="26"/>
  <c r="G238" i="26" s="1"/>
  <c r="F239" i="26"/>
  <c r="G239" i="26" s="1"/>
  <c r="H239" i="26" s="1"/>
  <c r="F240" i="26"/>
  <c r="G240" i="26" s="1"/>
  <c r="F241" i="26"/>
  <c r="G241" i="26" s="1"/>
  <c r="H241" i="26" s="1"/>
  <c r="F242" i="26"/>
  <c r="G242" i="26" s="1"/>
  <c r="F243" i="26"/>
  <c r="G243" i="26" s="1"/>
  <c r="H243" i="26" s="1"/>
  <c r="F244" i="26"/>
  <c r="F245" i="26"/>
  <c r="G245" i="26" s="1"/>
  <c r="H245" i="26" s="1"/>
  <c r="F246" i="26"/>
  <c r="G246" i="26" s="1"/>
  <c r="H246" i="26" s="1"/>
  <c r="F247" i="26"/>
  <c r="G247" i="26" s="1"/>
  <c r="H247" i="26" s="1"/>
  <c r="F248" i="26"/>
  <c r="G248" i="26" s="1"/>
  <c r="F249" i="26"/>
  <c r="G249" i="26" s="1"/>
  <c r="H249" i="26" s="1"/>
  <c r="F250" i="26"/>
  <c r="G250" i="26" s="1"/>
  <c r="H250" i="26" s="1"/>
  <c r="F251" i="26"/>
  <c r="G251" i="26" s="1"/>
  <c r="H251" i="26" s="1"/>
  <c r="F252" i="26"/>
  <c r="G252" i="26" s="1"/>
  <c r="F253" i="26"/>
  <c r="G253" i="26" s="1"/>
  <c r="H253" i="26" s="1"/>
  <c r="F254" i="26"/>
  <c r="G254" i="26" s="1"/>
  <c r="F255" i="26"/>
  <c r="G255" i="26" s="1"/>
  <c r="H255" i="26" s="1"/>
  <c r="F256" i="26"/>
  <c r="G256" i="26" s="1"/>
  <c r="F257" i="26"/>
  <c r="G257" i="26" s="1"/>
  <c r="H257" i="26" s="1"/>
  <c r="F258" i="26"/>
  <c r="G258" i="26" s="1"/>
  <c r="F259" i="26"/>
  <c r="G259" i="26" s="1"/>
  <c r="H259" i="26" s="1"/>
  <c r="F260" i="26"/>
  <c r="F261" i="26"/>
  <c r="G261" i="26" s="1"/>
  <c r="H261" i="26" s="1"/>
  <c r="F262" i="26"/>
  <c r="G262" i="26" s="1"/>
  <c r="H262" i="26" s="1"/>
  <c r="F263" i="26"/>
  <c r="G263" i="26" s="1"/>
  <c r="H263" i="26" s="1"/>
  <c r="F264" i="26"/>
  <c r="G264" i="26" s="1"/>
  <c r="F265" i="26"/>
  <c r="G265" i="26" s="1"/>
  <c r="H265" i="26" s="1"/>
  <c r="F266" i="26"/>
  <c r="F267" i="26"/>
  <c r="G267" i="26" s="1"/>
  <c r="H267" i="26" s="1"/>
  <c r="F268" i="26"/>
  <c r="F269" i="26"/>
  <c r="G269" i="26" s="1"/>
  <c r="H269" i="26" s="1"/>
  <c r="F270" i="26"/>
  <c r="G270" i="26" s="1"/>
  <c r="F271" i="26"/>
  <c r="G271" i="26" s="1"/>
  <c r="H271" i="26" s="1"/>
  <c r="F272" i="26"/>
  <c r="G272" i="26" s="1"/>
  <c r="F273" i="26"/>
  <c r="G273" i="26" s="1"/>
  <c r="H273" i="26" s="1"/>
  <c r="F274" i="26"/>
  <c r="G274" i="26" s="1"/>
  <c r="F275" i="26"/>
  <c r="G275" i="26" s="1"/>
  <c r="H275" i="26" s="1"/>
  <c r="F276" i="26"/>
  <c r="F277" i="26"/>
  <c r="G277" i="26" s="1"/>
  <c r="H277" i="26" s="1"/>
  <c r="F278" i="26"/>
  <c r="G278" i="26" s="1"/>
  <c r="H278" i="26" s="1"/>
  <c r="F279" i="26"/>
  <c r="G279" i="26" s="1"/>
  <c r="H279" i="26" s="1"/>
  <c r="F280" i="26"/>
  <c r="G280" i="26" s="1"/>
  <c r="F281" i="26"/>
  <c r="G281" i="26" s="1"/>
  <c r="H281" i="26" s="1"/>
  <c r="F282" i="26"/>
  <c r="G282" i="26" s="1"/>
  <c r="F283" i="26"/>
  <c r="G283" i="26" s="1"/>
  <c r="H283" i="26" s="1"/>
  <c r="F284" i="26"/>
  <c r="F285" i="26"/>
  <c r="G285" i="26" s="1"/>
  <c r="H285" i="26" s="1"/>
  <c r="F286" i="26"/>
  <c r="G286" i="26" s="1"/>
  <c r="F287" i="26"/>
  <c r="G287" i="26" s="1"/>
  <c r="H287" i="26" s="1"/>
  <c r="F288" i="26"/>
  <c r="G288" i="26" s="1"/>
  <c r="F289" i="26"/>
  <c r="G289" i="26" s="1"/>
  <c r="H289" i="26" s="1"/>
  <c r="F290" i="26"/>
  <c r="G290" i="26" s="1"/>
  <c r="F291" i="26"/>
  <c r="G291" i="26" s="1"/>
  <c r="H291" i="26" s="1"/>
  <c r="F292" i="26"/>
  <c r="F293" i="26"/>
  <c r="G293" i="26" s="1"/>
  <c r="H293" i="26" s="1"/>
  <c r="F294" i="26"/>
  <c r="G294" i="26" s="1"/>
  <c r="H294" i="26" s="1"/>
  <c r="F295" i="26"/>
  <c r="F296" i="26"/>
  <c r="G296" i="26" s="1"/>
  <c r="F297" i="26"/>
  <c r="G297" i="26" s="1"/>
  <c r="H297" i="26" s="1"/>
  <c r="F298" i="26"/>
  <c r="G298" i="26" s="1"/>
  <c r="F299" i="26"/>
  <c r="G299" i="26" s="1"/>
  <c r="H299" i="26" s="1"/>
  <c r="F300" i="26"/>
  <c r="F301" i="26"/>
  <c r="F302" i="26"/>
  <c r="G302" i="26" s="1"/>
  <c r="F303" i="26"/>
  <c r="G303" i="26" s="1"/>
  <c r="H303" i="26" s="1"/>
  <c r="F304" i="26"/>
  <c r="F305" i="26"/>
  <c r="G305" i="26" s="1"/>
  <c r="H305" i="26" s="1"/>
  <c r="F306" i="26"/>
  <c r="G306" i="26" s="1"/>
  <c r="F307" i="26"/>
  <c r="F308" i="26"/>
  <c r="F309" i="26"/>
  <c r="F310" i="26"/>
  <c r="F311" i="26"/>
  <c r="F312" i="26"/>
  <c r="G312" i="26" s="1"/>
  <c r="F313" i="26"/>
  <c r="G313" i="26" s="1"/>
  <c r="H313" i="26" s="1"/>
  <c r="F314" i="26"/>
  <c r="G314" i="26" s="1"/>
  <c r="F315" i="26"/>
  <c r="F316" i="26"/>
  <c r="F317" i="26"/>
  <c r="G317" i="26" s="1"/>
  <c r="H317" i="26" s="1"/>
  <c r="F318" i="26"/>
  <c r="F319" i="26"/>
  <c r="F320" i="26"/>
  <c r="G320" i="26" s="1"/>
  <c r="H320" i="26" s="1"/>
  <c r="F321" i="26"/>
  <c r="G321" i="26" s="1"/>
  <c r="H321" i="26" s="1"/>
  <c r="F322" i="26"/>
  <c r="G322" i="26" s="1"/>
  <c r="F323" i="26"/>
  <c r="G323" i="26" s="1"/>
  <c r="H323" i="26" s="1"/>
  <c r="F324" i="26"/>
  <c r="F325" i="26"/>
  <c r="F326" i="26"/>
  <c r="F327" i="26"/>
  <c r="G327" i="26" s="1"/>
  <c r="H327" i="26" s="1"/>
  <c r="F328" i="26"/>
  <c r="G328" i="26" s="1"/>
  <c r="F329" i="26"/>
  <c r="G329" i="26" s="1"/>
  <c r="H329" i="26" s="1"/>
  <c r="F330" i="26"/>
  <c r="G330" i="26" s="1"/>
  <c r="F331" i="26"/>
  <c r="F332" i="26"/>
  <c r="F333" i="26"/>
  <c r="F334" i="26"/>
  <c r="F335" i="26"/>
  <c r="F336" i="26"/>
  <c r="F337" i="26"/>
  <c r="G337" i="26" s="1"/>
  <c r="H337" i="26" s="1"/>
  <c r="F338" i="26"/>
  <c r="G338" i="26" s="1"/>
  <c r="F339" i="26"/>
  <c r="G339" i="26" s="1"/>
  <c r="H339" i="26" s="1"/>
  <c r="A14" i="19"/>
  <c r="D14" i="19" s="1"/>
  <c r="P110" i="26"/>
  <c r="P111" i="26"/>
  <c r="P112" i="26"/>
  <c r="P113" i="26"/>
  <c r="P114" i="26"/>
  <c r="N110" i="26"/>
  <c r="N111" i="26"/>
  <c r="N112" i="26"/>
  <c r="N113" i="26"/>
  <c r="N114" i="26"/>
  <c r="L114" i="26"/>
  <c r="L110" i="26"/>
  <c r="L111" i="26"/>
  <c r="L112" i="26"/>
  <c r="L113" i="26"/>
  <c r="J110" i="26"/>
  <c r="J111" i="26"/>
  <c r="O111" i="26" s="1"/>
  <c r="J112" i="26"/>
  <c r="K112" i="26" s="1"/>
  <c r="J113" i="26"/>
  <c r="K113" i="26" s="1"/>
  <c r="A13" i="19"/>
  <c r="D13" i="19" s="1"/>
  <c r="P101" i="26"/>
  <c r="P102" i="26"/>
  <c r="P103" i="26"/>
  <c r="P104" i="26"/>
  <c r="P105" i="26"/>
  <c r="P108" i="26"/>
  <c r="N101" i="26"/>
  <c r="N102" i="26"/>
  <c r="N103" i="26"/>
  <c r="N104" i="26"/>
  <c r="N105" i="26"/>
  <c r="N108" i="26"/>
  <c r="L101" i="26"/>
  <c r="L102" i="26"/>
  <c r="L103" i="26"/>
  <c r="L104" i="26"/>
  <c r="L105" i="26"/>
  <c r="L108" i="26"/>
  <c r="J101" i="26"/>
  <c r="O101" i="26" s="1"/>
  <c r="J102" i="26"/>
  <c r="O102" i="26" s="1"/>
  <c r="J103" i="26"/>
  <c r="O103" i="26" s="1"/>
  <c r="J104" i="26"/>
  <c r="O104" i="26" s="1"/>
  <c r="J105" i="26"/>
  <c r="K105" i="26" s="1"/>
  <c r="J106" i="26"/>
  <c r="K106" i="26" s="1"/>
  <c r="J107" i="26"/>
  <c r="K107" i="26" s="1"/>
  <c r="J108" i="26"/>
  <c r="O108" i="26" s="1"/>
  <c r="J109" i="26"/>
  <c r="O109" i="26" s="1"/>
  <c r="P100" i="26"/>
  <c r="N100" i="26"/>
  <c r="L100" i="26"/>
  <c r="P92" i="26"/>
  <c r="P93" i="26"/>
  <c r="P94" i="26"/>
  <c r="P95" i="26"/>
  <c r="P96" i="26"/>
  <c r="P97" i="26"/>
  <c r="P99" i="26"/>
  <c r="N92" i="26"/>
  <c r="N93" i="26"/>
  <c r="N94" i="26"/>
  <c r="N95" i="26"/>
  <c r="N96" i="26"/>
  <c r="N97" i="26"/>
  <c r="N99" i="26"/>
  <c r="L92" i="26"/>
  <c r="L93" i="26"/>
  <c r="L94" i="26"/>
  <c r="L95" i="26"/>
  <c r="L96" i="26"/>
  <c r="L97" i="26"/>
  <c r="L99" i="26"/>
  <c r="J92" i="26"/>
  <c r="J93" i="26"/>
  <c r="O93" i="26" s="1"/>
  <c r="J94" i="26"/>
  <c r="O94" i="26" s="1"/>
  <c r="J95" i="26"/>
  <c r="O95" i="26" s="1"/>
  <c r="J96" i="26"/>
  <c r="K96" i="26" s="1"/>
  <c r="J97" i="26"/>
  <c r="O97" i="26" s="1"/>
  <c r="J98" i="26"/>
  <c r="O98" i="26" s="1"/>
  <c r="J99" i="26"/>
  <c r="K99" i="26" s="1"/>
  <c r="J100" i="26"/>
  <c r="F92" i="26"/>
  <c r="G92" i="26" s="1"/>
  <c r="F93" i="26"/>
  <c r="F94" i="26"/>
  <c r="F95" i="26"/>
  <c r="F96" i="26"/>
  <c r="G96" i="26" s="1"/>
  <c r="H96" i="26" s="1"/>
  <c r="F97" i="26"/>
  <c r="F98" i="26"/>
  <c r="G98" i="26" s="1"/>
  <c r="H98" i="26" s="1"/>
  <c r="F99" i="26"/>
  <c r="F100" i="26"/>
  <c r="F101" i="26"/>
  <c r="F102" i="26"/>
  <c r="G102" i="26" s="1"/>
  <c r="F103" i="26"/>
  <c r="G103" i="26" s="1"/>
  <c r="H103" i="26" s="1"/>
  <c r="F104" i="26"/>
  <c r="G104" i="26" s="1"/>
  <c r="H104" i="26" s="1"/>
  <c r="F105" i="26"/>
  <c r="F106" i="26"/>
  <c r="G106" i="26" s="1"/>
  <c r="H106" i="26" s="1"/>
  <c r="F107" i="26"/>
  <c r="F108" i="26"/>
  <c r="G108" i="26" s="1"/>
  <c r="F109" i="26"/>
  <c r="G109" i="26" s="1"/>
  <c r="F110" i="26"/>
  <c r="G110" i="26" s="1"/>
  <c r="F111" i="26"/>
  <c r="G111" i="26" s="1"/>
  <c r="H111" i="26" s="1"/>
  <c r="F112" i="26"/>
  <c r="F113" i="26"/>
  <c r="G113" i="26" s="1"/>
  <c r="H113" i="26" s="1"/>
  <c r="F114" i="26"/>
  <c r="G114" i="26" s="1"/>
  <c r="A12" i="19"/>
  <c r="D12" i="19" s="1"/>
  <c r="P85" i="26"/>
  <c r="P86" i="26"/>
  <c r="P87" i="26"/>
  <c r="P88" i="26"/>
  <c r="P89" i="26"/>
  <c r="P90" i="26"/>
  <c r="N85" i="26"/>
  <c r="N86" i="26"/>
  <c r="N87" i="26"/>
  <c r="N88" i="26"/>
  <c r="N89" i="26"/>
  <c r="N90" i="26"/>
  <c r="L85" i="26"/>
  <c r="L87" i="26"/>
  <c r="L88" i="26"/>
  <c r="L89" i="26"/>
  <c r="L90" i="26"/>
  <c r="J85" i="26"/>
  <c r="J86" i="26"/>
  <c r="O86" i="26" s="1"/>
  <c r="J87" i="26"/>
  <c r="J88" i="26"/>
  <c r="J89" i="26"/>
  <c r="J90" i="26"/>
  <c r="O90" i="26" s="1"/>
  <c r="J91" i="26"/>
  <c r="K91" i="26" s="1"/>
  <c r="A11" i="19"/>
  <c r="D11" i="19" s="1"/>
  <c r="P76" i="26"/>
  <c r="P77" i="26"/>
  <c r="P78" i="26"/>
  <c r="P79" i="26"/>
  <c r="P80" i="26"/>
  <c r="P81" i="26"/>
  <c r="P84" i="26"/>
  <c r="N76" i="26"/>
  <c r="N77" i="26"/>
  <c r="N78" i="26"/>
  <c r="N79" i="26"/>
  <c r="N80" i="26"/>
  <c r="N81" i="26"/>
  <c r="N84" i="26"/>
  <c r="L76" i="26"/>
  <c r="L77" i="26"/>
  <c r="L78" i="26"/>
  <c r="L79" i="26"/>
  <c r="L80" i="26"/>
  <c r="L81" i="26"/>
  <c r="L84" i="26"/>
  <c r="J77" i="26"/>
  <c r="O77" i="26" s="1"/>
  <c r="J78" i="26"/>
  <c r="O78" i="26" s="1"/>
  <c r="J79" i="26"/>
  <c r="O79" i="26" s="1"/>
  <c r="J80" i="26"/>
  <c r="O80" i="26" s="1"/>
  <c r="J81" i="26"/>
  <c r="K81" i="26" s="1"/>
  <c r="J82" i="26"/>
  <c r="K82" i="26" s="1"/>
  <c r="J83" i="26"/>
  <c r="K83" i="26" s="1"/>
  <c r="J84" i="26"/>
  <c r="O84" i="26" s="1"/>
  <c r="A10" i="19"/>
  <c r="P68" i="26"/>
  <c r="P69" i="26"/>
  <c r="P70" i="26"/>
  <c r="P71" i="26"/>
  <c r="P72" i="26"/>
  <c r="P73" i="26"/>
  <c r="P74" i="26"/>
  <c r="N68" i="26"/>
  <c r="N69" i="26"/>
  <c r="N70" i="26"/>
  <c r="N71" i="26"/>
  <c r="N72" i="26"/>
  <c r="N73" i="26"/>
  <c r="N74" i="26"/>
  <c r="L68" i="26"/>
  <c r="L69" i="26"/>
  <c r="L70" i="26"/>
  <c r="L71" i="26"/>
  <c r="L72" i="26"/>
  <c r="L73" i="26"/>
  <c r="L74" i="26"/>
  <c r="J68" i="26"/>
  <c r="O68" i="26" s="1"/>
  <c r="J69" i="26"/>
  <c r="O69" i="26" s="1"/>
  <c r="J70" i="26"/>
  <c r="O70" i="26" s="1"/>
  <c r="J71" i="26"/>
  <c r="K71" i="26" s="1"/>
  <c r="J72" i="26"/>
  <c r="O72" i="26" s="1"/>
  <c r="J73" i="26"/>
  <c r="O73" i="26" s="1"/>
  <c r="J74" i="26"/>
  <c r="O74" i="26" s="1"/>
  <c r="J75" i="26"/>
  <c r="K75" i="26" s="1"/>
  <c r="J76" i="26"/>
  <c r="O76" i="26" s="1"/>
  <c r="A9" i="19"/>
  <c r="P46" i="26"/>
  <c r="P47" i="26"/>
  <c r="P48" i="26"/>
  <c r="P49" i="26"/>
  <c r="P50" i="26"/>
  <c r="P51" i="26"/>
  <c r="P56" i="26"/>
  <c r="P57" i="26"/>
  <c r="P58" i="26"/>
  <c r="P59" i="26"/>
  <c r="P60" i="26"/>
  <c r="P62" i="26"/>
  <c r="P63" i="26"/>
  <c r="P64" i="26"/>
  <c r="P65" i="26"/>
  <c r="P66" i="26"/>
  <c r="P67" i="26"/>
  <c r="N46" i="26"/>
  <c r="N47" i="26"/>
  <c r="N48" i="26"/>
  <c r="N49" i="26"/>
  <c r="N50" i="26"/>
  <c r="N51" i="26"/>
  <c r="N55" i="26"/>
  <c r="N56" i="26"/>
  <c r="N57" i="26"/>
  <c r="N58" i="26"/>
  <c r="N59" i="26"/>
  <c r="N60" i="26"/>
  <c r="N62" i="26"/>
  <c r="N63" i="26"/>
  <c r="N64" i="26"/>
  <c r="N65" i="26"/>
  <c r="N66" i="26"/>
  <c r="N67" i="26"/>
  <c r="L46" i="26"/>
  <c r="L47" i="26"/>
  <c r="L48" i="26"/>
  <c r="L49" i="26"/>
  <c r="L50" i="26"/>
  <c r="L51" i="26"/>
  <c r="L55" i="26"/>
  <c r="L56" i="26"/>
  <c r="L57" i="26"/>
  <c r="L58" i="26"/>
  <c r="L59" i="26"/>
  <c r="L60" i="26"/>
  <c r="L62" i="26"/>
  <c r="L63" i="26"/>
  <c r="L64" i="26"/>
  <c r="L65" i="26"/>
  <c r="L66" i="26"/>
  <c r="L67" i="26"/>
  <c r="J46" i="26"/>
  <c r="O46" i="26" s="1"/>
  <c r="J47" i="26"/>
  <c r="K47" i="26" s="1"/>
  <c r="J48" i="26"/>
  <c r="K48" i="26" s="1"/>
  <c r="J49" i="26"/>
  <c r="O49" i="26" s="1"/>
  <c r="J50" i="26"/>
  <c r="J51" i="26"/>
  <c r="J52" i="26"/>
  <c r="O52" i="26" s="1"/>
  <c r="J53" i="26"/>
  <c r="O53" i="26" s="1"/>
  <c r="J54" i="26"/>
  <c r="O54" i="26" s="1"/>
  <c r="J55" i="26"/>
  <c r="K55" i="26" s="1"/>
  <c r="J56" i="26"/>
  <c r="K56" i="26" s="1"/>
  <c r="J57" i="26"/>
  <c r="O57" i="26" s="1"/>
  <c r="J58" i="26"/>
  <c r="O58" i="26" s="1"/>
  <c r="J59" i="26"/>
  <c r="K59" i="26" s="1"/>
  <c r="J60" i="26"/>
  <c r="O60" i="26" s="1"/>
  <c r="J61" i="26"/>
  <c r="O61" i="26" s="1"/>
  <c r="J62" i="26"/>
  <c r="O62" i="26" s="1"/>
  <c r="J63" i="26"/>
  <c r="O63" i="26" s="1"/>
  <c r="J64" i="26"/>
  <c r="O64" i="26" s="1"/>
  <c r="J65" i="26"/>
  <c r="O65" i="26" s="1"/>
  <c r="J66" i="26"/>
  <c r="K66" i="26" s="1"/>
  <c r="J67" i="26"/>
  <c r="K67" i="26" s="1"/>
  <c r="A8" i="19"/>
  <c r="D8" i="19" s="1"/>
  <c r="A7" i="19"/>
  <c r="D7" i="19" s="1"/>
  <c r="F46" i="26"/>
  <c r="G46" i="26" s="1"/>
  <c r="F47" i="26"/>
  <c r="G47" i="26" s="1"/>
  <c r="F48" i="26"/>
  <c r="G48" i="26" s="1"/>
  <c r="F49" i="26"/>
  <c r="F50" i="26"/>
  <c r="F51" i="26"/>
  <c r="F52" i="26"/>
  <c r="F53" i="26"/>
  <c r="G53" i="26" s="1"/>
  <c r="F54" i="26"/>
  <c r="F55" i="26"/>
  <c r="F56" i="26"/>
  <c r="F57" i="26"/>
  <c r="F58" i="26"/>
  <c r="F59" i="26"/>
  <c r="G59" i="26" s="1"/>
  <c r="F60" i="26"/>
  <c r="G60" i="26" s="1"/>
  <c r="H60" i="26" s="1"/>
  <c r="F61" i="26"/>
  <c r="G61" i="26" s="1"/>
  <c r="F62" i="26"/>
  <c r="G62" i="26" s="1"/>
  <c r="F63" i="26"/>
  <c r="G63" i="26" s="1"/>
  <c r="F64" i="26"/>
  <c r="F65" i="26"/>
  <c r="F66" i="26"/>
  <c r="F67" i="26"/>
  <c r="F68" i="26"/>
  <c r="F69" i="26"/>
  <c r="F70" i="26"/>
  <c r="F71" i="26"/>
  <c r="G71" i="26" s="1"/>
  <c r="F72" i="26"/>
  <c r="G72" i="26" s="1"/>
  <c r="F73" i="26"/>
  <c r="G73" i="26" s="1"/>
  <c r="H73" i="26" s="1"/>
  <c r="F74" i="26"/>
  <c r="G74" i="26" s="1"/>
  <c r="H74" i="26" s="1"/>
  <c r="F75" i="26"/>
  <c r="G75" i="26" s="1"/>
  <c r="F76" i="26"/>
  <c r="F77" i="26"/>
  <c r="G77" i="26" s="1"/>
  <c r="F78" i="26"/>
  <c r="G78" i="26" s="1"/>
  <c r="F79" i="26"/>
  <c r="G79" i="26" s="1"/>
  <c r="F80" i="26"/>
  <c r="G80" i="26" s="1"/>
  <c r="F81" i="26"/>
  <c r="G81" i="26" s="1"/>
  <c r="H81" i="26" s="1"/>
  <c r="F82" i="26"/>
  <c r="G82" i="26" s="1"/>
  <c r="H82" i="26" s="1"/>
  <c r="F83" i="26"/>
  <c r="F84" i="26"/>
  <c r="F85" i="26"/>
  <c r="G85" i="26" s="1"/>
  <c r="F86" i="26"/>
  <c r="F87" i="26"/>
  <c r="G87" i="26" s="1"/>
  <c r="F88" i="26"/>
  <c r="G88" i="26" s="1"/>
  <c r="F89" i="26"/>
  <c r="G89" i="26" s="1"/>
  <c r="H89" i="26" s="1"/>
  <c r="F90" i="26"/>
  <c r="G90" i="26" s="1"/>
  <c r="H90" i="26" s="1"/>
  <c r="F91" i="26"/>
  <c r="G91" i="26" s="1"/>
  <c r="A6" i="19"/>
  <c r="D6" i="19" s="1"/>
  <c r="P40" i="26"/>
  <c r="P41" i="26"/>
  <c r="P42" i="26"/>
  <c r="P43" i="26"/>
  <c r="P45" i="26"/>
  <c r="N40" i="26"/>
  <c r="N41" i="26"/>
  <c r="N42" i="26"/>
  <c r="N43" i="26"/>
  <c r="N45" i="26"/>
  <c r="L40" i="26"/>
  <c r="L41" i="26"/>
  <c r="L42" i="26"/>
  <c r="L43" i="26"/>
  <c r="L45" i="26"/>
  <c r="J40" i="26"/>
  <c r="O40" i="26" s="1"/>
  <c r="J41" i="26"/>
  <c r="K41" i="26" s="1"/>
  <c r="J42" i="26"/>
  <c r="K42" i="26" s="1"/>
  <c r="J43" i="26"/>
  <c r="K43" i="26" s="1"/>
  <c r="J44" i="26"/>
  <c r="J45" i="26"/>
  <c r="O45" i="26" s="1"/>
  <c r="F40" i="26"/>
  <c r="F41" i="26"/>
  <c r="G41" i="26" s="1"/>
  <c r="F42" i="26"/>
  <c r="G42" i="26" s="1"/>
  <c r="F43" i="26"/>
  <c r="F44" i="26"/>
  <c r="G44" i="26" s="1"/>
  <c r="H44" i="26" s="1"/>
  <c r="F45" i="26"/>
  <c r="G45" i="26" s="1"/>
  <c r="H45" i="26" s="1"/>
  <c r="K1273" i="13"/>
  <c r="P1273" i="13" s="1"/>
  <c r="P30" i="26"/>
  <c r="P31" i="26"/>
  <c r="P32" i="26"/>
  <c r="P33" i="26"/>
  <c r="P34" i="26"/>
  <c r="P35" i="26"/>
  <c r="P36" i="26"/>
  <c r="P37" i="26"/>
  <c r="P39" i="26"/>
  <c r="N30" i="26"/>
  <c r="N31" i="26"/>
  <c r="N32" i="26"/>
  <c r="N33" i="26"/>
  <c r="N34" i="26"/>
  <c r="N35" i="26"/>
  <c r="N36" i="26"/>
  <c r="N37" i="26"/>
  <c r="N39" i="26"/>
  <c r="L30" i="26"/>
  <c r="L31" i="26"/>
  <c r="L32" i="26"/>
  <c r="L33" i="26"/>
  <c r="L34" i="26"/>
  <c r="L35" i="26"/>
  <c r="L36" i="26"/>
  <c r="L37" i="26"/>
  <c r="L39" i="26"/>
  <c r="J30" i="26"/>
  <c r="O30" i="26" s="1"/>
  <c r="J31" i="26"/>
  <c r="O31" i="26" s="1"/>
  <c r="J32" i="26"/>
  <c r="K32" i="26" s="1"/>
  <c r="J33" i="26"/>
  <c r="O33" i="26" s="1"/>
  <c r="J34" i="26"/>
  <c r="K34" i="26" s="1"/>
  <c r="J35" i="26"/>
  <c r="K35" i="26" s="1"/>
  <c r="J36" i="26"/>
  <c r="O36" i="26" s="1"/>
  <c r="J37" i="26"/>
  <c r="K37" i="26" s="1"/>
  <c r="J38" i="26"/>
  <c r="O38" i="26" s="1"/>
  <c r="J39" i="26"/>
  <c r="O39" i="26" s="1"/>
  <c r="F30" i="26"/>
  <c r="G30" i="26" s="1"/>
  <c r="H30" i="26" s="1"/>
  <c r="F31" i="26"/>
  <c r="F32" i="26"/>
  <c r="F33" i="26"/>
  <c r="G33" i="26" s="1"/>
  <c r="F34" i="26"/>
  <c r="G34" i="26" s="1"/>
  <c r="F35" i="26"/>
  <c r="G35" i="26" s="1"/>
  <c r="H35" i="26" s="1"/>
  <c r="F36" i="26"/>
  <c r="G36" i="26" s="1"/>
  <c r="H36" i="26" s="1"/>
  <c r="F37" i="26"/>
  <c r="G37" i="26" s="1"/>
  <c r="H37" i="26" s="1"/>
  <c r="F38" i="26"/>
  <c r="G38" i="26" s="1"/>
  <c r="H38" i="26" s="1"/>
  <c r="F39" i="26"/>
  <c r="A5" i="19"/>
  <c r="O1210" i="13"/>
  <c r="O1211" i="13"/>
  <c r="O1212" i="13"/>
  <c r="O1213" i="13"/>
  <c r="O1214" i="13"/>
  <c r="O1215" i="13"/>
  <c r="O1216" i="13"/>
  <c r="O1217" i="13"/>
  <c r="O1218" i="13"/>
  <c r="O1219" i="13"/>
  <c r="O1220" i="13"/>
  <c r="O1221" i="13"/>
  <c r="O1222" i="13"/>
  <c r="O1223" i="13"/>
  <c r="O1224" i="13"/>
  <c r="O1225" i="13"/>
  <c r="O1226" i="13"/>
  <c r="O1227" i="13"/>
  <c r="O1228" i="13"/>
  <c r="O1229" i="13"/>
  <c r="O1230" i="13"/>
  <c r="O1231" i="13"/>
  <c r="O1232" i="13"/>
  <c r="O1233" i="13"/>
  <c r="O1234" i="13"/>
  <c r="O1235" i="13"/>
  <c r="O1236" i="13"/>
  <c r="O1237" i="13"/>
  <c r="O1238" i="13"/>
  <c r="O1239" i="13"/>
  <c r="O1240" i="13"/>
  <c r="O1241" i="13"/>
  <c r="O1242" i="13"/>
  <c r="O1243" i="13"/>
  <c r="O1244" i="13"/>
  <c r="O1245" i="13"/>
  <c r="O1246" i="13"/>
  <c r="O1247" i="13"/>
  <c r="O1248" i="13"/>
  <c r="O1249" i="13"/>
  <c r="O1250" i="13"/>
  <c r="O1251" i="13"/>
  <c r="O1252" i="13"/>
  <c r="O1253" i="13"/>
  <c r="O1254" i="13"/>
  <c r="O1255" i="13"/>
  <c r="O1256" i="13"/>
  <c r="O1257" i="13"/>
  <c r="O1258" i="13"/>
  <c r="O1259" i="13"/>
  <c r="O1260" i="13"/>
  <c r="O1261" i="13"/>
  <c r="O1262" i="13"/>
  <c r="O1263" i="13"/>
  <c r="O1264" i="13"/>
  <c r="O1265" i="13"/>
  <c r="O1266" i="13"/>
  <c r="O1267" i="13"/>
  <c r="O1268" i="13"/>
  <c r="O1269" i="13"/>
  <c r="O1270" i="13"/>
  <c r="O1271" i="13"/>
  <c r="O1272" i="13"/>
  <c r="O1273" i="13"/>
  <c r="O1274" i="13"/>
  <c r="O1275" i="13"/>
  <c r="O1276" i="13"/>
  <c r="O1277" i="13"/>
  <c r="O1278" i="13"/>
  <c r="O1279" i="13"/>
  <c r="O1280" i="13"/>
  <c r="A9" i="37"/>
  <c r="A9" i="36"/>
  <c r="D11" i="35"/>
  <c r="A9" i="34"/>
  <c r="A9" i="28"/>
  <c r="K1210" i="13"/>
  <c r="P1210" i="13" s="1"/>
  <c r="K1211" i="13"/>
  <c r="P1211" i="13" s="1"/>
  <c r="K1212" i="13"/>
  <c r="K1213" i="13"/>
  <c r="P1213" i="13" s="1"/>
  <c r="K1214" i="13"/>
  <c r="P1214" i="13" s="1"/>
  <c r="K1215" i="13"/>
  <c r="L1215" i="13" s="1"/>
  <c r="K1216" i="13"/>
  <c r="L1216" i="13" s="1"/>
  <c r="K1217" i="13"/>
  <c r="K1218" i="13"/>
  <c r="K1219" i="13"/>
  <c r="P1219" i="13" s="1"/>
  <c r="K1220" i="13"/>
  <c r="P1220" i="13" s="1"/>
  <c r="K1221" i="13"/>
  <c r="L1221" i="13" s="1"/>
  <c r="K1222" i="13"/>
  <c r="L1222" i="13" s="1"/>
  <c r="K1223" i="13"/>
  <c r="L1223" i="13" s="1"/>
  <c r="K1224" i="13"/>
  <c r="L1224" i="13" s="1"/>
  <c r="K1225" i="13"/>
  <c r="L1225" i="13" s="1"/>
  <c r="K1226" i="13"/>
  <c r="K1227" i="13"/>
  <c r="L1227" i="13" s="1"/>
  <c r="K1228" i="13"/>
  <c r="K1229" i="13"/>
  <c r="P1229" i="13" s="1"/>
  <c r="K1230" i="13"/>
  <c r="P1230" i="13" s="1"/>
  <c r="K1231" i="13"/>
  <c r="L1231" i="13" s="1"/>
  <c r="K1232" i="13"/>
  <c r="L1232" i="13" s="1"/>
  <c r="K1233" i="13"/>
  <c r="K1234" i="13"/>
  <c r="L1234" i="13" s="1"/>
  <c r="K1235" i="13"/>
  <c r="L1235" i="13" s="1"/>
  <c r="K1236" i="13"/>
  <c r="L1236" i="13" s="1"/>
  <c r="K1237" i="13"/>
  <c r="L1237" i="13" s="1"/>
  <c r="K1238" i="13"/>
  <c r="L1238" i="13" s="1"/>
  <c r="K1239" i="13"/>
  <c r="L1239" i="13" s="1"/>
  <c r="K1240" i="13"/>
  <c r="P1240" i="13" s="1"/>
  <c r="K1241" i="13"/>
  <c r="L1241" i="13" s="1"/>
  <c r="K1242" i="13"/>
  <c r="L1242" i="13" s="1"/>
  <c r="K1243" i="13"/>
  <c r="P1243" i="13" s="1"/>
  <c r="K1244" i="13"/>
  <c r="K1245" i="13"/>
  <c r="L1245" i="13" s="1"/>
  <c r="K1246" i="13"/>
  <c r="L1246" i="13" s="1"/>
  <c r="K1247" i="13"/>
  <c r="L1247" i="13" s="1"/>
  <c r="K1248" i="13"/>
  <c r="L1248" i="13" s="1"/>
  <c r="K1249" i="13"/>
  <c r="L1249" i="13" s="1"/>
  <c r="K1250" i="13"/>
  <c r="L1250" i="13" s="1"/>
  <c r="K1251" i="13"/>
  <c r="P1251" i="13" s="1"/>
  <c r="K1252" i="13"/>
  <c r="L1252" i="13" s="1"/>
  <c r="K1253" i="13"/>
  <c r="L1253" i="13" s="1"/>
  <c r="K1254" i="13"/>
  <c r="P1254" i="13" s="1"/>
  <c r="K1255" i="13"/>
  <c r="L1255" i="13" s="1"/>
  <c r="K1256" i="13"/>
  <c r="L1256" i="13" s="1"/>
  <c r="K1257" i="13"/>
  <c r="L1257" i="13" s="1"/>
  <c r="K1258" i="13"/>
  <c r="P1258" i="13" s="1"/>
  <c r="K1259" i="13"/>
  <c r="L1259" i="13" s="1"/>
  <c r="K1260" i="13"/>
  <c r="P1260" i="13" s="1"/>
  <c r="K1261" i="13"/>
  <c r="L1261" i="13" s="1"/>
  <c r="K1262" i="13"/>
  <c r="P1262" i="13" s="1"/>
  <c r="K1263" i="13"/>
  <c r="L1263" i="13" s="1"/>
  <c r="K1264" i="13"/>
  <c r="L1264" i="13" s="1"/>
  <c r="K1265" i="13"/>
  <c r="L1265" i="13" s="1"/>
  <c r="K1266" i="13"/>
  <c r="L1266" i="13" s="1"/>
  <c r="K1267" i="13"/>
  <c r="L1267" i="13" s="1"/>
  <c r="K1268" i="13"/>
  <c r="P1268" i="13" s="1"/>
  <c r="K1269" i="13"/>
  <c r="K1270" i="13"/>
  <c r="P1270" i="13" s="1"/>
  <c r="K1271" i="13"/>
  <c r="L1271" i="13" s="1"/>
  <c r="K1272" i="13"/>
  <c r="L1272" i="13" s="1"/>
  <c r="K1274" i="13"/>
  <c r="L1274" i="13" s="1"/>
  <c r="K1275" i="13"/>
  <c r="L1275" i="13" s="1"/>
  <c r="K1276" i="13"/>
  <c r="P1276" i="13" s="1"/>
  <c r="K1277" i="13"/>
  <c r="L1277" i="13" s="1"/>
  <c r="K1278" i="13"/>
  <c r="P1278" i="13" s="1"/>
  <c r="K1279" i="13"/>
  <c r="L1279" i="13" s="1"/>
  <c r="P1280" i="13"/>
  <c r="M1210" i="13"/>
  <c r="M1211" i="13"/>
  <c r="M1212" i="13"/>
  <c r="M1213" i="13"/>
  <c r="M1214" i="13"/>
  <c r="M1215" i="13"/>
  <c r="M1216" i="13"/>
  <c r="M1217" i="13"/>
  <c r="M1218" i="13"/>
  <c r="M1219" i="13"/>
  <c r="M1220" i="13"/>
  <c r="M1221" i="13"/>
  <c r="M1222" i="13"/>
  <c r="M1223" i="13"/>
  <c r="M1224" i="13"/>
  <c r="M1225" i="13"/>
  <c r="M1226" i="13"/>
  <c r="M1227" i="13"/>
  <c r="M1228" i="13"/>
  <c r="M1229" i="13"/>
  <c r="M1230" i="13"/>
  <c r="M1231" i="13"/>
  <c r="M1232" i="13"/>
  <c r="M1233" i="13"/>
  <c r="M1234" i="13"/>
  <c r="M1235" i="13"/>
  <c r="M1236" i="13"/>
  <c r="M1237" i="13"/>
  <c r="M1238" i="13"/>
  <c r="M1239" i="13"/>
  <c r="M1240" i="13"/>
  <c r="M1241" i="13"/>
  <c r="M1242" i="13"/>
  <c r="M1243" i="13"/>
  <c r="M1244" i="13"/>
  <c r="M1245" i="13"/>
  <c r="M1246" i="13"/>
  <c r="M1247" i="13"/>
  <c r="M1248" i="13"/>
  <c r="M1249" i="13"/>
  <c r="M1250" i="13"/>
  <c r="M1251" i="13"/>
  <c r="M1252" i="13"/>
  <c r="M1253" i="13"/>
  <c r="M1254" i="13"/>
  <c r="M1255" i="13"/>
  <c r="M1256" i="13"/>
  <c r="M1257" i="13"/>
  <c r="M1258" i="13"/>
  <c r="M1259" i="13"/>
  <c r="M1260" i="13"/>
  <c r="M1261" i="13"/>
  <c r="M1262" i="13"/>
  <c r="M1263" i="13"/>
  <c r="M1264" i="13"/>
  <c r="M1265" i="13"/>
  <c r="M1266" i="13"/>
  <c r="M1267" i="13"/>
  <c r="M1268" i="13"/>
  <c r="M1269" i="13"/>
  <c r="M1270" i="13"/>
  <c r="M1271" i="13"/>
  <c r="M1272" i="13"/>
  <c r="M1273" i="13"/>
  <c r="M1274" i="13"/>
  <c r="M1275" i="13"/>
  <c r="M1276" i="13"/>
  <c r="M1277" i="13"/>
  <c r="M1278" i="13"/>
  <c r="M1279" i="13"/>
  <c r="M1280" i="13"/>
  <c r="N1210" i="13"/>
  <c r="N1211" i="13"/>
  <c r="N1212" i="13"/>
  <c r="N1213" i="13"/>
  <c r="N1214" i="13"/>
  <c r="N1215" i="13"/>
  <c r="N1216" i="13"/>
  <c r="N1217" i="13"/>
  <c r="N1218" i="13"/>
  <c r="N1219" i="13"/>
  <c r="N1220" i="13"/>
  <c r="N1221" i="13"/>
  <c r="N1222" i="13"/>
  <c r="N1223" i="13"/>
  <c r="N1224" i="13"/>
  <c r="N1225" i="13"/>
  <c r="N1226" i="13"/>
  <c r="N1227" i="13"/>
  <c r="N1228" i="13"/>
  <c r="N1229" i="13"/>
  <c r="N1230" i="13"/>
  <c r="N1231" i="13"/>
  <c r="N1232" i="13"/>
  <c r="N1233" i="13"/>
  <c r="N1234" i="13"/>
  <c r="N1235" i="13"/>
  <c r="N1236" i="13"/>
  <c r="N1237" i="13"/>
  <c r="N1238" i="13"/>
  <c r="N1239" i="13"/>
  <c r="N1240" i="13"/>
  <c r="N1241" i="13"/>
  <c r="N1242" i="13"/>
  <c r="N1243" i="13"/>
  <c r="N1244" i="13"/>
  <c r="N1245" i="13"/>
  <c r="N1246" i="13"/>
  <c r="N1247" i="13"/>
  <c r="N1248" i="13"/>
  <c r="N1249" i="13"/>
  <c r="N1250" i="13"/>
  <c r="N1251" i="13"/>
  <c r="N1252" i="13"/>
  <c r="N1253" i="13"/>
  <c r="N1254" i="13"/>
  <c r="N1255" i="13"/>
  <c r="N1256" i="13"/>
  <c r="N1257" i="13"/>
  <c r="N1258" i="13"/>
  <c r="N1259" i="13"/>
  <c r="N1260" i="13"/>
  <c r="N1261" i="13"/>
  <c r="N1262" i="13"/>
  <c r="N1263" i="13"/>
  <c r="N1264" i="13"/>
  <c r="N1265" i="13"/>
  <c r="N1266" i="13"/>
  <c r="N1267" i="13"/>
  <c r="N1268" i="13"/>
  <c r="N1269" i="13"/>
  <c r="N1270" i="13"/>
  <c r="N1271" i="13"/>
  <c r="N1272" i="13"/>
  <c r="N1273" i="13"/>
  <c r="N1274" i="13"/>
  <c r="N1275" i="13"/>
  <c r="N1276" i="13"/>
  <c r="N1277" i="13"/>
  <c r="N1278" i="13"/>
  <c r="N1279" i="13"/>
  <c r="N1280" i="13"/>
  <c r="R1210" i="13"/>
  <c r="R1211" i="13"/>
  <c r="R1212" i="13"/>
  <c r="R1213" i="13"/>
  <c r="R1214" i="13"/>
  <c r="R1215" i="13"/>
  <c r="R1216" i="13"/>
  <c r="R1217" i="13"/>
  <c r="R1218" i="13"/>
  <c r="R1219" i="13"/>
  <c r="R1220" i="13"/>
  <c r="R1221" i="13"/>
  <c r="R1222" i="13"/>
  <c r="R1223" i="13"/>
  <c r="R1224" i="13"/>
  <c r="R1225" i="13"/>
  <c r="R1226" i="13"/>
  <c r="R1227" i="13"/>
  <c r="R1228" i="13"/>
  <c r="R1229" i="13"/>
  <c r="R1230" i="13"/>
  <c r="R1231" i="13"/>
  <c r="R1232" i="13"/>
  <c r="R1233" i="13"/>
  <c r="R1234" i="13"/>
  <c r="R1235" i="13"/>
  <c r="R1236" i="13"/>
  <c r="R1237" i="13"/>
  <c r="R1238" i="13"/>
  <c r="R1239" i="13"/>
  <c r="R1240" i="13"/>
  <c r="R1241" i="13"/>
  <c r="R1242" i="13"/>
  <c r="R1243" i="13"/>
  <c r="R1244" i="13"/>
  <c r="R1245" i="13"/>
  <c r="R1246" i="13"/>
  <c r="R1247" i="13"/>
  <c r="R1248" i="13"/>
  <c r="R1249" i="13"/>
  <c r="R1250" i="13"/>
  <c r="R1251" i="13"/>
  <c r="R1252" i="13"/>
  <c r="R1253" i="13"/>
  <c r="R1254" i="13"/>
  <c r="R1255" i="13"/>
  <c r="R1256" i="13"/>
  <c r="R1257" i="13"/>
  <c r="R1258" i="13"/>
  <c r="R1259" i="13"/>
  <c r="R1260" i="13"/>
  <c r="R1261" i="13"/>
  <c r="R1262" i="13"/>
  <c r="R1263" i="13"/>
  <c r="R1264" i="13"/>
  <c r="R1265" i="13"/>
  <c r="R1266" i="13"/>
  <c r="R1267" i="13"/>
  <c r="R1268" i="13"/>
  <c r="R1269" i="13"/>
  <c r="R1270" i="13"/>
  <c r="R1271" i="13"/>
  <c r="R1272" i="13"/>
  <c r="R1273" i="13"/>
  <c r="R1274" i="13"/>
  <c r="R1275" i="13"/>
  <c r="R1276" i="13"/>
  <c r="R1277" i="13"/>
  <c r="R1278" i="13"/>
  <c r="R1279" i="13"/>
  <c r="R1280" i="13"/>
  <c r="S1210" i="13"/>
  <c r="S1211" i="13"/>
  <c r="S1212" i="13"/>
  <c r="S1213" i="13"/>
  <c r="S1214" i="13"/>
  <c r="S1215" i="13"/>
  <c r="S1216" i="13"/>
  <c r="S1217" i="13"/>
  <c r="S1218" i="13"/>
  <c r="S1219" i="13"/>
  <c r="S1220" i="13"/>
  <c r="S1221" i="13"/>
  <c r="S1222" i="13"/>
  <c r="S1223" i="13"/>
  <c r="S1224" i="13"/>
  <c r="S1225" i="13"/>
  <c r="S1226" i="13"/>
  <c r="S1227" i="13"/>
  <c r="S1228" i="13"/>
  <c r="S1229" i="13"/>
  <c r="S1230" i="13"/>
  <c r="S1231" i="13"/>
  <c r="S1232" i="13"/>
  <c r="S1233" i="13"/>
  <c r="S1234" i="13"/>
  <c r="S1235" i="13"/>
  <c r="S1236" i="13"/>
  <c r="S1237" i="13"/>
  <c r="S1238" i="13"/>
  <c r="S1239" i="13"/>
  <c r="S1240" i="13"/>
  <c r="S1241" i="13"/>
  <c r="S1242" i="13"/>
  <c r="S1243" i="13"/>
  <c r="S1244" i="13"/>
  <c r="S1245" i="13"/>
  <c r="S1246" i="13"/>
  <c r="S1247" i="13"/>
  <c r="S1248" i="13"/>
  <c r="S1249" i="13"/>
  <c r="S1250" i="13"/>
  <c r="S1251" i="13"/>
  <c r="S1252" i="13"/>
  <c r="S1253" i="13"/>
  <c r="S1254" i="13"/>
  <c r="S1255" i="13"/>
  <c r="S1256" i="13"/>
  <c r="S1257" i="13"/>
  <c r="S1258" i="13"/>
  <c r="S1259" i="13"/>
  <c r="S1260" i="13"/>
  <c r="S1261" i="13"/>
  <c r="S1262" i="13"/>
  <c r="S1263" i="13"/>
  <c r="S1264" i="13"/>
  <c r="S1265" i="13"/>
  <c r="S1266" i="13"/>
  <c r="S1267" i="13"/>
  <c r="S1268" i="13"/>
  <c r="S1269" i="13"/>
  <c r="S1270" i="13"/>
  <c r="S1271" i="13"/>
  <c r="S1272" i="13"/>
  <c r="S1273" i="13"/>
  <c r="S1274" i="13"/>
  <c r="S1275" i="13"/>
  <c r="S1276" i="13"/>
  <c r="S1277" i="13"/>
  <c r="S1278" i="13"/>
  <c r="S1279" i="13"/>
  <c r="S1280" i="13"/>
  <c r="O1173" i="13"/>
  <c r="O1174" i="13"/>
  <c r="O1175" i="13"/>
  <c r="O1176" i="13"/>
  <c r="O1177" i="13"/>
  <c r="O1178" i="13"/>
  <c r="O1179" i="13"/>
  <c r="O1180" i="13"/>
  <c r="O1181" i="13"/>
  <c r="O1182" i="13"/>
  <c r="O1183" i="13"/>
  <c r="O1184" i="13"/>
  <c r="O1185" i="13"/>
  <c r="O1186" i="13"/>
  <c r="O1187" i="13"/>
  <c r="O1188" i="13"/>
  <c r="O1189" i="13"/>
  <c r="O1190" i="13"/>
  <c r="O1191" i="13"/>
  <c r="O1192" i="13"/>
  <c r="O1193" i="13"/>
  <c r="O1194" i="13"/>
  <c r="O1195" i="13"/>
  <c r="O1196" i="13"/>
  <c r="O1197" i="13"/>
  <c r="O1198" i="13"/>
  <c r="O1199" i="13"/>
  <c r="O1200" i="13"/>
  <c r="O1201" i="13"/>
  <c r="O1202" i="13"/>
  <c r="O1203" i="13"/>
  <c r="O1204" i="13"/>
  <c r="O1205" i="13"/>
  <c r="O1206" i="13"/>
  <c r="O1207" i="13"/>
  <c r="O1208" i="13"/>
  <c r="O1209" i="13"/>
  <c r="A58" i="15"/>
  <c r="A10" i="33"/>
  <c r="K1173" i="13"/>
  <c r="K1174" i="13"/>
  <c r="P1174" i="13" s="1"/>
  <c r="K1175" i="13"/>
  <c r="L1175" i="13" s="1"/>
  <c r="K1176" i="13"/>
  <c r="L1176" i="13" s="1"/>
  <c r="K1177" i="13"/>
  <c r="P1177" i="13" s="1"/>
  <c r="K1178" i="13"/>
  <c r="L1178" i="13" s="1"/>
  <c r="K1179" i="13"/>
  <c r="P1179" i="13" s="1"/>
  <c r="K1180" i="13"/>
  <c r="P1180" i="13" s="1"/>
  <c r="K1181" i="13"/>
  <c r="L1181" i="13" s="1"/>
  <c r="K1182" i="13"/>
  <c r="P1182" i="13" s="1"/>
  <c r="K1183" i="13"/>
  <c r="P1183" i="13" s="1"/>
  <c r="K1184" i="13"/>
  <c r="P1184" i="13" s="1"/>
  <c r="K1185" i="13"/>
  <c r="L1185" i="13" s="1"/>
  <c r="K1186" i="13"/>
  <c r="L1186" i="13" s="1"/>
  <c r="K1187" i="13"/>
  <c r="L1187" i="13" s="1"/>
  <c r="K1188" i="13"/>
  <c r="K1189" i="13"/>
  <c r="L1189" i="13" s="1"/>
  <c r="K1190" i="13"/>
  <c r="P1190" i="13" s="1"/>
  <c r="K1191" i="13"/>
  <c r="P1191" i="13" s="1"/>
  <c r="K1192" i="13"/>
  <c r="L1192" i="13" s="1"/>
  <c r="K1193" i="13"/>
  <c r="P1193" i="13" s="1"/>
  <c r="K1194" i="13"/>
  <c r="P1194" i="13" s="1"/>
  <c r="K1195" i="13"/>
  <c r="L1195" i="13" s="1"/>
  <c r="K1196" i="13"/>
  <c r="L1196" i="13" s="1"/>
  <c r="K1197" i="13"/>
  <c r="L1197" i="13" s="1"/>
  <c r="K1198" i="13"/>
  <c r="P1198" i="13" s="1"/>
  <c r="K1199" i="13"/>
  <c r="P1199" i="13" s="1"/>
  <c r="K1200" i="13"/>
  <c r="L1200" i="13" s="1"/>
  <c r="K1201" i="13"/>
  <c r="L1201" i="13" s="1"/>
  <c r="K1202" i="13"/>
  <c r="P1202" i="13" s="1"/>
  <c r="K1203" i="13"/>
  <c r="P1203" i="13" s="1"/>
  <c r="K1204" i="13"/>
  <c r="P1204" i="13" s="1"/>
  <c r="K1205" i="13"/>
  <c r="L1205" i="13" s="1"/>
  <c r="K1206" i="13"/>
  <c r="P1206" i="13" s="1"/>
  <c r="K1207" i="13"/>
  <c r="P1207" i="13" s="1"/>
  <c r="K1208" i="13"/>
  <c r="L1208" i="13" s="1"/>
  <c r="K1209" i="13"/>
  <c r="L1209" i="13" s="1"/>
  <c r="M1173" i="13"/>
  <c r="M1174" i="13"/>
  <c r="M1175" i="13"/>
  <c r="M1176" i="13"/>
  <c r="M1177" i="13"/>
  <c r="M1178" i="13"/>
  <c r="M1179" i="13"/>
  <c r="M1180" i="13"/>
  <c r="M1181" i="13"/>
  <c r="M1182" i="13"/>
  <c r="M1183" i="13"/>
  <c r="M1184" i="13"/>
  <c r="M1185" i="13"/>
  <c r="M1186" i="13"/>
  <c r="M1187" i="13"/>
  <c r="M1188" i="13"/>
  <c r="M1189" i="13"/>
  <c r="M1190" i="13"/>
  <c r="M1191" i="13"/>
  <c r="M1192" i="13"/>
  <c r="M1193" i="13"/>
  <c r="M1194" i="13"/>
  <c r="M1195" i="13"/>
  <c r="M1196" i="13"/>
  <c r="M1197" i="13"/>
  <c r="M1198" i="13"/>
  <c r="M1199" i="13"/>
  <c r="M1200" i="13"/>
  <c r="M1201" i="13"/>
  <c r="M1202" i="13"/>
  <c r="M1203" i="13"/>
  <c r="M1204" i="13"/>
  <c r="M1205" i="13"/>
  <c r="M1206" i="13"/>
  <c r="M1207" i="13"/>
  <c r="M1208" i="13"/>
  <c r="M1209" i="13"/>
  <c r="N1173" i="13"/>
  <c r="N1174" i="13"/>
  <c r="N1175" i="13"/>
  <c r="N1176" i="13"/>
  <c r="N1177" i="13"/>
  <c r="N1178" i="13"/>
  <c r="N1179" i="13"/>
  <c r="N1180" i="13"/>
  <c r="N1181" i="13"/>
  <c r="N1182" i="13"/>
  <c r="N1183" i="13"/>
  <c r="N1184" i="13"/>
  <c r="N1185" i="13"/>
  <c r="N1186" i="13"/>
  <c r="N1187" i="13"/>
  <c r="N1188" i="13"/>
  <c r="N1189" i="13"/>
  <c r="N1190" i="13"/>
  <c r="N1191" i="13"/>
  <c r="N1192" i="13"/>
  <c r="N1193" i="13"/>
  <c r="N1194" i="13"/>
  <c r="N1195" i="13"/>
  <c r="N1196" i="13"/>
  <c r="N1197" i="13"/>
  <c r="N1198" i="13"/>
  <c r="N1199" i="13"/>
  <c r="N1200" i="13"/>
  <c r="N1201" i="13"/>
  <c r="N1202" i="13"/>
  <c r="N1203" i="13"/>
  <c r="N1204" i="13"/>
  <c r="N1205" i="13"/>
  <c r="N1206" i="13"/>
  <c r="N1207" i="13"/>
  <c r="N1208" i="13"/>
  <c r="N1209" i="13"/>
  <c r="R1173" i="13"/>
  <c r="R1174" i="13"/>
  <c r="R1175" i="13"/>
  <c r="R1176" i="13"/>
  <c r="R1177" i="13"/>
  <c r="R1178" i="13"/>
  <c r="R1179" i="13"/>
  <c r="R1180" i="13"/>
  <c r="R1181" i="13"/>
  <c r="R1182" i="13"/>
  <c r="R1183" i="13"/>
  <c r="R1184" i="13"/>
  <c r="R1185" i="13"/>
  <c r="R1186" i="13"/>
  <c r="R1187" i="13"/>
  <c r="R1188" i="13"/>
  <c r="R1189" i="13"/>
  <c r="R1190" i="13"/>
  <c r="R1191" i="13"/>
  <c r="R1192" i="13"/>
  <c r="R1193" i="13"/>
  <c r="R1194" i="13"/>
  <c r="R1195" i="13"/>
  <c r="R1196" i="13"/>
  <c r="R1197" i="13"/>
  <c r="R1198" i="13"/>
  <c r="R1199" i="13"/>
  <c r="R1200" i="13"/>
  <c r="R1201" i="13"/>
  <c r="R1202" i="13"/>
  <c r="R1203" i="13"/>
  <c r="R1204" i="13"/>
  <c r="R1205" i="13"/>
  <c r="R1206" i="13"/>
  <c r="R1207" i="13"/>
  <c r="R1208" i="13"/>
  <c r="R1209" i="13"/>
  <c r="S1173" i="13"/>
  <c r="S1174" i="13"/>
  <c r="S1175" i="13"/>
  <c r="S1176" i="13"/>
  <c r="S1177" i="13"/>
  <c r="S1178" i="13"/>
  <c r="S1179" i="13"/>
  <c r="S1180" i="13"/>
  <c r="S1181" i="13"/>
  <c r="S1182" i="13"/>
  <c r="S1183" i="13"/>
  <c r="S1184" i="13"/>
  <c r="S1185" i="13"/>
  <c r="S1186" i="13"/>
  <c r="S1187" i="13"/>
  <c r="S1188" i="13"/>
  <c r="S1189" i="13"/>
  <c r="S1190" i="13"/>
  <c r="S1191" i="13"/>
  <c r="S1192" i="13"/>
  <c r="S1193" i="13"/>
  <c r="S1194" i="13"/>
  <c r="S1195" i="13"/>
  <c r="S1196" i="13"/>
  <c r="S1197" i="13"/>
  <c r="S1198" i="13"/>
  <c r="S1199" i="13"/>
  <c r="S1200" i="13"/>
  <c r="S1201" i="13"/>
  <c r="S1202" i="13"/>
  <c r="S1203" i="13"/>
  <c r="S1204" i="13"/>
  <c r="S1205" i="13"/>
  <c r="S1206" i="13"/>
  <c r="S1207" i="13"/>
  <c r="S1208" i="13"/>
  <c r="S1209" i="13"/>
  <c r="A8" i="36"/>
  <c r="A8" i="37"/>
  <c r="A57" i="15"/>
  <c r="A7" i="37"/>
  <c r="A7" i="36"/>
  <c r="A10" i="35"/>
  <c r="A7" i="34"/>
  <c r="A7" i="28"/>
  <c r="O1020" i="13"/>
  <c r="O1021" i="13"/>
  <c r="O1022" i="13"/>
  <c r="O1023" i="13"/>
  <c r="O1024" i="13"/>
  <c r="O1025" i="13"/>
  <c r="O1026" i="13"/>
  <c r="O1027" i="13"/>
  <c r="O1028" i="13"/>
  <c r="O1029" i="13"/>
  <c r="O1030" i="13"/>
  <c r="O1031" i="13"/>
  <c r="O1032" i="13"/>
  <c r="O1033" i="13"/>
  <c r="O1034" i="13"/>
  <c r="O1035" i="13"/>
  <c r="O1036" i="13"/>
  <c r="O1037" i="13"/>
  <c r="O1038" i="13"/>
  <c r="O1039" i="13"/>
  <c r="O1040" i="13"/>
  <c r="O1041" i="13"/>
  <c r="O1042" i="13"/>
  <c r="O1043" i="13"/>
  <c r="O1044" i="13"/>
  <c r="O1045" i="13"/>
  <c r="O1046" i="13"/>
  <c r="O1047" i="13"/>
  <c r="O1048" i="13"/>
  <c r="O1049" i="13"/>
  <c r="O1050" i="13"/>
  <c r="O1051" i="13"/>
  <c r="O1052" i="13"/>
  <c r="O1053" i="13"/>
  <c r="O1054" i="13"/>
  <c r="O1055" i="13"/>
  <c r="O1056" i="13"/>
  <c r="O1057" i="13"/>
  <c r="O1058" i="13"/>
  <c r="O1059" i="13"/>
  <c r="O1060" i="13"/>
  <c r="O1061" i="13"/>
  <c r="O1062" i="13"/>
  <c r="O1063" i="13"/>
  <c r="O1064" i="13"/>
  <c r="O1065" i="13"/>
  <c r="O1066" i="13"/>
  <c r="O1067" i="13"/>
  <c r="O1068" i="13"/>
  <c r="O1069" i="13"/>
  <c r="O1070" i="13"/>
  <c r="O1071" i="13"/>
  <c r="O1072" i="13"/>
  <c r="O1073" i="13"/>
  <c r="O1074" i="13"/>
  <c r="O1075" i="13"/>
  <c r="O1076" i="13"/>
  <c r="O1077" i="13"/>
  <c r="O1078" i="13"/>
  <c r="O1079" i="13"/>
  <c r="O1080" i="13"/>
  <c r="O1081" i="13"/>
  <c r="O1082" i="13"/>
  <c r="O1083" i="13"/>
  <c r="O1084" i="13"/>
  <c r="O1085" i="13"/>
  <c r="O1086" i="13"/>
  <c r="O1087" i="13"/>
  <c r="O1088" i="13"/>
  <c r="O1089" i="13"/>
  <c r="O1090" i="13"/>
  <c r="O1091" i="13"/>
  <c r="O1092" i="13"/>
  <c r="O1093" i="13"/>
  <c r="O1094" i="13"/>
  <c r="O1095" i="13"/>
  <c r="O1096" i="13"/>
  <c r="O1097" i="13"/>
  <c r="O1098" i="13"/>
  <c r="O1099" i="13"/>
  <c r="O1100" i="13"/>
  <c r="O1101" i="13"/>
  <c r="O1102" i="13"/>
  <c r="O1103" i="13"/>
  <c r="O1104" i="13"/>
  <c r="O1105" i="13"/>
  <c r="O1106" i="13"/>
  <c r="O1107" i="13"/>
  <c r="O1108" i="13"/>
  <c r="O1109" i="13"/>
  <c r="O1110" i="13"/>
  <c r="O1111" i="13"/>
  <c r="O1112" i="13"/>
  <c r="O1113" i="13"/>
  <c r="O1114" i="13"/>
  <c r="O1115" i="13"/>
  <c r="O1116" i="13"/>
  <c r="O1117" i="13"/>
  <c r="O1118" i="13"/>
  <c r="O1119" i="13"/>
  <c r="O1120" i="13"/>
  <c r="O1121" i="13"/>
  <c r="O1122" i="13"/>
  <c r="O1123" i="13"/>
  <c r="O1124" i="13"/>
  <c r="O1125" i="13"/>
  <c r="O1126" i="13"/>
  <c r="O1127" i="13"/>
  <c r="O1128" i="13"/>
  <c r="O1129" i="13"/>
  <c r="O1130" i="13"/>
  <c r="O1131" i="13"/>
  <c r="O1132" i="13"/>
  <c r="O1133" i="13"/>
  <c r="O1134" i="13"/>
  <c r="O1135" i="13"/>
  <c r="O1136" i="13"/>
  <c r="O1137" i="13"/>
  <c r="O1138" i="13"/>
  <c r="O1139" i="13"/>
  <c r="O1140" i="13"/>
  <c r="O1141" i="13"/>
  <c r="O1142" i="13"/>
  <c r="O1143" i="13"/>
  <c r="O1144" i="13"/>
  <c r="O1145" i="13"/>
  <c r="O1146" i="13"/>
  <c r="O1147" i="13"/>
  <c r="O1148" i="13"/>
  <c r="O1149" i="13"/>
  <c r="O1150" i="13"/>
  <c r="O1151" i="13"/>
  <c r="O1152" i="13"/>
  <c r="O1153" i="13"/>
  <c r="O1154" i="13"/>
  <c r="O1155" i="13"/>
  <c r="O1156" i="13"/>
  <c r="O1157" i="13"/>
  <c r="O1158" i="13"/>
  <c r="O1159" i="13"/>
  <c r="O1160" i="13"/>
  <c r="O1161" i="13"/>
  <c r="O1162" i="13"/>
  <c r="O1163" i="13"/>
  <c r="O1164" i="13"/>
  <c r="O1165" i="13"/>
  <c r="O1166" i="13"/>
  <c r="O1167" i="13"/>
  <c r="O1168" i="13"/>
  <c r="O1169" i="13"/>
  <c r="O1170" i="13"/>
  <c r="O1171" i="13"/>
  <c r="O1172" i="13"/>
  <c r="K1020" i="13"/>
  <c r="L1020" i="13" s="1"/>
  <c r="K1021" i="13"/>
  <c r="P1021" i="13" s="1"/>
  <c r="K1022" i="13"/>
  <c r="P1022" i="13" s="1"/>
  <c r="K1023" i="13"/>
  <c r="P1023" i="13" s="1"/>
  <c r="K1024" i="13"/>
  <c r="L1024" i="13" s="1"/>
  <c r="K1025" i="13"/>
  <c r="P1025" i="13" s="1"/>
  <c r="K1026" i="13"/>
  <c r="L1026" i="13" s="1"/>
  <c r="K1027" i="13"/>
  <c r="L1027" i="13" s="1"/>
  <c r="K1028" i="13"/>
  <c r="L1028" i="13" s="1"/>
  <c r="K1029" i="13"/>
  <c r="L1029" i="13" s="1"/>
  <c r="K1030" i="13"/>
  <c r="L1030" i="13" s="1"/>
  <c r="K1031" i="13"/>
  <c r="L1031" i="13" s="1"/>
  <c r="K1032" i="13"/>
  <c r="L1032" i="13" s="1"/>
  <c r="K1033" i="13"/>
  <c r="K1034" i="13"/>
  <c r="L1034" i="13" s="1"/>
  <c r="K1035" i="13"/>
  <c r="L1035" i="13" s="1"/>
  <c r="K1036" i="13"/>
  <c r="L1036" i="13" s="1"/>
  <c r="K1037" i="13"/>
  <c r="L1037" i="13" s="1"/>
  <c r="K1038" i="13"/>
  <c r="P1038" i="13" s="1"/>
  <c r="K1039" i="13"/>
  <c r="P1039" i="13" s="1"/>
  <c r="K1040" i="13"/>
  <c r="L1040" i="13" s="1"/>
  <c r="K1041" i="13"/>
  <c r="P1041" i="13" s="1"/>
  <c r="K1042" i="13"/>
  <c r="L1042" i="13" s="1"/>
  <c r="K1043" i="13"/>
  <c r="L1043" i="13" s="1"/>
  <c r="K1044" i="13"/>
  <c r="L1044" i="13" s="1"/>
  <c r="K1045" i="13"/>
  <c r="L1045" i="13" s="1"/>
  <c r="K1046" i="13"/>
  <c r="P1046" i="13" s="1"/>
  <c r="K1047" i="13"/>
  <c r="P1047" i="13" s="1"/>
  <c r="K1048" i="13"/>
  <c r="L1048" i="13" s="1"/>
  <c r="K1049" i="13"/>
  <c r="P1049" i="13" s="1"/>
  <c r="K1050" i="13"/>
  <c r="L1050" i="13" s="1"/>
  <c r="K1051" i="13"/>
  <c r="L1051" i="13" s="1"/>
  <c r="K1052" i="13"/>
  <c r="L1052" i="13" s="1"/>
  <c r="K1053" i="13"/>
  <c r="L1053" i="13" s="1"/>
  <c r="K1054" i="13"/>
  <c r="L1054" i="13" s="1"/>
  <c r="K1055" i="13"/>
  <c r="P1055" i="13" s="1"/>
  <c r="K1056" i="13"/>
  <c r="L1056" i="13" s="1"/>
  <c r="K1057" i="13"/>
  <c r="L1057" i="13" s="1"/>
  <c r="K1058" i="13"/>
  <c r="L1058" i="13" s="1"/>
  <c r="K1059" i="13"/>
  <c r="L1059" i="13" s="1"/>
  <c r="K1060" i="13"/>
  <c r="L1060" i="13" s="1"/>
  <c r="K1061" i="13"/>
  <c r="L1061" i="13" s="1"/>
  <c r="K1062" i="13"/>
  <c r="L1062" i="13" s="1"/>
  <c r="K1063" i="13"/>
  <c r="P1063" i="13" s="1"/>
  <c r="K1064" i="13"/>
  <c r="L1064" i="13" s="1"/>
  <c r="K1065" i="13"/>
  <c r="P1065" i="13" s="1"/>
  <c r="K1066" i="13"/>
  <c r="L1066" i="13" s="1"/>
  <c r="K1067" i="13"/>
  <c r="L1067" i="13" s="1"/>
  <c r="K1068" i="13"/>
  <c r="L1068" i="13" s="1"/>
  <c r="K1069" i="13"/>
  <c r="L1069" i="13" s="1"/>
  <c r="K1070" i="13"/>
  <c r="L1070" i="13" s="1"/>
  <c r="K1071" i="13"/>
  <c r="P1071" i="13" s="1"/>
  <c r="K1072" i="13"/>
  <c r="P1072" i="13" s="1"/>
  <c r="K1073" i="13"/>
  <c r="L1073" i="13" s="1"/>
  <c r="K1074" i="13"/>
  <c r="L1074" i="13" s="1"/>
  <c r="K1075" i="13"/>
  <c r="L1075" i="13" s="1"/>
  <c r="K1076" i="13"/>
  <c r="L1076" i="13" s="1"/>
  <c r="K1077" i="13"/>
  <c r="L1077" i="13" s="1"/>
  <c r="K1078" i="13"/>
  <c r="L1078" i="13" s="1"/>
  <c r="K1079" i="13"/>
  <c r="P1079" i="13" s="1"/>
  <c r="K1080" i="13"/>
  <c r="L1080" i="13" s="1"/>
  <c r="K1081" i="13"/>
  <c r="P1081" i="13" s="1"/>
  <c r="K1082" i="13"/>
  <c r="L1082" i="13" s="1"/>
  <c r="K1083" i="13"/>
  <c r="L1083" i="13" s="1"/>
  <c r="K1084" i="13"/>
  <c r="L1084" i="13" s="1"/>
  <c r="K1085" i="13"/>
  <c r="L1085" i="13" s="1"/>
  <c r="K1086" i="13"/>
  <c r="L1086" i="13" s="1"/>
  <c r="K1087" i="13"/>
  <c r="P1087" i="13" s="1"/>
  <c r="K1088" i="13"/>
  <c r="L1088" i="13" s="1"/>
  <c r="K1089" i="13"/>
  <c r="P1089" i="13" s="1"/>
  <c r="K1090" i="13"/>
  <c r="L1090" i="13" s="1"/>
  <c r="K1091" i="13"/>
  <c r="P1091" i="13" s="1"/>
  <c r="K1092" i="13"/>
  <c r="L1092" i="13" s="1"/>
  <c r="K1093" i="13"/>
  <c r="L1093" i="13" s="1"/>
  <c r="K1094" i="13"/>
  <c r="L1094" i="13" s="1"/>
  <c r="K1095" i="13"/>
  <c r="L1095" i="13" s="1"/>
  <c r="K1096" i="13"/>
  <c r="L1096" i="13" s="1"/>
  <c r="K1097" i="13"/>
  <c r="P1097" i="13" s="1"/>
  <c r="K1098" i="13"/>
  <c r="L1098" i="13" s="1"/>
  <c r="K1099" i="13"/>
  <c r="P1099" i="13" s="1"/>
  <c r="K1100" i="13"/>
  <c r="L1100" i="13" s="1"/>
  <c r="K1101" i="13"/>
  <c r="L1101" i="13" s="1"/>
  <c r="K1102" i="13"/>
  <c r="P1102" i="13" s="1"/>
  <c r="K1103" i="13"/>
  <c r="P1103" i="13" s="1"/>
  <c r="K1104" i="13"/>
  <c r="L1104" i="13" s="1"/>
  <c r="K1105" i="13"/>
  <c r="P1105" i="13" s="1"/>
  <c r="K1106" i="13"/>
  <c r="L1106" i="13" s="1"/>
  <c r="K1107" i="13"/>
  <c r="L1107" i="13" s="1"/>
  <c r="K1108" i="13"/>
  <c r="L1108" i="13" s="1"/>
  <c r="K1109" i="13"/>
  <c r="L1109" i="13" s="1"/>
  <c r="K1110" i="13"/>
  <c r="L1110" i="13" s="1"/>
  <c r="K1111" i="13"/>
  <c r="P1111" i="13" s="1"/>
  <c r="K1112" i="13"/>
  <c r="L1112" i="13" s="1"/>
  <c r="K1113" i="13"/>
  <c r="P1113" i="13" s="1"/>
  <c r="K1114" i="13"/>
  <c r="L1114" i="13" s="1"/>
  <c r="K1115" i="13"/>
  <c r="L1115" i="13" s="1"/>
  <c r="K1116" i="13"/>
  <c r="L1116" i="13" s="1"/>
  <c r="K1117" i="13"/>
  <c r="L1117" i="13" s="1"/>
  <c r="K1118" i="13"/>
  <c r="L1118" i="13" s="1"/>
  <c r="K1119" i="13"/>
  <c r="P1119" i="13" s="1"/>
  <c r="K1120" i="13"/>
  <c r="L1120" i="13" s="1"/>
  <c r="K1121" i="13"/>
  <c r="L1121" i="13" s="1"/>
  <c r="K1122" i="13"/>
  <c r="K1123" i="13"/>
  <c r="L1123" i="13" s="1"/>
  <c r="K1124" i="13"/>
  <c r="L1124" i="13" s="1"/>
  <c r="K1125" i="13"/>
  <c r="L1125" i="13" s="1"/>
  <c r="K1126" i="13"/>
  <c r="P1126" i="13" s="1"/>
  <c r="K1127" i="13"/>
  <c r="P1127" i="13" s="1"/>
  <c r="K1128" i="13"/>
  <c r="L1128" i="13" s="1"/>
  <c r="K1129" i="13"/>
  <c r="P1129" i="13" s="1"/>
  <c r="K1130" i="13"/>
  <c r="L1130" i="13" s="1"/>
  <c r="K1131" i="13"/>
  <c r="L1131" i="13" s="1"/>
  <c r="K1132" i="13"/>
  <c r="L1132" i="13" s="1"/>
  <c r="K1133" i="13"/>
  <c r="L1133" i="13" s="1"/>
  <c r="K1134" i="13"/>
  <c r="L1134" i="13" s="1"/>
  <c r="K1135" i="13"/>
  <c r="P1135" i="13" s="1"/>
  <c r="K1136" i="13"/>
  <c r="L1136" i="13" s="1"/>
  <c r="K1137" i="13"/>
  <c r="L1137" i="13" s="1"/>
  <c r="K1138" i="13"/>
  <c r="L1138" i="13" s="1"/>
  <c r="K1139" i="13"/>
  <c r="L1139" i="13" s="1"/>
  <c r="K1140" i="13"/>
  <c r="L1140" i="13" s="1"/>
  <c r="K1141" i="13"/>
  <c r="P1141" i="13" s="1"/>
  <c r="K1142" i="13"/>
  <c r="L1142" i="13" s="1"/>
  <c r="K1143" i="13"/>
  <c r="L1143" i="13" s="1"/>
  <c r="K1144" i="13"/>
  <c r="L1144" i="13" s="1"/>
  <c r="K1145" i="13"/>
  <c r="L1145" i="13" s="1"/>
  <c r="K1146" i="13"/>
  <c r="L1146" i="13" s="1"/>
  <c r="K1147" i="13"/>
  <c r="L1147" i="13" s="1"/>
  <c r="K1148" i="13"/>
  <c r="L1148" i="13" s="1"/>
  <c r="K1149" i="13"/>
  <c r="P1149" i="13" s="1"/>
  <c r="K1150" i="13"/>
  <c r="L1150" i="13" s="1"/>
  <c r="K1151" i="13"/>
  <c r="L1151" i="13" s="1"/>
  <c r="K1152" i="13"/>
  <c r="L1152" i="13" s="1"/>
  <c r="K1153" i="13"/>
  <c r="L1153" i="13" s="1"/>
  <c r="K1154" i="13"/>
  <c r="L1154" i="13" s="1"/>
  <c r="K1155" i="13"/>
  <c r="K1156" i="13"/>
  <c r="L1156" i="13" s="1"/>
  <c r="K1157" i="13"/>
  <c r="P1157" i="13" s="1"/>
  <c r="K1158" i="13"/>
  <c r="L1158" i="13" s="1"/>
  <c r="K1159" i="13"/>
  <c r="L1159" i="13" s="1"/>
  <c r="K1160" i="13"/>
  <c r="L1160" i="13" s="1"/>
  <c r="K1161" i="13"/>
  <c r="L1161" i="13" s="1"/>
  <c r="K1162" i="13"/>
  <c r="L1162" i="13" s="1"/>
  <c r="K1163" i="13"/>
  <c r="L1163" i="13" s="1"/>
  <c r="K1164" i="13"/>
  <c r="L1164" i="13" s="1"/>
  <c r="K1165" i="13"/>
  <c r="L1165" i="13" s="1"/>
  <c r="K1166" i="13"/>
  <c r="L1166" i="13" s="1"/>
  <c r="K1167" i="13"/>
  <c r="L1167" i="13" s="1"/>
  <c r="K1168" i="13"/>
  <c r="K1169" i="13"/>
  <c r="L1169" i="13" s="1"/>
  <c r="K1170" i="13"/>
  <c r="L1170" i="13" s="1"/>
  <c r="K1171" i="13"/>
  <c r="P1171" i="13" s="1"/>
  <c r="K1172" i="13"/>
  <c r="L1172" i="13" s="1"/>
  <c r="L1021" i="13"/>
  <c r="L1022" i="13"/>
  <c r="L1023" i="13"/>
  <c r="M1020" i="13"/>
  <c r="M1021" i="13"/>
  <c r="M1022" i="13"/>
  <c r="M1023" i="13"/>
  <c r="M1024" i="13"/>
  <c r="M1025" i="13"/>
  <c r="M1026" i="13"/>
  <c r="M1027" i="13"/>
  <c r="M1028" i="13"/>
  <c r="M1029" i="13"/>
  <c r="M1030" i="13"/>
  <c r="M1031" i="13"/>
  <c r="M1032" i="13"/>
  <c r="M1033" i="13"/>
  <c r="M1034" i="13"/>
  <c r="M1035" i="13"/>
  <c r="M1036" i="13"/>
  <c r="M1037" i="13"/>
  <c r="M1038" i="13"/>
  <c r="M1039" i="13"/>
  <c r="M1040" i="13"/>
  <c r="M1041" i="13"/>
  <c r="M1042" i="13"/>
  <c r="M1043" i="13"/>
  <c r="M1044" i="13"/>
  <c r="M1045" i="13"/>
  <c r="M1046" i="13"/>
  <c r="M1047" i="13"/>
  <c r="M1048" i="13"/>
  <c r="M1049" i="13"/>
  <c r="M1050" i="13"/>
  <c r="M1051" i="13"/>
  <c r="M1052" i="13"/>
  <c r="M1053" i="13"/>
  <c r="M1054" i="13"/>
  <c r="M1055" i="13"/>
  <c r="M1056" i="13"/>
  <c r="M1057" i="13"/>
  <c r="M1058" i="13"/>
  <c r="M1059" i="13"/>
  <c r="M1060" i="13"/>
  <c r="M1061" i="13"/>
  <c r="M1062" i="13"/>
  <c r="M1063" i="13"/>
  <c r="M1064" i="13"/>
  <c r="M1065" i="13"/>
  <c r="M1066" i="13"/>
  <c r="M1067" i="13"/>
  <c r="M1068" i="13"/>
  <c r="M1069" i="13"/>
  <c r="M1070" i="13"/>
  <c r="M1071" i="13"/>
  <c r="M1072" i="13"/>
  <c r="M1073" i="13"/>
  <c r="M1074" i="13"/>
  <c r="M1075" i="13"/>
  <c r="M1076" i="13"/>
  <c r="M1077" i="13"/>
  <c r="M1078" i="13"/>
  <c r="M1079" i="13"/>
  <c r="M1080" i="13"/>
  <c r="M1081" i="13"/>
  <c r="M1082" i="13"/>
  <c r="M1083" i="13"/>
  <c r="M1084" i="13"/>
  <c r="M1085" i="13"/>
  <c r="M1086" i="13"/>
  <c r="M1087" i="13"/>
  <c r="M1088" i="13"/>
  <c r="M1089" i="13"/>
  <c r="M1090" i="13"/>
  <c r="M1091" i="13"/>
  <c r="M1092" i="13"/>
  <c r="M1093" i="13"/>
  <c r="M1094" i="13"/>
  <c r="M1095" i="13"/>
  <c r="M1096" i="13"/>
  <c r="M1097" i="13"/>
  <c r="M1098" i="13"/>
  <c r="M1099" i="13"/>
  <c r="M1100" i="13"/>
  <c r="M1101" i="13"/>
  <c r="M1102" i="13"/>
  <c r="M1103" i="13"/>
  <c r="M1104" i="13"/>
  <c r="M1105" i="13"/>
  <c r="M1106" i="13"/>
  <c r="M1107" i="13"/>
  <c r="M1108" i="13"/>
  <c r="M1109" i="13"/>
  <c r="M1110" i="13"/>
  <c r="M1111" i="13"/>
  <c r="M1112" i="13"/>
  <c r="M1113" i="13"/>
  <c r="M1114" i="13"/>
  <c r="M1115" i="13"/>
  <c r="M1116" i="13"/>
  <c r="M1117" i="13"/>
  <c r="M1118" i="13"/>
  <c r="M1119" i="13"/>
  <c r="M1120" i="13"/>
  <c r="M1121" i="13"/>
  <c r="M1122" i="13"/>
  <c r="M1123" i="13"/>
  <c r="M1124" i="13"/>
  <c r="M1125" i="13"/>
  <c r="M1126" i="13"/>
  <c r="M1127" i="13"/>
  <c r="M1128" i="13"/>
  <c r="M1129" i="13"/>
  <c r="M1130" i="13"/>
  <c r="M1131" i="13"/>
  <c r="M1132" i="13"/>
  <c r="M1133" i="13"/>
  <c r="M1134" i="13"/>
  <c r="M1135" i="13"/>
  <c r="M1136" i="13"/>
  <c r="M1137" i="13"/>
  <c r="M1138" i="13"/>
  <c r="M1139" i="13"/>
  <c r="M1140" i="13"/>
  <c r="M1141" i="13"/>
  <c r="M1142" i="13"/>
  <c r="M1143" i="13"/>
  <c r="M1144" i="13"/>
  <c r="M1145" i="13"/>
  <c r="M1146" i="13"/>
  <c r="M1147" i="13"/>
  <c r="M1148" i="13"/>
  <c r="M1149" i="13"/>
  <c r="M1150" i="13"/>
  <c r="M1151" i="13"/>
  <c r="M1152" i="13"/>
  <c r="M1153" i="13"/>
  <c r="M1154" i="13"/>
  <c r="M1155" i="13"/>
  <c r="M1156" i="13"/>
  <c r="M1157" i="13"/>
  <c r="M1158" i="13"/>
  <c r="M1159" i="13"/>
  <c r="M1160" i="13"/>
  <c r="M1161" i="13"/>
  <c r="M1162" i="13"/>
  <c r="M1163" i="13"/>
  <c r="M1164" i="13"/>
  <c r="M1165" i="13"/>
  <c r="M1166" i="13"/>
  <c r="M1167" i="13"/>
  <c r="M1168" i="13"/>
  <c r="M1169" i="13"/>
  <c r="M1170" i="13"/>
  <c r="M1171" i="13"/>
  <c r="M1172" i="13"/>
  <c r="N1020" i="13"/>
  <c r="N1021" i="13"/>
  <c r="N1022" i="13"/>
  <c r="N1023" i="13"/>
  <c r="N1024" i="13"/>
  <c r="N1025" i="13"/>
  <c r="N1026" i="13"/>
  <c r="N1027" i="13"/>
  <c r="N1028" i="13"/>
  <c r="N1029" i="13"/>
  <c r="N1030" i="13"/>
  <c r="N1031" i="13"/>
  <c r="N1032" i="13"/>
  <c r="N1033" i="13"/>
  <c r="N1034" i="13"/>
  <c r="N1035" i="13"/>
  <c r="N1036" i="13"/>
  <c r="N1037" i="13"/>
  <c r="N1038" i="13"/>
  <c r="N1039" i="13"/>
  <c r="N1040" i="13"/>
  <c r="N1041" i="13"/>
  <c r="N1042" i="13"/>
  <c r="N1043" i="13"/>
  <c r="N1044" i="13"/>
  <c r="N1045" i="13"/>
  <c r="N1046" i="13"/>
  <c r="N1047" i="13"/>
  <c r="N1048" i="13"/>
  <c r="N1049" i="13"/>
  <c r="N1050" i="13"/>
  <c r="N1051" i="13"/>
  <c r="N1052" i="13"/>
  <c r="N1053" i="13"/>
  <c r="N1054" i="13"/>
  <c r="N1055" i="13"/>
  <c r="N1056" i="13"/>
  <c r="N1057" i="13"/>
  <c r="N1058" i="13"/>
  <c r="N1059" i="13"/>
  <c r="N1060" i="13"/>
  <c r="N1061" i="13"/>
  <c r="N1062" i="13"/>
  <c r="N1063" i="13"/>
  <c r="N1064" i="13"/>
  <c r="N1065" i="13"/>
  <c r="N1066" i="13"/>
  <c r="N1067" i="13"/>
  <c r="N1068" i="13"/>
  <c r="N1069" i="13"/>
  <c r="N1070" i="13"/>
  <c r="N1071" i="13"/>
  <c r="N1072" i="13"/>
  <c r="N1073" i="13"/>
  <c r="N1074" i="13"/>
  <c r="N1075" i="13"/>
  <c r="N1076" i="13"/>
  <c r="N1077" i="13"/>
  <c r="N1078" i="13"/>
  <c r="N1079" i="13"/>
  <c r="N1080" i="13"/>
  <c r="N1081" i="13"/>
  <c r="N1082" i="13"/>
  <c r="N1083" i="13"/>
  <c r="N1084" i="13"/>
  <c r="N1085" i="13"/>
  <c r="N1086" i="13"/>
  <c r="N1087" i="13"/>
  <c r="N1088" i="13"/>
  <c r="N1089" i="13"/>
  <c r="N1090" i="13"/>
  <c r="N1091" i="13"/>
  <c r="N1092" i="13"/>
  <c r="N1093" i="13"/>
  <c r="N1094" i="13"/>
  <c r="N1095" i="13"/>
  <c r="N1096" i="13"/>
  <c r="N1097" i="13"/>
  <c r="N1098" i="13"/>
  <c r="N1099" i="13"/>
  <c r="N1100" i="13"/>
  <c r="N1101" i="13"/>
  <c r="N1102" i="13"/>
  <c r="N1103" i="13"/>
  <c r="N1104" i="13"/>
  <c r="N1105" i="13"/>
  <c r="N1106" i="13"/>
  <c r="N1107" i="13"/>
  <c r="N1108" i="13"/>
  <c r="N1109" i="13"/>
  <c r="N1110" i="13"/>
  <c r="N1111" i="13"/>
  <c r="N1112" i="13"/>
  <c r="N1113" i="13"/>
  <c r="N1114" i="13"/>
  <c r="N1115" i="13"/>
  <c r="N1116" i="13"/>
  <c r="N1117" i="13"/>
  <c r="N1118" i="13"/>
  <c r="N1119" i="13"/>
  <c r="N1120" i="13"/>
  <c r="N1121" i="13"/>
  <c r="N1122" i="13"/>
  <c r="N1123" i="13"/>
  <c r="N1124" i="13"/>
  <c r="N1125" i="13"/>
  <c r="N1126" i="13"/>
  <c r="N1127" i="13"/>
  <c r="N1128" i="13"/>
  <c r="N1129" i="13"/>
  <c r="N1130" i="13"/>
  <c r="N1131" i="13"/>
  <c r="N1132" i="13"/>
  <c r="N1133" i="13"/>
  <c r="N1134" i="13"/>
  <c r="N1135" i="13"/>
  <c r="N1136" i="13"/>
  <c r="N1137" i="13"/>
  <c r="N1138" i="13"/>
  <c r="N1139" i="13"/>
  <c r="N1140" i="13"/>
  <c r="N1141" i="13"/>
  <c r="N1142" i="13"/>
  <c r="N1143" i="13"/>
  <c r="N1144" i="13"/>
  <c r="N1145" i="13"/>
  <c r="N1146" i="13"/>
  <c r="N1147" i="13"/>
  <c r="N1148" i="13"/>
  <c r="N1149" i="13"/>
  <c r="N1150" i="13"/>
  <c r="N1151" i="13"/>
  <c r="N1152" i="13"/>
  <c r="N1153" i="13"/>
  <c r="N1154" i="13"/>
  <c r="N1155" i="13"/>
  <c r="N1156" i="13"/>
  <c r="N1157" i="13"/>
  <c r="N1158" i="13"/>
  <c r="N1159" i="13"/>
  <c r="N1160" i="13"/>
  <c r="N1161" i="13"/>
  <c r="N1162" i="13"/>
  <c r="N1163" i="13"/>
  <c r="N1164" i="13"/>
  <c r="N1165" i="13"/>
  <c r="N1166" i="13"/>
  <c r="N1167" i="13"/>
  <c r="N1168" i="13"/>
  <c r="N1169" i="13"/>
  <c r="N1170" i="13"/>
  <c r="N1171" i="13"/>
  <c r="N1172" i="13"/>
  <c r="P1050" i="13"/>
  <c r="R1020" i="13"/>
  <c r="R1021" i="13"/>
  <c r="R1022" i="13"/>
  <c r="R1023" i="13"/>
  <c r="R1024" i="13"/>
  <c r="R1025" i="13"/>
  <c r="R1026" i="13"/>
  <c r="R1027" i="13"/>
  <c r="R1028" i="13"/>
  <c r="R1029" i="13"/>
  <c r="R1030" i="13"/>
  <c r="R1031" i="13"/>
  <c r="R1032" i="13"/>
  <c r="R1033" i="13"/>
  <c r="R1034" i="13"/>
  <c r="R1035" i="13"/>
  <c r="R1036" i="13"/>
  <c r="R1037" i="13"/>
  <c r="R1038" i="13"/>
  <c r="R1039" i="13"/>
  <c r="R1040" i="13"/>
  <c r="R1041" i="13"/>
  <c r="R1042" i="13"/>
  <c r="R1043" i="13"/>
  <c r="R1044" i="13"/>
  <c r="R1045" i="13"/>
  <c r="R1046" i="13"/>
  <c r="R1047" i="13"/>
  <c r="R1048" i="13"/>
  <c r="R1049" i="13"/>
  <c r="R1050" i="13"/>
  <c r="R1051" i="13"/>
  <c r="R1052" i="13"/>
  <c r="R1053" i="13"/>
  <c r="R1054" i="13"/>
  <c r="R1055" i="13"/>
  <c r="R1056" i="13"/>
  <c r="R1057" i="13"/>
  <c r="R1058" i="13"/>
  <c r="R1059" i="13"/>
  <c r="R1060" i="13"/>
  <c r="R1061" i="13"/>
  <c r="R1062" i="13"/>
  <c r="R1063" i="13"/>
  <c r="R1064" i="13"/>
  <c r="R1065" i="13"/>
  <c r="R1066" i="13"/>
  <c r="R1067" i="13"/>
  <c r="R1068" i="13"/>
  <c r="R1069" i="13"/>
  <c r="R1070" i="13"/>
  <c r="R1071" i="13"/>
  <c r="R1072" i="13"/>
  <c r="R1073" i="13"/>
  <c r="R1074" i="13"/>
  <c r="R1075" i="13"/>
  <c r="R1076" i="13"/>
  <c r="R1077" i="13"/>
  <c r="R1078" i="13"/>
  <c r="R1079" i="13"/>
  <c r="R1080" i="13"/>
  <c r="R1081" i="13"/>
  <c r="R1082" i="13"/>
  <c r="R1083" i="13"/>
  <c r="R1084" i="13"/>
  <c r="R1085" i="13"/>
  <c r="R1086" i="13"/>
  <c r="R1087" i="13"/>
  <c r="R1088" i="13"/>
  <c r="R1089" i="13"/>
  <c r="R1090" i="13"/>
  <c r="R1091" i="13"/>
  <c r="R1092" i="13"/>
  <c r="R1093" i="13"/>
  <c r="R1094" i="13"/>
  <c r="R1095" i="13"/>
  <c r="R1096" i="13"/>
  <c r="R1097" i="13"/>
  <c r="R1098" i="13"/>
  <c r="R1099" i="13"/>
  <c r="R1100" i="13"/>
  <c r="R1101" i="13"/>
  <c r="R1102" i="13"/>
  <c r="R1103" i="13"/>
  <c r="R1104" i="13"/>
  <c r="R1105" i="13"/>
  <c r="R1106" i="13"/>
  <c r="R1107" i="13"/>
  <c r="R1108" i="13"/>
  <c r="R1109" i="13"/>
  <c r="R1110" i="13"/>
  <c r="R1111" i="13"/>
  <c r="R1112" i="13"/>
  <c r="R1113" i="13"/>
  <c r="R1114" i="13"/>
  <c r="R1115" i="13"/>
  <c r="R1116" i="13"/>
  <c r="R1117" i="13"/>
  <c r="R1118" i="13"/>
  <c r="R1119" i="13"/>
  <c r="R1120" i="13"/>
  <c r="R1121" i="13"/>
  <c r="R1122" i="13"/>
  <c r="R1123" i="13"/>
  <c r="R1124" i="13"/>
  <c r="R1125" i="13"/>
  <c r="R1126" i="13"/>
  <c r="R1127" i="13"/>
  <c r="R1128" i="13"/>
  <c r="R1129" i="13"/>
  <c r="R1130" i="13"/>
  <c r="R1131" i="13"/>
  <c r="R1132" i="13"/>
  <c r="R1133" i="13"/>
  <c r="R1134" i="13"/>
  <c r="R1135" i="13"/>
  <c r="R1136" i="13"/>
  <c r="R1137" i="13"/>
  <c r="R1138" i="13"/>
  <c r="R1139" i="13"/>
  <c r="R1140" i="13"/>
  <c r="R1141" i="13"/>
  <c r="R1142" i="13"/>
  <c r="R1143" i="13"/>
  <c r="R1144" i="13"/>
  <c r="R1145" i="13"/>
  <c r="R1146" i="13"/>
  <c r="R1147" i="13"/>
  <c r="R1148" i="13"/>
  <c r="R1149" i="13"/>
  <c r="R1150" i="13"/>
  <c r="R1151" i="13"/>
  <c r="R1152" i="13"/>
  <c r="R1153" i="13"/>
  <c r="R1154" i="13"/>
  <c r="R1155" i="13"/>
  <c r="R1156" i="13"/>
  <c r="R1157" i="13"/>
  <c r="R1158" i="13"/>
  <c r="R1159" i="13"/>
  <c r="R1160" i="13"/>
  <c r="R1161" i="13"/>
  <c r="R1162" i="13"/>
  <c r="R1163" i="13"/>
  <c r="R1164" i="13"/>
  <c r="R1165" i="13"/>
  <c r="R1166" i="13"/>
  <c r="R1167" i="13"/>
  <c r="R1168" i="13"/>
  <c r="R1169" i="13"/>
  <c r="R1170" i="13"/>
  <c r="R1171" i="13"/>
  <c r="R1172" i="13"/>
  <c r="S1020" i="13"/>
  <c r="S1021" i="13"/>
  <c r="S1022" i="13"/>
  <c r="S1023" i="13"/>
  <c r="S1024" i="13"/>
  <c r="S1025" i="13"/>
  <c r="S1026" i="13"/>
  <c r="S1027" i="13"/>
  <c r="S1028" i="13"/>
  <c r="S1029" i="13"/>
  <c r="S1030" i="13"/>
  <c r="S1031" i="13"/>
  <c r="S1032" i="13"/>
  <c r="S1033" i="13"/>
  <c r="S1034" i="13"/>
  <c r="S1035" i="13"/>
  <c r="S1036" i="13"/>
  <c r="S1037" i="13"/>
  <c r="S1038" i="13"/>
  <c r="S1039" i="13"/>
  <c r="S1040" i="13"/>
  <c r="S1041" i="13"/>
  <c r="S1042" i="13"/>
  <c r="S1043" i="13"/>
  <c r="S1044" i="13"/>
  <c r="S1045" i="13"/>
  <c r="S1046" i="13"/>
  <c r="S1047" i="13"/>
  <c r="S1048" i="13"/>
  <c r="S1049" i="13"/>
  <c r="S1050" i="13"/>
  <c r="S1051" i="13"/>
  <c r="S1052" i="13"/>
  <c r="S1053" i="13"/>
  <c r="S1054" i="13"/>
  <c r="S1055" i="13"/>
  <c r="S1056" i="13"/>
  <c r="S1057" i="13"/>
  <c r="S1058" i="13"/>
  <c r="S1059" i="13"/>
  <c r="S1060" i="13"/>
  <c r="S1061" i="13"/>
  <c r="S1062" i="13"/>
  <c r="S1063" i="13"/>
  <c r="S1064" i="13"/>
  <c r="S1065" i="13"/>
  <c r="S1066" i="13"/>
  <c r="S1067" i="13"/>
  <c r="S1068" i="13"/>
  <c r="S1069" i="13"/>
  <c r="S1070" i="13"/>
  <c r="S1071" i="13"/>
  <c r="S1072" i="13"/>
  <c r="S1073" i="13"/>
  <c r="S1074" i="13"/>
  <c r="S1075" i="13"/>
  <c r="S1076" i="13"/>
  <c r="S1077" i="13"/>
  <c r="S1078" i="13"/>
  <c r="S1079" i="13"/>
  <c r="S1080" i="13"/>
  <c r="S1081" i="13"/>
  <c r="S1082" i="13"/>
  <c r="S1083" i="13"/>
  <c r="S1084" i="13"/>
  <c r="S1085" i="13"/>
  <c r="S1086" i="13"/>
  <c r="S1087" i="13"/>
  <c r="S1088" i="13"/>
  <c r="S1089" i="13"/>
  <c r="S1090" i="13"/>
  <c r="S1091" i="13"/>
  <c r="S1092" i="13"/>
  <c r="S1093" i="13"/>
  <c r="S1094" i="13"/>
  <c r="S1095" i="13"/>
  <c r="S1096" i="13"/>
  <c r="S1097" i="13"/>
  <c r="S1098" i="13"/>
  <c r="S1099" i="13"/>
  <c r="S1100" i="13"/>
  <c r="S1101" i="13"/>
  <c r="S1102" i="13"/>
  <c r="S1103" i="13"/>
  <c r="S1104" i="13"/>
  <c r="S1105" i="13"/>
  <c r="S1106" i="13"/>
  <c r="S1107" i="13"/>
  <c r="S1108" i="13"/>
  <c r="S1109" i="13"/>
  <c r="S1110" i="13"/>
  <c r="S1111" i="13"/>
  <c r="S1112" i="13"/>
  <c r="S1113" i="13"/>
  <c r="S1114" i="13"/>
  <c r="S1115" i="13"/>
  <c r="S1116" i="13"/>
  <c r="S1117" i="13"/>
  <c r="S1118" i="13"/>
  <c r="S1119" i="13"/>
  <c r="S1120" i="13"/>
  <c r="S1121" i="13"/>
  <c r="S1122" i="13"/>
  <c r="S1123" i="13"/>
  <c r="S1124" i="13"/>
  <c r="S1125" i="13"/>
  <c r="S1126" i="13"/>
  <c r="S1127" i="13"/>
  <c r="S1128" i="13"/>
  <c r="S1129" i="13"/>
  <c r="S1130" i="13"/>
  <c r="S1131" i="13"/>
  <c r="S1132" i="13"/>
  <c r="S1133" i="13"/>
  <c r="S1134" i="13"/>
  <c r="S1135" i="13"/>
  <c r="S1136" i="13"/>
  <c r="S1137" i="13"/>
  <c r="S1138" i="13"/>
  <c r="S1139" i="13"/>
  <c r="S1140" i="13"/>
  <c r="S1141" i="13"/>
  <c r="S1142" i="13"/>
  <c r="S1143" i="13"/>
  <c r="S1144" i="13"/>
  <c r="S1145" i="13"/>
  <c r="S1146" i="13"/>
  <c r="S1147" i="13"/>
  <c r="S1148" i="13"/>
  <c r="S1149" i="13"/>
  <c r="S1150" i="13"/>
  <c r="S1151" i="13"/>
  <c r="S1152" i="13"/>
  <c r="S1153" i="13"/>
  <c r="S1154" i="13"/>
  <c r="S1155" i="13"/>
  <c r="S1156" i="13"/>
  <c r="S1157" i="13"/>
  <c r="S1158" i="13"/>
  <c r="S1159" i="13"/>
  <c r="S1160" i="13"/>
  <c r="S1161" i="13"/>
  <c r="S1162" i="13"/>
  <c r="S1163" i="13"/>
  <c r="S1164" i="13"/>
  <c r="S1165" i="13"/>
  <c r="S1166" i="13"/>
  <c r="S1167" i="13"/>
  <c r="S1168" i="13"/>
  <c r="S1169" i="13"/>
  <c r="S1170" i="13"/>
  <c r="S1171" i="13"/>
  <c r="S1172" i="13"/>
  <c r="O1019" i="13"/>
  <c r="O937" i="13"/>
  <c r="O938" i="13"/>
  <c r="O939" i="13"/>
  <c r="O940" i="13"/>
  <c r="O941" i="13"/>
  <c r="O942" i="13"/>
  <c r="O943" i="13"/>
  <c r="O944" i="13"/>
  <c r="O945" i="13"/>
  <c r="O946" i="13"/>
  <c r="O947" i="13"/>
  <c r="O948" i="13"/>
  <c r="O949" i="13"/>
  <c r="O950" i="13"/>
  <c r="O951" i="13"/>
  <c r="O952" i="13"/>
  <c r="O953" i="13"/>
  <c r="O954" i="13"/>
  <c r="O955" i="13"/>
  <c r="O956" i="13"/>
  <c r="O957" i="13"/>
  <c r="O958" i="13"/>
  <c r="O959" i="13"/>
  <c r="O960" i="13"/>
  <c r="O961" i="13"/>
  <c r="O962" i="13"/>
  <c r="O963" i="13"/>
  <c r="O964" i="13"/>
  <c r="O965" i="13"/>
  <c r="O966" i="13"/>
  <c r="O967" i="13"/>
  <c r="O968" i="13"/>
  <c r="O969" i="13"/>
  <c r="O970" i="13"/>
  <c r="O971" i="13"/>
  <c r="O972" i="13"/>
  <c r="O973" i="13"/>
  <c r="O974" i="13"/>
  <c r="O975" i="13"/>
  <c r="O976" i="13"/>
  <c r="O977" i="13"/>
  <c r="O978" i="13"/>
  <c r="O979" i="13"/>
  <c r="O980" i="13"/>
  <c r="O981" i="13"/>
  <c r="O982" i="13"/>
  <c r="O983" i="13"/>
  <c r="O984" i="13"/>
  <c r="O985" i="13"/>
  <c r="O986" i="13"/>
  <c r="O987" i="13"/>
  <c r="O988" i="13"/>
  <c r="O989" i="13"/>
  <c r="O990" i="13"/>
  <c r="O991" i="13"/>
  <c r="O992" i="13"/>
  <c r="O993" i="13"/>
  <c r="O994" i="13"/>
  <c r="O995" i="13"/>
  <c r="O996" i="13"/>
  <c r="O997" i="13"/>
  <c r="O998" i="13"/>
  <c r="O999" i="13"/>
  <c r="O1000" i="13"/>
  <c r="O1001" i="13"/>
  <c r="O1002" i="13"/>
  <c r="O1003" i="13"/>
  <c r="O1004" i="13"/>
  <c r="O1005" i="13"/>
  <c r="O1006" i="13"/>
  <c r="O1007" i="13"/>
  <c r="O1008" i="13"/>
  <c r="O1009" i="13"/>
  <c r="O1010" i="13"/>
  <c r="O1011" i="13"/>
  <c r="O1012" i="13"/>
  <c r="O1013" i="13"/>
  <c r="O1014" i="13"/>
  <c r="O1015" i="13"/>
  <c r="O1016" i="13"/>
  <c r="O1017" i="13"/>
  <c r="O1018" i="13"/>
  <c r="K1007" i="13"/>
  <c r="K1008" i="13"/>
  <c r="L1008" i="13" s="1"/>
  <c r="K1009" i="13"/>
  <c r="P1009" i="13" s="1"/>
  <c r="K1010" i="13"/>
  <c r="K1011" i="13"/>
  <c r="L1011" i="13" s="1"/>
  <c r="K1012" i="13"/>
  <c r="L1012" i="13" s="1"/>
  <c r="K1013" i="13"/>
  <c r="L1013" i="13" s="1"/>
  <c r="K1014" i="13"/>
  <c r="P1014" i="13" s="1"/>
  <c r="K1015" i="13"/>
  <c r="K1016" i="13"/>
  <c r="P1016" i="13" s="1"/>
  <c r="K1017" i="13"/>
  <c r="P1017" i="13" s="1"/>
  <c r="K1018" i="13"/>
  <c r="K1019" i="13"/>
  <c r="P1019" i="13" s="1"/>
  <c r="M1007" i="13"/>
  <c r="M1008" i="13"/>
  <c r="M1009" i="13"/>
  <c r="M1010" i="13"/>
  <c r="M1011" i="13"/>
  <c r="M1012" i="13"/>
  <c r="M1013" i="13"/>
  <c r="M1014" i="13"/>
  <c r="M1015" i="13"/>
  <c r="M1016" i="13"/>
  <c r="M1017" i="13"/>
  <c r="M1018" i="13"/>
  <c r="M1019" i="13"/>
  <c r="N1007" i="13"/>
  <c r="N1008" i="13"/>
  <c r="N1009" i="13"/>
  <c r="N1010" i="13"/>
  <c r="N1011" i="13"/>
  <c r="N1012" i="13"/>
  <c r="N1013" i="13"/>
  <c r="N1014" i="13"/>
  <c r="N1015" i="13"/>
  <c r="N1016" i="13"/>
  <c r="N1017" i="13"/>
  <c r="N1018" i="13"/>
  <c r="N1019" i="13"/>
  <c r="R1007" i="13"/>
  <c r="R1008" i="13"/>
  <c r="R1009" i="13"/>
  <c r="R1010" i="13"/>
  <c r="R1011" i="13"/>
  <c r="R1012" i="13"/>
  <c r="R1013" i="13"/>
  <c r="R1014" i="13"/>
  <c r="R1015" i="13"/>
  <c r="R1016" i="13"/>
  <c r="R1017" i="13"/>
  <c r="R1018" i="13"/>
  <c r="R1019" i="13"/>
  <c r="S1007" i="13"/>
  <c r="S1008" i="13"/>
  <c r="S1009" i="13"/>
  <c r="S1010" i="13"/>
  <c r="S1011" i="13"/>
  <c r="S1012" i="13"/>
  <c r="S1013" i="13"/>
  <c r="S1014" i="13"/>
  <c r="S1015" i="13"/>
  <c r="S1016" i="13"/>
  <c r="S1017" i="13"/>
  <c r="S1018" i="13"/>
  <c r="S1019" i="13"/>
  <c r="A6" i="37"/>
  <c r="A6" i="36"/>
  <c r="A9" i="35"/>
  <c r="K950" i="13"/>
  <c r="P950" i="13" s="1"/>
  <c r="K951" i="13"/>
  <c r="L951" i="13" s="1"/>
  <c r="K952" i="13"/>
  <c r="P952" i="13" s="1"/>
  <c r="K953" i="13"/>
  <c r="L953" i="13" s="1"/>
  <c r="K954" i="13"/>
  <c r="L954" i="13" s="1"/>
  <c r="K955" i="13"/>
  <c r="K956" i="13"/>
  <c r="P956" i="13" s="1"/>
  <c r="K957" i="13"/>
  <c r="L957" i="13" s="1"/>
  <c r="K958" i="13"/>
  <c r="P958" i="13" s="1"/>
  <c r="K959" i="13"/>
  <c r="L959" i="13" s="1"/>
  <c r="K960" i="13"/>
  <c r="P960" i="13" s="1"/>
  <c r="K961" i="13"/>
  <c r="K962" i="13"/>
  <c r="L962" i="13" s="1"/>
  <c r="K963" i="13"/>
  <c r="K964" i="13"/>
  <c r="L964" i="13" s="1"/>
  <c r="K965" i="13"/>
  <c r="K966" i="13"/>
  <c r="L966" i="13" s="1"/>
  <c r="K967" i="13"/>
  <c r="L967" i="13" s="1"/>
  <c r="K968" i="13"/>
  <c r="L968" i="13" s="1"/>
  <c r="K969" i="13"/>
  <c r="K970" i="13"/>
  <c r="L970" i="13" s="1"/>
  <c r="K971" i="13"/>
  <c r="K972" i="13"/>
  <c r="P972" i="13" s="1"/>
  <c r="K973" i="13"/>
  <c r="L973" i="13" s="1"/>
  <c r="K974" i="13"/>
  <c r="P974" i="13" s="1"/>
  <c r="K975" i="13"/>
  <c r="L975" i="13" s="1"/>
  <c r="K976" i="13"/>
  <c r="P976" i="13" s="1"/>
  <c r="K977" i="13"/>
  <c r="K978" i="13"/>
  <c r="K979" i="13"/>
  <c r="K980" i="13"/>
  <c r="P980" i="13" s="1"/>
  <c r="K981" i="13"/>
  <c r="L981" i="13" s="1"/>
  <c r="K982" i="13"/>
  <c r="L982" i="13" s="1"/>
  <c r="K983" i="13"/>
  <c r="L983" i="13" s="1"/>
  <c r="K984" i="13"/>
  <c r="L984" i="13" s="1"/>
  <c r="K985" i="13"/>
  <c r="K986" i="13"/>
  <c r="L986" i="13" s="1"/>
  <c r="K987" i="13"/>
  <c r="K988" i="13"/>
  <c r="P988" i="13" s="1"/>
  <c r="K989" i="13"/>
  <c r="L989" i="13" s="1"/>
  <c r="K990" i="13"/>
  <c r="P990" i="13" s="1"/>
  <c r="K991" i="13"/>
  <c r="L991" i="13" s="1"/>
  <c r="K992" i="13"/>
  <c r="P992" i="13" s="1"/>
  <c r="K993" i="13"/>
  <c r="L993" i="13" s="1"/>
  <c r="K994" i="13"/>
  <c r="K995" i="13"/>
  <c r="K996" i="13"/>
  <c r="L996" i="13" s="1"/>
  <c r="K997" i="13"/>
  <c r="L997" i="13" s="1"/>
  <c r="K998" i="13"/>
  <c r="L998" i="13" s="1"/>
  <c r="K999" i="13"/>
  <c r="L999" i="13" s="1"/>
  <c r="K1000" i="13"/>
  <c r="P1000" i="13" s="1"/>
  <c r="K1001" i="13"/>
  <c r="L1001" i="13" s="1"/>
  <c r="K1002" i="13"/>
  <c r="L1002" i="13" s="1"/>
  <c r="K1003" i="13"/>
  <c r="K1004" i="13"/>
  <c r="P1004" i="13" s="1"/>
  <c r="K1005" i="13"/>
  <c r="L1005" i="13" s="1"/>
  <c r="K1006" i="13"/>
  <c r="P1006" i="13" s="1"/>
  <c r="M950" i="13"/>
  <c r="M951" i="13"/>
  <c r="M952" i="13"/>
  <c r="M953" i="13"/>
  <c r="M954" i="13"/>
  <c r="M955" i="13"/>
  <c r="M956" i="13"/>
  <c r="M957" i="13"/>
  <c r="M958" i="13"/>
  <c r="M959" i="13"/>
  <c r="M960" i="13"/>
  <c r="M961" i="13"/>
  <c r="M962" i="13"/>
  <c r="M963" i="13"/>
  <c r="M964" i="13"/>
  <c r="M965" i="13"/>
  <c r="M966" i="13"/>
  <c r="M967" i="13"/>
  <c r="M968" i="13"/>
  <c r="M969" i="13"/>
  <c r="M970" i="13"/>
  <c r="M971" i="13"/>
  <c r="M972" i="13"/>
  <c r="M973" i="13"/>
  <c r="M974" i="13"/>
  <c r="M975" i="13"/>
  <c r="M976" i="13"/>
  <c r="M977" i="13"/>
  <c r="M978" i="13"/>
  <c r="M979" i="13"/>
  <c r="M980" i="13"/>
  <c r="M981" i="13"/>
  <c r="M982" i="13"/>
  <c r="M983" i="13"/>
  <c r="M984" i="13"/>
  <c r="M985" i="13"/>
  <c r="M986" i="13"/>
  <c r="M987" i="13"/>
  <c r="M988" i="13"/>
  <c r="M989" i="13"/>
  <c r="M990" i="13"/>
  <c r="M991" i="13"/>
  <c r="M992" i="13"/>
  <c r="M993" i="13"/>
  <c r="M994" i="13"/>
  <c r="M995" i="13"/>
  <c r="M996" i="13"/>
  <c r="M997" i="13"/>
  <c r="M998" i="13"/>
  <c r="M999" i="13"/>
  <c r="M1000" i="13"/>
  <c r="M1001" i="13"/>
  <c r="M1002" i="13"/>
  <c r="M1003" i="13"/>
  <c r="M1004" i="13"/>
  <c r="M1005" i="13"/>
  <c r="M1006" i="13"/>
  <c r="N950" i="13"/>
  <c r="N951" i="13"/>
  <c r="N952" i="13"/>
  <c r="N953" i="13"/>
  <c r="N954" i="13"/>
  <c r="N955" i="13"/>
  <c r="N956" i="13"/>
  <c r="N957" i="13"/>
  <c r="N958" i="13"/>
  <c r="N959" i="13"/>
  <c r="N960" i="13"/>
  <c r="N961" i="13"/>
  <c r="N962" i="13"/>
  <c r="N963" i="13"/>
  <c r="N964" i="13"/>
  <c r="N965" i="13"/>
  <c r="N966" i="13"/>
  <c r="N967" i="13"/>
  <c r="N968" i="13"/>
  <c r="N969" i="13"/>
  <c r="N970" i="13"/>
  <c r="N971" i="13"/>
  <c r="N972" i="13"/>
  <c r="N973" i="13"/>
  <c r="N974" i="13"/>
  <c r="N975" i="13"/>
  <c r="N976" i="13"/>
  <c r="N977" i="13"/>
  <c r="N978" i="13"/>
  <c r="N979" i="13"/>
  <c r="N980" i="13"/>
  <c r="N981" i="13"/>
  <c r="N982" i="13"/>
  <c r="N983" i="13"/>
  <c r="N984" i="13"/>
  <c r="N985" i="13"/>
  <c r="N986" i="13"/>
  <c r="N987" i="13"/>
  <c r="N988" i="13"/>
  <c r="N989" i="13"/>
  <c r="N990" i="13"/>
  <c r="N991" i="13"/>
  <c r="N992" i="13"/>
  <c r="N993" i="13"/>
  <c r="N994" i="13"/>
  <c r="N995" i="13"/>
  <c r="N996" i="13"/>
  <c r="N997" i="13"/>
  <c r="N998" i="13"/>
  <c r="N999" i="13"/>
  <c r="N1000" i="13"/>
  <c r="N1001" i="13"/>
  <c r="N1002" i="13"/>
  <c r="N1003" i="13"/>
  <c r="N1004" i="13"/>
  <c r="N1005" i="13"/>
  <c r="N1006" i="13"/>
  <c r="R950" i="13"/>
  <c r="R951" i="13"/>
  <c r="R952" i="13"/>
  <c r="R953" i="13"/>
  <c r="R954" i="13"/>
  <c r="R955" i="13"/>
  <c r="R956" i="13"/>
  <c r="R957" i="13"/>
  <c r="R958" i="13"/>
  <c r="R959" i="13"/>
  <c r="R960" i="13"/>
  <c r="R961" i="13"/>
  <c r="R962" i="13"/>
  <c r="R963" i="13"/>
  <c r="R964" i="13"/>
  <c r="R965" i="13"/>
  <c r="R966" i="13"/>
  <c r="R967" i="13"/>
  <c r="R968" i="13"/>
  <c r="R969" i="13"/>
  <c r="R970" i="13"/>
  <c r="R971" i="13"/>
  <c r="R972" i="13"/>
  <c r="R973" i="13"/>
  <c r="R974" i="13"/>
  <c r="R975" i="13"/>
  <c r="R976" i="13"/>
  <c r="R977" i="13"/>
  <c r="R978" i="13"/>
  <c r="R979" i="13"/>
  <c r="R980" i="13"/>
  <c r="R981" i="13"/>
  <c r="R982" i="13"/>
  <c r="R983" i="13"/>
  <c r="R984" i="13"/>
  <c r="R985" i="13"/>
  <c r="R986" i="13"/>
  <c r="R987" i="13"/>
  <c r="R988" i="13"/>
  <c r="R989" i="13"/>
  <c r="R990" i="13"/>
  <c r="R991" i="13"/>
  <c r="R992" i="13"/>
  <c r="R993" i="13"/>
  <c r="R994" i="13"/>
  <c r="R995" i="13"/>
  <c r="R996" i="13"/>
  <c r="R997" i="13"/>
  <c r="R998" i="13"/>
  <c r="R999" i="13"/>
  <c r="R1000" i="13"/>
  <c r="R1001" i="13"/>
  <c r="R1002" i="13"/>
  <c r="R1003" i="13"/>
  <c r="R1004" i="13"/>
  <c r="R1005" i="13"/>
  <c r="R1006" i="13"/>
  <c r="S950" i="13"/>
  <c r="S951" i="13"/>
  <c r="S952" i="13"/>
  <c r="S953" i="13"/>
  <c r="S954" i="13"/>
  <c r="S955" i="13"/>
  <c r="S956" i="13"/>
  <c r="S957" i="13"/>
  <c r="S958" i="13"/>
  <c r="S959" i="13"/>
  <c r="S960" i="13"/>
  <c r="S961" i="13"/>
  <c r="S962" i="13"/>
  <c r="S963" i="13"/>
  <c r="S964" i="13"/>
  <c r="S965" i="13"/>
  <c r="S966" i="13"/>
  <c r="S967" i="13"/>
  <c r="S968" i="13"/>
  <c r="S969" i="13"/>
  <c r="S970" i="13"/>
  <c r="S971" i="13"/>
  <c r="S972" i="13"/>
  <c r="S973" i="13"/>
  <c r="S974" i="13"/>
  <c r="S975" i="13"/>
  <c r="S976" i="13"/>
  <c r="S977" i="13"/>
  <c r="S978" i="13"/>
  <c r="S979" i="13"/>
  <c r="S980" i="13"/>
  <c r="S981" i="13"/>
  <c r="S982" i="13"/>
  <c r="S983" i="13"/>
  <c r="S984" i="13"/>
  <c r="S985" i="13"/>
  <c r="S986" i="13"/>
  <c r="S987" i="13"/>
  <c r="S988" i="13"/>
  <c r="S989" i="13"/>
  <c r="S990" i="13"/>
  <c r="S991" i="13"/>
  <c r="S992" i="13"/>
  <c r="S993" i="13"/>
  <c r="S994" i="13"/>
  <c r="S995" i="13"/>
  <c r="S996" i="13"/>
  <c r="S997" i="13"/>
  <c r="S998" i="13"/>
  <c r="S999" i="13"/>
  <c r="S1000" i="13"/>
  <c r="S1001" i="13"/>
  <c r="S1002" i="13"/>
  <c r="S1003" i="13"/>
  <c r="S1004" i="13"/>
  <c r="S1005" i="13"/>
  <c r="S1006" i="13"/>
  <c r="A55" i="15"/>
  <c r="K937" i="13"/>
  <c r="L937" i="13" s="1"/>
  <c r="K938" i="13"/>
  <c r="P938" i="13" s="1"/>
  <c r="K939" i="13"/>
  <c r="K940" i="13"/>
  <c r="P940" i="13" s="1"/>
  <c r="K941" i="13"/>
  <c r="P941" i="13" s="1"/>
  <c r="K942" i="13"/>
  <c r="L942" i="13" s="1"/>
  <c r="K943" i="13"/>
  <c r="K944" i="13"/>
  <c r="L944" i="13" s="1"/>
  <c r="K945" i="13"/>
  <c r="L945" i="13" s="1"/>
  <c r="K946" i="13"/>
  <c r="P946" i="13" s="1"/>
  <c r="K947" i="13"/>
  <c r="P947" i="13" s="1"/>
  <c r="K948" i="13"/>
  <c r="P948" i="13" s="1"/>
  <c r="K949" i="13"/>
  <c r="L949" i="13" s="1"/>
  <c r="M937" i="13"/>
  <c r="M938" i="13"/>
  <c r="M939" i="13"/>
  <c r="M940" i="13"/>
  <c r="M941" i="13"/>
  <c r="M942" i="13"/>
  <c r="M943" i="13"/>
  <c r="M944" i="13"/>
  <c r="M945" i="13"/>
  <c r="M946" i="13"/>
  <c r="M947" i="13"/>
  <c r="M948" i="13"/>
  <c r="M949" i="13"/>
  <c r="N937" i="13"/>
  <c r="N938" i="13"/>
  <c r="N939" i="13"/>
  <c r="N940" i="13"/>
  <c r="N941" i="13"/>
  <c r="N942" i="13"/>
  <c r="N943" i="13"/>
  <c r="N944" i="13"/>
  <c r="N945" i="13"/>
  <c r="N946" i="13"/>
  <c r="N947" i="13"/>
  <c r="N948" i="13"/>
  <c r="N949" i="13"/>
  <c r="R937" i="13"/>
  <c r="R938" i="13"/>
  <c r="R939" i="13"/>
  <c r="R940" i="13"/>
  <c r="R941" i="13"/>
  <c r="R942" i="13"/>
  <c r="R943" i="13"/>
  <c r="R944" i="13"/>
  <c r="R945" i="13"/>
  <c r="R946" i="13"/>
  <c r="R947" i="13"/>
  <c r="R948" i="13"/>
  <c r="R949" i="13"/>
  <c r="S937" i="13"/>
  <c r="S938" i="13"/>
  <c r="S939" i="13"/>
  <c r="S940" i="13"/>
  <c r="S941" i="13"/>
  <c r="S942" i="13"/>
  <c r="S943" i="13"/>
  <c r="S944" i="13"/>
  <c r="S945" i="13"/>
  <c r="S946" i="13"/>
  <c r="S947" i="13"/>
  <c r="S948" i="13"/>
  <c r="S949" i="13"/>
  <c r="A5" i="36"/>
  <c r="A8" i="35"/>
  <c r="O878" i="13"/>
  <c r="O879" i="13"/>
  <c r="O880" i="13"/>
  <c r="O881" i="13"/>
  <c r="O882" i="13"/>
  <c r="O883" i="13"/>
  <c r="O884" i="13"/>
  <c r="O885" i="13"/>
  <c r="O886" i="13"/>
  <c r="O887" i="13"/>
  <c r="O888" i="13"/>
  <c r="O889" i="13"/>
  <c r="O890" i="13"/>
  <c r="O891" i="13"/>
  <c r="O892" i="13"/>
  <c r="O893" i="13"/>
  <c r="O894" i="13"/>
  <c r="O895" i="13"/>
  <c r="O896" i="13"/>
  <c r="O897" i="13"/>
  <c r="O898" i="13"/>
  <c r="O899" i="13"/>
  <c r="O900" i="13"/>
  <c r="O901" i="13"/>
  <c r="O902" i="13"/>
  <c r="O903" i="13"/>
  <c r="O904" i="13"/>
  <c r="O905" i="13"/>
  <c r="O906" i="13"/>
  <c r="O907" i="13"/>
  <c r="O908" i="13"/>
  <c r="O909" i="13"/>
  <c r="O910" i="13"/>
  <c r="O911" i="13"/>
  <c r="O912" i="13"/>
  <c r="O913" i="13"/>
  <c r="O914" i="13"/>
  <c r="O915" i="13"/>
  <c r="O916" i="13"/>
  <c r="O917" i="13"/>
  <c r="O918" i="13"/>
  <c r="O919" i="13"/>
  <c r="O920" i="13"/>
  <c r="O921" i="13"/>
  <c r="O922" i="13"/>
  <c r="O923" i="13"/>
  <c r="O924" i="13"/>
  <c r="O925" i="13"/>
  <c r="O926" i="13"/>
  <c r="O927" i="13"/>
  <c r="O928" i="13"/>
  <c r="O929" i="13"/>
  <c r="O930" i="13"/>
  <c r="O931" i="13"/>
  <c r="O932" i="13"/>
  <c r="O933" i="13"/>
  <c r="O934" i="13"/>
  <c r="O935" i="13"/>
  <c r="O936" i="13"/>
  <c r="K896" i="13"/>
  <c r="K897" i="13"/>
  <c r="P897" i="13" s="1"/>
  <c r="K898" i="13"/>
  <c r="P898" i="13" s="1"/>
  <c r="K899" i="13"/>
  <c r="L899" i="13" s="1"/>
  <c r="K900" i="13"/>
  <c r="P900" i="13" s="1"/>
  <c r="K901" i="13"/>
  <c r="K902" i="13"/>
  <c r="K903" i="13"/>
  <c r="P903" i="13" s="1"/>
  <c r="K904" i="13"/>
  <c r="K905" i="13"/>
  <c r="L905" i="13" s="1"/>
  <c r="K906" i="13"/>
  <c r="L906" i="13" s="1"/>
  <c r="K907" i="13"/>
  <c r="L907" i="13" s="1"/>
  <c r="K908" i="13"/>
  <c r="L908" i="13" s="1"/>
  <c r="K909" i="13"/>
  <c r="K910" i="13"/>
  <c r="P910" i="13" s="1"/>
  <c r="K911" i="13"/>
  <c r="P911" i="13" s="1"/>
  <c r="K912" i="13"/>
  <c r="L912" i="13" s="1"/>
  <c r="K913" i="13"/>
  <c r="K914" i="13"/>
  <c r="P914" i="13" s="1"/>
  <c r="K915" i="13"/>
  <c r="L915" i="13" s="1"/>
  <c r="K916" i="13"/>
  <c r="L916" i="13" s="1"/>
  <c r="K917" i="13"/>
  <c r="K918" i="13"/>
  <c r="P918" i="13" s="1"/>
  <c r="K919" i="13"/>
  <c r="P919" i="13" s="1"/>
  <c r="K920" i="13"/>
  <c r="K921" i="13"/>
  <c r="L921" i="13" s="1"/>
  <c r="K922" i="13"/>
  <c r="K923" i="13"/>
  <c r="L923" i="13" s="1"/>
  <c r="K924" i="13"/>
  <c r="L924" i="13" s="1"/>
  <c r="K925" i="13"/>
  <c r="P925" i="13" s="1"/>
  <c r="K926" i="13"/>
  <c r="L926" i="13" s="1"/>
  <c r="K927" i="13"/>
  <c r="L927" i="13" s="1"/>
  <c r="K928" i="13"/>
  <c r="L928" i="13" s="1"/>
  <c r="K929" i="13"/>
  <c r="K930" i="13"/>
  <c r="P930" i="13" s="1"/>
  <c r="K931" i="13"/>
  <c r="L931" i="13" s="1"/>
  <c r="K932" i="13"/>
  <c r="P932" i="13" s="1"/>
  <c r="K933" i="13"/>
  <c r="K934" i="13"/>
  <c r="L934" i="13" s="1"/>
  <c r="K935" i="13"/>
  <c r="P935" i="13" s="1"/>
  <c r="K936" i="13"/>
  <c r="L936" i="13" s="1"/>
  <c r="L898" i="13"/>
  <c r="M896" i="13"/>
  <c r="M897" i="13"/>
  <c r="M898" i="13"/>
  <c r="M899" i="13"/>
  <c r="M900" i="13"/>
  <c r="M901" i="13"/>
  <c r="M902" i="13"/>
  <c r="M903" i="13"/>
  <c r="M904" i="13"/>
  <c r="M905" i="13"/>
  <c r="M906" i="13"/>
  <c r="M907" i="13"/>
  <c r="M908" i="13"/>
  <c r="M909" i="13"/>
  <c r="M910" i="13"/>
  <c r="M911" i="13"/>
  <c r="M912" i="13"/>
  <c r="M913" i="13"/>
  <c r="M914" i="13"/>
  <c r="M915" i="13"/>
  <c r="M916" i="13"/>
  <c r="M917" i="13"/>
  <c r="M918" i="13"/>
  <c r="M919" i="13"/>
  <c r="M920" i="13"/>
  <c r="M921" i="13"/>
  <c r="M922" i="13"/>
  <c r="M923" i="13"/>
  <c r="M924" i="13"/>
  <c r="M925" i="13"/>
  <c r="M926" i="13"/>
  <c r="M927" i="13"/>
  <c r="M928" i="13"/>
  <c r="M929" i="13"/>
  <c r="M930" i="13"/>
  <c r="M931" i="13"/>
  <c r="M932" i="13"/>
  <c r="M933" i="13"/>
  <c r="M934" i="13"/>
  <c r="M935" i="13"/>
  <c r="M936" i="13"/>
  <c r="N896" i="13"/>
  <c r="N897" i="13"/>
  <c r="N898" i="13"/>
  <c r="N899" i="13"/>
  <c r="N900" i="13"/>
  <c r="N901" i="13"/>
  <c r="N902" i="13"/>
  <c r="N903" i="13"/>
  <c r="N904" i="13"/>
  <c r="N905" i="13"/>
  <c r="N906" i="13"/>
  <c r="N907" i="13"/>
  <c r="N908" i="13"/>
  <c r="N909" i="13"/>
  <c r="N910" i="13"/>
  <c r="N911" i="13"/>
  <c r="N912" i="13"/>
  <c r="N913" i="13"/>
  <c r="N914" i="13"/>
  <c r="N915" i="13"/>
  <c r="N916" i="13"/>
  <c r="N917" i="13"/>
  <c r="N918" i="13"/>
  <c r="N919" i="13"/>
  <c r="N920" i="13"/>
  <c r="N921" i="13"/>
  <c r="N922" i="13"/>
  <c r="N923" i="13"/>
  <c r="N924" i="13"/>
  <c r="N925" i="13"/>
  <c r="N926" i="13"/>
  <c r="N927" i="13"/>
  <c r="N928" i="13"/>
  <c r="N929" i="13"/>
  <c r="N930" i="13"/>
  <c r="N931" i="13"/>
  <c r="N932" i="13"/>
  <c r="N933" i="13"/>
  <c r="N934" i="13"/>
  <c r="N935" i="13"/>
  <c r="N936" i="13"/>
  <c r="R896" i="13"/>
  <c r="R897" i="13"/>
  <c r="R898" i="13"/>
  <c r="R899" i="13"/>
  <c r="R900" i="13"/>
  <c r="R901" i="13"/>
  <c r="R902" i="13"/>
  <c r="R903" i="13"/>
  <c r="R904" i="13"/>
  <c r="R905" i="13"/>
  <c r="R906" i="13"/>
  <c r="R907" i="13"/>
  <c r="R908" i="13"/>
  <c r="R909" i="13"/>
  <c r="R910" i="13"/>
  <c r="R911" i="13"/>
  <c r="R912" i="13"/>
  <c r="R913" i="13"/>
  <c r="R914" i="13"/>
  <c r="R915" i="13"/>
  <c r="R916" i="13"/>
  <c r="R917" i="13"/>
  <c r="R918" i="13"/>
  <c r="R919" i="13"/>
  <c r="R920" i="13"/>
  <c r="R921" i="13"/>
  <c r="R922" i="13"/>
  <c r="R923" i="13"/>
  <c r="R924" i="13"/>
  <c r="R925" i="13"/>
  <c r="R926" i="13"/>
  <c r="R927" i="13"/>
  <c r="R928" i="13"/>
  <c r="R929" i="13"/>
  <c r="R930" i="13"/>
  <c r="R931" i="13"/>
  <c r="R932" i="13"/>
  <c r="R933" i="13"/>
  <c r="R934" i="13"/>
  <c r="R935" i="13"/>
  <c r="R936" i="13"/>
  <c r="S896" i="13"/>
  <c r="S897" i="13"/>
  <c r="S898" i="13"/>
  <c r="S899" i="13"/>
  <c r="S900" i="13"/>
  <c r="S901" i="13"/>
  <c r="S902" i="13"/>
  <c r="S903" i="13"/>
  <c r="S904" i="13"/>
  <c r="S905" i="13"/>
  <c r="S906" i="13"/>
  <c r="S907" i="13"/>
  <c r="S908" i="13"/>
  <c r="S909" i="13"/>
  <c r="S910" i="13"/>
  <c r="S911" i="13"/>
  <c r="S912" i="13"/>
  <c r="S913" i="13"/>
  <c r="S914" i="13"/>
  <c r="S915" i="13"/>
  <c r="S916" i="13"/>
  <c r="S917" i="13"/>
  <c r="S918" i="13"/>
  <c r="S919" i="13"/>
  <c r="S920" i="13"/>
  <c r="S921" i="13"/>
  <c r="S922" i="13"/>
  <c r="S923" i="13"/>
  <c r="S924" i="13"/>
  <c r="S925" i="13"/>
  <c r="S926" i="13"/>
  <c r="S927" i="13"/>
  <c r="S928" i="13"/>
  <c r="S929" i="13"/>
  <c r="S930" i="13"/>
  <c r="S931" i="13"/>
  <c r="S932" i="13"/>
  <c r="S933" i="13"/>
  <c r="S934" i="13"/>
  <c r="S935" i="13"/>
  <c r="S936" i="13"/>
  <c r="A54" i="15"/>
  <c r="K878" i="13"/>
  <c r="P878" i="13" s="1"/>
  <c r="K879" i="13"/>
  <c r="L879" i="13" s="1"/>
  <c r="K880" i="13"/>
  <c r="K881" i="13"/>
  <c r="P881" i="13" s="1"/>
  <c r="K882" i="13"/>
  <c r="L882" i="13" s="1"/>
  <c r="K883" i="13"/>
  <c r="L883" i="13" s="1"/>
  <c r="K884" i="13"/>
  <c r="K885" i="13"/>
  <c r="K886" i="13"/>
  <c r="K887" i="13"/>
  <c r="L887" i="13" s="1"/>
  <c r="K888" i="13"/>
  <c r="L888" i="13" s="1"/>
  <c r="K889" i="13"/>
  <c r="L889" i="13" s="1"/>
  <c r="K890" i="13"/>
  <c r="L890" i="13" s="1"/>
  <c r="K891" i="13"/>
  <c r="L891" i="13" s="1"/>
  <c r="K892" i="13"/>
  <c r="K893" i="13"/>
  <c r="P893" i="13" s="1"/>
  <c r="K894" i="13"/>
  <c r="K895" i="13"/>
  <c r="L895" i="13" s="1"/>
  <c r="M878" i="13"/>
  <c r="M879" i="13"/>
  <c r="M880" i="13"/>
  <c r="M881" i="13"/>
  <c r="M882" i="13"/>
  <c r="M883" i="13"/>
  <c r="M884" i="13"/>
  <c r="M885" i="13"/>
  <c r="M886" i="13"/>
  <c r="M887" i="13"/>
  <c r="M888" i="13"/>
  <c r="M889" i="13"/>
  <c r="M890" i="13"/>
  <c r="M891" i="13"/>
  <c r="M892" i="13"/>
  <c r="M893" i="13"/>
  <c r="M894" i="13"/>
  <c r="M895" i="13"/>
  <c r="N878" i="13"/>
  <c r="N879" i="13"/>
  <c r="N880" i="13"/>
  <c r="N881" i="13"/>
  <c r="N882" i="13"/>
  <c r="N883" i="13"/>
  <c r="N884" i="13"/>
  <c r="N885" i="13"/>
  <c r="N886" i="13"/>
  <c r="N887" i="13"/>
  <c r="N888" i="13"/>
  <c r="N889" i="13"/>
  <c r="N890" i="13"/>
  <c r="N891" i="13"/>
  <c r="N892" i="13"/>
  <c r="N893" i="13"/>
  <c r="N894" i="13"/>
  <c r="N895" i="13"/>
  <c r="R878" i="13"/>
  <c r="R879" i="13"/>
  <c r="R880" i="13"/>
  <c r="R881" i="13"/>
  <c r="R882" i="13"/>
  <c r="R883" i="13"/>
  <c r="R884" i="13"/>
  <c r="R885" i="13"/>
  <c r="R886" i="13"/>
  <c r="R887" i="13"/>
  <c r="R888" i="13"/>
  <c r="R889" i="13"/>
  <c r="R890" i="13"/>
  <c r="R891" i="13"/>
  <c r="R892" i="13"/>
  <c r="R893" i="13"/>
  <c r="R894" i="13"/>
  <c r="R895" i="13"/>
  <c r="S878" i="13"/>
  <c r="S879" i="13"/>
  <c r="S880" i="13"/>
  <c r="S881" i="13"/>
  <c r="S882" i="13"/>
  <c r="S883" i="13"/>
  <c r="S884" i="13"/>
  <c r="S885" i="13"/>
  <c r="S886" i="13"/>
  <c r="S887" i="13"/>
  <c r="S888" i="13"/>
  <c r="S889" i="13"/>
  <c r="S890" i="13"/>
  <c r="S891" i="13"/>
  <c r="S892" i="13"/>
  <c r="S893" i="13"/>
  <c r="S894" i="13"/>
  <c r="S895" i="13"/>
  <c r="A9" i="33"/>
  <c r="A8" i="33"/>
  <c r="A5" i="37"/>
  <c r="A4" i="36"/>
  <c r="A7" i="35"/>
  <c r="K801" i="13"/>
  <c r="L801" i="13" s="1"/>
  <c r="A4" i="34"/>
  <c r="O777" i="13"/>
  <c r="O778" i="13"/>
  <c r="O779" i="13"/>
  <c r="O780" i="13"/>
  <c r="O781" i="13"/>
  <c r="O782" i="13"/>
  <c r="O783" i="13"/>
  <c r="O784" i="13"/>
  <c r="O785" i="13"/>
  <c r="O786" i="13"/>
  <c r="O787" i="13"/>
  <c r="O788" i="13"/>
  <c r="O789" i="13"/>
  <c r="O790" i="13"/>
  <c r="O791" i="13"/>
  <c r="O792" i="13"/>
  <c r="O793" i="13"/>
  <c r="O794" i="13"/>
  <c r="O795" i="13"/>
  <c r="O796" i="13"/>
  <c r="O797" i="13"/>
  <c r="O798" i="13"/>
  <c r="O799" i="13"/>
  <c r="O800" i="13"/>
  <c r="O801" i="13"/>
  <c r="O802" i="13"/>
  <c r="O803" i="13"/>
  <c r="O804" i="13"/>
  <c r="O805" i="13"/>
  <c r="O806" i="13"/>
  <c r="O807" i="13"/>
  <c r="O808" i="13"/>
  <c r="O809" i="13"/>
  <c r="O810" i="13"/>
  <c r="O811" i="13"/>
  <c r="O812" i="13"/>
  <c r="O813" i="13"/>
  <c r="O814" i="13"/>
  <c r="O815" i="13"/>
  <c r="O816" i="13"/>
  <c r="O817" i="13"/>
  <c r="O818" i="13"/>
  <c r="O819" i="13"/>
  <c r="O820" i="13"/>
  <c r="O821" i="13"/>
  <c r="O822" i="13"/>
  <c r="O823" i="13"/>
  <c r="O824" i="13"/>
  <c r="O825" i="13"/>
  <c r="O826" i="13"/>
  <c r="O827" i="13"/>
  <c r="O828" i="13"/>
  <c r="O829" i="13"/>
  <c r="O830" i="13"/>
  <c r="O831" i="13"/>
  <c r="O832" i="13"/>
  <c r="O833" i="13"/>
  <c r="O834" i="13"/>
  <c r="O835" i="13"/>
  <c r="O836" i="13"/>
  <c r="O837" i="13"/>
  <c r="O838" i="13"/>
  <c r="O839" i="13"/>
  <c r="O840" i="13"/>
  <c r="O841" i="13"/>
  <c r="O842" i="13"/>
  <c r="O843" i="13"/>
  <c r="O844" i="13"/>
  <c r="O845" i="13"/>
  <c r="O846" i="13"/>
  <c r="O847" i="13"/>
  <c r="O848" i="13"/>
  <c r="O849" i="13"/>
  <c r="O850" i="13"/>
  <c r="O851" i="13"/>
  <c r="O852" i="13"/>
  <c r="O853" i="13"/>
  <c r="O854" i="13"/>
  <c r="O855" i="13"/>
  <c r="O856" i="13"/>
  <c r="O857" i="13"/>
  <c r="O858" i="13"/>
  <c r="O859" i="13"/>
  <c r="O860" i="13"/>
  <c r="O861" i="13"/>
  <c r="O862" i="13"/>
  <c r="O863" i="13"/>
  <c r="O864" i="13"/>
  <c r="O865" i="13"/>
  <c r="O866" i="13"/>
  <c r="O867" i="13"/>
  <c r="O868" i="13"/>
  <c r="O869" i="13"/>
  <c r="O870" i="13"/>
  <c r="O871" i="13"/>
  <c r="O872" i="13"/>
  <c r="O873" i="13"/>
  <c r="O874" i="13"/>
  <c r="O875" i="13"/>
  <c r="O876" i="13"/>
  <c r="O877" i="13"/>
  <c r="K777" i="13"/>
  <c r="P777" i="13" s="1"/>
  <c r="K778" i="13"/>
  <c r="L778" i="13" s="1"/>
  <c r="K779" i="13"/>
  <c r="L779" i="13" s="1"/>
  <c r="K780" i="13"/>
  <c r="L780" i="13" s="1"/>
  <c r="K781" i="13"/>
  <c r="P781" i="13" s="1"/>
  <c r="K782" i="13"/>
  <c r="K783" i="13"/>
  <c r="K784" i="13"/>
  <c r="L784" i="13" s="1"/>
  <c r="K785" i="13"/>
  <c r="P785" i="13" s="1"/>
  <c r="K786" i="13"/>
  <c r="L786" i="13" s="1"/>
  <c r="K787" i="13"/>
  <c r="P787" i="13" s="1"/>
  <c r="K788" i="13"/>
  <c r="K789" i="13"/>
  <c r="L789" i="13" s="1"/>
  <c r="K790" i="13"/>
  <c r="P790" i="13" s="1"/>
  <c r="K791" i="13"/>
  <c r="K792" i="13"/>
  <c r="L792" i="13" s="1"/>
  <c r="K793" i="13"/>
  <c r="L793" i="13" s="1"/>
  <c r="K794" i="13"/>
  <c r="L794" i="13" s="1"/>
  <c r="K795" i="13"/>
  <c r="L795" i="13" s="1"/>
  <c r="K796" i="13"/>
  <c r="L796" i="13" s="1"/>
  <c r="K797" i="13"/>
  <c r="K798" i="13"/>
  <c r="K799" i="13"/>
  <c r="K800" i="13"/>
  <c r="P800" i="13" s="1"/>
  <c r="K802" i="13"/>
  <c r="L802" i="13" s="1"/>
  <c r="K803" i="13"/>
  <c r="L803" i="13" s="1"/>
  <c r="K804" i="13"/>
  <c r="L804" i="13" s="1"/>
  <c r="K805" i="13"/>
  <c r="L805" i="13" s="1"/>
  <c r="K806" i="13"/>
  <c r="L806" i="13" s="1"/>
  <c r="K807" i="13"/>
  <c r="L807" i="13" s="1"/>
  <c r="K808" i="13"/>
  <c r="P808" i="13" s="1"/>
  <c r="K809" i="13"/>
  <c r="L809" i="13" s="1"/>
  <c r="K810" i="13"/>
  <c r="L810" i="13" s="1"/>
  <c r="K811" i="13"/>
  <c r="L811" i="13" s="1"/>
  <c r="K812" i="13"/>
  <c r="L812" i="13" s="1"/>
  <c r="K813" i="13"/>
  <c r="L813" i="13" s="1"/>
  <c r="K814" i="13"/>
  <c r="K815" i="13"/>
  <c r="L815" i="13" s="1"/>
  <c r="K816" i="13"/>
  <c r="P816" i="13" s="1"/>
  <c r="K817" i="13"/>
  <c r="P817" i="13" s="1"/>
  <c r="K818" i="13"/>
  <c r="L818" i="13" s="1"/>
  <c r="K819" i="13"/>
  <c r="L819" i="13" s="1"/>
  <c r="K820" i="13"/>
  <c r="P820" i="13" s="1"/>
  <c r="K821" i="13"/>
  <c r="L821" i="13" s="1"/>
  <c r="K822" i="13"/>
  <c r="K823" i="13"/>
  <c r="L823" i="13" s="1"/>
  <c r="K824" i="13"/>
  <c r="K825" i="13"/>
  <c r="L825" i="13" s="1"/>
  <c r="K826" i="13"/>
  <c r="L826" i="13" s="1"/>
  <c r="K827" i="13"/>
  <c r="L827" i="13" s="1"/>
  <c r="K828" i="13"/>
  <c r="L828" i="13" s="1"/>
  <c r="K829" i="13"/>
  <c r="L829" i="13" s="1"/>
  <c r="K830" i="13"/>
  <c r="L830" i="13" s="1"/>
  <c r="K831" i="13"/>
  <c r="L831" i="13" s="1"/>
  <c r="K832" i="13"/>
  <c r="K833" i="13"/>
  <c r="L833" i="13" s="1"/>
  <c r="K834" i="13"/>
  <c r="K835" i="13"/>
  <c r="P835" i="13" s="1"/>
  <c r="K836" i="13"/>
  <c r="P836" i="13" s="1"/>
  <c r="K837" i="13"/>
  <c r="L837" i="13" s="1"/>
  <c r="K838" i="13"/>
  <c r="K839" i="13"/>
  <c r="L839" i="13" s="1"/>
  <c r="K840" i="13"/>
  <c r="L840" i="13" s="1"/>
  <c r="K841" i="13"/>
  <c r="L841" i="13" s="1"/>
  <c r="K842" i="13"/>
  <c r="L842" i="13" s="1"/>
  <c r="K843" i="13"/>
  <c r="L843" i="13" s="1"/>
  <c r="K844" i="13"/>
  <c r="P844" i="13" s="1"/>
  <c r="K845" i="13"/>
  <c r="L845" i="13" s="1"/>
  <c r="K846" i="13"/>
  <c r="L846" i="13" s="1"/>
  <c r="K847" i="13"/>
  <c r="L847" i="13" s="1"/>
  <c r="K848" i="13"/>
  <c r="K849" i="13"/>
  <c r="L849" i="13" s="1"/>
  <c r="K850" i="13"/>
  <c r="L850" i="13" s="1"/>
  <c r="K851" i="13"/>
  <c r="P851" i="13" s="1"/>
  <c r="K852" i="13"/>
  <c r="P852" i="13" s="1"/>
  <c r="K853" i="13"/>
  <c r="P853" i="13" s="1"/>
  <c r="K854" i="13"/>
  <c r="K855" i="13"/>
  <c r="L855" i="13" s="1"/>
  <c r="K856" i="13"/>
  <c r="L856" i="13" s="1"/>
  <c r="K857" i="13"/>
  <c r="P857" i="13" s="1"/>
  <c r="K858" i="13"/>
  <c r="L858" i="13" s="1"/>
  <c r="K859" i="13"/>
  <c r="L859" i="13" s="1"/>
  <c r="K860" i="13"/>
  <c r="L860" i="13" s="1"/>
  <c r="K861" i="13"/>
  <c r="L861" i="13" s="1"/>
  <c r="K862" i="13"/>
  <c r="K863" i="13"/>
  <c r="L863" i="13" s="1"/>
  <c r="K864" i="13"/>
  <c r="P864" i="13" s="1"/>
  <c r="K865" i="13"/>
  <c r="L865" i="13" s="1"/>
  <c r="K866" i="13"/>
  <c r="L866" i="13" s="1"/>
  <c r="K867" i="13"/>
  <c r="K868" i="13"/>
  <c r="L868" i="13" s="1"/>
  <c r="K869" i="13"/>
  <c r="L869" i="13" s="1"/>
  <c r="K870" i="13"/>
  <c r="L870" i="13" s="1"/>
  <c r="K871" i="13"/>
  <c r="L871" i="13" s="1"/>
  <c r="K872" i="13"/>
  <c r="K873" i="13"/>
  <c r="P873" i="13" s="1"/>
  <c r="K874" i="13"/>
  <c r="L874" i="13" s="1"/>
  <c r="K875" i="13"/>
  <c r="L875" i="13" s="1"/>
  <c r="K876" i="13"/>
  <c r="L876" i="13" s="1"/>
  <c r="K877" i="13"/>
  <c r="L877" i="13" s="1"/>
  <c r="L781" i="13"/>
  <c r="M777" i="13"/>
  <c r="M778" i="13"/>
  <c r="M779" i="13"/>
  <c r="M780" i="13"/>
  <c r="M781" i="13"/>
  <c r="M782" i="13"/>
  <c r="M783" i="13"/>
  <c r="M784" i="13"/>
  <c r="M785" i="13"/>
  <c r="M786" i="13"/>
  <c r="M787" i="13"/>
  <c r="M788" i="13"/>
  <c r="M789" i="13"/>
  <c r="M790" i="13"/>
  <c r="M791" i="13"/>
  <c r="M792" i="13"/>
  <c r="M793" i="13"/>
  <c r="M794" i="13"/>
  <c r="M795" i="13"/>
  <c r="M796" i="13"/>
  <c r="M797" i="13"/>
  <c r="M798" i="13"/>
  <c r="M799" i="13"/>
  <c r="M800" i="13"/>
  <c r="M801" i="13"/>
  <c r="M802" i="13"/>
  <c r="M803" i="13"/>
  <c r="M804" i="13"/>
  <c r="M805" i="13"/>
  <c r="M806" i="13"/>
  <c r="M807" i="13"/>
  <c r="M808" i="13"/>
  <c r="M809" i="13"/>
  <c r="M810" i="13"/>
  <c r="M811" i="13"/>
  <c r="M812" i="13"/>
  <c r="M813" i="13"/>
  <c r="M814" i="13"/>
  <c r="M815" i="13"/>
  <c r="M816" i="13"/>
  <c r="M817" i="13"/>
  <c r="M818" i="13"/>
  <c r="M819" i="13"/>
  <c r="M820" i="13"/>
  <c r="M821" i="13"/>
  <c r="M822" i="13"/>
  <c r="M823" i="13"/>
  <c r="M824" i="13"/>
  <c r="M825" i="13"/>
  <c r="M826" i="13"/>
  <c r="M827" i="13"/>
  <c r="M828" i="13"/>
  <c r="M829" i="13"/>
  <c r="M830" i="13"/>
  <c r="M831" i="13"/>
  <c r="M832" i="13"/>
  <c r="M833" i="13"/>
  <c r="M834" i="13"/>
  <c r="M835" i="13"/>
  <c r="M836" i="13"/>
  <c r="M837" i="13"/>
  <c r="M838" i="13"/>
  <c r="M839" i="13"/>
  <c r="M840" i="13"/>
  <c r="M841" i="13"/>
  <c r="M842" i="13"/>
  <c r="M843" i="13"/>
  <c r="M844" i="13"/>
  <c r="M845" i="13"/>
  <c r="M846" i="13"/>
  <c r="M847" i="13"/>
  <c r="M848" i="13"/>
  <c r="M849" i="13"/>
  <c r="M850" i="13"/>
  <c r="M851" i="13"/>
  <c r="M852" i="13"/>
  <c r="M853" i="13"/>
  <c r="M854" i="13"/>
  <c r="M855" i="13"/>
  <c r="M856" i="13"/>
  <c r="M857" i="13"/>
  <c r="M858" i="13"/>
  <c r="M859" i="13"/>
  <c r="M860" i="13"/>
  <c r="M861" i="13"/>
  <c r="M862" i="13"/>
  <c r="M863" i="13"/>
  <c r="M864" i="13"/>
  <c r="M865" i="13"/>
  <c r="M866" i="13"/>
  <c r="M867" i="13"/>
  <c r="M868" i="13"/>
  <c r="M869" i="13"/>
  <c r="M870" i="13"/>
  <c r="M871" i="13"/>
  <c r="M872" i="13"/>
  <c r="M873" i="13"/>
  <c r="M874" i="13"/>
  <c r="M875" i="13"/>
  <c r="M876" i="13"/>
  <c r="M877" i="13"/>
  <c r="N777" i="13"/>
  <c r="N778" i="13"/>
  <c r="N779" i="13"/>
  <c r="N780" i="13"/>
  <c r="N781" i="13"/>
  <c r="N782" i="13"/>
  <c r="N783" i="13"/>
  <c r="N784" i="13"/>
  <c r="N785" i="13"/>
  <c r="N786" i="13"/>
  <c r="N787" i="13"/>
  <c r="N788" i="13"/>
  <c r="N789" i="13"/>
  <c r="N790" i="13"/>
  <c r="N791" i="13"/>
  <c r="N792" i="13"/>
  <c r="N793" i="13"/>
  <c r="N794" i="13"/>
  <c r="N795" i="13"/>
  <c r="N796" i="13"/>
  <c r="N797" i="13"/>
  <c r="N798" i="13"/>
  <c r="N799" i="13"/>
  <c r="N800" i="13"/>
  <c r="N801" i="13"/>
  <c r="N802" i="13"/>
  <c r="N803" i="13"/>
  <c r="N804" i="13"/>
  <c r="N805" i="13"/>
  <c r="N806" i="13"/>
  <c r="N807" i="13"/>
  <c r="N808" i="13"/>
  <c r="N809" i="13"/>
  <c r="N810" i="13"/>
  <c r="N811" i="13"/>
  <c r="N812" i="13"/>
  <c r="N813" i="13"/>
  <c r="N814" i="13"/>
  <c r="N815" i="13"/>
  <c r="N816" i="13"/>
  <c r="N817" i="13"/>
  <c r="N818" i="13"/>
  <c r="N819" i="13"/>
  <c r="N820" i="13"/>
  <c r="N821" i="13"/>
  <c r="N822" i="13"/>
  <c r="N823" i="13"/>
  <c r="N824" i="13"/>
  <c r="N825" i="13"/>
  <c r="N826" i="13"/>
  <c r="N827" i="13"/>
  <c r="N828" i="13"/>
  <c r="N829" i="13"/>
  <c r="N830" i="13"/>
  <c r="N831" i="13"/>
  <c r="N832" i="13"/>
  <c r="N833" i="13"/>
  <c r="N834" i="13"/>
  <c r="N835" i="13"/>
  <c r="N836" i="13"/>
  <c r="N837" i="13"/>
  <c r="N838" i="13"/>
  <c r="N839" i="13"/>
  <c r="N840" i="13"/>
  <c r="N841" i="13"/>
  <c r="N842" i="13"/>
  <c r="N843" i="13"/>
  <c r="N844" i="13"/>
  <c r="N845" i="13"/>
  <c r="N846" i="13"/>
  <c r="N847" i="13"/>
  <c r="N848" i="13"/>
  <c r="N849" i="13"/>
  <c r="N850" i="13"/>
  <c r="N851" i="13"/>
  <c r="N852" i="13"/>
  <c r="N853" i="13"/>
  <c r="N854" i="13"/>
  <c r="N855" i="13"/>
  <c r="N856" i="13"/>
  <c r="N857" i="13"/>
  <c r="N858" i="13"/>
  <c r="N859" i="13"/>
  <c r="N860" i="13"/>
  <c r="N861" i="13"/>
  <c r="N862" i="13"/>
  <c r="N863" i="13"/>
  <c r="N864" i="13"/>
  <c r="N865" i="13"/>
  <c r="N866" i="13"/>
  <c r="N867" i="13"/>
  <c r="N868" i="13"/>
  <c r="N869" i="13"/>
  <c r="N870" i="13"/>
  <c r="N871" i="13"/>
  <c r="N872" i="13"/>
  <c r="N873" i="13"/>
  <c r="N874" i="13"/>
  <c r="N875" i="13"/>
  <c r="N876" i="13"/>
  <c r="N877" i="13"/>
  <c r="R777" i="13"/>
  <c r="R778" i="13"/>
  <c r="R779" i="13"/>
  <c r="R780" i="13"/>
  <c r="R781" i="13"/>
  <c r="R782" i="13"/>
  <c r="R783" i="13"/>
  <c r="R784" i="13"/>
  <c r="R785" i="13"/>
  <c r="R786" i="13"/>
  <c r="R787" i="13"/>
  <c r="R788" i="13"/>
  <c r="R789" i="13"/>
  <c r="R790" i="13"/>
  <c r="R791" i="13"/>
  <c r="R792" i="13"/>
  <c r="R793" i="13"/>
  <c r="R794" i="13"/>
  <c r="R795" i="13"/>
  <c r="R796" i="13"/>
  <c r="R797" i="13"/>
  <c r="R798" i="13"/>
  <c r="R799" i="13"/>
  <c r="R800" i="13"/>
  <c r="R801" i="13"/>
  <c r="R802" i="13"/>
  <c r="R803" i="13"/>
  <c r="R804" i="13"/>
  <c r="R805" i="13"/>
  <c r="R806" i="13"/>
  <c r="R807" i="13"/>
  <c r="R808" i="13"/>
  <c r="R809" i="13"/>
  <c r="R810" i="13"/>
  <c r="R811" i="13"/>
  <c r="R812" i="13"/>
  <c r="R813" i="13"/>
  <c r="R814" i="13"/>
  <c r="R815" i="13"/>
  <c r="R816" i="13"/>
  <c r="R817" i="13"/>
  <c r="R818" i="13"/>
  <c r="R819" i="13"/>
  <c r="R820" i="13"/>
  <c r="R821" i="13"/>
  <c r="R822" i="13"/>
  <c r="R823" i="13"/>
  <c r="R824" i="13"/>
  <c r="R825" i="13"/>
  <c r="R826" i="13"/>
  <c r="R827" i="13"/>
  <c r="R828" i="13"/>
  <c r="R829" i="13"/>
  <c r="R830" i="13"/>
  <c r="R831" i="13"/>
  <c r="R832" i="13"/>
  <c r="R833" i="13"/>
  <c r="R834" i="13"/>
  <c r="R835" i="13"/>
  <c r="R836" i="13"/>
  <c r="R837" i="13"/>
  <c r="R838" i="13"/>
  <c r="R839" i="13"/>
  <c r="R840" i="13"/>
  <c r="R841" i="13"/>
  <c r="R842" i="13"/>
  <c r="R843" i="13"/>
  <c r="R844" i="13"/>
  <c r="R845" i="13"/>
  <c r="R846" i="13"/>
  <c r="R847" i="13"/>
  <c r="R848" i="13"/>
  <c r="R849" i="13"/>
  <c r="R850" i="13"/>
  <c r="R851" i="13"/>
  <c r="R852" i="13"/>
  <c r="R853" i="13"/>
  <c r="R854" i="13"/>
  <c r="R855" i="13"/>
  <c r="R856" i="13"/>
  <c r="R857" i="13"/>
  <c r="R858" i="13"/>
  <c r="R859" i="13"/>
  <c r="R860" i="13"/>
  <c r="R861" i="13"/>
  <c r="R862" i="13"/>
  <c r="R863" i="13"/>
  <c r="R864" i="13"/>
  <c r="R865" i="13"/>
  <c r="R866" i="13"/>
  <c r="R867" i="13"/>
  <c r="R868" i="13"/>
  <c r="R869" i="13"/>
  <c r="R870" i="13"/>
  <c r="R871" i="13"/>
  <c r="R872" i="13"/>
  <c r="R873" i="13"/>
  <c r="R874" i="13"/>
  <c r="R875" i="13"/>
  <c r="R876" i="13"/>
  <c r="R877" i="13"/>
  <c r="S777" i="13"/>
  <c r="S778" i="13"/>
  <c r="S779" i="13"/>
  <c r="S780" i="13"/>
  <c r="S781" i="13"/>
  <c r="S782" i="13"/>
  <c r="S783" i="13"/>
  <c r="S784" i="13"/>
  <c r="S785" i="13"/>
  <c r="S786" i="13"/>
  <c r="S787" i="13"/>
  <c r="S788" i="13"/>
  <c r="S789" i="13"/>
  <c r="S790" i="13"/>
  <c r="S791" i="13"/>
  <c r="S792" i="13"/>
  <c r="S793" i="13"/>
  <c r="S794" i="13"/>
  <c r="S795" i="13"/>
  <c r="S796" i="13"/>
  <c r="S797" i="13"/>
  <c r="S798" i="13"/>
  <c r="S799" i="13"/>
  <c r="S800" i="13"/>
  <c r="S801" i="13"/>
  <c r="S802" i="13"/>
  <c r="S803" i="13"/>
  <c r="S804" i="13"/>
  <c r="S805" i="13"/>
  <c r="S806" i="13"/>
  <c r="S807" i="13"/>
  <c r="S808" i="13"/>
  <c r="S809" i="13"/>
  <c r="S810" i="13"/>
  <c r="S811" i="13"/>
  <c r="S812" i="13"/>
  <c r="S813" i="13"/>
  <c r="S814" i="13"/>
  <c r="S815" i="13"/>
  <c r="S816" i="13"/>
  <c r="S817" i="13"/>
  <c r="S818" i="13"/>
  <c r="S819" i="13"/>
  <c r="S820" i="13"/>
  <c r="S821" i="13"/>
  <c r="S822" i="13"/>
  <c r="S823" i="13"/>
  <c r="S824" i="13"/>
  <c r="S825" i="13"/>
  <c r="S826" i="13"/>
  <c r="S827" i="13"/>
  <c r="S828" i="13"/>
  <c r="S829" i="13"/>
  <c r="S830" i="13"/>
  <c r="S831" i="13"/>
  <c r="S832" i="13"/>
  <c r="S833" i="13"/>
  <c r="S834" i="13"/>
  <c r="S835" i="13"/>
  <c r="S836" i="13"/>
  <c r="S837" i="13"/>
  <c r="S838" i="13"/>
  <c r="S839" i="13"/>
  <c r="S840" i="13"/>
  <c r="S841" i="13"/>
  <c r="S842" i="13"/>
  <c r="S843" i="13"/>
  <c r="S844" i="13"/>
  <c r="S845" i="13"/>
  <c r="S846" i="13"/>
  <c r="S847" i="13"/>
  <c r="S848" i="13"/>
  <c r="S849" i="13"/>
  <c r="S850" i="13"/>
  <c r="S851" i="13"/>
  <c r="S852" i="13"/>
  <c r="S853" i="13"/>
  <c r="S854" i="13"/>
  <c r="S855" i="13"/>
  <c r="S856" i="13"/>
  <c r="S857" i="13"/>
  <c r="S858" i="13"/>
  <c r="S859" i="13"/>
  <c r="S860" i="13"/>
  <c r="S861" i="13"/>
  <c r="S862" i="13"/>
  <c r="S863" i="13"/>
  <c r="S864" i="13"/>
  <c r="S865" i="13"/>
  <c r="S866" i="13"/>
  <c r="S867" i="13"/>
  <c r="S868" i="13"/>
  <c r="S869" i="13"/>
  <c r="S870" i="13"/>
  <c r="S871" i="13"/>
  <c r="S872" i="13"/>
  <c r="S873" i="13"/>
  <c r="S874" i="13"/>
  <c r="S875" i="13"/>
  <c r="S876" i="13"/>
  <c r="S877" i="13"/>
  <c r="O764" i="13"/>
  <c r="O765" i="13"/>
  <c r="O766" i="13"/>
  <c r="O767" i="13"/>
  <c r="O768" i="13"/>
  <c r="O769" i="13"/>
  <c r="O770" i="13"/>
  <c r="O771" i="13"/>
  <c r="O772" i="13"/>
  <c r="O773" i="13"/>
  <c r="O774" i="13"/>
  <c r="O775" i="13"/>
  <c r="O776" i="13"/>
  <c r="A38" i="31"/>
  <c r="K764" i="13"/>
  <c r="K765" i="13"/>
  <c r="P765" i="13" s="1"/>
  <c r="K766" i="13"/>
  <c r="L766" i="13" s="1"/>
  <c r="K767" i="13"/>
  <c r="P767" i="13" s="1"/>
  <c r="K768" i="13"/>
  <c r="P768" i="13" s="1"/>
  <c r="K769" i="13"/>
  <c r="P769" i="13" s="1"/>
  <c r="K770" i="13"/>
  <c r="P770" i="13" s="1"/>
  <c r="K771" i="13"/>
  <c r="K772" i="13"/>
  <c r="L772" i="13" s="1"/>
  <c r="K773" i="13"/>
  <c r="P773" i="13" s="1"/>
  <c r="K774" i="13"/>
  <c r="P774" i="13" s="1"/>
  <c r="K775" i="13"/>
  <c r="P775" i="13" s="1"/>
  <c r="K776" i="13"/>
  <c r="M764" i="13"/>
  <c r="M765" i="13"/>
  <c r="M766" i="13"/>
  <c r="M767" i="13"/>
  <c r="M768" i="13"/>
  <c r="M769" i="13"/>
  <c r="M770" i="13"/>
  <c r="M771" i="13"/>
  <c r="M772" i="13"/>
  <c r="M773" i="13"/>
  <c r="M774" i="13"/>
  <c r="M775" i="13"/>
  <c r="M776" i="13"/>
  <c r="N764" i="13"/>
  <c r="N765" i="13"/>
  <c r="N766" i="13"/>
  <c r="N767" i="13"/>
  <c r="N768" i="13"/>
  <c r="N769" i="13"/>
  <c r="N770" i="13"/>
  <c r="N771" i="13"/>
  <c r="N772" i="13"/>
  <c r="N773" i="13"/>
  <c r="N774" i="13"/>
  <c r="N775" i="13"/>
  <c r="N776" i="13"/>
  <c r="R764" i="13"/>
  <c r="R765" i="13"/>
  <c r="R766" i="13"/>
  <c r="R767" i="13"/>
  <c r="R768" i="13"/>
  <c r="R769" i="13"/>
  <c r="R770" i="13"/>
  <c r="R771" i="13"/>
  <c r="R772" i="13"/>
  <c r="R773" i="13"/>
  <c r="R774" i="13"/>
  <c r="R775" i="13"/>
  <c r="R776" i="13"/>
  <c r="S764" i="13"/>
  <c r="S765" i="13"/>
  <c r="S766" i="13"/>
  <c r="S767" i="13"/>
  <c r="S768" i="13"/>
  <c r="S769" i="13"/>
  <c r="S770" i="13"/>
  <c r="S771" i="13"/>
  <c r="S772" i="13"/>
  <c r="S773" i="13"/>
  <c r="S774" i="13"/>
  <c r="S775" i="13"/>
  <c r="S776" i="13"/>
  <c r="A6" i="38"/>
  <c r="A2" i="37"/>
  <c r="A4" i="37"/>
  <c r="A6" i="35"/>
  <c r="A6" i="33"/>
  <c r="O505" i="13"/>
  <c r="O506" i="13"/>
  <c r="O507" i="13"/>
  <c r="O508" i="13"/>
  <c r="O509" i="13"/>
  <c r="O510" i="13"/>
  <c r="O511" i="13"/>
  <c r="O512" i="13"/>
  <c r="O513" i="13"/>
  <c r="O514" i="13"/>
  <c r="O515" i="13"/>
  <c r="O516" i="13"/>
  <c r="O517" i="13"/>
  <c r="O518" i="13"/>
  <c r="O519" i="13"/>
  <c r="O520" i="13"/>
  <c r="O521" i="13"/>
  <c r="O522" i="13"/>
  <c r="O523" i="13"/>
  <c r="O524" i="13"/>
  <c r="O525" i="13"/>
  <c r="O526" i="13"/>
  <c r="O527" i="13"/>
  <c r="O528" i="13"/>
  <c r="O529" i="13"/>
  <c r="O530" i="13"/>
  <c r="O531" i="13"/>
  <c r="O532" i="13"/>
  <c r="O533" i="13"/>
  <c r="O534" i="13"/>
  <c r="O535" i="13"/>
  <c r="O536" i="13"/>
  <c r="O537" i="13"/>
  <c r="O538" i="13"/>
  <c r="O539" i="13"/>
  <c r="O540" i="13"/>
  <c r="O541" i="13"/>
  <c r="O542" i="13"/>
  <c r="O543" i="13"/>
  <c r="O544" i="13"/>
  <c r="O545" i="13"/>
  <c r="O546" i="13"/>
  <c r="O547" i="13"/>
  <c r="O548" i="13"/>
  <c r="O549" i="13"/>
  <c r="O550" i="13"/>
  <c r="O551" i="13"/>
  <c r="O552" i="13"/>
  <c r="O553" i="13"/>
  <c r="O554" i="13"/>
  <c r="O555" i="13"/>
  <c r="O556" i="13"/>
  <c r="O557" i="13"/>
  <c r="O558" i="13"/>
  <c r="O559" i="13"/>
  <c r="O560" i="13"/>
  <c r="O561" i="13"/>
  <c r="O562" i="13"/>
  <c r="O563" i="13"/>
  <c r="O564" i="13"/>
  <c r="O565" i="13"/>
  <c r="O566" i="13"/>
  <c r="O567" i="13"/>
  <c r="O568" i="13"/>
  <c r="O569" i="13"/>
  <c r="O570" i="13"/>
  <c r="O571" i="13"/>
  <c r="O572" i="13"/>
  <c r="O573" i="13"/>
  <c r="O574" i="13"/>
  <c r="O575" i="13"/>
  <c r="O576" i="13"/>
  <c r="O577" i="13"/>
  <c r="O578" i="13"/>
  <c r="O579" i="13"/>
  <c r="O580" i="13"/>
  <c r="O581" i="13"/>
  <c r="O582" i="13"/>
  <c r="O583" i="13"/>
  <c r="O584" i="13"/>
  <c r="O585" i="13"/>
  <c r="O586" i="13"/>
  <c r="O587" i="13"/>
  <c r="O588" i="13"/>
  <c r="O589" i="13"/>
  <c r="O590" i="13"/>
  <c r="O591" i="13"/>
  <c r="O592" i="13"/>
  <c r="O593" i="13"/>
  <c r="O594" i="13"/>
  <c r="O595" i="13"/>
  <c r="O596" i="13"/>
  <c r="O597" i="13"/>
  <c r="O598" i="13"/>
  <c r="O599" i="13"/>
  <c r="O600" i="13"/>
  <c r="O601" i="13"/>
  <c r="O602" i="13"/>
  <c r="O603" i="13"/>
  <c r="O604" i="13"/>
  <c r="O605" i="13"/>
  <c r="O606" i="13"/>
  <c r="O607" i="13"/>
  <c r="O608" i="13"/>
  <c r="O609" i="13"/>
  <c r="O610" i="13"/>
  <c r="O611" i="13"/>
  <c r="O612" i="13"/>
  <c r="O613" i="13"/>
  <c r="O614" i="13"/>
  <c r="O615" i="13"/>
  <c r="O616" i="13"/>
  <c r="O617" i="13"/>
  <c r="O618" i="13"/>
  <c r="O619" i="13"/>
  <c r="O620" i="13"/>
  <c r="O621" i="13"/>
  <c r="O622" i="13"/>
  <c r="O623" i="13"/>
  <c r="O624" i="13"/>
  <c r="O625" i="13"/>
  <c r="O626" i="13"/>
  <c r="O627" i="13"/>
  <c r="O628" i="13"/>
  <c r="O629" i="13"/>
  <c r="O630" i="13"/>
  <c r="O631" i="13"/>
  <c r="O632" i="13"/>
  <c r="O633" i="13"/>
  <c r="O634" i="13"/>
  <c r="O635" i="13"/>
  <c r="O636" i="13"/>
  <c r="O637" i="13"/>
  <c r="O638" i="13"/>
  <c r="O639" i="13"/>
  <c r="O640" i="13"/>
  <c r="O641" i="13"/>
  <c r="O642" i="13"/>
  <c r="O643" i="13"/>
  <c r="O644" i="13"/>
  <c r="O645" i="13"/>
  <c r="O646" i="13"/>
  <c r="O647" i="13"/>
  <c r="O648" i="13"/>
  <c r="O649" i="13"/>
  <c r="O650" i="13"/>
  <c r="O651" i="13"/>
  <c r="O652" i="13"/>
  <c r="O653" i="13"/>
  <c r="O654" i="13"/>
  <c r="O655" i="13"/>
  <c r="O656" i="13"/>
  <c r="O657" i="13"/>
  <c r="O658" i="13"/>
  <c r="O659" i="13"/>
  <c r="O660" i="13"/>
  <c r="O661" i="13"/>
  <c r="O662" i="13"/>
  <c r="O663" i="13"/>
  <c r="O664" i="13"/>
  <c r="O665" i="13"/>
  <c r="O666" i="13"/>
  <c r="O667" i="13"/>
  <c r="O668" i="13"/>
  <c r="O669" i="13"/>
  <c r="O670" i="13"/>
  <c r="O671" i="13"/>
  <c r="O672" i="13"/>
  <c r="O673" i="13"/>
  <c r="O674" i="13"/>
  <c r="O675" i="13"/>
  <c r="O676" i="13"/>
  <c r="O677" i="13"/>
  <c r="O678" i="13"/>
  <c r="O679" i="13"/>
  <c r="O680" i="13"/>
  <c r="O681" i="13"/>
  <c r="O682" i="13"/>
  <c r="O683" i="13"/>
  <c r="O684" i="13"/>
  <c r="O685" i="13"/>
  <c r="O686" i="13"/>
  <c r="O687" i="13"/>
  <c r="O688" i="13"/>
  <c r="O689" i="13"/>
  <c r="O690" i="13"/>
  <c r="O691" i="13"/>
  <c r="O692" i="13"/>
  <c r="O693" i="13"/>
  <c r="O694" i="13"/>
  <c r="O695" i="13"/>
  <c r="O696" i="13"/>
  <c r="O697" i="13"/>
  <c r="O698" i="13"/>
  <c r="O699" i="13"/>
  <c r="O700" i="13"/>
  <c r="O701" i="13"/>
  <c r="O702" i="13"/>
  <c r="O703" i="13"/>
  <c r="O704" i="13"/>
  <c r="O705" i="13"/>
  <c r="O706" i="13"/>
  <c r="O707" i="13"/>
  <c r="O708" i="13"/>
  <c r="O709" i="13"/>
  <c r="O710" i="13"/>
  <c r="O711" i="13"/>
  <c r="O712" i="13"/>
  <c r="O713" i="13"/>
  <c r="O714" i="13"/>
  <c r="O715" i="13"/>
  <c r="O716" i="13"/>
  <c r="O717" i="13"/>
  <c r="O718" i="13"/>
  <c r="O719" i="13"/>
  <c r="O720" i="13"/>
  <c r="O721" i="13"/>
  <c r="O722" i="13"/>
  <c r="O723" i="13"/>
  <c r="O724" i="13"/>
  <c r="O725" i="13"/>
  <c r="O726" i="13"/>
  <c r="O727" i="13"/>
  <c r="O728" i="13"/>
  <c r="O729" i="13"/>
  <c r="O730" i="13"/>
  <c r="O731" i="13"/>
  <c r="O732" i="13"/>
  <c r="O733" i="13"/>
  <c r="O734" i="13"/>
  <c r="O735" i="13"/>
  <c r="O736" i="13"/>
  <c r="O737" i="13"/>
  <c r="O738" i="13"/>
  <c r="O739" i="13"/>
  <c r="O740" i="13"/>
  <c r="O741" i="13"/>
  <c r="O742" i="13"/>
  <c r="O743" i="13"/>
  <c r="O744" i="13"/>
  <c r="O745" i="13"/>
  <c r="O746" i="13"/>
  <c r="O747" i="13"/>
  <c r="O748" i="13"/>
  <c r="O749" i="13"/>
  <c r="O750" i="13"/>
  <c r="O751" i="13"/>
  <c r="O752" i="13"/>
  <c r="O753" i="13"/>
  <c r="O754" i="13"/>
  <c r="O755" i="13"/>
  <c r="O756" i="13"/>
  <c r="O757" i="13"/>
  <c r="O758" i="13"/>
  <c r="O759" i="13"/>
  <c r="O760" i="13"/>
  <c r="O761" i="13"/>
  <c r="O762" i="13"/>
  <c r="O763" i="13"/>
  <c r="K700" i="13"/>
  <c r="P700" i="13" s="1"/>
  <c r="K701" i="13"/>
  <c r="P701" i="13" s="1"/>
  <c r="K702" i="13"/>
  <c r="P702" i="13" s="1"/>
  <c r="K703" i="13"/>
  <c r="L703" i="13" s="1"/>
  <c r="K704" i="13"/>
  <c r="L704" i="13" s="1"/>
  <c r="K705" i="13"/>
  <c r="P705" i="13" s="1"/>
  <c r="K706" i="13"/>
  <c r="P706" i="13" s="1"/>
  <c r="K707" i="13"/>
  <c r="L707" i="13" s="1"/>
  <c r="K708" i="13"/>
  <c r="L708" i="13" s="1"/>
  <c r="K709" i="13"/>
  <c r="L709" i="13" s="1"/>
  <c r="K710" i="13"/>
  <c r="P710" i="13" s="1"/>
  <c r="K711" i="13"/>
  <c r="L711" i="13" s="1"/>
  <c r="K712" i="13"/>
  <c r="L712" i="13" s="1"/>
  <c r="K713" i="13"/>
  <c r="P713" i="13" s="1"/>
  <c r="K714" i="13"/>
  <c r="P714" i="13" s="1"/>
  <c r="K715" i="13"/>
  <c r="L715" i="13" s="1"/>
  <c r="K716" i="13"/>
  <c r="P716" i="13" s="1"/>
  <c r="K717" i="13"/>
  <c r="L717" i="13" s="1"/>
  <c r="K718" i="13"/>
  <c r="P718" i="13" s="1"/>
  <c r="K719" i="13"/>
  <c r="L719" i="13" s="1"/>
  <c r="K720" i="13"/>
  <c r="L720" i="13" s="1"/>
  <c r="K721" i="13"/>
  <c r="P721" i="13" s="1"/>
  <c r="K722" i="13"/>
  <c r="P722" i="13" s="1"/>
  <c r="K723" i="13"/>
  <c r="P723" i="13" s="1"/>
  <c r="K724" i="13"/>
  <c r="L724" i="13" s="1"/>
  <c r="K725" i="13"/>
  <c r="L725" i="13" s="1"/>
  <c r="K726" i="13"/>
  <c r="P726" i="13" s="1"/>
  <c r="K727" i="13"/>
  <c r="L727" i="13" s="1"/>
  <c r="K728" i="13"/>
  <c r="L728" i="13" s="1"/>
  <c r="K729" i="13"/>
  <c r="P729" i="13" s="1"/>
  <c r="K730" i="13"/>
  <c r="P730" i="13" s="1"/>
  <c r="K731" i="13"/>
  <c r="P731" i="13" s="1"/>
  <c r="K732" i="13"/>
  <c r="P732" i="13" s="1"/>
  <c r="K733" i="13"/>
  <c r="L733" i="13" s="1"/>
  <c r="K734" i="13"/>
  <c r="P734" i="13" s="1"/>
  <c r="K735" i="13"/>
  <c r="L735" i="13" s="1"/>
  <c r="K736" i="13"/>
  <c r="L736" i="13" s="1"/>
  <c r="K737" i="13"/>
  <c r="P737" i="13" s="1"/>
  <c r="K738" i="13"/>
  <c r="P738" i="13" s="1"/>
  <c r="K739" i="13"/>
  <c r="L739" i="13" s="1"/>
  <c r="K740" i="13"/>
  <c r="P740" i="13" s="1"/>
  <c r="K741" i="13"/>
  <c r="L741" i="13" s="1"/>
  <c r="K742" i="13"/>
  <c r="P742" i="13" s="1"/>
  <c r="K743" i="13"/>
  <c r="L743" i="13" s="1"/>
  <c r="K744" i="13"/>
  <c r="L744" i="13" s="1"/>
  <c r="K745" i="13"/>
  <c r="P745" i="13" s="1"/>
  <c r="K746" i="13"/>
  <c r="P746" i="13" s="1"/>
  <c r="K747" i="13"/>
  <c r="P747" i="13" s="1"/>
  <c r="K748" i="13"/>
  <c r="P748" i="13" s="1"/>
  <c r="K749" i="13"/>
  <c r="L749" i="13" s="1"/>
  <c r="K750" i="13"/>
  <c r="P750" i="13" s="1"/>
  <c r="K751" i="13"/>
  <c r="L751" i="13" s="1"/>
  <c r="K752" i="13"/>
  <c r="L752" i="13" s="1"/>
  <c r="K753" i="13"/>
  <c r="L753" i="13" s="1"/>
  <c r="K754" i="13"/>
  <c r="L754" i="13" s="1"/>
  <c r="K755" i="13"/>
  <c r="L755" i="13" s="1"/>
  <c r="K756" i="13"/>
  <c r="L756" i="13" s="1"/>
  <c r="K757" i="13"/>
  <c r="L757" i="13" s="1"/>
  <c r="K758" i="13"/>
  <c r="L758" i="13" s="1"/>
  <c r="K759" i="13"/>
  <c r="L759" i="13" s="1"/>
  <c r="K760" i="13"/>
  <c r="L760" i="13" s="1"/>
  <c r="K761" i="13"/>
  <c r="L761" i="13" s="1"/>
  <c r="K762" i="13"/>
  <c r="L762" i="13" s="1"/>
  <c r="K763" i="13"/>
  <c r="L763" i="13" s="1"/>
  <c r="L700" i="13"/>
  <c r="L701" i="13"/>
  <c r="M700" i="13"/>
  <c r="M701" i="13"/>
  <c r="M702" i="13"/>
  <c r="M703" i="13"/>
  <c r="M704" i="13"/>
  <c r="M705" i="13"/>
  <c r="M706" i="13"/>
  <c r="M707" i="13"/>
  <c r="M708" i="13"/>
  <c r="M709" i="13"/>
  <c r="M710" i="13"/>
  <c r="M711" i="13"/>
  <c r="M712" i="13"/>
  <c r="M713" i="13"/>
  <c r="M714" i="13"/>
  <c r="M715" i="13"/>
  <c r="M716" i="13"/>
  <c r="M717" i="13"/>
  <c r="M718" i="13"/>
  <c r="M719" i="13"/>
  <c r="M720" i="13"/>
  <c r="M721" i="13"/>
  <c r="M722" i="13"/>
  <c r="M723" i="13"/>
  <c r="M724" i="13"/>
  <c r="M725" i="13"/>
  <c r="M726" i="13"/>
  <c r="M727" i="13"/>
  <c r="M728" i="13"/>
  <c r="M729" i="13"/>
  <c r="M730" i="13"/>
  <c r="M731" i="13"/>
  <c r="M732" i="13"/>
  <c r="M733" i="13"/>
  <c r="M734" i="13"/>
  <c r="M735" i="13"/>
  <c r="M736" i="13"/>
  <c r="M737" i="13"/>
  <c r="M738" i="13"/>
  <c r="M739" i="13"/>
  <c r="M740" i="13"/>
  <c r="M741" i="13"/>
  <c r="M742" i="13"/>
  <c r="M743" i="13"/>
  <c r="M744" i="13"/>
  <c r="M745" i="13"/>
  <c r="M746" i="13"/>
  <c r="M747" i="13"/>
  <c r="M748" i="13"/>
  <c r="M749" i="13"/>
  <c r="M750" i="13"/>
  <c r="M751" i="13"/>
  <c r="M752" i="13"/>
  <c r="M753" i="13"/>
  <c r="M754" i="13"/>
  <c r="M755" i="13"/>
  <c r="M756" i="13"/>
  <c r="M757" i="13"/>
  <c r="M758" i="13"/>
  <c r="M759" i="13"/>
  <c r="M760" i="13"/>
  <c r="M761" i="13"/>
  <c r="M762" i="13"/>
  <c r="M763" i="13"/>
  <c r="N700" i="13"/>
  <c r="N701" i="13"/>
  <c r="N702" i="13"/>
  <c r="N703" i="13"/>
  <c r="N704" i="13"/>
  <c r="N705" i="13"/>
  <c r="N706" i="13"/>
  <c r="N707" i="13"/>
  <c r="N708" i="13"/>
  <c r="N709" i="13"/>
  <c r="N710" i="13"/>
  <c r="N711" i="13"/>
  <c r="N712" i="13"/>
  <c r="N713" i="13"/>
  <c r="N714" i="13"/>
  <c r="N715" i="13"/>
  <c r="N716" i="13"/>
  <c r="N717" i="13"/>
  <c r="N718" i="13"/>
  <c r="N719" i="13"/>
  <c r="N720" i="13"/>
  <c r="N721" i="13"/>
  <c r="N722" i="13"/>
  <c r="N723" i="13"/>
  <c r="N724" i="13"/>
  <c r="N725" i="13"/>
  <c r="N726" i="13"/>
  <c r="N727" i="13"/>
  <c r="N728" i="13"/>
  <c r="N729" i="13"/>
  <c r="N730" i="13"/>
  <c r="N731" i="13"/>
  <c r="N732" i="13"/>
  <c r="N733" i="13"/>
  <c r="N734" i="13"/>
  <c r="N735" i="13"/>
  <c r="N736" i="13"/>
  <c r="N737" i="13"/>
  <c r="N738" i="13"/>
  <c r="N739" i="13"/>
  <c r="N740" i="13"/>
  <c r="N741" i="13"/>
  <c r="N742" i="13"/>
  <c r="N743" i="13"/>
  <c r="N744" i="13"/>
  <c r="N745" i="13"/>
  <c r="N746" i="13"/>
  <c r="N747" i="13"/>
  <c r="N748" i="13"/>
  <c r="N749" i="13"/>
  <c r="N750" i="13"/>
  <c r="N751" i="13"/>
  <c r="N752" i="13"/>
  <c r="N753" i="13"/>
  <c r="N754" i="13"/>
  <c r="N755" i="13"/>
  <c r="N756" i="13"/>
  <c r="N757" i="13"/>
  <c r="N758" i="13"/>
  <c r="N759" i="13"/>
  <c r="N760" i="13"/>
  <c r="N761" i="13"/>
  <c r="N762" i="13"/>
  <c r="N763" i="13"/>
  <c r="R700" i="13"/>
  <c r="R701" i="13"/>
  <c r="R702" i="13"/>
  <c r="R703" i="13"/>
  <c r="R704" i="13"/>
  <c r="R705" i="13"/>
  <c r="R706" i="13"/>
  <c r="R707" i="13"/>
  <c r="R708" i="13"/>
  <c r="R709" i="13"/>
  <c r="R710" i="13"/>
  <c r="R711" i="13"/>
  <c r="R712" i="13"/>
  <c r="R713" i="13"/>
  <c r="R714" i="13"/>
  <c r="R715" i="13"/>
  <c r="R716" i="13"/>
  <c r="R717" i="13"/>
  <c r="R718" i="13"/>
  <c r="R719" i="13"/>
  <c r="R720" i="13"/>
  <c r="R721" i="13"/>
  <c r="R722" i="13"/>
  <c r="R723" i="13"/>
  <c r="R724" i="13"/>
  <c r="R725" i="13"/>
  <c r="R726" i="13"/>
  <c r="R727" i="13"/>
  <c r="R728" i="13"/>
  <c r="R729" i="13"/>
  <c r="R730" i="13"/>
  <c r="R731" i="13"/>
  <c r="R732" i="13"/>
  <c r="R733" i="13"/>
  <c r="R734" i="13"/>
  <c r="R735" i="13"/>
  <c r="R736" i="13"/>
  <c r="R737" i="13"/>
  <c r="R738" i="13"/>
  <c r="R739" i="13"/>
  <c r="R740" i="13"/>
  <c r="R741" i="13"/>
  <c r="R742" i="13"/>
  <c r="R743" i="13"/>
  <c r="R744" i="13"/>
  <c r="R745" i="13"/>
  <c r="R746" i="13"/>
  <c r="R747" i="13"/>
  <c r="R748" i="13"/>
  <c r="R749" i="13"/>
  <c r="R750" i="13"/>
  <c r="R751" i="13"/>
  <c r="R752" i="13"/>
  <c r="R753" i="13"/>
  <c r="R754" i="13"/>
  <c r="R755" i="13"/>
  <c r="R756" i="13"/>
  <c r="R757" i="13"/>
  <c r="R758" i="13"/>
  <c r="R759" i="13"/>
  <c r="R760" i="13"/>
  <c r="R761" i="13"/>
  <c r="R762" i="13"/>
  <c r="R763" i="13"/>
  <c r="S700" i="13"/>
  <c r="S701" i="13"/>
  <c r="S702" i="13"/>
  <c r="S703" i="13"/>
  <c r="S704" i="13"/>
  <c r="S705" i="13"/>
  <c r="S706" i="13"/>
  <c r="S707" i="13"/>
  <c r="S708" i="13"/>
  <c r="S709" i="13"/>
  <c r="S710" i="13"/>
  <c r="S711" i="13"/>
  <c r="S712" i="13"/>
  <c r="S713" i="13"/>
  <c r="S714" i="13"/>
  <c r="S715" i="13"/>
  <c r="S716" i="13"/>
  <c r="S717" i="13"/>
  <c r="S718" i="13"/>
  <c r="S719" i="13"/>
  <c r="S720" i="13"/>
  <c r="S721" i="13"/>
  <c r="S722" i="13"/>
  <c r="S723" i="13"/>
  <c r="S724" i="13"/>
  <c r="S725" i="13"/>
  <c r="S726" i="13"/>
  <c r="S727" i="13"/>
  <c r="S728" i="13"/>
  <c r="S729" i="13"/>
  <c r="S730" i="13"/>
  <c r="S731" i="13"/>
  <c r="S732" i="13"/>
  <c r="S733" i="13"/>
  <c r="S734" i="13"/>
  <c r="S735" i="13"/>
  <c r="S736" i="13"/>
  <c r="S737" i="13"/>
  <c r="S738" i="13"/>
  <c r="S739" i="13"/>
  <c r="S740" i="13"/>
  <c r="S741" i="13"/>
  <c r="S742" i="13"/>
  <c r="S743" i="13"/>
  <c r="S744" i="13"/>
  <c r="S745" i="13"/>
  <c r="S746" i="13"/>
  <c r="S747" i="13"/>
  <c r="S748" i="13"/>
  <c r="S749" i="13"/>
  <c r="S750" i="13"/>
  <c r="S751" i="13"/>
  <c r="S752" i="13"/>
  <c r="S753" i="13"/>
  <c r="S754" i="13"/>
  <c r="S755" i="13"/>
  <c r="S756" i="13"/>
  <c r="S757" i="13"/>
  <c r="S758" i="13"/>
  <c r="S759" i="13"/>
  <c r="S760" i="13"/>
  <c r="S761" i="13"/>
  <c r="S762" i="13"/>
  <c r="S763" i="13"/>
  <c r="A37" i="31"/>
  <c r="A53" i="15"/>
  <c r="K678" i="13"/>
  <c r="L678" i="13" s="1"/>
  <c r="K679" i="13"/>
  <c r="P679" i="13" s="1"/>
  <c r="K680" i="13"/>
  <c r="K681" i="13"/>
  <c r="P681" i="13" s="1"/>
  <c r="K682" i="13"/>
  <c r="L682" i="13" s="1"/>
  <c r="K683" i="13"/>
  <c r="K684" i="13"/>
  <c r="L684" i="13" s="1"/>
  <c r="K685" i="13"/>
  <c r="K686" i="13"/>
  <c r="L686" i="13" s="1"/>
  <c r="K687" i="13"/>
  <c r="L687" i="13" s="1"/>
  <c r="K688" i="13"/>
  <c r="L688" i="13" s="1"/>
  <c r="K689" i="13"/>
  <c r="P689" i="13" s="1"/>
  <c r="K690" i="13"/>
  <c r="K691" i="13"/>
  <c r="L691" i="13" s="1"/>
  <c r="K692" i="13"/>
  <c r="L692" i="13" s="1"/>
  <c r="K693" i="13"/>
  <c r="K694" i="13"/>
  <c r="L694" i="13" s="1"/>
  <c r="K695" i="13"/>
  <c r="P695" i="13" s="1"/>
  <c r="K696" i="13"/>
  <c r="K697" i="13"/>
  <c r="L697" i="13" s="1"/>
  <c r="K698" i="13"/>
  <c r="L698" i="13" s="1"/>
  <c r="K699" i="13"/>
  <c r="M678" i="13"/>
  <c r="M679" i="13"/>
  <c r="M680" i="13"/>
  <c r="M681" i="13"/>
  <c r="M682" i="13"/>
  <c r="M683" i="13"/>
  <c r="M684" i="13"/>
  <c r="M685" i="13"/>
  <c r="M686" i="13"/>
  <c r="M687" i="13"/>
  <c r="M688" i="13"/>
  <c r="M689" i="13"/>
  <c r="M690" i="13"/>
  <c r="M691" i="13"/>
  <c r="M692" i="13"/>
  <c r="M693" i="13"/>
  <c r="M694" i="13"/>
  <c r="M695" i="13"/>
  <c r="M696" i="13"/>
  <c r="M697" i="13"/>
  <c r="M698" i="13"/>
  <c r="M699" i="13"/>
  <c r="N678" i="13"/>
  <c r="N679" i="13"/>
  <c r="N680" i="13"/>
  <c r="N681" i="13"/>
  <c r="N682" i="13"/>
  <c r="N683" i="13"/>
  <c r="N684" i="13"/>
  <c r="N685" i="13"/>
  <c r="N686" i="13"/>
  <c r="N687" i="13"/>
  <c r="N688" i="13"/>
  <c r="N689" i="13"/>
  <c r="N690" i="13"/>
  <c r="N691" i="13"/>
  <c r="N692" i="13"/>
  <c r="N693" i="13"/>
  <c r="N694" i="13"/>
  <c r="N695" i="13"/>
  <c r="N696" i="13"/>
  <c r="N697" i="13"/>
  <c r="N698" i="13"/>
  <c r="N699" i="13"/>
  <c r="R678" i="13"/>
  <c r="R679" i="13"/>
  <c r="R680" i="13"/>
  <c r="R681" i="13"/>
  <c r="R682" i="13"/>
  <c r="R683" i="13"/>
  <c r="R684" i="13"/>
  <c r="R685" i="13"/>
  <c r="R686" i="13"/>
  <c r="R687" i="13"/>
  <c r="R688" i="13"/>
  <c r="R689" i="13"/>
  <c r="R690" i="13"/>
  <c r="R691" i="13"/>
  <c r="R692" i="13"/>
  <c r="R693" i="13"/>
  <c r="R694" i="13"/>
  <c r="R695" i="13"/>
  <c r="R696" i="13"/>
  <c r="R697" i="13"/>
  <c r="R698" i="13"/>
  <c r="R699" i="13"/>
  <c r="S678" i="13"/>
  <c r="S679" i="13"/>
  <c r="S680" i="13"/>
  <c r="S681" i="13"/>
  <c r="S682" i="13"/>
  <c r="S683" i="13"/>
  <c r="S684" i="13"/>
  <c r="S685" i="13"/>
  <c r="S686" i="13"/>
  <c r="S687" i="13"/>
  <c r="S688" i="13"/>
  <c r="S689" i="13"/>
  <c r="S690" i="13"/>
  <c r="S691" i="13"/>
  <c r="S692" i="13"/>
  <c r="S693" i="13"/>
  <c r="S694" i="13"/>
  <c r="S695" i="13"/>
  <c r="S696" i="13"/>
  <c r="S697" i="13"/>
  <c r="S698" i="13"/>
  <c r="S699" i="13"/>
  <c r="A5" i="38"/>
  <c r="D5" i="38" s="1"/>
  <c r="A5" i="35"/>
  <c r="A4" i="33"/>
  <c r="A5" i="33"/>
  <c r="A5" i="28"/>
  <c r="A52" i="15"/>
  <c r="K585" i="13"/>
  <c r="K586" i="13"/>
  <c r="L586" i="13" s="1"/>
  <c r="K587" i="13"/>
  <c r="P587" i="13" s="1"/>
  <c r="K588" i="13"/>
  <c r="L588" i="13" s="1"/>
  <c r="K589" i="13"/>
  <c r="L589" i="13" s="1"/>
  <c r="K590" i="13"/>
  <c r="K591" i="13"/>
  <c r="L591" i="13" s="1"/>
  <c r="K592" i="13"/>
  <c r="L592" i="13" s="1"/>
  <c r="K593" i="13"/>
  <c r="L593" i="13" s="1"/>
  <c r="K594" i="13"/>
  <c r="L594" i="13" s="1"/>
  <c r="K595" i="13"/>
  <c r="L595" i="13" s="1"/>
  <c r="K596" i="13"/>
  <c r="P596" i="13" s="1"/>
  <c r="K597" i="13"/>
  <c r="L597" i="13" s="1"/>
  <c r="K598" i="13"/>
  <c r="K599" i="13"/>
  <c r="L599" i="13" s="1"/>
  <c r="K600" i="13"/>
  <c r="L600" i="13" s="1"/>
  <c r="K601" i="13"/>
  <c r="L601" i="13" s="1"/>
  <c r="K602" i="13"/>
  <c r="L602" i="13" s="1"/>
  <c r="K603" i="13"/>
  <c r="L603" i="13" s="1"/>
  <c r="K604" i="13"/>
  <c r="L604" i="13" s="1"/>
  <c r="K605" i="13"/>
  <c r="K606" i="13"/>
  <c r="P606" i="13" s="1"/>
  <c r="K607" i="13"/>
  <c r="K608" i="13"/>
  <c r="L608" i="13" s="1"/>
  <c r="K609" i="13"/>
  <c r="L609" i="13" s="1"/>
  <c r="K610" i="13"/>
  <c r="P610" i="13" s="1"/>
  <c r="K611" i="13"/>
  <c r="L611" i="13" s="1"/>
  <c r="K612" i="13"/>
  <c r="L612" i="13" s="1"/>
  <c r="K613" i="13"/>
  <c r="K614" i="13"/>
  <c r="K615" i="13"/>
  <c r="P615" i="13" s="1"/>
  <c r="K616" i="13"/>
  <c r="L616" i="13" s="1"/>
  <c r="K617" i="13"/>
  <c r="L617" i="13" s="1"/>
  <c r="K618" i="13"/>
  <c r="L618" i="13" s="1"/>
  <c r="K619" i="13"/>
  <c r="L619" i="13" s="1"/>
  <c r="K620" i="13"/>
  <c r="P620" i="13" s="1"/>
  <c r="K621" i="13"/>
  <c r="L621" i="13" s="1"/>
  <c r="K622" i="13"/>
  <c r="L622" i="13" s="1"/>
  <c r="K623" i="13"/>
  <c r="K624" i="13"/>
  <c r="L624" i="13" s="1"/>
  <c r="K625" i="13"/>
  <c r="L625" i="13" s="1"/>
  <c r="K626" i="13"/>
  <c r="P626" i="13" s="1"/>
  <c r="K627" i="13"/>
  <c r="P627" i="13" s="1"/>
  <c r="K628" i="13"/>
  <c r="L628" i="13" s="1"/>
  <c r="K629" i="13"/>
  <c r="K630" i="13"/>
  <c r="K631" i="13"/>
  <c r="L631" i="13" s="1"/>
  <c r="K632" i="13"/>
  <c r="L632" i="13" s="1"/>
  <c r="K633" i="13"/>
  <c r="L633" i="13" s="1"/>
  <c r="K634" i="13"/>
  <c r="P634" i="13" s="1"/>
  <c r="K635" i="13"/>
  <c r="P635" i="13" s="1"/>
  <c r="K636" i="13"/>
  <c r="L636" i="13" s="1"/>
  <c r="K637" i="13"/>
  <c r="L637" i="13" s="1"/>
  <c r="K638" i="13"/>
  <c r="K639" i="13"/>
  <c r="K640" i="13"/>
  <c r="L640" i="13" s="1"/>
  <c r="K641" i="13"/>
  <c r="L641" i="13" s="1"/>
  <c r="K642" i="13"/>
  <c r="P642" i="13" s="1"/>
  <c r="K643" i="13"/>
  <c r="P643" i="13" s="1"/>
  <c r="K644" i="13"/>
  <c r="P644" i="13" s="1"/>
  <c r="K645" i="13"/>
  <c r="P645" i="13" s="1"/>
  <c r="K646" i="13"/>
  <c r="K647" i="13"/>
  <c r="L647" i="13" s="1"/>
  <c r="K648" i="13"/>
  <c r="L648" i="13" s="1"/>
  <c r="K649" i="13"/>
  <c r="L649" i="13" s="1"/>
  <c r="K650" i="13"/>
  <c r="L650" i="13" s="1"/>
  <c r="K651" i="13"/>
  <c r="L651" i="13" s="1"/>
  <c r="K652" i="13"/>
  <c r="L652" i="13" s="1"/>
  <c r="K653" i="13"/>
  <c r="P653" i="13" s="1"/>
  <c r="K654" i="13"/>
  <c r="K655" i="13"/>
  <c r="P655" i="13" s="1"/>
  <c r="K656" i="13"/>
  <c r="L656" i="13" s="1"/>
  <c r="K657" i="13"/>
  <c r="L657" i="13" s="1"/>
  <c r="K658" i="13"/>
  <c r="P658" i="13" s="1"/>
  <c r="K659" i="13"/>
  <c r="L659" i="13" s="1"/>
  <c r="K660" i="13"/>
  <c r="L660" i="13" s="1"/>
  <c r="K661" i="13"/>
  <c r="L661" i="13" s="1"/>
  <c r="K662" i="13"/>
  <c r="K663" i="13"/>
  <c r="L663" i="13" s="1"/>
  <c r="K664" i="13"/>
  <c r="L664" i="13" s="1"/>
  <c r="K665" i="13"/>
  <c r="L665" i="13" s="1"/>
  <c r="K666" i="13"/>
  <c r="P666" i="13" s="1"/>
  <c r="K667" i="13"/>
  <c r="P667" i="13" s="1"/>
  <c r="K668" i="13"/>
  <c r="P668" i="13" s="1"/>
  <c r="K669" i="13"/>
  <c r="K670" i="13"/>
  <c r="K671" i="13"/>
  <c r="P671" i="13" s="1"/>
  <c r="K672" i="13"/>
  <c r="L672" i="13" s="1"/>
  <c r="K673" i="13"/>
  <c r="L673" i="13" s="1"/>
  <c r="K674" i="13"/>
  <c r="P674" i="13" s="1"/>
  <c r="K675" i="13"/>
  <c r="L675" i="13" s="1"/>
  <c r="K676" i="13"/>
  <c r="L676" i="13" s="1"/>
  <c r="K677" i="13"/>
  <c r="L677" i="13" s="1"/>
  <c r="M585" i="13"/>
  <c r="M586" i="13"/>
  <c r="M587" i="13"/>
  <c r="M588" i="13"/>
  <c r="M589" i="13"/>
  <c r="M590" i="13"/>
  <c r="M591" i="13"/>
  <c r="M592" i="13"/>
  <c r="M593" i="13"/>
  <c r="M594" i="13"/>
  <c r="M595" i="13"/>
  <c r="M596" i="13"/>
  <c r="M597" i="13"/>
  <c r="M598" i="13"/>
  <c r="M599" i="13"/>
  <c r="M600" i="13"/>
  <c r="M601" i="13"/>
  <c r="M602" i="13"/>
  <c r="M603" i="13"/>
  <c r="M604" i="13"/>
  <c r="M605" i="13"/>
  <c r="M606" i="13"/>
  <c r="M607" i="13"/>
  <c r="M608" i="13"/>
  <c r="M609" i="13"/>
  <c r="M610" i="13"/>
  <c r="M611" i="13"/>
  <c r="M612" i="13"/>
  <c r="M613" i="13"/>
  <c r="M614" i="13"/>
  <c r="M615" i="13"/>
  <c r="M616" i="13"/>
  <c r="M617" i="13"/>
  <c r="M618" i="13"/>
  <c r="M619" i="13"/>
  <c r="M620" i="13"/>
  <c r="M621" i="13"/>
  <c r="M622" i="13"/>
  <c r="M623" i="13"/>
  <c r="M624" i="13"/>
  <c r="M625" i="13"/>
  <c r="M626" i="13"/>
  <c r="M627" i="13"/>
  <c r="M628" i="13"/>
  <c r="M629" i="13"/>
  <c r="M630" i="13"/>
  <c r="M631" i="13"/>
  <c r="M632" i="13"/>
  <c r="M633" i="13"/>
  <c r="M634" i="13"/>
  <c r="M635" i="13"/>
  <c r="M636" i="13"/>
  <c r="M637" i="13"/>
  <c r="M638" i="13"/>
  <c r="M639" i="13"/>
  <c r="M640" i="13"/>
  <c r="M641" i="13"/>
  <c r="M642" i="13"/>
  <c r="M643" i="13"/>
  <c r="M644" i="13"/>
  <c r="M645" i="13"/>
  <c r="M646" i="13"/>
  <c r="M647" i="13"/>
  <c r="M648" i="13"/>
  <c r="M649" i="13"/>
  <c r="M650" i="13"/>
  <c r="M651" i="13"/>
  <c r="M652" i="13"/>
  <c r="M653" i="13"/>
  <c r="M654" i="13"/>
  <c r="M655" i="13"/>
  <c r="M656" i="13"/>
  <c r="M657" i="13"/>
  <c r="M658" i="13"/>
  <c r="M659" i="13"/>
  <c r="M660" i="13"/>
  <c r="M661" i="13"/>
  <c r="M662" i="13"/>
  <c r="M663" i="13"/>
  <c r="M664" i="13"/>
  <c r="M665" i="13"/>
  <c r="M666" i="13"/>
  <c r="M667" i="13"/>
  <c r="M668" i="13"/>
  <c r="M669" i="13"/>
  <c r="M670" i="13"/>
  <c r="M671" i="13"/>
  <c r="M672" i="13"/>
  <c r="M673" i="13"/>
  <c r="M674" i="13"/>
  <c r="M675" i="13"/>
  <c r="M676" i="13"/>
  <c r="M677" i="13"/>
  <c r="N585" i="13"/>
  <c r="N586" i="13"/>
  <c r="N587" i="13"/>
  <c r="N588" i="13"/>
  <c r="N589" i="13"/>
  <c r="N590" i="13"/>
  <c r="N591" i="13"/>
  <c r="N592" i="13"/>
  <c r="N593" i="13"/>
  <c r="N594" i="13"/>
  <c r="N595" i="13"/>
  <c r="N596" i="13"/>
  <c r="N597" i="13"/>
  <c r="N598" i="13"/>
  <c r="N599" i="13"/>
  <c r="N600" i="13"/>
  <c r="N601" i="13"/>
  <c r="N602" i="13"/>
  <c r="N603" i="13"/>
  <c r="N604" i="13"/>
  <c r="N605" i="13"/>
  <c r="N606" i="13"/>
  <c r="N607" i="13"/>
  <c r="N608" i="13"/>
  <c r="N609" i="13"/>
  <c r="N610" i="13"/>
  <c r="N611" i="13"/>
  <c r="N612" i="13"/>
  <c r="N613" i="13"/>
  <c r="N614" i="13"/>
  <c r="N615" i="13"/>
  <c r="N616" i="13"/>
  <c r="N617" i="13"/>
  <c r="N618" i="13"/>
  <c r="N619" i="13"/>
  <c r="N620" i="13"/>
  <c r="N621" i="13"/>
  <c r="N622" i="13"/>
  <c r="N623" i="13"/>
  <c r="N624" i="13"/>
  <c r="N625" i="13"/>
  <c r="N626" i="13"/>
  <c r="N627" i="13"/>
  <c r="N628" i="13"/>
  <c r="N629" i="13"/>
  <c r="N630" i="13"/>
  <c r="N631" i="13"/>
  <c r="N632" i="13"/>
  <c r="N633" i="13"/>
  <c r="N634" i="13"/>
  <c r="N635" i="13"/>
  <c r="N636" i="13"/>
  <c r="N637" i="13"/>
  <c r="N638" i="13"/>
  <c r="N639" i="13"/>
  <c r="N640" i="13"/>
  <c r="N641" i="13"/>
  <c r="N642" i="13"/>
  <c r="N643" i="13"/>
  <c r="N644" i="13"/>
  <c r="N645" i="13"/>
  <c r="N646" i="13"/>
  <c r="N647" i="13"/>
  <c r="N648" i="13"/>
  <c r="N649" i="13"/>
  <c r="N650" i="13"/>
  <c r="N651" i="13"/>
  <c r="N652" i="13"/>
  <c r="N653" i="13"/>
  <c r="N654" i="13"/>
  <c r="N655" i="13"/>
  <c r="N656" i="13"/>
  <c r="N657" i="13"/>
  <c r="N658" i="13"/>
  <c r="N659" i="13"/>
  <c r="N660" i="13"/>
  <c r="N661" i="13"/>
  <c r="N662" i="13"/>
  <c r="N663" i="13"/>
  <c r="N664" i="13"/>
  <c r="N665" i="13"/>
  <c r="N666" i="13"/>
  <c r="N667" i="13"/>
  <c r="N668" i="13"/>
  <c r="N669" i="13"/>
  <c r="N670" i="13"/>
  <c r="N671" i="13"/>
  <c r="N672" i="13"/>
  <c r="N673" i="13"/>
  <c r="N674" i="13"/>
  <c r="N675" i="13"/>
  <c r="N676" i="13"/>
  <c r="N677" i="13"/>
  <c r="R585" i="13"/>
  <c r="R586" i="13"/>
  <c r="R587" i="13"/>
  <c r="R588" i="13"/>
  <c r="R589" i="13"/>
  <c r="R590" i="13"/>
  <c r="R591" i="13"/>
  <c r="R592" i="13"/>
  <c r="R593" i="13"/>
  <c r="R594" i="13"/>
  <c r="R595" i="13"/>
  <c r="R596" i="13"/>
  <c r="R597" i="13"/>
  <c r="R598" i="13"/>
  <c r="R599" i="13"/>
  <c r="R600" i="13"/>
  <c r="R601" i="13"/>
  <c r="R602" i="13"/>
  <c r="R603" i="13"/>
  <c r="R604" i="13"/>
  <c r="R605" i="13"/>
  <c r="R606" i="13"/>
  <c r="R607" i="13"/>
  <c r="R608" i="13"/>
  <c r="R609" i="13"/>
  <c r="R610" i="13"/>
  <c r="R611" i="13"/>
  <c r="R612" i="13"/>
  <c r="R613" i="13"/>
  <c r="R614" i="13"/>
  <c r="R615" i="13"/>
  <c r="R616" i="13"/>
  <c r="R617" i="13"/>
  <c r="R618" i="13"/>
  <c r="R619" i="13"/>
  <c r="R620" i="13"/>
  <c r="R621" i="13"/>
  <c r="R622" i="13"/>
  <c r="R623" i="13"/>
  <c r="R624" i="13"/>
  <c r="R625" i="13"/>
  <c r="R626" i="13"/>
  <c r="R627" i="13"/>
  <c r="R628" i="13"/>
  <c r="R629" i="13"/>
  <c r="R630" i="13"/>
  <c r="R631" i="13"/>
  <c r="R632" i="13"/>
  <c r="R633" i="13"/>
  <c r="R634" i="13"/>
  <c r="R635" i="13"/>
  <c r="R636" i="13"/>
  <c r="R637" i="13"/>
  <c r="R638" i="13"/>
  <c r="R639" i="13"/>
  <c r="R640" i="13"/>
  <c r="R641" i="13"/>
  <c r="R642" i="13"/>
  <c r="R643" i="13"/>
  <c r="R644" i="13"/>
  <c r="R645" i="13"/>
  <c r="R646" i="13"/>
  <c r="R647" i="13"/>
  <c r="R648" i="13"/>
  <c r="R649" i="13"/>
  <c r="R650" i="13"/>
  <c r="R651" i="13"/>
  <c r="R652" i="13"/>
  <c r="R653" i="13"/>
  <c r="R654" i="13"/>
  <c r="R655" i="13"/>
  <c r="R656" i="13"/>
  <c r="R657" i="13"/>
  <c r="R658" i="13"/>
  <c r="R659" i="13"/>
  <c r="R660" i="13"/>
  <c r="R661" i="13"/>
  <c r="R662" i="13"/>
  <c r="R663" i="13"/>
  <c r="R664" i="13"/>
  <c r="R665" i="13"/>
  <c r="R666" i="13"/>
  <c r="R667" i="13"/>
  <c r="R668" i="13"/>
  <c r="R669" i="13"/>
  <c r="R670" i="13"/>
  <c r="R671" i="13"/>
  <c r="R672" i="13"/>
  <c r="R673" i="13"/>
  <c r="R674" i="13"/>
  <c r="R675" i="13"/>
  <c r="R676" i="13"/>
  <c r="R677" i="13"/>
  <c r="S585" i="13"/>
  <c r="S586" i="13"/>
  <c r="S587" i="13"/>
  <c r="S588" i="13"/>
  <c r="S589" i="13"/>
  <c r="S590" i="13"/>
  <c r="S591" i="13"/>
  <c r="S592" i="13"/>
  <c r="S593" i="13"/>
  <c r="S594" i="13"/>
  <c r="S595" i="13"/>
  <c r="S596" i="13"/>
  <c r="S597" i="13"/>
  <c r="S598" i="13"/>
  <c r="S599" i="13"/>
  <c r="S600" i="13"/>
  <c r="S601" i="13"/>
  <c r="S602" i="13"/>
  <c r="S603" i="13"/>
  <c r="S604" i="13"/>
  <c r="S605" i="13"/>
  <c r="S606" i="13"/>
  <c r="S607" i="13"/>
  <c r="S608" i="13"/>
  <c r="S609" i="13"/>
  <c r="S610" i="13"/>
  <c r="S611" i="13"/>
  <c r="S612" i="13"/>
  <c r="S613" i="13"/>
  <c r="S614" i="13"/>
  <c r="S615" i="13"/>
  <c r="S616" i="13"/>
  <c r="S617" i="13"/>
  <c r="S618" i="13"/>
  <c r="S619" i="13"/>
  <c r="S620" i="13"/>
  <c r="S621" i="13"/>
  <c r="S622" i="13"/>
  <c r="S623" i="13"/>
  <c r="S624" i="13"/>
  <c r="S625" i="13"/>
  <c r="S626" i="13"/>
  <c r="S627" i="13"/>
  <c r="S628" i="13"/>
  <c r="S629" i="13"/>
  <c r="S630" i="13"/>
  <c r="S631" i="13"/>
  <c r="S632" i="13"/>
  <c r="S633" i="13"/>
  <c r="S634" i="13"/>
  <c r="S635" i="13"/>
  <c r="S636" i="13"/>
  <c r="S637" i="13"/>
  <c r="S638" i="13"/>
  <c r="S639" i="13"/>
  <c r="S640" i="13"/>
  <c r="S641" i="13"/>
  <c r="S642" i="13"/>
  <c r="S643" i="13"/>
  <c r="S644" i="13"/>
  <c r="S645" i="13"/>
  <c r="S646" i="13"/>
  <c r="S647" i="13"/>
  <c r="S648" i="13"/>
  <c r="S649" i="13"/>
  <c r="S650" i="13"/>
  <c r="S651" i="13"/>
  <c r="S652" i="13"/>
  <c r="S653" i="13"/>
  <c r="S654" i="13"/>
  <c r="S655" i="13"/>
  <c r="S656" i="13"/>
  <c r="S657" i="13"/>
  <c r="S658" i="13"/>
  <c r="S659" i="13"/>
  <c r="S660" i="13"/>
  <c r="S661" i="13"/>
  <c r="S662" i="13"/>
  <c r="S663" i="13"/>
  <c r="S664" i="13"/>
  <c r="S665" i="13"/>
  <c r="S666" i="13"/>
  <c r="S667" i="13"/>
  <c r="S668" i="13"/>
  <c r="S669" i="13"/>
  <c r="S670" i="13"/>
  <c r="S671" i="13"/>
  <c r="S672" i="13"/>
  <c r="S673" i="13"/>
  <c r="S674" i="13"/>
  <c r="S675" i="13"/>
  <c r="S676" i="13"/>
  <c r="S677" i="13"/>
  <c r="A4" i="35"/>
  <c r="A4" i="28"/>
  <c r="A3" i="37"/>
  <c r="A4" i="38"/>
  <c r="K525" i="13"/>
  <c r="L525" i="13" s="1"/>
  <c r="K526" i="13"/>
  <c r="L526" i="13" s="1"/>
  <c r="K527" i="13"/>
  <c r="L527" i="13" s="1"/>
  <c r="K528" i="13"/>
  <c r="L528" i="13" s="1"/>
  <c r="K529" i="13"/>
  <c r="K530" i="13"/>
  <c r="L530" i="13" s="1"/>
  <c r="K531" i="13"/>
  <c r="L531" i="13" s="1"/>
  <c r="K532" i="13"/>
  <c r="P532" i="13" s="1"/>
  <c r="K533" i="13"/>
  <c r="P533" i="13" s="1"/>
  <c r="K534" i="13"/>
  <c r="L534" i="13" s="1"/>
  <c r="K535" i="13"/>
  <c r="L535" i="13" s="1"/>
  <c r="K536" i="13"/>
  <c r="L536" i="13" s="1"/>
  <c r="K537" i="13"/>
  <c r="P537" i="13" s="1"/>
  <c r="K538" i="13"/>
  <c r="P538" i="13" s="1"/>
  <c r="K539" i="13"/>
  <c r="K540" i="13"/>
  <c r="L540" i="13" s="1"/>
  <c r="K541" i="13"/>
  <c r="L541" i="13" s="1"/>
  <c r="K542" i="13"/>
  <c r="K543" i="13"/>
  <c r="L543" i="13" s="1"/>
  <c r="K544" i="13"/>
  <c r="L544" i="13" s="1"/>
  <c r="K545" i="13"/>
  <c r="K546" i="13"/>
  <c r="P546" i="13" s="1"/>
  <c r="K547" i="13"/>
  <c r="P547" i="13" s="1"/>
  <c r="K548" i="13"/>
  <c r="L548" i="13" s="1"/>
  <c r="K549" i="13"/>
  <c r="L549" i="13" s="1"/>
  <c r="K550" i="13"/>
  <c r="K551" i="13"/>
  <c r="L551" i="13" s="1"/>
  <c r="K552" i="13"/>
  <c r="L552" i="13" s="1"/>
  <c r="K553" i="13"/>
  <c r="K554" i="13"/>
  <c r="L554" i="13" s="1"/>
  <c r="K555" i="13"/>
  <c r="L555" i="13" s="1"/>
  <c r="K556" i="13"/>
  <c r="P556" i="13" s="1"/>
  <c r="K557" i="13"/>
  <c r="L557" i="13" s="1"/>
  <c r="K558" i="13"/>
  <c r="K559" i="13"/>
  <c r="L559" i="13" s="1"/>
  <c r="K560" i="13"/>
  <c r="L560" i="13" s="1"/>
  <c r="K561" i="13"/>
  <c r="K562" i="13"/>
  <c r="P562" i="13" s="1"/>
  <c r="K563" i="13"/>
  <c r="K564" i="13"/>
  <c r="L564" i="13" s="1"/>
  <c r="K565" i="13"/>
  <c r="L565" i="13" s="1"/>
  <c r="K566" i="13"/>
  <c r="K567" i="13"/>
  <c r="L567" i="13" s="1"/>
  <c r="K568" i="13"/>
  <c r="L568" i="13" s="1"/>
  <c r="K569" i="13"/>
  <c r="K570" i="13"/>
  <c r="P570" i="13" s="1"/>
  <c r="K571" i="13"/>
  <c r="P571" i="13" s="1"/>
  <c r="K572" i="13"/>
  <c r="L572" i="13" s="1"/>
  <c r="K573" i="13"/>
  <c r="L573" i="13" s="1"/>
  <c r="K574" i="13"/>
  <c r="K575" i="13"/>
  <c r="L575" i="13" s="1"/>
  <c r="K576" i="13"/>
  <c r="L576" i="13" s="1"/>
  <c r="K577" i="13"/>
  <c r="K578" i="13"/>
  <c r="P578" i="13" s="1"/>
  <c r="K579" i="13"/>
  <c r="L579" i="13" s="1"/>
  <c r="K580" i="13"/>
  <c r="P580" i="13" s="1"/>
  <c r="K581" i="13"/>
  <c r="L581" i="13" s="1"/>
  <c r="K582" i="13"/>
  <c r="L582" i="13" s="1"/>
  <c r="K583" i="13"/>
  <c r="L583" i="13" s="1"/>
  <c r="K584" i="13"/>
  <c r="L584" i="13" s="1"/>
  <c r="M525" i="13"/>
  <c r="M526" i="13"/>
  <c r="M527" i="13"/>
  <c r="M528" i="13"/>
  <c r="M529" i="13"/>
  <c r="M530" i="13"/>
  <c r="M531" i="13"/>
  <c r="M532" i="13"/>
  <c r="M533" i="13"/>
  <c r="M534" i="13"/>
  <c r="M535" i="13"/>
  <c r="M536" i="13"/>
  <c r="M537" i="13"/>
  <c r="M538" i="13"/>
  <c r="M539" i="13"/>
  <c r="M540" i="13"/>
  <c r="M541" i="13"/>
  <c r="M542" i="13"/>
  <c r="M543" i="13"/>
  <c r="M544" i="13"/>
  <c r="M545" i="13"/>
  <c r="M546" i="13"/>
  <c r="M547" i="13"/>
  <c r="M548" i="13"/>
  <c r="M549" i="13"/>
  <c r="M550" i="13"/>
  <c r="M551" i="13"/>
  <c r="M552" i="13"/>
  <c r="M553" i="13"/>
  <c r="M554" i="13"/>
  <c r="M555" i="13"/>
  <c r="M556" i="13"/>
  <c r="M557" i="13"/>
  <c r="M558" i="13"/>
  <c r="M559" i="13"/>
  <c r="M560" i="13"/>
  <c r="M561" i="13"/>
  <c r="M562" i="13"/>
  <c r="M563" i="13"/>
  <c r="M564" i="13"/>
  <c r="M565" i="13"/>
  <c r="M566" i="13"/>
  <c r="M567" i="13"/>
  <c r="M568" i="13"/>
  <c r="M569" i="13"/>
  <c r="M570" i="13"/>
  <c r="M571" i="13"/>
  <c r="M572" i="13"/>
  <c r="M573" i="13"/>
  <c r="M574" i="13"/>
  <c r="M575" i="13"/>
  <c r="M576" i="13"/>
  <c r="M577" i="13"/>
  <c r="M578" i="13"/>
  <c r="M579" i="13"/>
  <c r="M580" i="13"/>
  <c r="M581" i="13"/>
  <c r="M582" i="13"/>
  <c r="M583" i="13"/>
  <c r="M584" i="13"/>
  <c r="N525" i="13"/>
  <c r="N526" i="13"/>
  <c r="N527" i="13"/>
  <c r="N528" i="13"/>
  <c r="N529" i="13"/>
  <c r="N530" i="13"/>
  <c r="N531" i="13"/>
  <c r="N532" i="13"/>
  <c r="N533" i="13"/>
  <c r="N534" i="13"/>
  <c r="N535" i="13"/>
  <c r="N536" i="13"/>
  <c r="N537" i="13"/>
  <c r="N538" i="13"/>
  <c r="N539" i="13"/>
  <c r="N540" i="13"/>
  <c r="N541" i="13"/>
  <c r="N542" i="13"/>
  <c r="N543" i="13"/>
  <c r="N544" i="13"/>
  <c r="N545" i="13"/>
  <c r="N546" i="13"/>
  <c r="N547" i="13"/>
  <c r="N548" i="13"/>
  <c r="N549" i="13"/>
  <c r="N550" i="13"/>
  <c r="N551" i="13"/>
  <c r="N552" i="13"/>
  <c r="N553" i="13"/>
  <c r="N554" i="13"/>
  <c r="N555" i="13"/>
  <c r="N556" i="13"/>
  <c r="N557" i="13"/>
  <c r="N558" i="13"/>
  <c r="N559" i="13"/>
  <c r="N560" i="13"/>
  <c r="N561" i="13"/>
  <c r="N562" i="13"/>
  <c r="N563" i="13"/>
  <c r="N564" i="13"/>
  <c r="N565" i="13"/>
  <c r="N566" i="13"/>
  <c r="N567" i="13"/>
  <c r="N568" i="13"/>
  <c r="N569" i="13"/>
  <c r="N570" i="13"/>
  <c r="N571" i="13"/>
  <c r="N572" i="13"/>
  <c r="N573" i="13"/>
  <c r="N574" i="13"/>
  <c r="N575" i="13"/>
  <c r="N576" i="13"/>
  <c r="N577" i="13"/>
  <c r="N578" i="13"/>
  <c r="N579" i="13"/>
  <c r="N580" i="13"/>
  <c r="N581" i="13"/>
  <c r="N582" i="13"/>
  <c r="N583" i="13"/>
  <c r="N584" i="13"/>
  <c r="R525" i="13"/>
  <c r="R526" i="13"/>
  <c r="R527" i="13"/>
  <c r="R528" i="13"/>
  <c r="R529" i="13"/>
  <c r="R530" i="13"/>
  <c r="R531" i="13"/>
  <c r="R532" i="13"/>
  <c r="R533" i="13"/>
  <c r="R534" i="13"/>
  <c r="R535" i="13"/>
  <c r="R536" i="13"/>
  <c r="R537" i="13"/>
  <c r="R538" i="13"/>
  <c r="R539" i="13"/>
  <c r="R540" i="13"/>
  <c r="R541" i="13"/>
  <c r="R542" i="13"/>
  <c r="R543" i="13"/>
  <c r="R544" i="13"/>
  <c r="R545" i="13"/>
  <c r="R546" i="13"/>
  <c r="R547" i="13"/>
  <c r="R548" i="13"/>
  <c r="R549" i="13"/>
  <c r="R550" i="13"/>
  <c r="R551" i="13"/>
  <c r="R552" i="13"/>
  <c r="R553" i="13"/>
  <c r="R554" i="13"/>
  <c r="R555" i="13"/>
  <c r="R556" i="13"/>
  <c r="R557" i="13"/>
  <c r="R558" i="13"/>
  <c r="R559" i="13"/>
  <c r="R560" i="13"/>
  <c r="R561" i="13"/>
  <c r="R562" i="13"/>
  <c r="R563" i="13"/>
  <c r="R564" i="13"/>
  <c r="R565" i="13"/>
  <c r="R566" i="13"/>
  <c r="R567" i="13"/>
  <c r="R568" i="13"/>
  <c r="R569" i="13"/>
  <c r="R570" i="13"/>
  <c r="R571" i="13"/>
  <c r="R572" i="13"/>
  <c r="R573" i="13"/>
  <c r="R574" i="13"/>
  <c r="R575" i="13"/>
  <c r="R576" i="13"/>
  <c r="R577" i="13"/>
  <c r="R578" i="13"/>
  <c r="R579" i="13"/>
  <c r="R580" i="13"/>
  <c r="R581" i="13"/>
  <c r="R582" i="13"/>
  <c r="R583" i="13"/>
  <c r="R584" i="13"/>
  <c r="S525" i="13"/>
  <c r="S526" i="13"/>
  <c r="S527" i="13"/>
  <c r="S528" i="13"/>
  <c r="S529" i="13"/>
  <c r="S530" i="13"/>
  <c r="S531" i="13"/>
  <c r="S532" i="13"/>
  <c r="S533" i="13"/>
  <c r="S534" i="13"/>
  <c r="S535" i="13"/>
  <c r="S536" i="13"/>
  <c r="S537" i="13"/>
  <c r="S538" i="13"/>
  <c r="S539" i="13"/>
  <c r="S540" i="13"/>
  <c r="S541" i="13"/>
  <c r="S542" i="13"/>
  <c r="S543" i="13"/>
  <c r="S544" i="13"/>
  <c r="S545" i="13"/>
  <c r="S546" i="13"/>
  <c r="S547" i="13"/>
  <c r="S548" i="13"/>
  <c r="S549" i="13"/>
  <c r="S550" i="13"/>
  <c r="S551" i="13"/>
  <c r="S552" i="13"/>
  <c r="S553" i="13"/>
  <c r="S554" i="13"/>
  <c r="S555" i="13"/>
  <c r="S556" i="13"/>
  <c r="S557" i="13"/>
  <c r="S558" i="13"/>
  <c r="S559" i="13"/>
  <c r="S560" i="13"/>
  <c r="S561" i="13"/>
  <c r="S562" i="13"/>
  <c r="S563" i="13"/>
  <c r="S564" i="13"/>
  <c r="S565" i="13"/>
  <c r="S566" i="13"/>
  <c r="S567" i="13"/>
  <c r="S568" i="13"/>
  <c r="S569" i="13"/>
  <c r="S570" i="13"/>
  <c r="S571" i="13"/>
  <c r="S572" i="13"/>
  <c r="S573" i="13"/>
  <c r="S574" i="13"/>
  <c r="S575" i="13"/>
  <c r="S576" i="13"/>
  <c r="S577" i="13"/>
  <c r="S578" i="13"/>
  <c r="S579" i="13"/>
  <c r="S580" i="13"/>
  <c r="S581" i="13"/>
  <c r="S582" i="13"/>
  <c r="S583" i="13"/>
  <c r="S584" i="13"/>
  <c r="A37" i="27"/>
  <c r="A36" i="31"/>
  <c r="K505" i="13"/>
  <c r="L505" i="13" s="1"/>
  <c r="K506" i="13"/>
  <c r="L506" i="13" s="1"/>
  <c r="K507" i="13"/>
  <c r="L507" i="13" s="1"/>
  <c r="K508" i="13"/>
  <c r="P508" i="13" s="1"/>
  <c r="K509" i="13"/>
  <c r="K510" i="13"/>
  <c r="L510" i="13" s="1"/>
  <c r="K511" i="13"/>
  <c r="P511" i="13" s="1"/>
  <c r="K512" i="13"/>
  <c r="P512" i="13" s="1"/>
  <c r="K513" i="13"/>
  <c r="P513" i="13" s="1"/>
  <c r="K514" i="13"/>
  <c r="L514" i="13" s="1"/>
  <c r="K515" i="13"/>
  <c r="P515" i="13" s="1"/>
  <c r="K516" i="13"/>
  <c r="K517" i="13"/>
  <c r="L517" i="13" s="1"/>
  <c r="K518" i="13"/>
  <c r="K519" i="13"/>
  <c r="L519" i="13" s="1"/>
  <c r="K520" i="13"/>
  <c r="P520" i="13" s="1"/>
  <c r="K521" i="13"/>
  <c r="L521" i="13" s="1"/>
  <c r="K522" i="13"/>
  <c r="L522" i="13" s="1"/>
  <c r="K523" i="13"/>
  <c r="P523" i="13" s="1"/>
  <c r="K524" i="13"/>
  <c r="M505" i="13"/>
  <c r="M506" i="13"/>
  <c r="M507" i="13"/>
  <c r="M508" i="13"/>
  <c r="M509" i="13"/>
  <c r="M510" i="13"/>
  <c r="M511" i="13"/>
  <c r="M512" i="13"/>
  <c r="M513" i="13"/>
  <c r="M514" i="13"/>
  <c r="M515" i="13"/>
  <c r="M516" i="13"/>
  <c r="M517" i="13"/>
  <c r="M518" i="13"/>
  <c r="M519" i="13"/>
  <c r="M520" i="13"/>
  <c r="M521" i="13"/>
  <c r="M522" i="13"/>
  <c r="M523" i="13"/>
  <c r="M524" i="13"/>
  <c r="N505" i="13"/>
  <c r="N506" i="13"/>
  <c r="N507" i="13"/>
  <c r="N508" i="13"/>
  <c r="N509" i="13"/>
  <c r="N510" i="13"/>
  <c r="N511" i="13"/>
  <c r="N512" i="13"/>
  <c r="N513" i="13"/>
  <c r="N514" i="13"/>
  <c r="N515" i="13"/>
  <c r="N516" i="13"/>
  <c r="N517" i="13"/>
  <c r="N518" i="13"/>
  <c r="N519" i="13"/>
  <c r="N520" i="13"/>
  <c r="N521" i="13"/>
  <c r="N522" i="13"/>
  <c r="N523" i="13"/>
  <c r="N524" i="13"/>
  <c r="R505" i="13"/>
  <c r="R506" i="13"/>
  <c r="R507" i="13"/>
  <c r="R508" i="13"/>
  <c r="R509" i="13"/>
  <c r="R510" i="13"/>
  <c r="R511" i="13"/>
  <c r="R512" i="13"/>
  <c r="R513" i="13"/>
  <c r="R514" i="13"/>
  <c r="R515" i="13"/>
  <c r="R516" i="13"/>
  <c r="R517" i="13"/>
  <c r="R518" i="13"/>
  <c r="R519" i="13"/>
  <c r="R520" i="13"/>
  <c r="R521" i="13"/>
  <c r="R522" i="13"/>
  <c r="R523" i="13"/>
  <c r="R524" i="13"/>
  <c r="S505" i="13"/>
  <c r="S506" i="13"/>
  <c r="S507" i="13"/>
  <c r="S508" i="13"/>
  <c r="S509" i="13"/>
  <c r="S510" i="13"/>
  <c r="S511" i="13"/>
  <c r="S512" i="13"/>
  <c r="S513" i="13"/>
  <c r="S514" i="13"/>
  <c r="S515" i="13"/>
  <c r="S516" i="13"/>
  <c r="S517" i="13"/>
  <c r="S518" i="13"/>
  <c r="S519" i="13"/>
  <c r="S520" i="13"/>
  <c r="S521" i="13"/>
  <c r="S522" i="13"/>
  <c r="S523" i="13"/>
  <c r="S524" i="13"/>
  <c r="O462" i="13"/>
  <c r="O463" i="13"/>
  <c r="O464" i="13"/>
  <c r="O465" i="13"/>
  <c r="O466" i="13"/>
  <c r="O467" i="13"/>
  <c r="O468" i="13"/>
  <c r="O469" i="13"/>
  <c r="O470" i="13"/>
  <c r="O471" i="13"/>
  <c r="O472" i="13"/>
  <c r="O473" i="13"/>
  <c r="O474" i="13"/>
  <c r="O475" i="13"/>
  <c r="O476" i="13"/>
  <c r="O477" i="13"/>
  <c r="O478" i="13"/>
  <c r="O479" i="13"/>
  <c r="O480" i="13"/>
  <c r="O481" i="13"/>
  <c r="O482" i="13"/>
  <c r="O483" i="13"/>
  <c r="O484" i="13"/>
  <c r="O485" i="13"/>
  <c r="O486" i="13"/>
  <c r="O487" i="13"/>
  <c r="O488" i="13"/>
  <c r="O489" i="13"/>
  <c r="O490" i="13"/>
  <c r="O491" i="13"/>
  <c r="O492" i="13"/>
  <c r="O493" i="13"/>
  <c r="O494" i="13"/>
  <c r="O495" i="13"/>
  <c r="O496" i="13"/>
  <c r="O497" i="13"/>
  <c r="O498" i="13"/>
  <c r="O499" i="13"/>
  <c r="O500" i="13"/>
  <c r="O501" i="13"/>
  <c r="O502" i="13"/>
  <c r="O503" i="13"/>
  <c r="O504" i="13"/>
  <c r="O245" i="13"/>
  <c r="O246" i="13"/>
  <c r="O247" i="13"/>
  <c r="O248" i="13"/>
  <c r="O249" i="13"/>
  <c r="O250" i="13"/>
  <c r="O251" i="13"/>
  <c r="O252" i="13"/>
  <c r="O253" i="13"/>
  <c r="O254" i="13"/>
  <c r="O255" i="13"/>
  <c r="O256" i="13"/>
  <c r="O257" i="13"/>
  <c r="O258" i="13"/>
  <c r="O259" i="13"/>
  <c r="O260" i="13"/>
  <c r="O261" i="13"/>
  <c r="O262" i="13"/>
  <c r="O263" i="13"/>
  <c r="O264" i="13"/>
  <c r="O265" i="13"/>
  <c r="O266" i="13"/>
  <c r="O267" i="13"/>
  <c r="O268" i="13"/>
  <c r="O269" i="13"/>
  <c r="O270" i="13"/>
  <c r="O271" i="13"/>
  <c r="O272" i="13"/>
  <c r="O273" i="13"/>
  <c r="O274" i="13"/>
  <c r="O275" i="13"/>
  <c r="O276" i="13"/>
  <c r="O277" i="13"/>
  <c r="O278" i="13"/>
  <c r="O279" i="13"/>
  <c r="O280" i="13"/>
  <c r="O281" i="13"/>
  <c r="O282" i="13"/>
  <c r="O301" i="13"/>
  <c r="O302" i="13"/>
  <c r="O303" i="13"/>
  <c r="O304" i="13"/>
  <c r="O305" i="13"/>
  <c r="O306" i="13"/>
  <c r="O307" i="13"/>
  <c r="O308" i="13"/>
  <c r="O309" i="13"/>
  <c r="O310" i="13"/>
  <c r="O311" i="13"/>
  <c r="O312" i="13"/>
  <c r="O313" i="13"/>
  <c r="O314" i="13"/>
  <c r="O315" i="13"/>
  <c r="O316" i="13"/>
  <c r="O317" i="13"/>
  <c r="O318" i="13"/>
  <c r="O319" i="13"/>
  <c r="O320" i="13"/>
  <c r="O321" i="13"/>
  <c r="O322" i="13"/>
  <c r="O323" i="13"/>
  <c r="O324" i="13"/>
  <c r="O325" i="13"/>
  <c r="O326" i="13"/>
  <c r="O327" i="13"/>
  <c r="O328" i="13"/>
  <c r="O329" i="13"/>
  <c r="O330" i="13"/>
  <c r="O331" i="13"/>
  <c r="O332" i="13"/>
  <c r="O333" i="13"/>
  <c r="O334" i="13"/>
  <c r="O335" i="13"/>
  <c r="O336" i="13"/>
  <c r="O337" i="13"/>
  <c r="O338" i="13"/>
  <c r="O339" i="13"/>
  <c r="O340" i="13"/>
  <c r="O341" i="13"/>
  <c r="O342" i="13"/>
  <c r="O343" i="13"/>
  <c r="O344" i="13"/>
  <c r="O345" i="13"/>
  <c r="O346" i="13"/>
  <c r="O347" i="13"/>
  <c r="O348" i="13"/>
  <c r="O349" i="13"/>
  <c r="O350" i="13"/>
  <c r="O351" i="13"/>
  <c r="O352" i="13"/>
  <c r="O353" i="13"/>
  <c r="O354" i="13"/>
  <c r="O355" i="13"/>
  <c r="O356" i="13"/>
  <c r="O357" i="13"/>
  <c r="O358" i="13"/>
  <c r="O359" i="13"/>
  <c r="O360" i="13"/>
  <c r="O361" i="13"/>
  <c r="O362" i="13"/>
  <c r="O363" i="13"/>
  <c r="O364" i="13"/>
  <c r="O365" i="13"/>
  <c r="O366" i="13"/>
  <c r="O367" i="13"/>
  <c r="O368" i="13"/>
  <c r="O369" i="13"/>
  <c r="O370" i="13"/>
  <c r="O371" i="13"/>
  <c r="O372" i="13"/>
  <c r="O373" i="13"/>
  <c r="O374" i="13"/>
  <c r="O375" i="13"/>
  <c r="O376" i="13"/>
  <c r="O377" i="13"/>
  <c r="O378" i="13"/>
  <c r="O379" i="13"/>
  <c r="O380" i="13"/>
  <c r="O381" i="13"/>
  <c r="O382" i="13"/>
  <c r="O383" i="13"/>
  <c r="O384" i="13"/>
  <c r="O385" i="13"/>
  <c r="O386" i="13"/>
  <c r="O387" i="13"/>
  <c r="O388" i="13"/>
  <c r="O389" i="13"/>
  <c r="O390" i="13"/>
  <c r="O391" i="13"/>
  <c r="O392" i="13"/>
  <c r="O393" i="13"/>
  <c r="O394" i="13"/>
  <c r="O395" i="13"/>
  <c r="O396" i="13"/>
  <c r="O397" i="13"/>
  <c r="O398" i="13"/>
  <c r="O399" i="13"/>
  <c r="O400" i="13"/>
  <c r="O401" i="13"/>
  <c r="O402" i="13"/>
  <c r="O403" i="13"/>
  <c r="O404" i="13"/>
  <c r="O405" i="13"/>
  <c r="O406" i="13"/>
  <c r="O407" i="13"/>
  <c r="O408" i="13"/>
  <c r="O409" i="13"/>
  <c r="O410" i="13"/>
  <c r="O411" i="13"/>
  <c r="O412" i="13"/>
  <c r="O413" i="13"/>
  <c r="O414" i="13"/>
  <c r="O415" i="13"/>
  <c r="O416" i="13"/>
  <c r="O417" i="13"/>
  <c r="O418" i="13"/>
  <c r="O419" i="13"/>
  <c r="O420" i="13"/>
  <c r="O421" i="13"/>
  <c r="O422" i="13"/>
  <c r="O423" i="13"/>
  <c r="O424" i="13"/>
  <c r="O425" i="13"/>
  <c r="O426" i="13"/>
  <c r="O427" i="13"/>
  <c r="O428" i="13"/>
  <c r="O429" i="13"/>
  <c r="O430" i="13"/>
  <c r="O431" i="13"/>
  <c r="O432" i="13"/>
  <c r="O433" i="13"/>
  <c r="O434" i="13"/>
  <c r="O435" i="13"/>
  <c r="O436" i="13"/>
  <c r="O437" i="13"/>
  <c r="O438" i="13"/>
  <c r="O439" i="13"/>
  <c r="O440" i="13"/>
  <c r="O441" i="13"/>
  <c r="O442" i="13"/>
  <c r="O443" i="13"/>
  <c r="O444" i="13"/>
  <c r="O445" i="13"/>
  <c r="O446" i="13"/>
  <c r="O447" i="13"/>
  <c r="K462" i="13"/>
  <c r="L462" i="13" s="1"/>
  <c r="K463" i="13"/>
  <c r="L463" i="13" s="1"/>
  <c r="K464" i="13"/>
  <c r="K465" i="13"/>
  <c r="P465" i="13" s="1"/>
  <c r="K466" i="13"/>
  <c r="P466" i="13" s="1"/>
  <c r="K467" i="13"/>
  <c r="K468" i="13"/>
  <c r="L468" i="13" s="1"/>
  <c r="K469" i="13"/>
  <c r="P469" i="13" s="1"/>
  <c r="K470" i="13"/>
  <c r="L470" i="13" s="1"/>
  <c r="K471" i="13"/>
  <c r="P471" i="13" s="1"/>
  <c r="K472" i="13"/>
  <c r="L472" i="13" s="1"/>
  <c r="K473" i="13"/>
  <c r="P473" i="13" s="1"/>
  <c r="K474" i="13"/>
  <c r="L474" i="13" s="1"/>
  <c r="K475" i="13"/>
  <c r="P475" i="13" s="1"/>
  <c r="K476" i="13"/>
  <c r="L476" i="13" s="1"/>
  <c r="K477" i="13"/>
  <c r="P477" i="13" s="1"/>
  <c r="K478" i="13"/>
  <c r="L478" i="13" s="1"/>
  <c r="K479" i="13"/>
  <c r="L479" i="13" s="1"/>
  <c r="K480" i="13"/>
  <c r="L480" i="13" s="1"/>
  <c r="K481" i="13"/>
  <c r="L481" i="13" s="1"/>
  <c r="K482" i="13"/>
  <c r="L482" i="13" s="1"/>
  <c r="K483" i="13"/>
  <c r="P483" i="13" s="1"/>
  <c r="K484" i="13"/>
  <c r="L484" i="13" s="1"/>
  <c r="K485" i="13"/>
  <c r="P485" i="13" s="1"/>
  <c r="K486" i="13"/>
  <c r="L486" i="13" s="1"/>
  <c r="K487" i="13"/>
  <c r="L487" i="13" s="1"/>
  <c r="K488" i="13"/>
  <c r="K489" i="13"/>
  <c r="L489" i="13" s="1"/>
  <c r="K490" i="13"/>
  <c r="L490" i="13" s="1"/>
  <c r="K491" i="13"/>
  <c r="L491" i="13" s="1"/>
  <c r="K492" i="13"/>
  <c r="L492" i="13" s="1"/>
  <c r="K493" i="13"/>
  <c r="P493" i="13" s="1"/>
  <c r="K494" i="13"/>
  <c r="L494" i="13" s="1"/>
  <c r="K495" i="13"/>
  <c r="P495" i="13" s="1"/>
  <c r="K496" i="13"/>
  <c r="K497" i="13"/>
  <c r="P497" i="13" s="1"/>
  <c r="K498" i="13"/>
  <c r="P498" i="13" s="1"/>
  <c r="K499" i="13"/>
  <c r="P499" i="13" s="1"/>
  <c r="K500" i="13"/>
  <c r="L500" i="13" s="1"/>
  <c r="K501" i="13"/>
  <c r="P501" i="13" s="1"/>
  <c r="K502" i="13"/>
  <c r="L502" i="13" s="1"/>
  <c r="K503" i="13"/>
  <c r="P503" i="13" s="1"/>
  <c r="K504" i="13"/>
  <c r="L504" i="13" s="1"/>
  <c r="M462" i="13"/>
  <c r="M463" i="13"/>
  <c r="M464" i="13"/>
  <c r="M465" i="13"/>
  <c r="M466" i="13"/>
  <c r="M467" i="13"/>
  <c r="M468" i="13"/>
  <c r="M469" i="13"/>
  <c r="M470" i="13"/>
  <c r="M471" i="13"/>
  <c r="M472" i="13"/>
  <c r="M473" i="13"/>
  <c r="M474" i="13"/>
  <c r="M475" i="13"/>
  <c r="M476" i="13"/>
  <c r="M477" i="13"/>
  <c r="M478" i="13"/>
  <c r="M479" i="13"/>
  <c r="M480" i="13"/>
  <c r="M481" i="13"/>
  <c r="M482" i="13"/>
  <c r="M483" i="13"/>
  <c r="M484" i="13"/>
  <c r="M485" i="13"/>
  <c r="M486" i="13"/>
  <c r="M487" i="13"/>
  <c r="M488" i="13"/>
  <c r="M489" i="13"/>
  <c r="M490" i="13"/>
  <c r="M491" i="13"/>
  <c r="M492" i="13"/>
  <c r="M493" i="13"/>
  <c r="M494" i="13"/>
  <c r="M495" i="13"/>
  <c r="M496" i="13"/>
  <c r="M497" i="13"/>
  <c r="M498" i="13"/>
  <c r="M499" i="13"/>
  <c r="M500" i="13"/>
  <c r="M501" i="13"/>
  <c r="M502" i="13"/>
  <c r="M503" i="13"/>
  <c r="M504" i="13"/>
  <c r="N462" i="13"/>
  <c r="N463" i="13"/>
  <c r="N464" i="13"/>
  <c r="N465" i="13"/>
  <c r="N466" i="13"/>
  <c r="N467" i="13"/>
  <c r="N468" i="13"/>
  <c r="N469" i="13"/>
  <c r="N470" i="13"/>
  <c r="N471" i="13"/>
  <c r="N472" i="13"/>
  <c r="N473" i="13"/>
  <c r="N474" i="13"/>
  <c r="N475" i="13"/>
  <c r="N476" i="13"/>
  <c r="N477" i="13"/>
  <c r="N478" i="13"/>
  <c r="N479" i="13"/>
  <c r="N480" i="13"/>
  <c r="N481" i="13"/>
  <c r="N482" i="13"/>
  <c r="N483" i="13"/>
  <c r="N484" i="13"/>
  <c r="N485" i="13"/>
  <c r="N486" i="13"/>
  <c r="N487" i="13"/>
  <c r="N488" i="13"/>
  <c r="N489" i="13"/>
  <c r="N490" i="13"/>
  <c r="N491" i="13"/>
  <c r="N492" i="13"/>
  <c r="N493" i="13"/>
  <c r="N494" i="13"/>
  <c r="N495" i="13"/>
  <c r="N496" i="13"/>
  <c r="N497" i="13"/>
  <c r="N498" i="13"/>
  <c r="N499" i="13"/>
  <c r="N500" i="13"/>
  <c r="N501" i="13"/>
  <c r="N502" i="13"/>
  <c r="N503" i="13"/>
  <c r="N504" i="13"/>
  <c r="R462" i="13"/>
  <c r="R463" i="13"/>
  <c r="R464" i="13"/>
  <c r="R465" i="13"/>
  <c r="R466" i="13"/>
  <c r="R467" i="13"/>
  <c r="R468" i="13"/>
  <c r="R469" i="13"/>
  <c r="R470" i="13"/>
  <c r="R471" i="13"/>
  <c r="R472" i="13"/>
  <c r="R473" i="13"/>
  <c r="R474" i="13"/>
  <c r="R475" i="13"/>
  <c r="R476" i="13"/>
  <c r="R477" i="13"/>
  <c r="R478" i="13"/>
  <c r="R479" i="13"/>
  <c r="R480" i="13"/>
  <c r="R481" i="13"/>
  <c r="R482" i="13"/>
  <c r="R483" i="13"/>
  <c r="R484" i="13"/>
  <c r="R485" i="13"/>
  <c r="R486" i="13"/>
  <c r="R487" i="13"/>
  <c r="R488" i="13"/>
  <c r="R489" i="13"/>
  <c r="R490" i="13"/>
  <c r="R491" i="13"/>
  <c r="R492" i="13"/>
  <c r="R493" i="13"/>
  <c r="R494" i="13"/>
  <c r="R495" i="13"/>
  <c r="R496" i="13"/>
  <c r="R497" i="13"/>
  <c r="R498" i="13"/>
  <c r="R499" i="13"/>
  <c r="R500" i="13"/>
  <c r="R501" i="13"/>
  <c r="R502" i="13"/>
  <c r="R503" i="13"/>
  <c r="R504" i="13"/>
  <c r="S462" i="13"/>
  <c r="S463" i="13"/>
  <c r="S464" i="13"/>
  <c r="S465" i="13"/>
  <c r="S466" i="13"/>
  <c r="S467" i="13"/>
  <c r="S468" i="13"/>
  <c r="S469" i="13"/>
  <c r="S470" i="13"/>
  <c r="S471" i="13"/>
  <c r="S472" i="13"/>
  <c r="S473" i="13"/>
  <c r="S474" i="13"/>
  <c r="S475" i="13"/>
  <c r="S476" i="13"/>
  <c r="S477" i="13"/>
  <c r="S478" i="13"/>
  <c r="S479" i="13"/>
  <c r="S480" i="13"/>
  <c r="S481" i="13"/>
  <c r="S482" i="13"/>
  <c r="S483" i="13"/>
  <c r="S484" i="13"/>
  <c r="S485" i="13"/>
  <c r="S486" i="13"/>
  <c r="S487" i="13"/>
  <c r="S488" i="13"/>
  <c r="S489" i="13"/>
  <c r="S490" i="13"/>
  <c r="S491" i="13"/>
  <c r="S492" i="13"/>
  <c r="S493" i="13"/>
  <c r="S494" i="13"/>
  <c r="S495" i="13"/>
  <c r="S496" i="13"/>
  <c r="S497" i="13"/>
  <c r="S498" i="13"/>
  <c r="S499" i="13"/>
  <c r="S500" i="13"/>
  <c r="S501" i="13"/>
  <c r="S502" i="13"/>
  <c r="S503" i="13"/>
  <c r="S504" i="13"/>
  <c r="O450" i="13"/>
  <c r="O451" i="13"/>
  <c r="O452" i="13"/>
  <c r="O453" i="13"/>
  <c r="O454" i="13"/>
  <c r="O455" i="13"/>
  <c r="O456" i="13"/>
  <c r="O457" i="13"/>
  <c r="O458" i="13"/>
  <c r="O459" i="13"/>
  <c r="O460" i="13"/>
  <c r="O461" i="13"/>
  <c r="K450" i="13"/>
  <c r="P450" i="13" s="1"/>
  <c r="K451" i="13"/>
  <c r="L451" i="13" s="1"/>
  <c r="K452" i="13"/>
  <c r="L452" i="13" s="1"/>
  <c r="K453" i="13"/>
  <c r="P453" i="13" s="1"/>
  <c r="K454" i="13"/>
  <c r="P454" i="13" s="1"/>
  <c r="K455" i="13"/>
  <c r="P455" i="13" s="1"/>
  <c r="K456" i="13"/>
  <c r="P456" i="13" s="1"/>
  <c r="K457" i="13"/>
  <c r="L457" i="13" s="1"/>
  <c r="K458" i="13"/>
  <c r="K459" i="13"/>
  <c r="L459" i="13" s="1"/>
  <c r="K460" i="13"/>
  <c r="L460" i="13" s="1"/>
  <c r="K461" i="13"/>
  <c r="L461" i="13" s="1"/>
  <c r="M450" i="13"/>
  <c r="M451" i="13"/>
  <c r="M452" i="13"/>
  <c r="M453" i="13"/>
  <c r="M454" i="13"/>
  <c r="M455" i="13"/>
  <c r="M456" i="13"/>
  <c r="M457" i="13"/>
  <c r="M458" i="13"/>
  <c r="M459" i="13"/>
  <c r="M460" i="13"/>
  <c r="M461" i="13"/>
  <c r="N450" i="13"/>
  <c r="N451" i="13"/>
  <c r="N452" i="13"/>
  <c r="N453" i="13"/>
  <c r="N454" i="13"/>
  <c r="N455" i="13"/>
  <c r="N456" i="13"/>
  <c r="N457" i="13"/>
  <c r="N458" i="13"/>
  <c r="N459" i="13"/>
  <c r="N460" i="13"/>
  <c r="N461" i="13"/>
  <c r="R450" i="13"/>
  <c r="R451" i="13"/>
  <c r="R452" i="13"/>
  <c r="R453" i="13"/>
  <c r="R454" i="13"/>
  <c r="R455" i="13"/>
  <c r="R456" i="13"/>
  <c r="R457" i="13"/>
  <c r="R458" i="13"/>
  <c r="R459" i="13"/>
  <c r="R460" i="13"/>
  <c r="R461" i="13"/>
  <c r="S450" i="13"/>
  <c r="S451" i="13"/>
  <c r="S452" i="13"/>
  <c r="S453" i="13"/>
  <c r="S454" i="13"/>
  <c r="S455" i="13"/>
  <c r="S456" i="13"/>
  <c r="S457" i="13"/>
  <c r="S458" i="13"/>
  <c r="S459" i="13"/>
  <c r="S460" i="13"/>
  <c r="S461" i="13"/>
  <c r="AD28" i="18"/>
  <c r="AD2" i="19"/>
  <c r="AD3" i="19"/>
  <c r="AD4" i="19"/>
  <c r="O448" i="13"/>
  <c r="O449" i="13"/>
  <c r="A51" i="15"/>
  <c r="K437" i="13"/>
  <c r="L437" i="13" s="1"/>
  <c r="K438" i="13"/>
  <c r="K439" i="13"/>
  <c r="P439" i="13" s="1"/>
  <c r="K440" i="13"/>
  <c r="L440" i="13" s="1"/>
  <c r="K441" i="13"/>
  <c r="P441" i="13" s="1"/>
  <c r="K442" i="13"/>
  <c r="P442" i="13" s="1"/>
  <c r="K443" i="13"/>
  <c r="P443" i="13" s="1"/>
  <c r="K444" i="13"/>
  <c r="L444" i="13" s="1"/>
  <c r="K445" i="13"/>
  <c r="L445" i="13" s="1"/>
  <c r="K446" i="13"/>
  <c r="K447" i="13"/>
  <c r="P447" i="13" s="1"/>
  <c r="K448" i="13"/>
  <c r="L448" i="13" s="1"/>
  <c r="K449" i="13"/>
  <c r="P449" i="13" s="1"/>
  <c r="M437" i="13"/>
  <c r="M438" i="13"/>
  <c r="M439" i="13"/>
  <c r="M440" i="13"/>
  <c r="M441" i="13"/>
  <c r="M442" i="13"/>
  <c r="M443" i="13"/>
  <c r="M444" i="13"/>
  <c r="M445" i="13"/>
  <c r="M446" i="13"/>
  <c r="M447" i="13"/>
  <c r="M448" i="13"/>
  <c r="M449" i="13"/>
  <c r="N437" i="13"/>
  <c r="N438" i="13"/>
  <c r="N439" i="13"/>
  <c r="N440" i="13"/>
  <c r="N441" i="13"/>
  <c r="N442" i="13"/>
  <c r="N443" i="13"/>
  <c r="N444" i="13"/>
  <c r="N445" i="13"/>
  <c r="N446" i="13"/>
  <c r="N447" i="13"/>
  <c r="N448" i="13"/>
  <c r="N449" i="13"/>
  <c r="R437" i="13"/>
  <c r="R438" i="13"/>
  <c r="R439" i="13"/>
  <c r="R440" i="13"/>
  <c r="R441" i="13"/>
  <c r="R442" i="13"/>
  <c r="R443" i="13"/>
  <c r="R444" i="13"/>
  <c r="R445" i="13"/>
  <c r="R446" i="13"/>
  <c r="R447" i="13"/>
  <c r="R448" i="13"/>
  <c r="R449" i="13"/>
  <c r="S437" i="13"/>
  <c r="S438" i="13"/>
  <c r="S439" i="13"/>
  <c r="S440" i="13"/>
  <c r="S441" i="13"/>
  <c r="S442" i="13"/>
  <c r="S443" i="13"/>
  <c r="S444" i="13"/>
  <c r="S445" i="13"/>
  <c r="S446" i="13"/>
  <c r="S447" i="13"/>
  <c r="S448" i="13"/>
  <c r="S449" i="13"/>
  <c r="A3" i="28"/>
  <c r="K423" i="13"/>
  <c r="K424" i="13"/>
  <c r="L424" i="13" s="1"/>
  <c r="K425" i="13"/>
  <c r="L425" i="13" s="1"/>
  <c r="K426" i="13"/>
  <c r="L426" i="13" s="1"/>
  <c r="K427" i="13"/>
  <c r="P427" i="13" s="1"/>
  <c r="K428" i="13"/>
  <c r="L428" i="13" s="1"/>
  <c r="K429" i="13"/>
  <c r="K430" i="13"/>
  <c r="L430" i="13" s="1"/>
  <c r="K431" i="13"/>
  <c r="K432" i="13"/>
  <c r="L432" i="13" s="1"/>
  <c r="K433" i="13"/>
  <c r="L433" i="13" s="1"/>
  <c r="K434" i="13"/>
  <c r="L434" i="13" s="1"/>
  <c r="K435" i="13"/>
  <c r="K436" i="13"/>
  <c r="L436" i="13" s="1"/>
  <c r="M423" i="13"/>
  <c r="M424" i="13"/>
  <c r="M425" i="13"/>
  <c r="M426" i="13"/>
  <c r="M427" i="13"/>
  <c r="M428" i="13"/>
  <c r="M429" i="13"/>
  <c r="M430" i="13"/>
  <c r="M431" i="13"/>
  <c r="M432" i="13"/>
  <c r="M433" i="13"/>
  <c r="M434" i="13"/>
  <c r="M435" i="13"/>
  <c r="M436" i="13"/>
  <c r="N423" i="13"/>
  <c r="N424" i="13"/>
  <c r="N425" i="13"/>
  <c r="N426" i="13"/>
  <c r="N427" i="13"/>
  <c r="N428" i="13"/>
  <c r="N429" i="13"/>
  <c r="N430" i="13"/>
  <c r="N431" i="13"/>
  <c r="N432" i="13"/>
  <c r="N433" i="13"/>
  <c r="N434" i="13"/>
  <c r="N435" i="13"/>
  <c r="N436" i="13"/>
  <c r="R423" i="13"/>
  <c r="R424" i="13"/>
  <c r="R425" i="13"/>
  <c r="R426" i="13"/>
  <c r="R427" i="13"/>
  <c r="R428" i="13"/>
  <c r="R429" i="13"/>
  <c r="R430" i="13"/>
  <c r="R431" i="13"/>
  <c r="R432" i="13"/>
  <c r="R433" i="13"/>
  <c r="R434" i="13"/>
  <c r="R435" i="13"/>
  <c r="R436" i="13"/>
  <c r="S423" i="13"/>
  <c r="S424" i="13"/>
  <c r="S425" i="13"/>
  <c r="S426" i="13"/>
  <c r="S427" i="13"/>
  <c r="S428" i="13"/>
  <c r="S429" i="13"/>
  <c r="S430" i="13"/>
  <c r="S431" i="13"/>
  <c r="S432" i="13"/>
  <c r="S433" i="13"/>
  <c r="S434" i="13"/>
  <c r="S435" i="13"/>
  <c r="S436" i="13"/>
  <c r="K411" i="13"/>
  <c r="L411" i="13" s="1"/>
  <c r="K412" i="13"/>
  <c r="L412" i="13" s="1"/>
  <c r="K413" i="13"/>
  <c r="L413" i="13" s="1"/>
  <c r="K414" i="13"/>
  <c r="K415" i="13"/>
  <c r="P415" i="13" s="1"/>
  <c r="K416" i="13"/>
  <c r="K417" i="13"/>
  <c r="L417" i="13" s="1"/>
  <c r="K418" i="13"/>
  <c r="P418" i="13" s="1"/>
  <c r="K419" i="13"/>
  <c r="L419" i="13" s="1"/>
  <c r="K420" i="13"/>
  <c r="L420" i="13" s="1"/>
  <c r="K421" i="13"/>
  <c r="L421" i="13" s="1"/>
  <c r="K422" i="13"/>
  <c r="M411" i="13"/>
  <c r="M412" i="13"/>
  <c r="M413" i="13"/>
  <c r="M414" i="13"/>
  <c r="M415" i="13"/>
  <c r="M416" i="13"/>
  <c r="M417" i="13"/>
  <c r="M418" i="13"/>
  <c r="M419" i="13"/>
  <c r="M420" i="13"/>
  <c r="M421" i="13"/>
  <c r="M422" i="13"/>
  <c r="N411" i="13"/>
  <c r="N412" i="13"/>
  <c r="N413" i="13"/>
  <c r="N414" i="13"/>
  <c r="N415" i="13"/>
  <c r="N416" i="13"/>
  <c r="N417" i="13"/>
  <c r="N418" i="13"/>
  <c r="N419" i="13"/>
  <c r="N420" i="13"/>
  <c r="N421" i="13"/>
  <c r="N422" i="13"/>
  <c r="R411" i="13"/>
  <c r="R412" i="13"/>
  <c r="R413" i="13"/>
  <c r="R414" i="13"/>
  <c r="R415" i="13"/>
  <c r="R416" i="13"/>
  <c r="R417" i="13"/>
  <c r="R418" i="13"/>
  <c r="R419" i="13"/>
  <c r="R420" i="13"/>
  <c r="R421" i="13"/>
  <c r="R422" i="13"/>
  <c r="S411" i="13"/>
  <c r="S412" i="13"/>
  <c r="S413" i="13"/>
  <c r="S414" i="13"/>
  <c r="S415" i="13"/>
  <c r="S416" i="13"/>
  <c r="S417" i="13"/>
  <c r="S418" i="13"/>
  <c r="S419" i="13"/>
  <c r="S420" i="13"/>
  <c r="S421" i="13"/>
  <c r="S422" i="13"/>
  <c r="A49" i="15"/>
  <c r="K400" i="13"/>
  <c r="L400" i="13" s="1"/>
  <c r="K401" i="13"/>
  <c r="K402" i="13"/>
  <c r="K403" i="13"/>
  <c r="L403" i="13" s="1"/>
  <c r="K404" i="13"/>
  <c r="L404" i="13" s="1"/>
  <c r="K405" i="13"/>
  <c r="K406" i="13"/>
  <c r="L406" i="13" s="1"/>
  <c r="K407" i="13"/>
  <c r="P407" i="13" s="1"/>
  <c r="K408" i="13"/>
  <c r="L408" i="13" s="1"/>
  <c r="K409" i="13"/>
  <c r="K410" i="13"/>
  <c r="M400" i="13"/>
  <c r="M401" i="13"/>
  <c r="M402" i="13"/>
  <c r="M403" i="13"/>
  <c r="M404" i="13"/>
  <c r="M405" i="13"/>
  <c r="M406" i="13"/>
  <c r="M407" i="13"/>
  <c r="M408" i="13"/>
  <c r="M409" i="13"/>
  <c r="M410" i="13"/>
  <c r="N400" i="13"/>
  <c r="N401" i="13"/>
  <c r="N402" i="13"/>
  <c r="N403" i="13"/>
  <c r="N404" i="13"/>
  <c r="N405" i="13"/>
  <c r="N406" i="13"/>
  <c r="N407" i="13"/>
  <c r="N408" i="13"/>
  <c r="N409" i="13"/>
  <c r="N410" i="13"/>
  <c r="R400" i="13"/>
  <c r="R401" i="13"/>
  <c r="R402" i="13"/>
  <c r="R403" i="13"/>
  <c r="R404" i="13"/>
  <c r="R405" i="13"/>
  <c r="R406" i="13"/>
  <c r="R407" i="13"/>
  <c r="R408" i="13"/>
  <c r="R409" i="13"/>
  <c r="R410" i="13"/>
  <c r="S400" i="13"/>
  <c r="S401" i="13"/>
  <c r="S402" i="13"/>
  <c r="S403" i="13"/>
  <c r="S404" i="13"/>
  <c r="S405" i="13"/>
  <c r="S406" i="13"/>
  <c r="S407" i="13"/>
  <c r="S408" i="13"/>
  <c r="S409" i="13"/>
  <c r="S410" i="13"/>
  <c r="K389" i="13"/>
  <c r="L389" i="13" s="1"/>
  <c r="K390" i="13"/>
  <c r="P390" i="13" s="1"/>
  <c r="K391" i="13"/>
  <c r="P391" i="13" s="1"/>
  <c r="K392" i="13"/>
  <c r="P392" i="13" s="1"/>
  <c r="K393" i="13"/>
  <c r="L393" i="13" s="1"/>
  <c r="K394" i="13"/>
  <c r="K395" i="13"/>
  <c r="K396" i="13"/>
  <c r="L396" i="13" s="1"/>
  <c r="K397" i="13"/>
  <c r="L397" i="13" s="1"/>
  <c r="K398" i="13"/>
  <c r="L398" i="13" s="1"/>
  <c r="K399" i="13"/>
  <c r="L399" i="13" s="1"/>
  <c r="M389" i="13"/>
  <c r="M390" i="13"/>
  <c r="M391" i="13"/>
  <c r="M392" i="13"/>
  <c r="M393" i="13"/>
  <c r="M394" i="13"/>
  <c r="M395" i="13"/>
  <c r="M396" i="13"/>
  <c r="M397" i="13"/>
  <c r="M398" i="13"/>
  <c r="M399" i="13"/>
  <c r="N389" i="13"/>
  <c r="N390" i="13"/>
  <c r="N391" i="13"/>
  <c r="N392" i="13"/>
  <c r="N393" i="13"/>
  <c r="N394" i="13"/>
  <c r="N395" i="13"/>
  <c r="N396" i="13"/>
  <c r="N397" i="13"/>
  <c r="N398" i="13"/>
  <c r="N399" i="13"/>
  <c r="R389" i="13"/>
  <c r="R390" i="13"/>
  <c r="R391" i="13"/>
  <c r="R392" i="13"/>
  <c r="R393" i="13"/>
  <c r="R394" i="13"/>
  <c r="R395" i="13"/>
  <c r="R396" i="13"/>
  <c r="R397" i="13"/>
  <c r="R398" i="13"/>
  <c r="R399" i="13"/>
  <c r="S389" i="13"/>
  <c r="S390" i="13"/>
  <c r="S391" i="13"/>
  <c r="S392" i="13"/>
  <c r="S393" i="13"/>
  <c r="S394" i="13"/>
  <c r="S395" i="13"/>
  <c r="S396" i="13"/>
  <c r="S397" i="13"/>
  <c r="S398" i="13"/>
  <c r="S399" i="13"/>
  <c r="P272" i="13"/>
  <c r="K314" i="13"/>
  <c r="L314" i="13" s="1"/>
  <c r="K315" i="13"/>
  <c r="P315" i="13" s="1"/>
  <c r="K316" i="13"/>
  <c r="P316" i="13" s="1"/>
  <c r="K317" i="13"/>
  <c r="P317" i="13" s="1"/>
  <c r="K318" i="13"/>
  <c r="P318" i="13" s="1"/>
  <c r="K319" i="13"/>
  <c r="P319" i="13" s="1"/>
  <c r="K320" i="13"/>
  <c r="P320" i="13" s="1"/>
  <c r="K321" i="13"/>
  <c r="K322" i="13"/>
  <c r="K323" i="13"/>
  <c r="P323" i="13" s="1"/>
  <c r="K324" i="13"/>
  <c r="P324" i="13" s="1"/>
  <c r="K325" i="13"/>
  <c r="P325" i="13" s="1"/>
  <c r="K326" i="13"/>
  <c r="K327" i="13"/>
  <c r="P327" i="13" s="1"/>
  <c r="K328" i="13"/>
  <c r="P328" i="13" s="1"/>
  <c r="K329" i="13"/>
  <c r="K330" i="13"/>
  <c r="K331" i="13"/>
  <c r="P331" i="13" s="1"/>
  <c r="K332" i="13"/>
  <c r="P332" i="13" s="1"/>
  <c r="K333" i="13"/>
  <c r="P333" i="13" s="1"/>
  <c r="K334" i="13"/>
  <c r="P334" i="13" s="1"/>
  <c r="K335" i="13"/>
  <c r="P335" i="13" s="1"/>
  <c r="K336" i="13"/>
  <c r="P336" i="13" s="1"/>
  <c r="K337" i="13"/>
  <c r="K338" i="13"/>
  <c r="K339" i="13"/>
  <c r="P339" i="13" s="1"/>
  <c r="K340" i="13"/>
  <c r="P340" i="13" s="1"/>
  <c r="K341" i="13"/>
  <c r="P341" i="13" s="1"/>
  <c r="K342" i="13"/>
  <c r="K343" i="13"/>
  <c r="P343" i="13" s="1"/>
  <c r="K344" i="13"/>
  <c r="P344" i="13" s="1"/>
  <c r="K345" i="13"/>
  <c r="K346" i="13"/>
  <c r="K347" i="13"/>
  <c r="P347" i="13" s="1"/>
  <c r="K348" i="13"/>
  <c r="P348" i="13" s="1"/>
  <c r="K349" i="13"/>
  <c r="P349" i="13" s="1"/>
  <c r="K350" i="13"/>
  <c r="P350" i="13" s="1"/>
  <c r="K351" i="13"/>
  <c r="P351" i="13" s="1"/>
  <c r="K352" i="13"/>
  <c r="P352" i="13" s="1"/>
  <c r="K353" i="13"/>
  <c r="K354" i="13"/>
  <c r="K355" i="13"/>
  <c r="P355" i="13" s="1"/>
  <c r="K356" i="13"/>
  <c r="P356" i="13" s="1"/>
  <c r="K357" i="13"/>
  <c r="P357" i="13" s="1"/>
  <c r="K358" i="13"/>
  <c r="P358" i="13" s="1"/>
  <c r="K359" i="13"/>
  <c r="P359" i="13" s="1"/>
  <c r="K360" i="13"/>
  <c r="P360" i="13" s="1"/>
  <c r="K361" i="13"/>
  <c r="K362" i="13"/>
  <c r="K363" i="13"/>
  <c r="P363" i="13" s="1"/>
  <c r="K364" i="13"/>
  <c r="P364" i="13" s="1"/>
  <c r="K365" i="13"/>
  <c r="P365" i="13" s="1"/>
  <c r="K366" i="13"/>
  <c r="K367" i="13"/>
  <c r="P367" i="13" s="1"/>
  <c r="K368" i="13"/>
  <c r="P368" i="13" s="1"/>
  <c r="K369" i="13"/>
  <c r="K370" i="13"/>
  <c r="K371" i="13"/>
  <c r="P371" i="13" s="1"/>
  <c r="K372" i="13"/>
  <c r="P372" i="13" s="1"/>
  <c r="K373" i="13"/>
  <c r="P373" i="13" s="1"/>
  <c r="K374" i="13"/>
  <c r="P374" i="13" s="1"/>
  <c r="K375" i="13"/>
  <c r="P375" i="13" s="1"/>
  <c r="K376" i="13"/>
  <c r="P376" i="13" s="1"/>
  <c r="K377" i="13"/>
  <c r="K378" i="13"/>
  <c r="K379" i="13"/>
  <c r="P379" i="13" s="1"/>
  <c r="K380" i="13"/>
  <c r="P380" i="13" s="1"/>
  <c r="K381" i="13"/>
  <c r="P381" i="13" s="1"/>
  <c r="K382" i="13"/>
  <c r="P382" i="13" s="1"/>
  <c r="K383" i="13"/>
  <c r="P383" i="13" s="1"/>
  <c r="K384" i="13"/>
  <c r="P384" i="13" s="1"/>
  <c r="K385" i="13"/>
  <c r="K386" i="13"/>
  <c r="K387" i="13"/>
  <c r="P387" i="13" s="1"/>
  <c r="K388" i="13"/>
  <c r="P388" i="13" s="1"/>
  <c r="L317" i="13"/>
  <c r="L318" i="13"/>
  <c r="L319" i="13"/>
  <c r="M314" i="13"/>
  <c r="M315" i="13"/>
  <c r="M316" i="13"/>
  <c r="M317" i="13"/>
  <c r="M318" i="13"/>
  <c r="M319" i="13"/>
  <c r="M320" i="13"/>
  <c r="M321" i="13"/>
  <c r="M322" i="13"/>
  <c r="M323" i="13"/>
  <c r="M324" i="13"/>
  <c r="M325" i="13"/>
  <c r="M326" i="13"/>
  <c r="M327" i="13"/>
  <c r="M328" i="13"/>
  <c r="M329" i="13"/>
  <c r="M330" i="13"/>
  <c r="M331" i="13"/>
  <c r="M332" i="13"/>
  <c r="M333" i="13"/>
  <c r="M334" i="13"/>
  <c r="M335" i="13"/>
  <c r="M336" i="13"/>
  <c r="M337" i="13"/>
  <c r="M338" i="13"/>
  <c r="M339" i="13"/>
  <c r="M340" i="13"/>
  <c r="M341" i="13"/>
  <c r="M342" i="13"/>
  <c r="M343" i="13"/>
  <c r="M344" i="13"/>
  <c r="M345" i="13"/>
  <c r="M346" i="13"/>
  <c r="M347" i="13"/>
  <c r="M348" i="13"/>
  <c r="M349" i="13"/>
  <c r="M350" i="13"/>
  <c r="M351" i="13"/>
  <c r="M352" i="13"/>
  <c r="M353" i="13"/>
  <c r="M354" i="13"/>
  <c r="M355" i="13"/>
  <c r="M356" i="13"/>
  <c r="M357" i="13"/>
  <c r="M358" i="13"/>
  <c r="M359" i="13"/>
  <c r="M360" i="13"/>
  <c r="M361" i="13"/>
  <c r="M362" i="13"/>
  <c r="M363" i="13"/>
  <c r="M364" i="13"/>
  <c r="M365" i="13"/>
  <c r="M366" i="13"/>
  <c r="M367" i="13"/>
  <c r="M368" i="13"/>
  <c r="M369" i="13"/>
  <c r="M370" i="13"/>
  <c r="M371" i="13"/>
  <c r="M372" i="13"/>
  <c r="M373" i="13"/>
  <c r="M374" i="13"/>
  <c r="M375" i="13"/>
  <c r="M376" i="13"/>
  <c r="M377" i="13"/>
  <c r="M378" i="13"/>
  <c r="M379" i="13"/>
  <c r="M380" i="13"/>
  <c r="M381" i="13"/>
  <c r="M382" i="13"/>
  <c r="M383" i="13"/>
  <c r="M384" i="13"/>
  <c r="M385" i="13"/>
  <c r="M386" i="13"/>
  <c r="M387" i="13"/>
  <c r="M388" i="13"/>
  <c r="N314" i="13"/>
  <c r="N315" i="13"/>
  <c r="N316" i="13"/>
  <c r="N317" i="13"/>
  <c r="N318" i="13"/>
  <c r="N319" i="13"/>
  <c r="N320" i="13"/>
  <c r="N321" i="13"/>
  <c r="N322" i="13"/>
  <c r="N323" i="13"/>
  <c r="N324" i="13"/>
  <c r="N325" i="13"/>
  <c r="N326" i="13"/>
  <c r="N327" i="13"/>
  <c r="N328" i="13"/>
  <c r="N329" i="13"/>
  <c r="N330" i="13"/>
  <c r="N331" i="13"/>
  <c r="N332" i="13"/>
  <c r="N333" i="13"/>
  <c r="N334" i="13"/>
  <c r="N335" i="13"/>
  <c r="N336" i="13"/>
  <c r="N337" i="13"/>
  <c r="N338" i="13"/>
  <c r="N339" i="13"/>
  <c r="N340" i="13"/>
  <c r="N341" i="13"/>
  <c r="N342" i="13"/>
  <c r="N343" i="13"/>
  <c r="N344" i="13"/>
  <c r="N345" i="13"/>
  <c r="N346" i="13"/>
  <c r="N347" i="13"/>
  <c r="N348" i="13"/>
  <c r="N349" i="13"/>
  <c r="N350" i="13"/>
  <c r="N351" i="13"/>
  <c r="N352" i="13"/>
  <c r="N353" i="13"/>
  <c r="N354" i="13"/>
  <c r="N355" i="13"/>
  <c r="N356" i="13"/>
  <c r="N357" i="13"/>
  <c r="N358" i="13"/>
  <c r="N359" i="13"/>
  <c r="N360" i="13"/>
  <c r="N361" i="13"/>
  <c r="N362" i="13"/>
  <c r="N363" i="13"/>
  <c r="N364" i="13"/>
  <c r="N365" i="13"/>
  <c r="N366" i="13"/>
  <c r="N367" i="13"/>
  <c r="N368" i="13"/>
  <c r="N369" i="13"/>
  <c r="N370" i="13"/>
  <c r="N371" i="13"/>
  <c r="N372" i="13"/>
  <c r="N373" i="13"/>
  <c r="N374" i="13"/>
  <c r="N375" i="13"/>
  <c r="N376" i="13"/>
  <c r="N377" i="13"/>
  <c r="N378" i="13"/>
  <c r="N379" i="13"/>
  <c r="N380" i="13"/>
  <c r="N381" i="13"/>
  <c r="N382" i="13"/>
  <c r="N383" i="13"/>
  <c r="N384" i="13"/>
  <c r="N385" i="13"/>
  <c r="N386" i="13"/>
  <c r="N387" i="13"/>
  <c r="N388" i="13"/>
  <c r="R314" i="13"/>
  <c r="R315" i="13"/>
  <c r="R316" i="13"/>
  <c r="R317" i="13"/>
  <c r="R318" i="13"/>
  <c r="R319" i="13"/>
  <c r="R320" i="13"/>
  <c r="R321" i="13"/>
  <c r="R322" i="13"/>
  <c r="R323" i="13"/>
  <c r="R324" i="13"/>
  <c r="R325" i="13"/>
  <c r="R326" i="13"/>
  <c r="R327" i="13"/>
  <c r="R328" i="13"/>
  <c r="R329" i="13"/>
  <c r="R330" i="13"/>
  <c r="R331" i="13"/>
  <c r="R332" i="13"/>
  <c r="R333" i="13"/>
  <c r="R334" i="13"/>
  <c r="R335" i="13"/>
  <c r="R336" i="13"/>
  <c r="R337" i="13"/>
  <c r="R338" i="13"/>
  <c r="R339" i="13"/>
  <c r="R340" i="13"/>
  <c r="R341" i="13"/>
  <c r="R342" i="13"/>
  <c r="R343" i="13"/>
  <c r="R344" i="13"/>
  <c r="R345" i="13"/>
  <c r="R346" i="13"/>
  <c r="R347" i="13"/>
  <c r="R348" i="13"/>
  <c r="R349" i="13"/>
  <c r="R350" i="13"/>
  <c r="R351" i="13"/>
  <c r="R352" i="13"/>
  <c r="R353" i="13"/>
  <c r="R354" i="13"/>
  <c r="R355" i="13"/>
  <c r="R356" i="13"/>
  <c r="R357" i="13"/>
  <c r="R358" i="13"/>
  <c r="R359" i="13"/>
  <c r="R360" i="13"/>
  <c r="R361" i="13"/>
  <c r="R362" i="13"/>
  <c r="R363" i="13"/>
  <c r="R364" i="13"/>
  <c r="R365" i="13"/>
  <c r="R366" i="13"/>
  <c r="R367" i="13"/>
  <c r="R368" i="13"/>
  <c r="R369" i="13"/>
  <c r="R370" i="13"/>
  <c r="R371" i="13"/>
  <c r="R372" i="13"/>
  <c r="R373" i="13"/>
  <c r="R374" i="13"/>
  <c r="R375" i="13"/>
  <c r="R376" i="13"/>
  <c r="R377" i="13"/>
  <c r="R378" i="13"/>
  <c r="R379" i="13"/>
  <c r="R380" i="13"/>
  <c r="R381" i="13"/>
  <c r="R382" i="13"/>
  <c r="R383" i="13"/>
  <c r="R384" i="13"/>
  <c r="R385" i="13"/>
  <c r="R386" i="13"/>
  <c r="R387" i="13"/>
  <c r="R388" i="13"/>
  <c r="S314" i="13"/>
  <c r="S315" i="13"/>
  <c r="S316" i="13"/>
  <c r="S317" i="13"/>
  <c r="S318" i="13"/>
  <c r="S319" i="13"/>
  <c r="S320" i="13"/>
  <c r="S321" i="13"/>
  <c r="S322" i="13"/>
  <c r="S323" i="13"/>
  <c r="S324" i="13"/>
  <c r="S325" i="13"/>
  <c r="S326" i="13"/>
  <c r="S327" i="13"/>
  <c r="S328" i="13"/>
  <c r="S329" i="13"/>
  <c r="S330" i="13"/>
  <c r="S331" i="13"/>
  <c r="S332" i="13"/>
  <c r="S333" i="13"/>
  <c r="S334" i="13"/>
  <c r="S335" i="13"/>
  <c r="S336" i="13"/>
  <c r="S337" i="13"/>
  <c r="S338" i="13"/>
  <c r="S339" i="13"/>
  <c r="S340" i="13"/>
  <c r="S341" i="13"/>
  <c r="S342" i="13"/>
  <c r="S343" i="13"/>
  <c r="S344" i="13"/>
  <c r="S345" i="13"/>
  <c r="S346" i="13"/>
  <c r="S347" i="13"/>
  <c r="S348" i="13"/>
  <c r="S349" i="13"/>
  <c r="S350" i="13"/>
  <c r="S351" i="13"/>
  <c r="S352" i="13"/>
  <c r="S353" i="13"/>
  <c r="S354" i="13"/>
  <c r="S355" i="13"/>
  <c r="S356" i="13"/>
  <c r="S357" i="13"/>
  <c r="S358" i="13"/>
  <c r="S359" i="13"/>
  <c r="S360" i="13"/>
  <c r="S361" i="13"/>
  <c r="S362" i="13"/>
  <c r="S363" i="13"/>
  <c r="S364" i="13"/>
  <c r="S365" i="13"/>
  <c r="S366" i="13"/>
  <c r="S367" i="13"/>
  <c r="S368" i="13"/>
  <c r="S369" i="13"/>
  <c r="S370" i="13"/>
  <c r="S371" i="13"/>
  <c r="S372" i="13"/>
  <c r="S373" i="13"/>
  <c r="S374" i="13"/>
  <c r="S375" i="13"/>
  <c r="S376" i="13"/>
  <c r="S377" i="13"/>
  <c r="S378" i="13"/>
  <c r="S379" i="13"/>
  <c r="S380" i="13"/>
  <c r="S381" i="13"/>
  <c r="S382" i="13"/>
  <c r="S383" i="13"/>
  <c r="S384" i="13"/>
  <c r="S385" i="13"/>
  <c r="S386" i="13"/>
  <c r="S387" i="13"/>
  <c r="S388" i="13"/>
  <c r="AK3" i="38"/>
  <c r="A3" i="38"/>
  <c r="A2" i="38"/>
  <c r="AK3" i="37"/>
  <c r="AK3" i="36"/>
  <c r="A3" i="36"/>
  <c r="D3" i="36" s="1"/>
  <c r="A2" i="36"/>
  <c r="AK3" i="35"/>
  <c r="A3" i="35"/>
  <c r="A2" i="35"/>
  <c r="AL3" i="34"/>
  <c r="A3" i="34"/>
  <c r="A2" i="34"/>
  <c r="AL3" i="33"/>
  <c r="AK3" i="33"/>
  <c r="A3" i="33"/>
  <c r="A2" i="33"/>
  <c r="A34" i="31"/>
  <c r="A35" i="31"/>
  <c r="A3" i="30"/>
  <c r="D3" i="30" s="1"/>
  <c r="A2" i="30"/>
  <c r="AK3" i="29"/>
  <c r="A3" i="29"/>
  <c r="F3" i="29" s="1"/>
  <c r="A2" i="29"/>
  <c r="AK2" i="28"/>
  <c r="A2" i="28"/>
  <c r="A10" i="28"/>
  <c r="A36" i="27"/>
  <c r="A3" i="14"/>
  <c r="N153" i="13"/>
  <c r="K154" i="13"/>
  <c r="K155" i="13"/>
  <c r="K156" i="13"/>
  <c r="A30" i="18"/>
  <c r="K224" i="13"/>
  <c r="A50" i="15"/>
  <c r="K301" i="13"/>
  <c r="K302" i="13"/>
  <c r="P302" i="13" s="1"/>
  <c r="K303" i="13"/>
  <c r="K304" i="13"/>
  <c r="K305" i="13"/>
  <c r="P305" i="13" s="1"/>
  <c r="K306" i="13"/>
  <c r="K307" i="13"/>
  <c r="P307" i="13" s="1"/>
  <c r="K308" i="13"/>
  <c r="P308" i="13" s="1"/>
  <c r="K309" i="13"/>
  <c r="K310" i="13"/>
  <c r="P310" i="13" s="1"/>
  <c r="K311" i="13"/>
  <c r="K312" i="13"/>
  <c r="K313" i="13"/>
  <c r="P313" i="13" s="1"/>
  <c r="M301" i="13"/>
  <c r="M302" i="13"/>
  <c r="M303" i="13"/>
  <c r="M304" i="13"/>
  <c r="M305" i="13"/>
  <c r="M306" i="13"/>
  <c r="M307" i="13"/>
  <c r="M308" i="13"/>
  <c r="M309" i="13"/>
  <c r="M310" i="13"/>
  <c r="M311" i="13"/>
  <c r="M312" i="13"/>
  <c r="M313" i="13"/>
  <c r="N301" i="13"/>
  <c r="N302" i="13"/>
  <c r="N303" i="13"/>
  <c r="N304" i="13"/>
  <c r="N305" i="13"/>
  <c r="N306" i="13"/>
  <c r="N307" i="13"/>
  <c r="N308" i="13"/>
  <c r="N309" i="13"/>
  <c r="N310" i="13"/>
  <c r="N311" i="13"/>
  <c r="N312" i="13"/>
  <c r="N313" i="13"/>
  <c r="R301" i="13"/>
  <c r="R302" i="13"/>
  <c r="R303" i="13"/>
  <c r="R304" i="13"/>
  <c r="R305" i="13"/>
  <c r="R306" i="13"/>
  <c r="R307" i="13"/>
  <c r="R308" i="13"/>
  <c r="R309" i="13"/>
  <c r="R310" i="13"/>
  <c r="R311" i="13"/>
  <c r="R312" i="13"/>
  <c r="R313" i="13"/>
  <c r="S301" i="13"/>
  <c r="S302" i="13"/>
  <c r="S303" i="13"/>
  <c r="S304" i="13"/>
  <c r="S305" i="13"/>
  <c r="S306" i="13"/>
  <c r="S307" i="13"/>
  <c r="S308" i="13"/>
  <c r="S309" i="13"/>
  <c r="S310" i="13"/>
  <c r="S311" i="13"/>
  <c r="S312" i="13"/>
  <c r="S313" i="13"/>
  <c r="L20" i="26"/>
  <c r="P14" i="26"/>
  <c r="P15" i="26"/>
  <c r="P16" i="26"/>
  <c r="P17" i="26"/>
  <c r="P18" i="26"/>
  <c r="P19" i="26"/>
  <c r="P20" i="26"/>
  <c r="P21" i="26"/>
  <c r="P22" i="26"/>
  <c r="P23" i="26"/>
  <c r="P24" i="26"/>
  <c r="P25" i="26"/>
  <c r="P28" i="26"/>
  <c r="P29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8" i="26"/>
  <c r="N29" i="26"/>
  <c r="L14" i="26"/>
  <c r="L15" i="26"/>
  <c r="L16" i="26"/>
  <c r="L17" i="26"/>
  <c r="L18" i="26"/>
  <c r="L19" i="26"/>
  <c r="L21" i="26"/>
  <c r="L22" i="26"/>
  <c r="L23" i="26"/>
  <c r="L24" i="26"/>
  <c r="L25" i="26"/>
  <c r="L28" i="26"/>
  <c r="L29" i="26"/>
  <c r="P3" i="26"/>
  <c r="P4" i="26"/>
  <c r="P5" i="26"/>
  <c r="P6" i="26"/>
  <c r="P7" i="26"/>
  <c r="P8" i="26"/>
  <c r="P9" i="26"/>
  <c r="P11" i="26"/>
  <c r="P13" i="26"/>
  <c r="P2" i="26"/>
  <c r="R245" i="13"/>
  <c r="R246" i="13"/>
  <c r="R247" i="13"/>
  <c r="R248" i="13"/>
  <c r="R249" i="13"/>
  <c r="R250" i="13"/>
  <c r="R251" i="13"/>
  <c r="R252" i="13"/>
  <c r="R253" i="13"/>
  <c r="R254" i="13"/>
  <c r="R255" i="13"/>
  <c r="R256" i="13"/>
  <c r="R257" i="13"/>
  <c r="R258" i="13"/>
  <c r="R259" i="13"/>
  <c r="R260" i="13"/>
  <c r="R261" i="13"/>
  <c r="R262" i="13"/>
  <c r="R263" i="13"/>
  <c r="R264" i="13"/>
  <c r="R265" i="13"/>
  <c r="R266" i="13"/>
  <c r="R267" i="13"/>
  <c r="R268" i="13"/>
  <c r="R269" i="13"/>
  <c r="R270" i="13"/>
  <c r="R271" i="13"/>
  <c r="R272" i="13"/>
  <c r="R273" i="13"/>
  <c r="R274" i="13"/>
  <c r="R275" i="13"/>
  <c r="R276" i="13"/>
  <c r="R277" i="13"/>
  <c r="R278" i="13"/>
  <c r="R279" i="13"/>
  <c r="R280" i="13"/>
  <c r="R281" i="13"/>
  <c r="R282" i="13"/>
  <c r="Q9" i="13"/>
  <c r="Q10" i="13"/>
  <c r="Q11" i="13"/>
  <c r="Q12" i="13"/>
  <c r="Q13" i="13"/>
  <c r="Q14" i="13"/>
  <c r="Q15" i="13"/>
  <c r="Q16" i="13"/>
  <c r="Q17" i="13"/>
  <c r="Q18" i="13"/>
  <c r="Q27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92" i="13"/>
  <c r="Q93" i="13"/>
  <c r="Q94" i="13"/>
  <c r="Q19" i="13"/>
  <c r="Q20" i="13"/>
  <c r="Q21" i="13"/>
  <c r="Q22" i="13"/>
  <c r="Q23" i="13"/>
  <c r="Q24" i="13"/>
  <c r="Q25" i="13"/>
  <c r="Q26" i="13"/>
  <c r="Q95" i="13"/>
  <c r="Q96" i="13"/>
  <c r="Q97" i="13"/>
  <c r="Q98" i="13"/>
  <c r="Q99" i="13"/>
  <c r="Q100" i="13"/>
  <c r="Q101" i="13"/>
  <c r="Q102" i="13"/>
  <c r="Q103" i="13"/>
  <c r="Q104" i="13"/>
  <c r="Q105" i="13"/>
  <c r="Q106" i="13"/>
  <c r="Q107" i="13"/>
  <c r="Q108" i="13"/>
  <c r="Q109" i="13"/>
  <c r="Q110" i="13"/>
  <c r="Q111" i="13"/>
  <c r="Q112" i="13"/>
  <c r="Q113" i="13"/>
  <c r="Q114" i="13"/>
  <c r="Q115" i="13"/>
  <c r="Q116" i="13"/>
  <c r="Q117" i="13"/>
  <c r="Q118" i="13"/>
  <c r="Q119" i="13"/>
  <c r="Q120" i="13"/>
  <c r="Q121" i="13"/>
  <c r="Q122" i="13"/>
  <c r="Q123" i="13"/>
  <c r="Q124" i="13"/>
  <c r="Q125" i="13"/>
  <c r="Q126" i="13"/>
  <c r="Q127" i="13"/>
  <c r="Q128" i="13"/>
  <c r="Q129" i="13"/>
  <c r="Q130" i="13"/>
  <c r="Q131" i="13"/>
  <c r="Q132" i="13"/>
  <c r="Q133" i="13"/>
  <c r="Q134" i="13"/>
  <c r="Q135" i="13"/>
  <c r="Q136" i="13"/>
  <c r="Q137" i="13"/>
  <c r="Q138" i="13"/>
  <c r="Q139" i="13"/>
  <c r="Q140" i="13"/>
  <c r="Q141" i="13"/>
  <c r="Q142" i="13"/>
  <c r="Q143" i="13"/>
  <c r="Q144" i="13"/>
  <c r="Q145" i="13"/>
  <c r="Q146" i="13"/>
  <c r="Q147" i="13"/>
  <c r="Q148" i="13"/>
  <c r="Q149" i="13"/>
  <c r="Q150" i="13"/>
  <c r="Q151" i="13"/>
  <c r="Q152" i="13"/>
  <c r="Q153" i="13"/>
  <c r="Q154" i="13"/>
  <c r="Q155" i="13"/>
  <c r="Q156" i="13"/>
  <c r="Q157" i="13"/>
  <c r="Q158" i="13"/>
  <c r="Q159" i="13"/>
  <c r="Q160" i="13"/>
  <c r="Q161" i="13"/>
  <c r="Q162" i="13"/>
  <c r="Q163" i="13"/>
  <c r="Q164" i="13"/>
  <c r="Q165" i="13"/>
  <c r="Q166" i="13"/>
  <c r="Q167" i="13"/>
  <c r="Q168" i="13"/>
  <c r="Q169" i="13"/>
  <c r="Q170" i="13"/>
  <c r="Q171" i="13"/>
  <c r="Q172" i="13"/>
  <c r="Q173" i="13"/>
  <c r="Q174" i="13"/>
  <c r="Q175" i="13"/>
  <c r="Q176" i="13"/>
  <c r="Q177" i="13"/>
  <c r="Q178" i="13"/>
  <c r="Q179" i="13"/>
  <c r="Q180" i="13"/>
  <c r="Q181" i="13"/>
  <c r="Q182" i="13"/>
  <c r="Q183" i="13"/>
  <c r="Q184" i="13"/>
  <c r="Q185" i="13"/>
  <c r="Q186" i="13"/>
  <c r="Q187" i="13"/>
  <c r="Q188" i="13"/>
  <c r="Q189" i="13"/>
  <c r="Q190" i="13"/>
  <c r="Q191" i="13"/>
  <c r="Q192" i="13"/>
  <c r="Q193" i="13"/>
  <c r="Q194" i="13"/>
  <c r="Q195" i="13"/>
  <c r="Q196" i="13"/>
  <c r="Q197" i="13"/>
  <c r="Q198" i="13"/>
  <c r="Q199" i="13"/>
  <c r="Q200" i="13"/>
  <c r="Q201" i="13"/>
  <c r="Q202" i="13"/>
  <c r="Q203" i="13"/>
  <c r="Q204" i="13"/>
  <c r="Q205" i="13"/>
  <c r="Q206" i="13"/>
  <c r="Q207" i="13"/>
  <c r="Q208" i="13"/>
  <c r="Q209" i="13"/>
  <c r="Q210" i="13"/>
  <c r="Q211" i="13"/>
  <c r="Q212" i="13"/>
  <c r="Q213" i="13"/>
  <c r="Q214" i="13"/>
  <c r="Q215" i="13"/>
  <c r="Q216" i="13"/>
  <c r="Q217" i="13"/>
  <c r="Q218" i="13"/>
  <c r="Q219" i="13"/>
  <c r="Q220" i="13"/>
  <c r="Q221" i="13"/>
  <c r="Q222" i="13"/>
  <c r="Q223" i="13"/>
  <c r="Q224" i="13"/>
  <c r="Q225" i="13"/>
  <c r="Q226" i="13"/>
  <c r="Q227" i="13"/>
  <c r="Q228" i="13"/>
  <c r="Q229" i="13"/>
  <c r="Q230" i="13"/>
  <c r="Q231" i="13"/>
  <c r="Q232" i="13"/>
  <c r="Q233" i="13"/>
  <c r="Q234" i="13"/>
  <c r="Q235" i="13"/>
  <c r="Q236" i="13"/>
  <c r="Q237" i="13"/>
  <c r="Q238" i="13"/>
  <c r="Q239" i="13"/>
  <c r="Q240" i="13"/>
  <c r="Q241" i="13"/>
  <c r="Q242" i="13"/>
  <c r="Q243" i="13"/>
  <c r="Q244" i="13"/>
  <c r="Q283" i="13"/>
  <c r="Q284" i="13"/>
  <c r="Q285" i="13"/>
  <c r="Q286" i="13"/>
  <c r="Q287" i="13"/>
  <c r="Q288" i="13"/>
  <c r="Q289" i="13"/>
  <c r="Q290" i="13"/>
  <c r="Q291" i="13"/>
  <c r="Q292" i="13"/>
  <c r="Q293" i="13"/>
  <c r="Q294" i="13"/>
  <c r="Q295" i="13"/>
  <c r="Q296" i="13"/>
  <c r="Q297" i="13"/>
  <c r="Q298" i="13"/>
  <c r="Q299" i="13"/>
  <c r="Q300" i="13"/>
  <c r="Q2" i="13"/>
  <c r="Q3" i="13"/>
  <c r="Q4" i="13"/>
  <c r="Q5" i="13"/>
  <c r="Q6" i="13"/>
  <c r="Q7" i="13"/>
  <c r="Q8" i="13"/>
  <c r="S14" i="13"/>
  <c r="J5" i="26"/>
  <c r="O5" i="26" s="1"/>
  <c r="N3" i="26"/>
  <c r="N4" i="26"/>
  <c r="N5" i="26"/>
  <c r="N6" i="26"/>
  <c r="N7" i="26"/>
  <c r="N8" i="26"/>
  <c r="N9" i="26"/>
  <c r="N11" i="26"/>
  <c r="N13" i="26"/>
  <c r="L13" i="26"/>
  <c r="L3" i="26"/>
  <c r="L5" i="26"/>
  <c r="L6" i="26"/>
  <c r="L7" i="26"/>
  <c r="L8" i="26"/>
  <c r="L9" i="26"/>
  <c r="L11" i="26"/>
  <c r="M9" i="13"/>
  <c r="M10" i="13"/>
  <c r="M11" i="13"/>
  <c r="M12" i="13"/>
  <c r="M13" i="13"/>
  <c r="M14" i="13"/>
  <c r="M15" i="13"/>
  <c r="M16" i="13"/>
  <c r="M17" i="13"/>
  <c r="M18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19" i="13"/>
  <c r="M20" i="13"/>
  <c r="M21" i="13"/>
  <c r="M22" i="13"/>
  <c r="M23" i="13"/>
  <c r="M24" i="13"/>
  <c r="M25" i="13"/>
  <c r="M26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255" i="13"/>
  <c r="M256" i="13"/>
  <c r="M257" i="13"/>
  <c r="M258" i="13"/>
  <c r="M259" i="13"/>
  <c r="M260" i="13"/>
  <c r="M261" i="13"/>
  <c r="M262" i="13"/>
  <c r="M263" i="13"/>
  <c r="M264" i="13"/>
  <c r="M265" i="13"/>
  <c r="M266" i="13"/>
  <c r="M267" i="13"/>
  <c r="M268" i="13"/>
  <c r="M269" i="13"/>
  <c r="M270" i="13"/>
  <c r="M271" i="13"/>
  <c r="M272" i="13"/>
  <c r="M273" i="13"/>
  <c r="M274" i="13"/>
  <c r="M275" i="13"/>
  <c r="M276" i="13"/>
  <c r="M277" i="13"/>
  <c r="M278" i="13"/>
  <c r="M279" i="13"/>
  <c r="M280" i="13"/>
  <c r="M281" i="13"/>
  <c r="M282" i="13"/>
  <c r="M283" i="13"/>
  <c r="M284" i="13"/>
  <c r="M285" i="13"/>
  <c r="M286" i="13"/>
  <c r="M287" i="13"/>
  <c r="M288" i="13"/>
  <c r="M289" i="13"/>
  <c r="M290" i="13"/>
  <c r="M291" i="13"/>
  <c r="M292" i="13"/>
  <c r="M293" i="13"/>
  <c r="M294" i="13"/>
  <c r="M295" i="13"/>
  <c r="M296" i="13"/>
  <c r="M297" i="13"/>
  <c r="M298" i="13"/>
  <c r="M299" i="13"/>
  <c r="M300" i="13"/>
  <c r="M2" i="13"/>
  <c r="M3" i="13"/>
  <c r="M4" i="13"/>
  <c r="M5" i="13"/>
  <c r="M6" i="13"/>
  <c r="M7" i="13"/>
  <c r="M8" i="13"/>
  <c r="A3" i="19"/>
  <c r="A4" i="19"/>
  <c r="D4" i="19" s="1"/>
  <c r="J14" i="26"/>
  <c r="K14" i="26" s="1"/>
  <c r="J15" i="26"/>
  <c r="K15" i="26" s="1"/>
  <c r="J16" i="26"/>
  <c r="K16" i="26" s="1"/>
  <c r="J17" i="26"/>
  <c r="K17" i="26" s="1"/>
  <c r="J18" i="26"/>
  <c r="K18" i="26" s="1"/>
  <c r="J19" i="26"/>
  <c r="K19" i="26" s="1"/>
  <c r="J20" i="26"/>
  <c r="K20" i="26" s="1"/>
  <c r="J21" i="26"/>
  <c r="K21" i="26" s="1"/>
  <c r="J22" i="26"/>
  <c r="K22" i="26" s="1"/>
  <c r="J23" i="26"/>
  <c r="K23" i="26" s="1"/>
  <c r="J24" i="26"/>
  <c r="K24" i="26" s="1"/>
  <c r="J25" i="26"/>
  <c r="K25" i="26" s="1"/>
  <c r="J26" i="26"/>
  <c r="K26" i="26" s="1"/>
  <c r="J27" i="26"/>
  <c r="K27" i="26" s="1"/>
  <c r="J28" i="26"/>
  <c r="K28" i="26" s="1"/>
  <c r="J29" i="26"/>
  <c r="K29" i="26" s="1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A2" i="19"/>
  <c r="J3" i="26"/>
  <c r="K3" i="26" s="1"/>
  <c r="J4" i="26"/>
  <c r="K4" i="26" s="1"/>
  <c r="J6" i="26"/>
  <c r="K6" i="26" s="1"/>
  <c r="J7" i="26"/>
  <c r="K7" i="26" s="1"/>
  <c r="J8" i="26"/>
  <c r="K8" i="26" s="1"/>
  <c r="J9" i="26"/>
  <c r="K9" i="26" s="1"/>
  <c r="J10" i="26"/>
  <c r="K10" i="26" s="1"/>
  <c r="J11" i="26"/>
  <c r="K11" i="26" s="1"/>
  <c r="J12" i="26"/>
  <c r="K12" i="26" s="1"/>
  <c r="J13" i="26"/>
  <c r="K13" i="26" s="1"/>
  <c r="K2" i="26"/>
  <c r="K13" i="13"/>
  <c r="F3" i="26"/>
  <c r="F4" i="26"/>
  <c r="F5" i="26"/>
  <c r="F6" i="26"/>
  <c r="F7" i="26"/>
  <c r="F8" i="26"/>
  <c r="F9" i="26"/>
  <c r="F10" i="26"/>
  <c r="F11" i="26"/>
  <c r="F12" i="26"/>
  <c r="F13" i="26"/>
  <c r="A2" i="17"/>
  <c r="S135" i="13"/>
  <c r="S136" i="13"/>
  <c r="S137" i="13"/>
  <c r="S138" i="13"/>
  <c r="S139" i="13"/>
  <c r="K135" i="13"/>
  <c r="K136" i="13"/>
  <c r="K137" i="13"/>
  <c r="K138" i="13"/>
  <c r="K139" i="13"/>
  <c r="N135" i="13"/>
  <c r="N136" i="13"/>
  <c r="N137" i="13"/>
  <c r="N138" i="13"/>
  <c r="N139" i="13"/>
  <c r="A46" i="19"/>
  <c r="K212" i="13"/>
  <c r="L212" i="13" s="1"/>
  <c r="K213" i="13"/>
  <c r="K214" i="13"/>
  <c r="K215" i="13"/>
  <c r="K216" i="13"/>
  <c r="K217" i="13"/>
  <c r="K218" i="13"/>
  <c r="K219" i="13"/>
  <c r="K220" i="13"/>
  <c r="K221" i="13"/>
  <c r="N212" i="13"/>
  <c r="N213" i="13"/>
  <c r="N214" i="13"/>
  <c r="N215" i="13"/>
  <c r="N216" i="13"/>
  <c r="N217" i="13"/>
  <c r="N218" i="13"/>
  <c r="N219" i="13"/>
  <c r="N220" i="13"/>
  <c r="N221" i="13"/>
  <c r="S212" i="13"/>
  <c r="S213" i="13"/>
  <c r="S214" i="13"/>
  <c r="S215" i="13"/>
  <c r="S216" i="13"/>
  <c r="S217" i="13"/>
  <c r="S218" i="13"/>
  <c r="S219" i="13"/>
  <c r="S220" i="13"/>
  <c r="S221" i="13"/>
  <c r="A5" i="17"/>
  <c r="A32" i="18"/>
  <c r="K198" i="13"/>
  <c r="L198" i="13" s="1"/>
  <c r="K199" i="13"/>
  <c r="K200" i="13"/>
  <c r="K201" i="13"/>
  <c r="K202" i="13"/>
  <c r="K203" i="13"/>
  <c r="K204" i="13"/>
  <c r="K205" i="13"/>
  <c r="K206" i="13"/>
  <c r="K207" i="13"/>
  <c r="K208" i="13"/>
  <c r="L208" i="13" s="1"/>
  <c r="K209" i="13"/>
  <c r="K210" i="13"/>
  <c r="K211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A45" i="19"/>
  <c r="K189" i="13"/>
  <c r="L189" i="13" s="1"/>
  <c r="K190" i="13"/>
  <c r="K191" i="13"/>
  <c r="K192" i="13"/>
  <c r="K193" i="13"/>
  <c r="K194" i="13"/>
  <c r="K195" i="13"/>
  <c r="K196" i="13"/>
  <c r="K197" i="13"/>
  <c r="N189" i="13"/>
  <c r="N190" i="13"/>
  <c r="N191" i="13"/>
  <c r="N192" i="13"/>
  <c r="N193" i="13"/>
  <c r="N194" i="13"/>
  <c r="N195" i="13"/>
  <c r="N196" i="13"/>
  <c r="N197" i="13"/>
  <c r="S189" i="13"/>
  <c r="S190" i="13"/>
  <c r="S191" i="13"/>
  <c r="S192" i="13"/>
  <c r="S193" i="13"/>
  <c r="S194" i="13"/>
  <c r="S195" i="13"/>
  <c r="S196" i="13"/>
  <c r="S197" i="13"/>
  <c r="A4" i="17"/>
  <c r="K184" i="13"/>
  <c r="L184" i="13" s="1"/>
  <c r="K185" i="13"/>
  <c r="K186" i="13"/>
  <c r="K187" i="13"/>
  <c r="K188" i="13"/>
  <c r="N184" i="13"/>
  <c r="N185" i="13"/>
  <c r="N186" i="13"/>
  <c r="N187" i="13"/>
  <c r="N188" i="13"/>
  <c r="S184" i="13"/>
  <c r="S185" i="13"/>
  <c r="S186" i="13"/>
  <c r="S187" i="13"/>
  <c r="S188" i="13"/>
  <c r="A31" i="18"/>
  <c r="K175" i="13"/>
  <c r="L175" i="13" s="1"/>
  <c r="K176" i="13"/>
  <c r="K177" i="13"/>
  <c r="K178" i="13"/>
  <c r="K179" i="13"/>
  <c r="K180" i="13"/>
  <c r="K181" i="13"/>
  <c r="K182" i="13"/>
  <c r="K183" i="13"/>
  <c r="N175" i="13"/>
  <c r="N176" i="13"/>
  <c r="N177" i="13"/>
  <c r="N178" i="13"/>
  <c r="N179" i="13"/>
  <c r="N180" i="13"/>
  <c r="N181" i="13"/>
  <c r="N182" i="13"/>
  <c r="N183" i="13"/>
  <c r="S175" i="13"/>
  <c r="S176" i="13"/>
  <c r="S177" i="13"/>
  <c r="S178" i="13"/>
  <c r="S179" i="13"/>
  <c r="S180" i="13"/>
  <c r="S181" i="13"/>
  <c r="S182" i="13"/>
  <c r="S183" i="13"/>
  <c r="N19" i="13"/>
  <c r="A44" i="19"/>
  <c r="K169" i="13"/>
  <c r="L169" i="13" s="1"/>
  <c r="K170" i="13"/>
  <c r="K171" i="13"/>
  <c r="K172" i="13"/>
  <c r="K173" i="13"/>
  <c r="K174" i="13"/>
  <c r="N169" i="13"/>
  <c r="N170" i="13"/>
  <c r="N171" i="13"/>
  <c r="N172" i="13"/>
  <c r="N173" i="13"/>
  <c r="N174" i="13"/>
  <c r="S169" i="13"/>
  <c r="S170" i="13"/>
  <c r="S171" i="13"/>
  <c r="S172" i="13"/>
  <c r="S173" i="13"/>
  <c r="S174" i="13"/>
  <c r="A3" i="17"/>
  <c r="K162" i="13"/>
  <c r="L162" i="13" s="1"/>
  <c r="K163" i="13"/>
  <c r="K164" i="13"/>
  <c r="K165" i="13"/>
  <c r="K166" i="13"/>
  <c r="K167" i="13"/>
  <c r="K168" i="13"/>
  <c r="N162" i="13"/>
  <c r="N163" i="13"/>
  <c r="N164" i="13"/>
  <c r="N165" i="13"/>
  <c r="N166" i="13"/>
  <c r="N167" i="13"/>
  <c r="N168" i="13"/>
  <c r="S162" i="13"/>
  <c r="S163" i="13"/>
  <c r="S164" i="13"/>
  <c r="S165" i="13"/>
  <c r="S166" i="13"/>
  <c r="S167" i="13"/>
  <c r="S168" i="13"/>
  <c r="K151" i="13"/>
  <c r="K152" i="13"/>
  <c r="K153" i="13"/>
  <c r="K157" i="13"/>
  <c r="K158" i="13"/>
  <c r="K159" i="13"/>
  <c r="K160" i="13"/>
  <c r="K161" i="13"/>
  <c r="N151" i="13"/>
  <c r="N152" i="13"/>
  <c r="N154" i="13"/>
  <c r="N155" i="13"/>
  <c r="N156" i="13"/>
  <c r="N157" i="13"/>
  <c r="N158" i="13"/>
  <c r="N159" i="13"/>
  <c r="N160" i="13"/>
  <c r="N161" i="13"/>
  <c r="S151" i="13"/>
  <c r="S152" i="13"/>
  <c r="S153" i="13"/>
  <c r="S154" i="13"/>
  <c r="S155" i="13"/>
  <c r="S156" i="13"/>
  <c r="S157" i="13"/>
  <c r="S158" i="13"/>
  <c r="S159" i="13"/>
  <c r="S160" i="13"/>
  <c r="S161" i="13"/>
  <c r="A43" i="19"/>
  <c r="K140" i="13"/>
  <c r="L140" i="13" s="1"/>
  <c r="K141" i="13"/>
  <c r="K142" i="13"/>
  <c r="K143" i="13"/>
  <c r="K144" i="13"/>
  <c r="K145" i="13"/>
  <c r="K146" i="13"/>
  <c r="K147" i="13"/>
  <c r="K148" i="13"/>
  <c r="K149" i="13"/>
  <c r="K150" i="13"/>
  <c r="N140" i="13"/>
  <c r="N141" i="13"/>
  <c r="N142" i="13"/>
  <c r="N143" i="13"/>
  <c r="N144" i="13"/>
  <c r="N145" i="13"/>
  <c r="N146" i="13"/>
  <c r="N147" i="13"/>
  <c r="N148" i="13"/>
  <c r="N149" i="13"/>
  <c r="N150" i="13"/>
  <c r="S140" i="13"/>
  <c r="S141" i="13"/>
  <c r="S142" i="13"/>
  <c r="S143" i="13"/>
  <c r="S144" i="13"/>
  <c r="S145" i="13"/>
  <c r="S146" i="13"/>
  <c r="S147" i="13"/>
  <c r="S148" i="13"/>
  <c r="S149" i="13"/>
  <c r="S150" i="13"/>
  <c r="A29" i="18"/>
  <c r="K124" i="13"/>
  <c r="L124" i="13" s="1"/>
  <c r="K125" i="13"/>
  <c r="K126" i="13"/>
  <c r="K127" i="13"/>
  <c r="K128" i="13"/>
  <c r="K129" i="13"/>
  <c r="K130" i="13"/>
  <c r="K131" i="13"/>
  <c r="K132" i="13"/>
  <c r="K133" i="13"/>
  <c r="K134" i="13"/>
  <c r="N124" i="13"/>
  <c r="N125" i="13"/>
  <c r="N126" i="13"/>
  <c r="N127" i="13"/>
  <c r="N128" i="13"/>
  <c r="N129" i="13"/>
  <c r="N130" i="13"/>
  <c r="N131" i="13"/>
  <c r="N132" i="13"/>
  <c r="N133" i="13"/>
  <c r="N134" i="13"/>
  <c r="S124" i="13"/>
  <c r="S125" i="13"/>
  <c r="S126" i="13"/>
  <c r="S127" i="13"/>
  <c r="S128" i="13"/>
  <c r="S129" i="13"/>
  <c r="S130" i="13"/>
  <c r="S131" i="13"/>
  <c r="S132" i="13"/>
  <c r="S133" i="13"/>
  <c r="S134" i="13"/>
  <c r="A42" i="19"/>
  <c r="K113" i="13"/>
  <c r="L113" i="13" s="1"/>
  <c r="K114" i="13"/>
  <c r="K115" i="13"/>
  <c r="K116" i="13"/>
  <c r="K117" i="13"/>
  <c r="K118" i="13"/>
  <c r="K119" i="13"/>
  <c r="K120" i="13"/>
  <c r="K121" i="13"/>
  <c r="K122" i="13"/>
  <c r="K123" i="13"/>
  <c r="N113" i="13"/>
  <c r="N114" i="13"/>
  <c r="N115" i="13"/>
  <c r="N116" i="13"/>
  <c r="N117" i="13"/>
  <c r="N118" i="13"/>
  <c r="N119" i="13"/>
  <c r="N120" i="13"/>
  <c r="N121" i="13"/>
  <c r="N122" i="13"/>
  <c r="N123" i="13"/>
  <c r="S113" i="13"/>
  <c r="S114" i="13"/>
  <c r="S115" i="13"/>
  <c r="S116" i="13"/>
  <c r="S117" i="13"/>
  <c r="S118" i="13"/>
  <c r="S119" i="13"/>
  <c r="S120" i="13"/>
  <c r="S121" i="13"/>
  <c r="S122" i="13"/>
  <c r="S123" i="13"/>
  <c r="A41" i="19"/>
  <c r="K105" i="13"/>
  <c r="L105" i="13" s="1"/>
  <c r="K106" i="13"/>
  <c r="K107" i="13"/>
  <c r="K108" i="13"/>
  <c r="K109" i="13"/>
  <c r="K110" i="13"/>
  <c r="K111" i="13"/>
  <c r="K112" i="13"/>
  <c r="N105" i="13"/>
  <c r="N106" i="13"/>
  <c r="N107" i="13"/>
  <c r="N108" i="13"/>
  <c r="N109" i="13"/>
  <c r="N110" i="13"/>
  <c r="N111" i="13"/>
  <c r="N112" i="13"/>
  <c r="S105" i="13"/>
  <c r="S106" i="13"/>
  <c r="S107" i="13"/>
  <c r="S108" i="13"/>
  <c r="S109" i="13"/>
  <c r="S110" i="13"/>
  <c r="S111" i="13"/>
  <c r="S112" i="13"/>
  <c r="A28" i="18"/>
  <c r="D28" i="18" s="1"/>
  <c r="K98" i="13"/>
  <c r="K99" i="13"/>
  <c r="K95" i="13"/>
  <c r="K96" i="13"/>
  <c r="K97" i="13"/>
  <c r="K100" i="13"/>
  <c r="K101" i="13"/>
  <c r="K102" i="13"/>
  <c r="K103" i="13"/>
  <c r="K104" i="13"/>
  <c r="N95" i="13"/>
  <c r="N96" i="13"/>
  <c r="N97" i="13"/>
  <c r="N98" i="13"/>
  <c r="N99" i="13"/>
  <c r="N100" i="13"/>
  <c r="N101" i="13"/>
  <c r="N102" i="13"/>
  <c r="N103" i="13"/>
  <c r="N104" i="13"/>
  <c r="S95" i="13"/>
  <c r="S96" i="13"/>
  <c r="S97" i="13"/>
  <c r="S98" i="13"/>
  <c r="S99" i="13"/>
  <c r="S100" i="13"/>
  <c r="S101" i="13"/>
  <c r="S102" i="13"/>
  <c r="S103" i="13"/>
  <c r="S104" i="13"/>
  <c r="A40" i="19"/>
  <c r="K19" i="13"/>
  <c r="L19" i="13" s="1"/>
  <c r="K20" i="13"/>
  <c r="K21" i="13"/>
  <c r="K22" i="13"/>
  <c r="K23" i="13"/>
  <c r="K24" i="13"/>
  <c r="K25" i="13"/>
  <c r="K26" i="13"/>
  <c r="N20" i="13"/>
  <c r="N21" i="13"/>
  <c r="N22" i="13"/>
  <c r="N23" i="13"/>
  <c r="N24" i="13"/>
  <c r="N25" i="13"/>
  <c r="N26" i="13"/>
  <c r="S19" i="13"/>
  <c r="S20" i="13"/>
  <c r="S21" i="13"/>
  <c r="S22" i="13"/>
  <c r="S23" i="13"/>
  <c r="S24" i="13"/>
  <c r="S25" i="13"/>
  <c r="S26" i="13"/>
  <c r="A27" i="18"/>
  <c r="K84" i="13"/>
  <c r="L84" i="13" s="1"/>
  <c r="K85" i="13"/>
  <c r="K86" i="13"/>
  <c r="K87" i="13"/>
  <c r="K88" i="13"/>
  <c r="K89" i="13"/>
  <c r="K90" i="13"/>
  <c r="K91" i="13"/>
  <c r="K92" i="13"/>
  <c r="K93" i="13"/>
  <c r="K94" i="13"/>
  <c r="N84" i="13"/>
  <c r="N85" i="13"/>
  <c r="N86" i="13"/>
  <c r="N87" i="13"/>
  <c r="N88" i="13"/>
  <c r="N89" i="13"/>
  <c r="N90" i="13"/>
  <c r="N91" i="13"/>
  <c r="N92" i="13"/>
  <c r="N93" i="13"/>
  <c r="N94" i="13"/>
  <c r="S84" i="13"/>
  <c r="S85" i="13"/>
  <c r="S86" i="13"/>
  <c r="S87" i="13"/>
  <c r="S88" i="13"/>
  <c r="S89" i="13"/>
  <c r="S90" i="13"/>
  <c r="S91" i="13"/>
  <c r="S92" i="13"/>
  <c r="S93" i="13"/>
  <c r="S94" i="13"/>
  <c r="A39" i="19"/>
  <c r="K75" i="13"/>
  <c r="L75" i="13" s="1"/>
  <c r="K76" i="13"/>
  <c r="K77" i="13"/>
  <c r="K78" i="13"/>
  <c r="K79" i="13"/>
  <c r="K80" i="13"/>
  <c r="K81" i="13"/>
  <c r="K82" i="13"/>
  <c r="K83" i="13"/>
  <c r="N75" i="13"/>
  <c r="N76" i="13"/>
  <c r="N77" i="13"/>
  <c r="N78" i="13"/>
  <c r="N79" i="13"/>
  <c r="N80" i="13"/>
  <c r="N81" i="13"/>
  <c r="N82" i="13"/>
  <c r="N83" i="13"/>
  <c r="S75" i="13"/>
  <c r="S76" i="13"/>
  <c r="S77" i="13"/>
  <c r="S78" i="13"/>
  <c r="S79" i="13"/>
  <c r="S80" i="13"/>
  <c r="S81" i="13"/>
  <c r="S82" i="13"/>
  <c r="S83" i="13"/>
  <c r="K41" i="13"/>
  <c r="P41" i="13" s="1"/>
  <c r="K42" i="13"/>
  <c r="P42" i="13" s="1"/>
  <c r="K43" i="13"/>
  <c r="P43" i="13" s="1"/>
  <c r="K44" i="13"/>
  <c r="P44" i="13" s="1"/>
  <c r="K45" i="13"/>
  <c r="P45" i="13" s="1"/>
  <c r="K46" i="13"/>
  <c r="P46" i="13" s="1"/>
  <c r="K47" i="13"/>
  <c r="P47" i="13" s="1"/>
  <c r="K48" i="13"/>
  <c r="P48" i="13" s="1"/>
  <c r="K49" i="13"/>
  <c r="P49" i="13" s="1"/>
  <c r="K50" i="13"/>
  <c r="P50" i="13" s="1"/>
  <c r="K51" i="13"/>
  <c r="P51" i="13" s="1"/>
  <c r="K52" i="13"/>
  <c r="P52" i="13" s="1"/>
  <c r="K53" i="13"/>
  <c r="P53" i="13" s="1"/>
  <c r="K54" i="13"/>
  <c r="P54" i="13" s="1"/>
  <c r="K55" i="13"/>
  <c r="P55" i="13" s="1"/>
  <c r="K56" i="13"/>
  <c r="P56" i="13" s="1"/>
  <c r="K57" i="13"/>
  <c r="P57" i="13" s="1"/>
  <c r="K58" i="13"/>
  <c r="P58" i="13" s="1"/>
  <c r="K59" i="13"/>
  <c r="P59" i="13" s="1"/>
  <c r="K60" i="13"/>
  <c r="P60" i="13" s="1"/>
  <c r="K61" i="13"/>
  <c r="P61" i="13" s="1"/>
  <c r="K62" i="13"/>
  <c r="P62" i="13" s="1"/>
  <c r="K63" i="13"/>
  <c r="P63" i="13" s="1"/>
  <c r="K64" i="13"/>
  <c r="P64" i="13" s="1"/>
  <c r="K65" i="13"/>
  <c r="P65" i="13" s="1"/>
  <c r="K66" i="13"/>
  <c r="K67" i="13"/>
  <c r="L67" i="13" s="1"/>
  <c r="K68" i="13"/>
  <c r="K69" i="13"/>
  <c r="K70" i="13"/>
  <c r="K71" i="13"/>
  <c r="K72" i="13"/>
  <c r="K73" i="13"/>
  <c r="K74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239" i="13"/>
  <c r="S240" i="13"/>
  <c r="S241" i="13"/>
  <c r="S242" i="13"/>
  <c r="S243" i="13"/>
  <c r="S244" i="13"/>
  <c r="S245" i="13"/>
  <c r="S246" i="13"/>
  <c r="S247" i="13"/>
  <c r="S248" i="13"/>
  <c r="S249" i="13"/>
  <c r="S250" i="13"/>
  <c r="S251" i="13"/>
  <c r="S252" i="13"/>
  <c r="S253" i="13"/>
  <c r="S254" i="13"/>
  <c r="S255" i="13"/>
  <c r="S256" i="13"/>
  <c r="S257" i="13"/>
  <c r="S258" i="13"/>
  <c r="S259" i="13"/>
  <c r="S260" i="13"/>
  <c r="S261" i="13"/>
  <c r="S262" i="13"/>
  <c r="S263" i="13"/>
  <c r="S264" i="13"/>
  <c r="S265" i="13"/>
  <c r="S266" i="13"/>
  <c r="S267" i="13"/>
  <c r="S268" i="13"/>
  <c r="S269" i="13"/>
  <c r="S270" i="13"/>
  <c r="S271" i="13"/>
  <c r="S272" i="13"/>
  <c r="S273" i="13"/>
  <c r="S274" i="13"/>
  <c r="S275" i="13"/>
  <c r="S276" i="13"/>
  <c r="S277" i="13"/>
  <c r="S278" i="13"/>
  <c r="S279" i="13"/>
  <c r="S280" i="13"/>
  <c r="S281" i="13"/>
  <c r="S282" i="13"/>
  <c r="S283" i="13"/>
  <c r="S284" i="13"/>
  <c r="S285" i="13"/>
  <c r="S286" i="13"/>
  <c r="S287" i="13"/>
  <c r="S288" i="13"/>
  <c r="S289" i="13"/>
  <c r="S290" i="13"/>
  <c r="S291" i="13"/>
  <c r="S292" i="13"/>
  <c r="S293" i="13"/>
  <c r="S294" i="13"/>
  <c r="S295" i="13"/>
  <c r="S296" i="13"/>
  <c r="S297" i="13"/>
  <c r="S298" i="13"/>
  <c r="S299" i="13"/>
  <c r="S300" i="13"/>
  <c r="S2" i="13"/>
  <c r="S3" i="13"/>
  <c r="S4" i="13"/>
  <c r="S5" i="13"/>
  <c r="S6" i="13"/>
  <c r="S7" i="13"/>
  <c r="S8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S236" i="13"/>
  <c r="S237" i="13"/>
  <c r="S9" i="13"/>
  <c r="S10" i="13"/>
  <c r="S11" i="13"/>
  <c r="S12" i="13"/>
  <c r="S13" i="13"/>
  <c r="S15" i="13"/>
  <c r="S16" i="13"/>
  <c r="S17" i="13"/>
  <c r="S18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238" i="13"/>
  <c r="N18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K14" i="13"/>
  <c r="K15" i="13"/>
  <c r="K16" i="13"/>
  <c r="K17" i="13"/>
  <c r="K18" i="13"/>
  <c r="K27" i="13"/>
  <c r="K28" i="13"/>
  <c r="K29" i="13"/>
  <c r="P29" i="13" s="1"/>
  <c r="K30" i="13"/>
  <c r="P30" i="13" s="1"/>
  <c r="K31" i="13"/>
  <c r="P31" i="13" s="1"/>
  <c r="K32" i="13"/>
  <c r="P32" i="13" s="1"/>
  <c r="K33" i="13"/>
  <c r="P33" i="13" s="1"/>
  <c r="K34" i="13"/>
  <c r="P34" i="13" s="1"/>
  <c r="K35" i="13"/>
  <c r="P35" i="13" s="1"/>
  <c r="K36" i="13"/>
  <c r="P36" i="13" s="1"/>
  <c r="K37" i="13"/>
  <c r="P37" i="13" s="1"/>
  <c r="K38" i="13"/>
  <c r="P38" i="13" s="1"/>
  <c r="K39" i="13"/>
  <c r="P39" i="13" s="1"/>
  <c r="K40" i="13"/>
  <c r="P40" i="13" s="1"/>
  <c r="N9" i="13"/>
  <c r="N10" i="13"/>
  <c r="N11" i="13"/>
  <c r="N12" i="13"/>
  <c r="N13" i="13"/>
  <c r="N14" i="13"/>
  <c r="N15" i="13"/>
  <c r="N16" i="13"/>
  <c r="N17" i="13"/>
  <c r="K237" i="13"/>
  <c r="K9" i="13"/>
  <c r="K10" i="13"/>
  <c r="K11" i="13"/>
  <c r="K12" i="13"/>
  <c r="K236" i="13"/>
  <c r="A6" i="17"/>
  <c r="N222" i="13"/>
  <c r="N223" i="13"/>
  <c r="N224" i="13"/>
  <c r="N225" i="13"/>
  <c r="N226" i="13"/>
  <c r="N227" i="13"/>
  <c r="N229" i="13"/>
  <c r="N230" i="13"/>
  <c r="N231" i="13"/>
  <c r="N232" i="13"/>
  <c r="N228" i="13"/>
  <c r="N233" i="13"/>
  <c r="N234" i="13"/>
  <c r="N235" i="13"/>
  <c r="N236" i="13"/>
  <c r="N237" i="13"/>
  <c r="K300" i="13"/>
  <c r="K2" i="13"/>
  <c r="K3" i="13"/>
  <c r="K4" i="13"/>
  <c r="K5" i="13"/>
  <c r="K6" i="13"/>
  <c r="K7" i="13"/>
  <c r="K8" i="13"/>
  <c r="K222" i="13"/>
  <c r="K223" i="13"/>
  <c r="K225" i="13"/>
  <c r="K226" i="13"/>
  <c r="K227" i="13"/>
  <c r="K229" i="13"/>
  <c r="K230" i="13"/>
  <c r="K231" i="13"/>
  <c r="K232" i="13"/>
  <c r="K228" i="13"/>
  <c r="K233" i="13"/>
  <c r="K234" i="13"/>
  <c r="K235" i="13"/>
  <c r="A33" i="18"/>
  <c r="A34" i="18"/>
  <c r="D34" i="18" s="1"/>
  <c r="A2" i="16"/>
  <c r="N245" i="13"/>
  <c r="N246" i="13"/>
  <c r="N247" i="13"/>
  <c r="N248" i="13"/>
  <c r="N249" i="13"/>
  <c r="N250" i="13"/>
  <c r="N251" i="13"/>
  <c r="N252" i="13"/>
  <c r="N253" i="13"/>
  <c r="N254" i="13"/>
  <c r="N255" i="13"/>
  <c r="N256" i="13"/>
  <c r="N257" i="13"/>
  <c r="N258" i="13"/>
  <c r="N259" i="13"/>
  <c r="N260" i="13"/>
  <c r="N261" i="13"/>
  <c r="N262" i="13"/>
  <c r="N263" i="13"/>
  <c r="N264" i="13"/>
  <c r="N265" i="13"/>
  <c r="N266" i="13"/>
  <c r="N267" i="13"/>
  <c r="N268" i="13"/>
  <c r="N269" i="13"/>
  <c r="N270" i="13"/>
  <c r="N271" i="13"/>
  <c r="N272" i="13"/>
  <c r="N273" i="13"/>
  <c r="N274" i="13"/>
  <c r="N275" i="13"/>
  <c r="N276" i="13"/>
  <c r="N277" i="13"/>
  <c r="N278" i="13"/>
  <c r="N279" i="13"/>
  <c r="N280" i="13"/>
  <c r="N281" i="13"/>
  <c r="N282" i="13"/>
  <c r="N283" i="13"/>
  <c r="N284" i="13"/>
  <c r="N285" i="13"/>
  <c r="N286" i="13"/>
  <c r="N287" i="13"/>
  <c r="N288" i="13"/>
  <c r="N289" i="13"/>
  <c r="N290" i="13"/>
  <c r="N291" i="13"/>
  <c r="N292" i="13"/>
  <c r="N293" i="13"/>
  <c r="N294" i="13"/>
  <c r="N295" i="13"/>
  <c r="N296" i="13"/>
  <c r="N297" i="13"/>
  <c r="N298" i="13"/>
  <c r="N299" i="13"/>
  <c r="N300" i="13"/>
  <c r="A7" i="17"/>
  <c r="N3" i="13"/>
  <c r="N4" i="13"/>
  <c r="N5" i="13"/>
  <c r="N6" i="13"/>
  <c r="N7" i="13"/>
  <c r="N8" i="13"/>
  <c r="N2" i="13"/>
  <c r="N238" i="13"/>
  <c r="N244" i="13"/>
  <c r="N239" i="13"/>
  <c r="N240" i="13"/>
  <c r="N241" i="13"/>
  <c r="N242" i="13"/>
  <c r="N243" i="13"/>
  <c r="K239" i="13"/>
  <c r="K240" i="13"/>
  <c r="K241" i="13"/>
  <c r="K242" i="13"/>
  <c r="K243" i="13"/>
  <c r="K244" i="13"/>
  <c r="K245" i="13"/>
  <c r="P245" i="13" s="1"/>
  <c r="K246" i="13"/>
  <c r="P246" i="13" s="1"/>
  <c r="K247" i="13"/>
  <c r="P247" i="13" s="1"/>
  <c r="K248" i="13"/>
  <c r="P248" i="13" s="1"/>
  <c r="K249" i="13"/>
  <c r="P249" i="13" s="1"/>
  <c r="K250" i="13"/>
  <c r="P250" i="13" s="1"/>
  <c r="K251" i="13"/>
  <c r="P251" i="13" s="1"/>
  <c r="K252" i="13"/>
  <c r="P252" i="13" s="1"/>
  <c r="K253" i="13"/>
  <c r="P253" i="13" s="1"/>
  <c r="K254" i="13"/>
  <c r="P254" i="13" s="1"/>
  <c r="K255" i="13"/>
  <c r="P255" i="13" s="1"/>
  <c r="K256" i="13"/>
  <c r="P256" i="13" s="1"/>
  <c r="K257" i="13"/>
  <c r="P257" i="13" s="1"/>
  <c r="K258" i="13"/>
  <c r="K259" i="13"/>
  <c r="P259" i="13" s="1"/>
  <c r="K260" i="13"/>
  <c r="P260" i="13" s="1"/>
  <c r="K261" i="13"/>
  <c r="P261" i="13" s="1"/>
  <c r="K262" i="13"/>
  <c r="P262" i="13" s="1"/>
  <c r="K263" i="13"/>
  <c r="P263" i="13" s="1"/>
  <c r="K264" i="13"/>
  <c r="P264" i="13" s="1"/>
  <c r="K265" i="13"/>
  <c r="P265" i="13" s="1"/>
  <c r="K266" i="13"/>
  <c r="P266" i="13" s="1"/>
  <c r="K267" i="13"/>
  <c r="P267" i="13" s="1"/>
  <c r="K268" i="13"/>
  <c r="P268" i="13" s="1"/>
  <c r="K269" i="13"/>
  <c r="P269" i="13" s="1"/>
  <c r="K270" i="13"/>
  <c r="P270" i="13" s="1"/>
  <c r="K271" i="13"/>
  <c r="P271" i="13" s="1"/>
  <c r="L272" i="13"/>
  <c r="K273" i="13"/>
  <c r="P273" i="13" s="1"/>
  <c r="K274" i="13"/>
  <c r="P274" i="13" s="1"/>
  <c r="K275" i="13"/>
  <c r="P275" i="13" s="1"/>
  <c r="K276" i="13"/>
  <c r="P276" i="13" s="1"/>
  <c r="K277" i="13"/>
  <c r="P277" i="13" s="1"/>
  <c r="K278" i="13"/>
  <c r="P278" i="13" s="1"/>
  <c r="K279" i="13"/>
  <c r="P279" i="13" s="1"/>
  <c r="K280" i="13"/>
  <c r="P280" i="13" s="1"/>
  <c r="K281" i="13"/>
  <c r="P281" i="13" s="1"/>
  <c r="K282" i="13"/>
  <c r="P282" i="13" s="1"/>
  <c r="L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238" i="13"/>
  <c r="A59" i="15"/>
  <c r="H6" i="38" l="1"/>
  <c r="N6" i="38" s="1"/>
  <c r="W6" i="38"/>
  <c r="I6" i="38"/>
  <c r="O6" i="38" s="1"/>
  <c r="X6" i="38"/>
  <c r="J6" i="38"/>
  <c r="P6" i="38" s="1"/>
  <c r="Y6" i="38"/>
  <c r="F6" i="38"/>
  <c r="L6" i="38" s="1"/>
  <c r="S6" i="38"/>
  <c r="Z6" i="38" s="1"/>
  <c r="U6" i="38"/>
  <c r="AA6" i="38" s="1"/>
  <c r="V6" i="38"/>
  <c r="D4" i="38"/>
  <c r="H4" i="38"/>
  <c r="N4" i="38" s="1"/>
  <c r="V4" i="38"/>
  <c r="I4" i="38"/>
  <c r="O4" i="38" s="1"/>
  <c r="W4" i="38"/>
  <c r="J4" i="38"/>
  <c r="P4" i="38" s="1"/>
  <c r="X4" i="38"/>
  <c r="U4" i="38"/>
  <c r="AA4" i="38" s="1"/>
  <c r="Y4" i="38"/>
  <c r="S4" i="38"/>
  <c r="Z4" i="38" s="1"/>
  <c r="F4" i="38"/>
  <c r="L4" i="38" s="1"/>
  <c r="K2" i="48" a="1"/>
  <c r="K2" i="48" s="1"/>
  <c r="P2" i="48"/>
  <c r="Q2" i="48" s="1"/>
  <c r="R2" i="48" s="1"/>
  <c r="AM19" i="27"/>
  <c r="AN19" i="27" s="1"/>
  <c r="Q19" i="27"/>
  <c r="R19" i="27" s="1"/>
  <c r="L897" i="13"/>
  <c r="F6" i="18"/>
  <c r="L6" i="18" s="1"/>
  <c r="L151" i="13"/>
  <c r="H30" i="18"/>
  <c r="F4" i="18"/>
  <c r="L4" i="18" s="1"/>
  <c r="F13" i="18"/>
  <c r="L13" i="18" s="1"/>
  <c r="F10" i="18"/>
  <c r="L10" i="18" s="1"/>
  <c r="K485" i="26"/>
  <c r="Q22" i="18"/>
  <c r="R22" i="18" s="1"/>
  <c r="Q24" i="18"/>
  <c r="R24" i="18" s="1"/>
  <c r="P9" i="18"/>
  <c r="Q9" i="18" s="1"/>
  <c r="R9" i="18" s="1"/>
  <c r="P13" i="18"/>
  <c r="P14" i="18"/>
  <c r="Q14" i="18" s="1"/>
  <c r="R14" i="18" s="1"/>
  <c r="P18" i="18"/>
  <c r="Q18" i="18" s="1"/>
  <c r="R18" i="18" s="1"/>
  <c r="P16" i="18"/>
  <c r="Q16" i="18" s="1"/>
  <c r="R16" i="18" s="1"/>
  <c r="P8" i="18"/>
  <c r="Q8" i="18" s="1"/>
  <c r="R8" i="18" s="1"/>
  <c r="P4" i="18"/>
  <c r="P20" i="18"/>
  <c r="Q20" i="18" s="1"/>
  <c r="R20" i="18" s="1"/>
  <c r="P6" i="18"/>
  <c r="P12" i="18"/>
  <c r="Q12" i="18" s="1"/>
  <c r="R12" i="18" s="1"/>
  <c r="P19" i="18"/>
  <c r="P17" i="18"/>
  <c r="Q17" i="18" s="1"/>
  <c r="R17" i="18" s="1"/>
  <c r="P3" i="18"/>
  <c r="Q3" i="18" s="1"/>
  <c r="R3" i="18" s="1"/>
  <c r="F15" i="18"/>
  <c r="L15" i="18" s="1"/>
  <c r="P23" i="18"/>
  <c r="Q23" i="18" s="1"/>
  <c r="R23" i="18" s="1"/>
  <c r="P15" i="18"/>
  <c r="P21" i="18"/>
  <c r="Q21" i="18" s="1"/>
  <c r="R21" i="18" s="1"/>
  <c r="P11" i="18"/>
  <c r="Q11" i="18" s="1"/>
  <c r="R11" i="18" s="1"/>
  <c r="P7" i="18"/>
  <c r="Q7" i="18" s="1"/>
  <c r="R7" i="18" s="1"/>
  <c r="P10" i="18"/>
  <c r="F19" i="18"/>
  <c r="L19" i="18" s="1"/>
  <c r="Q19" i="18" s="1"/>
  <c r="R19" i="18" s="1"/>
  <c r="P5" i="18"/>
  <c r="Q5" i="18" s="1"/>
  <c r="R5" i="18" s="1"/>
  <c r="P25" i="18"/>
  <c r="Q25" i="18" s="1"/>
  <c r="R25" i="18" s="1"/>
  <c r="P2" i="18"/>
  <c r="Q2" i="18" s="1"/>
  <c r="R2" i="18" s="1"/>
  <c r="O530" i="26"/>
  <c r="O514" i="26"/>
  <c r="O462" i="26"/>
  <c r="O436" i="26"/>
  <c r="K546" i="26"/>
  <c r="O427" i="26"/>
  <c r="F17" i="31"/>
  <c r="AK17" i="31" s="1"/>
  <c r="M12" i="31"/>
  <c r="AH12" i="31"/>
  <c r="M8" i="31"/>
  <c r="AH8" i="31"/>
  <c r="P32" i="31"/>
  <c r="P24" i="31"/>
  <c r="M18" i="31"/>
  <c r="AH18" i="31"/>
  <c r="P27" i="31"/>
  <c r="M28" i="31"/>
  <c r="AH28" i="31"/>
  <c r="M4" i="31"/>
  <c r="AH4" i="31"/>
  <c r="M9" i="31"/>
  <c r="AH9" i="31"/>
  <c r="M33" i="31"/>
  <c r="AH33" i="31"/>
  <c r="P19" i="31"/>
  <c r="M25" i="31"/>
  <c r="AH25" i="31"/>
  <c r="M26" i="31"/>
  <c r="AH26" i="31"/>
  <c r="P18" i="31"/>
  <c r="P22" i="31"/>
  <c r="M27" i="31"/>
  <c r="AH27" i="31"/>
  <c r="P21" i="31"/>
  <c r="M13" i="31"/>
  <c r="AH13" i="31"/>
  <c r="M3" i="31"/>
  <c r="AH3" i="31"/>
  <c r="M19" i="31"/>
  <c r="AH19" i="31"/>
  <c r="P25" i="31"/>
  <c r="P26" i="31"/>
  <c r="M22" i="31"/>
  <c r="AH22" i="31"/>
  <c r="M15" i="31"/>
  <c r="AH15" i="31"/>
  <c r="M21" i="31"/>
  <c r="AH21" i="31"/>
  <c r="M5" i="31"/>
  <c r="AH5" i="31"/>
  <c r="P33" i="31"/>
  <c r="M17" i="31"/>
  <c r="AH17" i="31"/>
  <c r="M31" i="31"/>
  <c r="AH31" i="31"/>
  <c r="M11" i="31"/>
  <c r="AH11" i="31"/>
  <c r="P17" i="31"/>
  <c r="P20" i="31"/>
  <c r="M16" i="31"/>
  <c r="AH16" i="31"/>
  <c r="P30" i="31"/>
  <c r="M14" i="31"/>
  <c r="AH14" i="31"/>
  <c r="M10" i="31"/>
  <c r="AH10" i="31"/>
  <c r="M20" i="31"/>
  <c r="AH20" i="31"/>
  <c r="P16" i="31"/>
  <c r="P31" i="31"/>
  <c r="M30" i="31"/>
  <c r="AH30" i="31"/>
  <c r="M6" i="31"/>
  <c r="AH6" i="31"/>
  <c r="M7" i="31"/>
  <c r="AH7" i="31"/>
  <c r="M32" i="31"/>
  <c r="AH32" i="31"/>
  <c r="P23" i="31"/>
  <c r="P29" i="31"/>
  <c r="F20" i="31"/>
  <c r="L20" i="31" s="1"/>
  <c r="F33" i="31"/>
  <c r="AK33" i="31" s="1"/>
  <c r="M24" i="31"/>
  <c r="AH24" i="31"/>
  <c r="M23" i="31"/>
  <c r="AH23" i="31"/>
  <c r="M29" i="31"/>
  <c r="AH29" i="31"/>
  <c r="P28" i="31"/>
  <c r="L33" i="31"/>
  <c r="F19" i="31"/>
  <c r="F29" i="31"/>
  <c r="F30" i="31"/>
  <c r="F28" i="31"/>
  <c r="F18" i="31"/>
  <c r="F23" i="31"/>
  <c r="F15" i="31"/>
  <c r="F16" i="31"/>
  <c r="F31" i="31"/>
  <c r="F32" i="31"/>
  <c r="F25" i="31"/>
  <c r="F21" i="31"/>
  <c r="F22" i="31"/>
  <c r="F27" i="31"/>
  <c r="F26" i="31"/>
  <c r="F24" i="31"/>
  <c r="M1216" i="26"/>
  <c r="P13" i="31"/>
  <c r="F3" i="31"/>
  <c r="F10" i="31"/>
  <c r="F12" i="31"/>
  <c r="F14" i="31"/>
  <c r="P11" i="31"/>
  <c r="P9" i="31"/>
  <c r="F11" i="31"/>
  <c r="P14" i="31"/>
  <c r="P10" i="31"/>
  <c r="F4" i="31"/>
  <c r="F6" i="31"/>
  <c r="P5" i="31"/>
  <c r="F5" i="31"/>
  <c r="F13" i="31"/>
  <c r="P12" i="31"/>
  <c r="F7" i="31"/>
  <c r="P6" i="31"/>
  <c r="P7" i="31"/>
  <c r="F9" i="31"/>
  <c r="F8" i="31"/>
  <c r="P3" i="31"/>
  <c r="P4" i="31"/>
  <c r="F2" i="31"/>
  <c r="AK2" i="31" s="1"/>
  <c r="AM2" i="31" s="1"/>
  <c r="J7" i="15"/>
  <c r="P7" i="15" s="1"/>
  <c r="K426" i="26"/>
  <c r="K407" i="26"/>
  <c r="K477" i="26"/>
  <c r="M1297" i="26"/>
  <c r="F22" i="15" s="1"/>
  <c r="AH47" i="15"/>
  <c r="AK47" i="15" s="1"/>
  <c r="E48" i="15"/>
  <c r="M1256" i="26"/>
  <c r="I19" i="15"/>
  <c r="O19" i="15" s="1"/>
  <c r="AH48" i="15"/>
  <c r="AK48" i="15" s="1"/>
  <c r="I48" i="15"/>
  <c r="O48" i="15" s="1"/>
  <c r="M1657" i="26"/>
  <c r="J48" i="15"/>
  <c r="P48" i="15" s="1"/>
  <c r="M1653" i="26"/>
  <c r="AG48" i="15"/>
  <c r="O450" i="26"/>
  <c r="K487" i="26"/>
  <c r="I10" i="15"/>
  <c r="O10" i="15" s="1"/>
  <c r="O465" i="26"/>
  <c r="O475" i="26"/>
  <c r="F4" i="15"/>
  <c r="AH9" i="15"/>
  <c r="AK9" i="15" s="1"/>
  <c r="I22" i="15"/>
  <c r="O22" i="15" s="1"/>
  <c r="I27" i="27"/>
  <c r="O27" i="27" s="1"/>
  <c r="AH44" i="15"/>
  <c r="AK44" i="15" s="1"/>
  <c r="M1255" i="26"/>
  <c r="E7" i="15"/>
  <c r="M949" i="26"/>
  <c r="AH10" i="15"/>
  <c r="AK10" i="15" s="1"/>
  <c r="AG7" i="15"/>
  <c r="AH6" i="15"/>
  <c r="AK6" i="15" s="1"/>
  <c r="M1642" i="26"/>
  <c r="F47" i="15" s="1"/>
  <c r="I6" i="15"/>
  <c r="O6" i="15" s="1"/>
  <c r="M1601" i="26"/>
  <c r="F44" i="15" s="1"/>
  <c r="AI30" i="27"/>
  <c r="AL30" i="27" s="1"/>
  <c r="F14" i="15"/>
  <c r="AJ14" i="15" s="1"/>
  <c r="J27" i="27"/>
  <c r="P27" i="27" s="1"/>
  <c r="I21" i="27"/>
  <c r="O21" i="27" s="1"/>
  <c r="AI16" i="27"/>
  <c r="AL16" i="27" s="1"/>
  <c r="M1026" i="26"/>
  <c r="F33" i="27" s="1"/>
  <c r="F34" i="15"/>
  <c r="L34" i="15" s="1"/>
  <c r="M1147" i="26"/>
  <c r="F10" i="15" s="1"/>
  <c r="I27" i="15"/>
  <c r="O27" i="15" s="1"/>
  <c r="AH27" i="15"/>
  <c r="AK27" i="15" s="1"/>
  <c r="I36" i="15"/>
  <c r="O36" i="15" s="1"/>
  <c r="AH36" i="15"/>
  <c r="AK36" i="15" s="1"/>
  <c r="E32" i="15"/>
  <c r="J32" i="15"/>
  <c r="AH38" i="15"/>
  <c r="AK38" i="15" s="1"/>
  <c r="I38" i="15"/>
  <c r="O38" i="15" s="1"/>
  <c r="E27" i="15"/>
  <c r="J27" i="15"/>
  <c r="J28" i="15"/>
  <c r="E28" i="15"/>
  <c r="I44" i="15"/>
  <c r="O44" i="15" s="1"/>
  <c r="E17" i="15"/>
  <c r="J17" i="15"/>
  <c r="J30" i="15"/>
  <c r="E30" i="15"/>
  <c r="I40" i="15"/>
  <c r="O40" i="15" s="1"/>
  <c r="AH40" i="15"/>
  <c r="AK40" i="15" s="1"/>
  <c r="E25" i="15"/>
  <c r="J25" i="15"/>
  <c r="I34" i="15"/>
  <c r="O34" i="15" s="1"/>
  <c r="AH34" i="15"/>
  <c r="AK34" i="15" s="1"/>
  <c r="J14" i="15"/>
  <c r="E14" i="15"/>
  <c r="I20" i="15"/>
  <c r="O20" i="15" s="1"/>
  <c r="AH20" i="15"/>
  <c r="AK20" i="15" s="1"/>
  <c r="E33" i="15"/>
  <c r="J33" i="15"/>
  <c r="F37" i="15"/>
  <c r="F42" i="15"/>
  <c r="M843" i="26"/>
  <c r="E21" i="27"/>
  <c r="F32" i="15"/>
  <c r="F35" i="15"/>
  <c r="I9" i="15"/>
  <c r="O9" i="15" s="1"/>
  <c r="F29" i="15"/>
  <c r="F41" i="15"/>
  <c r="F7" i="15"/>
  <c r="AJ7" i="15" s="1"/>
  <c r="F23" i="15"/>
  <c r="F27" i="15"/>
  <c r="M1114" i="26"/>
  <c r="F43" i="15"/>
  <c r="J13" i="15"/>
  <c r="AI21" i="27"/>
  <c r="AL21" i="27" s="1"/>
  <c r="F26" i="15"/>
  <c r="M1133" i="26"/>
  <c r="F17" i="15"/>
  <c r="F46" i="15"/>
  <c r="AH14" i="15"/>
  <c r="AK14" i="15" s="1"/>
  <c r="I14" i="15"/>
  <c r="O14" i="15" s="1"/>
  <c r="J26" i="15"/>
  <c r="E26" i="15"/>
  <c r="AH28" i="15"/>
  <c r="AK28" i="15" s="1"/>
  <c r="I28" i="15"/>
  <c r="O28" i="15" s="1"/>
  <c r="E22" i="15"/>
  <c r="J22" i="15"/>
  <c r="I26" i="15"/>
  <c r="O26" i="15" s="1"/>
  <c r="AH26" i="15"/>
  <c r="AK26" i="15" s="1"/>
  <c r="AH37" i="15"/>
  <c r="AK37" i="15" s="1"/>
  <c r="I37" i="15"/>
  <c r="O37" i="15" s="1"/>
  <c r="I30" i="15"/>
  <c r="O30" i="15" s="1"/>
  <c r="AH30" i="15"/>
  <c r="AK30" i="15" s="1"/>
  <c r="E39" i="15"/>
  <c r="J39" i="15"/>
  <c r="AH42" i="15"/>
  <c r="AK42" i="15" s="1"/>
  <c r="I42" i="15"/>
  <c r="O42" i="15" s="1"/>
  <c r="F24" i="15"/>
  <c r="F33" i="15"/>
  <c r="F30" i="15"/>
  <c r="F12" i="15"/>
  <c r="E12" i="15"/>
  <c r="J12" i="15"/>
  <c r="AH4" i="15"/>
  <c r="AK4" i="15" s="1"/>
  <c r="I18" i="15"/>
  <c r="O18" i="15" s="1"/>
  <c r="AH18" i="15"/>
  <c r="AK18" i="15" s="1"/>
  <c r="E24" i="15"/>
  <c r="J24" i="15"/>
  <c r="E18" i="15"/>
  <c r="J18" i="15"/>
  <c r="J16" i="15"/>
  <c r="E16" i="15"/>
  <c r="J41" i="15"/>
  <c r="E41" i="15"/>
  <c r="I25" i="15"/>
  <c r="O25" i="15" s="1"/>
  <c r="AH25" i="15"/>
  <c r="AK25" i="15" s="1"/>
  <c r="J37" i="15"/>
  <c r="E37" i="15"/>
  <c r="I47" i="15"/>
  <c r="O47" i="15" s="1"/>
  <c r="AH33" i="15"/>
  <c r="AK33" i="15" s="1"/>
  <c r="I33" i="15"/>
  <c r="O33" i="15" s="1"/>
  <c r="E42" i="15"/>
  <c r="J42" i="15"/>
  <c r="P42" i="15" s="1"/>
  <c r="AH32" i="15"/>
  <c r="AK32" i="15" s="1"/>
  <c r="I32" i="15"/>
  <c r="O32" i="15" s="1"/>
  <c r="E23" i="15"/>
  <c r="J23" i="15"/>
  <c r="J20" i="15"/>
  <c r="E20" i="15"/>
  <c r="J47" i="15"/>
  <c r="E47" i="15"/>
  <c r="E29" i="15"/>
  <c r="J29" i="15"/>
  <c r="I21" i="15"/>
  <c r="O21" i="15" s="1"/>
  <c r="AH21" i="15"/>
  <c r="AK21" i="15" s="1"/>
  <c r="J45" i="15"/>
  <c r="J40" i="15"/>
  <c r="E40" i="15"/>
  <c r="I46" i="15"/>
  <c r="O46" i="15" s="1"/>
  <c r="AH46" i="15"/>
  <c r="AK46" i="15" s="1"/>
  <c r="I13" i="15"/>
  <c r="O13" i="15" s="1"/>
  <c r="AH13" i="15"/>
  <c r="AK13" i="15" s="1"/>
  <c r="AH31" i="15"/>
  <c r="AK31" i="15" s="1"/>
  <c r="I31" i="15"/>
  <c r="O31" i="15" s="1"/>
  <c r="J31" i="15"/>
  <c r="E31" i="15"/>
  <c r="E36" i="15"/>
  <c r="J36" i="15"/>
  <c r="J21" i="15"/>
  <c r="E21" i="15"/>
  <c r="I18" i="27"/>
  <c r="O18" i="27" s="1"/>
  <c r="F39" i="15"/>
  <c r="F13" i="15"/>
  <c r="F40" i="15"/>
  <c r="F20" i="15"/>
  <c r="F21" i="15"/>
  <c r="F36" i="15"/>
  <c r="M1130" i="26"/>
  <c r="F25" i="15"/>
  <c r="E34" i="15"/>
  <c r="J34" i="15"/>
  <c r="I24" i="15"/>
  <c r="O24" i="15" s="1"/>
  <c r="AH24" i="15"/>
  <c r="AK24" i="15" s="1"/>
  <c r="E35" i="15"/>
  <c r="J35" i="15"/>
  <c r="J46" i="15"/>
  <c r="E19" i="15"/>
  <c r="J19" i="15"/>
  <c r="I43" i="15"/>
  <c r="O43" i="15" s="1"/>
  <c r="AH43" i="15"/>
  <c r="AK43" i="15" s="1"/>
  <c r="AH2" i="15"/>
  <c r="E29" i="27"/>
  <c r="I28" i="27"/>
  <c r="O28" i="27" s="1"/>
  <c r="F38" i="15"/>
  <c r="F18" i="15"/>
  <c r="F28" i="15"/>
  <c r="F31" i="15"/>
  <c r="F45" i="15"/>
  <c r="AH35" i="15"/>
  <c r="AK35" i="15" s="1"/>
  <c r="I35" i="15"/>
  <c r="O35" i="15" s="1"/>
  <c r="AH45" i="15"/>
  <c r="AK45" i="15" s="1"/>
  <c r="I45" i="15"/>
  <c r="O45" i="15" s="1"/>
  <c r="I29" i="15"/>
  <c r="O29" i="15" s="1"/>
  <c r="AH29" i="15"/>
  <c r="AK29" i="15" s="1"/>
  <c r="I17" i="15"/>
  <c r="O17" i="15" s="1"/>
  <c r="AH17" i="15"/>
  <c r="AK17" i="15" s="1"/>
  <c r="I41" i="15"/>
  <c r="O41" i="15" s="1"/>
  <c r="AH41" i="15"/>
  <c r="AK41" i="15" s="1"/>
  <c r="J38" i="15"/>
  <c r="E38" i="15"/>
  <c r="I12" i="15"/>
  <c r="O12" i="15" s="1"/>
  <c r="AH12" i="15"/>
  <c r="AK12" i="15" s="1"/>
  <c r="E43" i="15"/>
  <c r="J43" i="15"/>
  <c r="E44" i="15"/>
  <c r="J44" i="15"/>
  <c r="I39" i="15"/>
  <c r="O39" i="15" s="1"/>
  <c r="AH39" i="15"/>
  <c r="AK39" i="15" s="1"/>
  <c r="AH23" i="15"/>
  <c r="AK23" i="15" s="1"/>
  <c r="I23" i="15"/>
  <c r="O23" i="15" s="1"/>
  <c r="D50" i="15"/>
  <c r="W50" i="15"/>
  <c r="H50" i="15"/>
  <c r="N50" i="15" s="1"/>
  <c r="X50" i="15"/>
  <c r="I50" i="15"/>
  <c r="O50" i="15" s="1"/>
  <c r="Y50" i="15"/>
  <c r="H2" i="15"/>
  <c r="N2" i="15" s="1"/>
  <c r="AI2" i="15"/>
  <c r="I4" i="15"/>
  <c r="O4" i="15" s="1"/>
  <c r="O452" i="26"/>
  <c r="M888" i="26"/>
  <c r="F11" i="15"/>
  <c r="E10" i="15"/>
  <c r="J10" i="15"/>
  <c r="AI4" i="27"/>
  <c r="AL4" i="27" s="1"/>
  <c r="J22" i="27"/>
  <c r="P22" i="27" s="1"/>
  <c r="J9" i="15"/>
  <c r="E9" i="15"/>
  <c r="M944" i="26"/>
  <c r="M972" i="26"/>
  <c r="F29" i="27" s="1"/>
  <c r="L29" i="27" s="1"/>
  <c r="I23" i="27"/>
  <c r="O23" i="27" s="1"/>
  <c r="K418" i="26"/>
  <c r="O533" i="26"/>
  <c r="AI17" i="27"/>
  <c r="AL17" i="27" s="1"/>
  <c r="I34" i="27"/>
  <c r="O34" i="27" s="1"/>
  <c r="M21" i="27"/>
  <c r="AI24" i="27"/>
  <c r="AL24" i="27" s="1"/>
  <c r="AI28" i="27"/>
  <c r="AL28" i="27" s="1"/>
  <c r="O483" i="26"/>
  <c r="F6" i="15"/>
  <c r="I11" i="15"/>
  <c r="O11" i="15" s="1"/>
  <c r="AH11" i="15"/>
  <c r="AK11" i="15" s="1"/>
  <c r="O488" i="26"/>
  <c r="AH27" i="27"/>
  <c r="J8" i="15"/>
  <c r="E8" i="15"/>
  <c r="O473" i="26"/>
  <c r="J29" i="27"/>
  <c r="P29" i="27" s="1"/>
  <c r="E4" i="15"/>
  <c r="J4" i="15"/>
  <c r="E6" i="15"/>
  <c r="J6" i="15"/>
  <c r="M1112" i="26"/>
  <c r="J11" i="15"/>
  <c r="E11" i="15"/>
  <c r="F5" i="15"/>
  <c r="F17" i="27"/>
  <c r="L17" i="27" s="1"/>
  <c r="F28" i="27"/>
  <c r="L28" i="27" s="1"/>
  <c r="M18" i="27"/>
  <c r="M863" i="26"/>
  <c r="F20" i="27" s="1"/>
  <c r="I17" i="27"/>
  <c r="O17" i="27" s="1"/>
  <c r="J21" i="27"/>
  <c r="P21" i="27" s="1"/>
  <c r="I33" i="27"/>
  <c r="O33" i="27" s="1"/>
  <c r="M898" i="26"/>
  <c r="F23" i="27" s="1"/>
  <c r="M1037" i="26"/>
  <c r="F34" i="27" s="1"/>
  <c r="M992" i="26"/>
  <c r="F30" i="27" s="1"/>
  <c r="M883" i="26"/>
  <c r="J30" i="27"/>
  <c r="P30" i="27" s="1"/>
  <c r="E27" i="27"/>
  <c r="M29" i="27"/>
  <c r="E18" i="27"/>
  <c r="M875" i="26"/>
  <c r="F21" i="27" s="1"/>
  <c r="I26" i="27"/>
  <c r="O26" i="27" s="1"/>
  <c r="AI26" i="27"/>
  <c r="AL26" i="27" s="1"/>
  <c r="J33" i="27"/>
  <c r="E33" i="27"/>
  <c r="E30" i="27"/>
  <c r="J31" i="27"/>
  <c r="P31" i="27" s="1"/>
  <c r="E31" i="27"/>
  <c r="M840" i="26"/>
  <c r="P18" i="27"/>
  <c r="M788" i="26"/>
  <c r="F13" i="27" s="1"/>
  <c r="J16" i="27"/>
  <c r="P16" i="27" s="1"/>
  <c r="M842" i="26"/>
  <c r="E34" i="27"/>
  <c r="J34" i="27"/>
  <c r="J24" i="27"/>
  <c r="E24" i="27"/>
  <c r="J23" i="27"/>
  <c r="E23" i="27"/>
  <c r="I31" i="27"/>
  <c r="O31" i="27" s="1"/>
  <c r="AI31" i="27"/>
  <c r="AL31" i="27" s="1"/>
  <c r="AI23" i="27"/>
  <c r="AL23" i="27" s="1"/>
  <c r="M753" i="26"/>
  <c r="E26" i="27"/>
  <c r="J26" i="27"/>
  <c r="I24" i="27"/>
  <c r="O24" i="27" s="1"/>
  <c r="F24" i="27"/>
  <c r="F31" i="27"/>
  <c r="F26" i="27"/>
  <c r="I22" i="27"/>
  <c r="O22" i="27" s="1"/>
  <c r="I29" i="27"/>
  <c r="O29" i="27" s="1"/>
  <c r="AI29" i="27"/>
  <c r="AL29" i="27" s="1"/>
  <c r="AI34" i="27"/>
  <c r="AL34" i="27" s="1"/>
  <c r="E22" i="27"/>
  <c r="I30" i="27"/>
  <c r="O30" i="27" s="1"/>
  <c r="E28" i="27"/>
  <c r="J28" i="27"/>
  <c r="I20" i="27"/>
  <c r="O20" i="27" s="1"/>
  <c r="F2" i="15"/>
  <c r="E2" i="15"/>
  <c r="D2" i="15"/>
  <c r="E20" i="27"/>
  <c r="J20" i="27"/>
  <c r="AI12" i="27"/>
  <c r="AL12" i="27" s="1"/>
  <c r="M820" i="26"/>
  <c r="F16" i="27" s="1"/>
  <c r="E16" i="27"/>
  <c r="I16" i="27"/>
  <c r="O16" i="27" s="1"/>
  <c r="E17" i="27"/>
  <c r="J17" i="27"/>
  <c r="M806" i="26"/>
  <c r="I15" i="27"/>
  <c r="O15" i="27" s="1"/>
  <c r="M807" i="26"/>
  <c r="AI15" i="27"/>
  <c r="AL15" i="27" s="1"/>
  <c r="M802" i="26"/>
  <c r="J15" i="27"/>
  <c r="E15" i="27"/>
  <c r="AI8" i="27"/>
  <c r="AL8" i="27" s="1"/>
  <c r="AI14" i="27"/>
  <c r="AL14" i="27" s="1"/>
  <c r="I14" i="27"/>
  <c r="O14" i="27" s="1"/>
  <c r="M796" i="26"/>
  <c r="M793" i="26"/>
  <c r="E14" i="27"/>
  <c r="J14" i="27"/>
  <c r="E12" i="27"/>
  <c r="M771" i="26"/>
  <c r="AI9" i="27"/>
  <c r="AL9" i="27" s="1"/>
  <c r="J13" i="27"/>
  <c r="P13" i="27" s="1"/>
  <c r="I12" i="27"/>
  <c r="O12" i="27" s="1"/>
  <c r="J10" i="27"/>
  <c r="P10" i="27" s="1"/>
  <c r="I9" i="27"/>
  <c r="O9" i="27" s="1"/>
  <c r="M774" i="26"/>
  <c r="J12" i="27"/>
  <c r="E13" i="27"/>
  <c r="M745" i="26"/>
  <c r="I11" i="27"/>
  <c r="O11" i="27" s="1"/>
  <c r="AI11" i="27"/>
  <c r="AL11" i="27" s="1"/>
  <c r="E9" i="27"/>
  <c r="J9" i="27"/>
  <c r="M741" i="26"/>
  <c r="M752" i="26"/>
  <c r="E11" i="27"/>
  <c r="J11" i="27"/>
  <c r="E10" i="27"/>
  <c r="F11" i="27"/>
  <c r="M736" i="26"/>
  <c r="I8" i="27"/>
  <c r="O8" i="27" s="1"/>
  <c r="M732" i="26"/>
  <c r="J8" i="27"/>
  <c r="E8" i="27"/>
  <c r="I7" i="27"/>
  <c r="O7" i="27" s="1"/>
  <c r="M717" i="26"/>
  <c r="F7" i="27" s="1"/>
  <c r="AK7" i="27" s="1"/>
  <c r="J7" i="27"/>
  <c r="E7" i="27"/>
  <c r="F6" i="27"/>
  <c r="AK6" i="27" s="1"/>
  <c r="M6" i="27"/>
  <c r="K531" i="26"/>
  <c r="O433" i="26"/>
  <c r="O562" i="26"/>
  <c r="O461" i="26"/>
  <c r="O432" i="26"/>
  <c r="K490" i="26"/>
  <c r="K517" i="26"/>
  <c r="O453" i="26"/>
  <c r="O428" i="26"/>
  <c r="K512" i="26"/>
  <c r="E6" i="27"/>
  <c r="K504" i="26"/>
  <c r="O528" i="26"/>
  <c r="H21" i="30"/>
  <c r="N21" i="30" s="1"/>
  <c r="O442" i="26"/>
  <c r="K437" i="26"/>
  <c r="O536" i="26"/>
  <c r="O544" i="26"/>
  <c r="I6" i="27"/>
  <c r="O6" i="27" s="1"/>
  <c r="J6" i="27"/>
  <c r="AI6" i="27"/>
  <c r="AL6" i="27" s="1"/>
  <c r="I696" i="26" a="1"/>
  <c r="I696" i="26" s="1"/>
  <c r="M696" i="26" s="1"/>
  <c r="I690" i="26" a="1"/>
  <c r="I690" i="26" s="1"/>
  <c r="M690" i="26" s="1"/>
  <c r="I691" i="26" a="1"/>
  <c r="I691" i="26" s="1"/>
  <c r="M691" i="26" s="1"/>
  <c r="N5" i="27"/>
  <c r="AG4" i="27"/>
  <c r="AH4" i="27"/>
  <c r="I689" i="26" a="1"/>
  <c r="I689" i="26" s="1"/>
  <c r="M689" i="26" s="1"/>
  <c r="I688" i="26" a="1"/>
  <c r="I688" i="26" s="1"/>
  <c r="M688" i="26" s="1"/>
  <c r="I687" i="26" a="1"/>
  <c r="I687" i="26" s="1"/>
  <c r="AI5" i="27" s="1"/>
  <c r="AL5" i="27" s="1"/>
  <c r="I686" i="26" a="1"/>
  <c r="I686" i="26" s="1"/>
  <c r="I695" i="26" a="1"/>
  <c r="I695" i="26" s="1"/>
  <c r="M695" i="26" s="1"/>
  <c r="I694" i="26" a="1"/>
  <c r="I694" i="26" s="1"/>
  <c r="M694" i="26" s="1"/>
  <c r="I692" i="26" a="1"/>
  <c r="I692" i="26" s="1"/>
  <c r="M692" i="26" s="1"/>
  <c r="I684" i="26" a="1"/>
  <c r="I684" i="26" s="1"/>
  <c r="I693" i="26" a="1"/>
  <c r="I693" i="26" s="1"/>
  <c r="M693" i="26" s="1"/>
  <c r="I685" i="26" a="1"/>
  <c r="I685" i="26" s="1"/>
  <c r="M685" i="26" s="1"/>
  <c r="M678" i="26"/>
  <c r="I663" i="26" a="1"/>
  <c r="I663" i="26" s="1"/>
  <c r="M683" i="26"/>
  <c r="M672" i="26"/>
  <c r="M682" i="26"/>
  <c r="M677" i="26"/>
  <c r="M681" i="26"/>
  <c r="M675" i="26"/>
  <c r="M680" i="26"/>
  <c r="M679" i="26"/>
  <c r="M674" i="26"/>
  <c r="M676" i="26"/>
  <c r="AG3" i="27"/>
  <c r="M673" i="26"/>
  <c r="I666" i="26" a="1"/>
  <c r="I666" i="26" s="1"/>
  <c r="I671" i="26" a="1"/>
  <c r="I671" i="26" s="1"/>
  <c r="I661" i="26" a="1"/>
  <c r="I661" i="26" s="1"/>
  <c r="I660" i="26" a="1"/>
  <c r="I660" i="26" s="1"/>
  <c r="M660" i="26" s="1"/>
  <c r="I669" i="26" a="1"/>
  <c r="I669" i="26" s="1"/>
  <c r="I664" i="26" a="1"/>
  <c r="I664" i="26" s="1"/>
  <c r="I670" i="26" a="1"/>
  <c r="I670" i="26" s="1"/>
  <c r="I668" i="26" a="1"/>
  <c r="I668" i="26" s="1"/>
  <c r="I667" i="26" a="1"/>
  <c r="I667" i="26" s="1"/>
  <c r="I662" i="26" a="1"/>
  <c r="I662" i="26" s="1"/>
  <c r="I665" i="26" a="1"/>
  <c r="I665" i="26" s="1"/>
  <c r="M657" i="26"/>
  <c r="M648" i="26"/>
  <c r="M652" i="26"/>
  <c r="M656" i="26"/>
  <c r="M649" i="26"/>
  <c r="M653" i="26"/>
  <c r="M650" i="26"/>
  <c r="M646" i="26"/>
  <c r="M647" i="26"/>
  <c r="M658" i="26"/>
  <c r="M654" i="26"/>
  <c r="M651" i="26"/>
  <c r="M655" i="26"/>
  <c r="M659" i="26"/>
  <c r="D2" i="27"/>
  <c r="J2" i="15"/>
  <c r="I2" i="15"/>
  <c r="O2" i="15" s="1"/>
  <c r="K537" i="26"/>
  <c r="K521" i="26"/>
  <c r="K395" i="26"/>
  <c r="K535" i="26"/>
  <c r="K415" i="26"/>
  <c r="O466" i="26"/>
  <c r="O444" i="26"/>
  <c r="K446" i="26"/>
  <c r="O489" i="26"/>
  <c r="K538" i="26"/>
  <c r="K522" i="26"/>
  <c r="K505" i="26"/>
  <c r="AJ24" i="30"/>
  <c r="O578" i="26"/>
  <c r="AJ20" i="30"/>
  <c r="O529" i="26"/>
  <c r="K590" i="26"/>
  <c r="K396" i="26"/>
  <c r="O470" i="26"/>
  <c r="K520" i="26"/>
  <c r="K501" i="26"/>
  <c r="O545" i="26"/>
  <c r="AJ15" i="30"/>
  <c r="H17" i="30"/>
  <c r="N17" i="30" s="1"/>
  <c r="K513" i="26"/>
  <c r="AJ29" i="30"/>
  <c r="H27" i="30"/>
  <c r="N27" i="30" s="1"/>
  <c r="O459" i="26"/>
  <c r="K431" i="26"/>
  <c r="O388" i="26"/>
  <c r="K508" i="26"/>
  <c r="O615" i="26"/>
  <c r="O469" i="26"/>
  <c r="K458" i="26"/>
  <c r="K525" i="26"/>
  <c r="K507" i="26"/>
  <c r="O515" i="26"/>
  <c r="AJ28" i="30"/>
  <c r="H621" i="26"/>
  <c r="O592" i="26"/>
  <c r="H25" i="30"/>
  <c r="H24" i="30"/>
  <c r="AJ16" i="30"/>
  <c r="AJ14" i="30"/>
  <c r="K400" i="26"/>
  <c r="O454" i="26"/>
  <c r="K434" i="26"/>
  <c r="O434" i="26"/>
  <c r="O448" i="26"/>
  <c r="K448" i="26"/>
  <c r="H18" i="30"/>
  <c r="O588" i="26"/>
  <c r="K588" i="26"/>
  <c r="H642" i="26"/>
  <c r="H634" i="26"/>
  <c r="H628" i="26"/>
  <c r="G592" i="26"/>
  <c r="H592" i="26" s="1"/>
  <c r="H23" i="30"/>
  <c r="O410" i="26"/>
  <c r="K410" i="26"/>
  <c r="AJ11" i="30"/>
  <c r="O468" i="26"/>
  <c r="AJ13" i="30"/>
  <c r="AJ12" i="30"/>
  <c r="K481" i="26"/>
  <c r="H15" i="30"/>
  <c r="K523" i="26"/>
  <c r="O523" i="26"/>
  <c r="K516" i="26"/>
  <c r="K503" i="26"/>
  <c r="O524" i="26"/>
  <c r="AJ18" i="30"/>
  <c r="G619" i="26"/>
  <c r="H619" i="26" s="1"/>
  <c r="G602" i="26"/>
  <c r="H602" i="26" s="1"/>
  <c r="H595" i="26"/>
  <c r="K492" i="26"/>
  <c r="H16" i="30"/>
  <c r="K540" i="26"/>
  <c r="O527" i="26"/>
  <c r="O516" i="26"/>
  <c r="O532" i="26"/>
  <c r="AJ21" i="30"/>
  <c r="AJ22" i="30"/>
  <c r="G626" i="26"/>
  <c r="H626" i="26" s="1"/>
  <c r="AJ27" i="30"/>
  <c r="H599" i="26"/>
  <c r="H14" i="30"/>
  <c r="K377" i="26"/>
  <c r="I6" i="30"/>
  <c r="O6" i="30" s="1"/>
  <c r="H6" i="30"/>
  <c r="O393" i="26"/>
  <c r="K393" i="26"/>
  <c r="H20" i="30"/>
  <c r="K534" i="26"/>
  <c r="O555" i="26"/>
  <c r="H22" i="30"/>
  <c r="K368" i="26"/>
  <c r="I5" i="30"/>
  <c r="O5" i="30" s="1"/>
  <c r="K441" i="26"/>
  <c r="H12" i="30"/>
  <c r="AJ6" i="30"/>
  <c r="O417" i="26"/>
  <c r="K417" i="26"/>
  <c r="K463" i="26"/>
  <c r="O463" i="26"/>
  <c r="O416" i="26"/>
  <c r="H10" i="30"/>
  <c r="K409" i="26"/>
  <c r="K451" i="26"/>
  <c r="O499" i="26"/>
  <c r="K539" i="26"/>
  <c r="AJ17" i="30"/>
  <c r="H13" i="30"/>
  <c r="AJ7" i="30"/>
  <c r="O405" i="26"/>
  <c r="H9" i="30"/>
  <c r="K403" i="26"/>
  <c r="K542" i="26"/>
  <c r="O542" i="26"/>
  <c r="K526" i="26"/>
  <c r="O526" i="26"/>
  <c r="K518" i="26"/>
  <c r="O518" i="26"/>
  <c r="K502" i="26"/>
  <c r="O502" i="26"/>
  <c r="K402" i="26"/>
  <c r="AJ5" i="30"/>
  <c r="K412" i="26"/>
  <c r="K408" i="26"/>
  <c r="K392" i="26"/>
  <c r="AJ10" i="30"/>
  <c r="AJ9" i="30"/>
  <c r="O464" i="26"/>
  <c r="O449" i="26"/>
  <c r="K435" i="26"/>
  <c r="K511" i="26"/>
  <c r="O534" i="26"/>
  <c r="AJ23" i="30"/>
  <c r="H29" i="30"/>
  <c r="G620" i="26"/>
  <c r="H620" i="26" s="1"/>
  <c r="H603" i="26"/>
  <c r="AJ25" i="30"/>
  <c r="H7" i="30"/>
  <c r="O404" i="26"/>
  <c r="K404" i="26"/>
  <c r="O443" i="26"/>
  <c r="K443" i="26"/>
  <c r="K460" i="26"/>
  <c r="O460" i="26"/>
  <c r="K480" i="26"/>
  <c r="O480" i="26"/>
  <c r="K543" i="26"/>
  <c r="O543" i="26"/>
  <c r="O519" i="26"/>
  <c r="K519" i="26"/>
  <c r="O510" i="26"/>
  <c r="G624" i="26"/>
  <c r="H624" i="26" s="1"/>
  <c r="O618" i="26"/>
  <c r="I27" i="30"/>
  <c r="O27" i="30" s="1"/>
  <c r="H617" i="26"/>
  <c r="H615" i="26"/>
  <c r="G612" i="26"/>
  <c r="H612" i="26" s="1"/>
  <c r="H609" i="26"/>
  <c r="AJ26" i="30"/>
  <c r="G597" i="26"/>
  <c r="H597" i="26" s="1"/>
  <c r="I18" i="30"/>
  <c r="O18" i="30" s="1"/>
  <c r="O411" i="26"/>
  <c r="K411" i="26"/>
  <c r="H11" i="30"/>
  <c r="K509" i="26"/>
  <c r="H625" i="26"/>
  <c r="H618" i="26"/>
  <c r="O506" i="26"/>
  <c r="H622" i="26"/>
  <c r="G607" i="26"/>
  <c r="H607" i="26" s="1"/>
  <c r="G604" i="26"/>
  <c r="H604" i="26" s="1"/>
  <c r="H636" i="26"/>
  <c r="G623" i="26"/>
  <c r="H623" i="26" s="1"/>
  <c r="H601" i="26"/>
  <c r="H26" i="30"/>
  <c r="K425" i="26"/>
  <c r="O541" i="26"/>
  <c r="K399" i="26"/>
  <c r="O430" i="26"/>
  <c r="K440" i="26"/>
  <c r="O547" i="26"/>
  <c r="G627" i="26"/>
  <c r="H627" i="26" s="1"/>
  <c r="O624" i="26"/>
  <c r="H28" i="30"/>
  <c r="H611" i="26"/>
  <c r="H605" i="26"/>
  <c r="H598" i="26"/>
  <c r="H594" i="26"/>
  <c r="H613" i="26"/>
  <c r="H596" i="26"/>
  <c r="D13" i="30"/>
  <c r="D12" i="30"/>
  <c r="D11" i="30"/>
  <c r="K645" i="26"/>
  <c r="O645" i="26"/>
  <c r="K637" i="26"/>
  <c r="O637" i="26"/>
  <c r="K629" i="26"/>
  <c r="O629" i="26"/>
  <c r="K621" i="26"/>
  <c r="O621" i="26"/>
  <c r="H643" i="26"/>
  <c r="H644" i="26"/>
  <c r="K639" i="26"/>
  <c r="O639" i="26"/>
  <c r="K631" i="26"/>
  <c r="O631" i="26"/>
  <c r="K623" i="26"/>
  <c r="O623" i="26"/>
  <c r="H645" i="26"/>
  <c r="O640" i="26"/>
  <c r="K640" i="26"/>
  <c r="H637" i="26"/>
  <c r="K625" i="26"/>
  <c r="O625" i="26"/>
  <c r="O642" i="26"/>
  <c r="K642" i="26"/>
  <c r="H639" i="26"/>
  <c r="O634" i="26"/>
  <c r="K634" i="26"/>
  <c r="H631" i="26"/>
  <c r="K643" i="26"/>
  <c r="O643" i="26"/>
  <c r="H640" i="26"/>
  <c r="K635" i="26"/>
  <c r="O635" i="26"/>
  <c r="H632" i="26"/>
  <c r="K627" i="26"/>
  <c r="O627" i="26"/>
  <c r="K619" i="26"/>
  <c r="O619" i="26"/>
  <c r="O644" i="26"/>
  <c r="K644" i="26"/>
  <c r="H641" i="26"/>
  <c r="O636" i="26"/>
  <c r="K636" i="26"/>
  <c r="H633" i="26"/>
  <c r="O628" i="26"/>
  <c r="K628" i="26"/>
  <c r="O638" i="26"/>
  <c r="K638" i="26"/>
  <c r="H635" i="26"/>
  <c r="O630" i="26"/>
  <c r="K630" i="26"/>
  <c r="K632" i="26"/>
  <c r="H629" i="26"/>
  <c r="K633" i="26"/>
  <c r="O633" i="26"/>
  <c r="H630" i="26"/>
  <c r="K641" i="26"/>
  <c r="O641" i="26"/>
  <c r="H638" i="26"/>
  <c r="K626" i="26"/>
  <c r="K624" i="26"/>
  <c r="K622" i="26"/>
  <c r="K620" i="26"/>
  <c r="K618" i="26"/>
  <c r="O617" i="26"/>
  <c r="K616" i="26"/>
  <c r="K614" i="26"/>
  <c r="O613" i="26"/>
  <c r="K612" i="26"/>
  <c r="O611" i="26"/>
  <c r="K610" i="26"/>
  <c r="O609" i="26"/>
  <c r="K608" i="26"/>
  <c r="O607" i="26"/>
  <c r="K606" i="26"/>
  <c r="O605" i="26"/>
  <c r="K604" i="26"/>
  <c r="O603" i="26"/>
  <c r="K602" i="26"/>
  <c r="O601" i="26"/>
  <c r="K600" i="26"/>
  <c r="O599" i="26"/>
  <c r="K598" i="26"/>
  <c r="O597" i="26"/>
  <c r="K596" i="26"/>
  <c r="O595" i="26"/>
  <c r="K594" i="26"/>
  <c r="O593" i="26"/>
  <c r="H593" i="26"/>
  <c r="K592" i="26"/>
  <c r="H616" i="26"/>
  <c r="H614" i="26"/>
  <c r="H610" i="26"/>
  <c r="H608" i="26"/>
  <c r="H606" i="26"/>
  <c r="H600" i="26"/>
  <c r="G582" i="26"/>
  <c r="H582" i="26" s="1"/>
  <c r="O591" i="26"/>
  <c r="H591" i="26"/>
  <c r="O589" i="26"/>
  <c r="H589" i="26"/>
  <c r="H590" i="26"/>
  <c r="H588" i="26"/>
  <c r="H586" i="26"/>
  <c r="H572" i="26"/>
  <c r="H568" i="26"/>
  <c r="H587" i="26"/>
  <c r="H583" i="26"/>
  <c r="H579" i="26"/>
  <c r="H575" i="26"/>
  <c r="H573" i="26"/>
  <c r="H538" i="26"/>
  <c r="H584" i="26"/>
  <c r="H580" i="26"/>
  <c r="H576" i="26"/>
  <c r="G585" i="26"/>
  <c r="H585" i="26" s="1"/>
  <c r="G581" i="26"/>
  <c r="H581" i="26" s="1"/>
  <c r="H574" i="26"/>
  <c r="H570" i="26"/>
  <c r="G560" i="26"/>
  <c r="H560" i="26" s="1"/>
  <c r="H557" i="26"/>
  <c r="H553" i="26"/>
  <c r="H577" i="26"/>
  <c r="H564" i="26"/>
  <c r="G550" i="26"/>
  <c r="H550" i="26" s="1"/>
  <c r="G578" i="26"/>
  <c r="H578" i="26" s="1"/>
  <c r="H571" i="26"/>
  <c r="G565" i="26"/>
  <c r="H565" i="26" s="1"/>
  <c r="H558" i="26"/>
  <c r="H554" i="26"/>
  <c r="H547" i="26"/>
  <c r="H561" i="26"/>
  <c r="O558" i="26"/>
  <c r="H555" i="26"/>
  <c r="H551" i="26"/>
  <c r="H566" i="26"/>
  <c r="H562" i="26"/>
  <c r="O574" i="26"/>
  <c r="H569" i="26"/>
  <c r="G567" i="26"/>
  <c r="H567" i="26" s="1"/>
  <c r="G563" i="26"/>
  <c r="H563" i="26" s="1"/>
  <c r="G559" i="26"/>
  <c r="H559" i="26" s="1"/>
  <c r="H556" i="26"/>
  <c r="H552" i="26"/>
  <c r="K587" i="26"/>
  <c r="O586" i="26"/>
  <c r="K585" i="26"/>
  <c r="O584" i="26"/>
  <c r="K583" i="26"/>
  <c r="O582" i="26"/>
  <c r="K581" i="26"/>
  <c r="O580" i="26"/>
  <c r="K579" i="26"/>
  <c r="K577" i="26"/>
  <c r="O576" i="26"/>
  <c r="K575" i="26"/>
  <c r="K573" i="26"/>
  <c r="O572" i="26"/>
  <c r="K571" i="26"/>
  <c r="O570" i="26"/>
  <c r="K569" i="26"/>
  <c r="O568" i="26"/>
  <c r="K567" i="26"/>
  <c r="O566" i="26"/>
  <c r="K565" i="26"/>
  <c r="O564" i="26"/>
  <c r="K563" i="26"/>
  <c r="K561" i="26"/>
  <c r="O560" i="26"/>
  <c r="K559" i="26"/>
  <c r="K557" i="26"/>
  <c r="O556" i="26"/>
  <c r="K555" i="26"/>
  <c r="O554" i="26"/>
  <c r="K553" i="26"/>
  <c r="O552" i="26"/>
  <c r="K551" i="26"/>
  <c r="O550" i="26"/>
  <c r="K549" i="26"/>
  <c r="O548" i="26"/>
  <c r="H548" i="26"/>
  <c r="K547" i="26"/>
  <c r="H549" i="26"/>
  <c r="G507" i="26"/>
  <c r="H507" i="26" s="1"/>
  <c r="G546" i="26"/>
  <c r="H546" i="26" s="1"/>
  <c r="G516" i="26"/>
  <c r="H516" i="26" s="1"/>
  <c r="H541" i="26"/>
  <c r="G522" i="26"/>
  <c r="H522" i="26" s="1"/>
  <c r="H545" i="26"/>
  <c r="G534" i="26"/>
  <c r="H534" i="26" s="1"/>
  <c r="H542" i="26"/>
  <c r="G540" i="26"/>
  <c r="H540" i="26" s="1"/>
  <c r="H537" i="26"/>
  <c r="H521" i="26"/>
  <c r="H518" i="26"/>
  <c r="H515" i="26"/>
  <c r="H544" i="26"/>
  <c r="H536" i="26"/>
  <c r="H520" i="26"/>
  <c r="H517" i="26"/>
  <c r="H514" i="26"/>
  <c r="H543" i="26"/>
  <c r="H535" i="26"/>
  <c r="H519" i="26"/>
  <c r="H509" i="26"/>
  <c r="H511" i="26"/>
  <c r="H503" i="26"/>
  <c r="H513" i="26"/>
  <c r="H510" i="26"/>
  <c r="H502" i="26"/>
  <c r="O390" i="26"/>
  <c r="K413" i="26"/>
  <c r="K405" i="26"/>
  <c r="K397" i="26"/>
  <c r="O423" i="26"/>
  <c r="H431" i="26"/>
  <c r="K429" i="26"/>
  <c r="K421" i="26"/>
  <c r="K455" i="26"/>
  <c r="K447" i="26"/>
  <c r="K457" i="26"/>
  <c r="O498" i="26"/>
  <c r="O495" i="26"/>
  <c r="K491" i="26"/>
  <c r="K486" i="26"/>
  <c r="O479" i="26"/>
  <c r="O472" i="26"/>
  <c r="K391" i="26"/>
  <c r="O422" i="26"/>
  <c r="O414" i="26"/>
  <c r="O406" i="26"/>
  <c r="K420" i="26"/>
  <c r="K456" i="26"/>
  <c r="K497" i="26"/>
  <c r="K494" i="26"/>
  <c r="K419" i="26"/>
  <c r="K389" i="26"/>
  <c r="K438" i="26"/>
  <c r="O467" i="26"/>
  <c r="H500" i="26"/>
  <c r="O398" i="26"/>
  <c r="K424" i="26"/>
  <c r="K439" i="26"/>
  <c r="O471" i="26"/>
  <c r="H492" i="26"/>
  <c r="K493" i="26"/>
  <c r="O481" i="26"/>
  <c r="O478" i="26"/>
  <c r="K445" i="26"/>
  <c r="H482" i="26"/>
  <c r="G476" i="26"/>
  <c r="H476" i="26" s="1"/>
  <c r="H439" i="26"/>
  <c r="H490" i="26"/>
  <c r="H494" i="26"/>
  <c r="G484" i="26"/>
  <c r="H484" i="26" s="1"/>
  <c r="H481" i="26"/>
  <c r="H497" i="26"/>
  <c r="H489" i="26"/>
  <c r="H475" i="26"/>
  <c r="H483" i="26"/>
  <c r="H480" i="26"/>
  <c r="G474" i="26"/>
  <c r="H474" i="26" s="1"/>
  <c r="H501" i="26"/>
  <c r="H488" i="26"/>
  <c r="G496" i="26"/>
  <c r="H496" i="26" s="1"/>
  <c r="O500" i="26"/>
  <c r="K496" i="26"/>
  <c r="O492" i="26"/>
  <c r="O484" i="26"/>
  <c r="O476" i="26"/>
  <c r="K482" i="26"/>
  <c r="K474" i="26"/>
  <c r="H498" i="26"/>
  <c r="G471" i="26"/>
  <c r="H471" i="26" s="1"/>
  <c r="H493" i="26"/>
  <c r="H485" i="26"/>
  <c r="H477" i="26"/>
  <c r="H472" i="26"/>
  <c r="H499" i="26"/>
  <c r="H491" i="26"/>
  <c r="H486" i="26"/>
  <c r="H478" i="26"/>
  <c r="H470" i="26"/>
  <c r="H473" i="26"/>
  <c r="G455" i="26"/>
  <c r="H455" i="26" s="1"/>
  <c r="G443" i="26"/>
  <c r="H443" i="26" s="1"/>
  <c r="G427" i="26"/>
  <c r="H427" i="26" s="1"/>
  <c r="H466" i="26"/>
  <c r="H447" i="26"/>
  <c r="H458" i="26"/>
  <c r="H442" i="26"/>
  <c r="H464" i="26"/>
  <c r="G457" i="26"/>
  <c r="H457" i="26" s="1"/>
  <c r="H450" i="26"/>
  <c r="H434" i="26"/>
  <c r="G467" i="26"/>
  <c r="H467" i="26" s="1"/>
  <c r="G459" i="26"/>
  <c r="H459" i="26" s="1"/>
  <c r="H456" i="26"/>
  <c r="G451" i="26"/>
  <c r="H451" i="26" s="1"/>
  <c r="H448" i="26"/>
  <c r="H440" i="26"/>
  <c r="H432" i="26"/>
  <c r="H469" i="26"/>
  <c r="H461" i="26"/>
  <c r="H453" i="26"/>
  <c r="H445" i="26"/>
  <c r="H437" i="26"/>
  <c r="H429" i="26"/>
  <c r="H426" i="26"/>
  <c r="H468" i="26"/>
  <c r="H460" i="26"/>
  <c r="H449" i="26"/>
  <c r="H441" i="26"/>
  <c r="H433" i="26"/>
  <c r="H425" i="26"/>
  <c r="H446" i="26"/>
  <c r="H438" i="26"/>
  <c r="H430" i="26"/>
  <c r="G405" i="26"/>
  <c r="H405" i="26" s="1"/>
  <c r="G422" i="26"/>
  <c r="H422" i="26" s="1"/>
  <c r="G414" i="26"/>
  <c r="H414" i="26" s="1"/>
  <c r="G406" i="26"/>
  <c r="H406" i="26" s="1"/>
  <c r="H409" i="26"/>
  <c r="H424" i="26"/>
  <c r="G420" i="26"/>
  <c r="H420" i="26" s="1"/>
  <c r="G412" i="26"/>
  <c r="H412" i="26" s="1"/>
  <c r="H423" i="26"/>
  <c r="H415" i="26"/>
  <c r="H407" i="26"/>
  <c r="G419" i="26"/>
  <c r="H419" i="26" s="1"/>
  <c r="G411" i="26"/>
  <c r="H411" i="26" s="1"/>
  <c r="G417" i="26"/>
  <c r="H417" i="26" s="1"/>
  <c r="G416" i="26"/>
  <c r="H416" i="26" s="1"/>
  <c r="G408" i="26"/>
  <c r="H408" i="26" s="1"/>
  <c r="H393" i="26"/>
  <c r="K367" i="26"/>
  <c r="K359" i="26"/>
  <c r="O401" i="26"/>
  <c r="O394" i="26"/>
  <c r="K366" i="26"/>
  <c r="K382" i="26"/>
  <c r="G395" i="26"/>
  <c r="H395" i="26" s="1"/>
  <c r="K372" i="26"/>
  <c r="K381" i="26"/>
  <c r="K387" i="26"/>
  <c r="K376" i="26"/>
  <c r="K360" i="26"/>
  <c r="G396" i="26"/>
  <c r="H396" i="26" s="1"/>
  <c r="G389" i="26"/>
  <c r="H389" i="26" s="1"/>
  <c r="H387" i="26"/>
  <c r="H392" i="26"/>
  <c r="K207" i="26"/>
  <c r="K177" i="26"/>
  <c r="K289" i="26"/>
  <c r="K267" i="26"/>
  <c r="K98" i="26"/>
  <c r="K219" i="26"/>
  <c r="K327" i="26"/>
  <c r="H28" i="19"/>
  <c r="N28" i="19" s="1"/>
  <c r="H24" i="19"/>
  <c r="N24" i="19" s="1"/>
  <c r="K74" i="26"/>
  <c r="H33" i="19"/>
  <c r="N33" i="19" s="1"/>
  <c r="H20" i="19"/>
  <c r="N20" i="19" s="1"/>
  <c r="K229" i="26"/>
  <c r="O325" i="26"/>
  <c r="K233" i="26"/>
  <c r="K197" i="26"/>
  <c r="O156" i="26"/>
  <c r="O145" i="26"/>
  <c r="H37" i="19"/>
  <c r="N37" i="19" s="1"/>
  <c r="H29" i="19"/>
  <c r="N29" i="19" s="1"/>
  <c r="H36" i="19"/>
  <c r="N36" i="19" s="1"/>
  <c r="H19" i="19"/>
  <c r="N19" i="19" s="1"/>
  <c r="O385" i="26"/>
  <c r="H35" i="19"/>
  <c r="N35" i="19" s="1"/>
  <c r="H27" i="19"/>
  <c r="N27" i="19" s="1"/>
  <c r="H18" i="19"/>
  <c r="N18" i="19" s="1"/>
  <c r="H34" i="19"/>
  <c r="N34" i="19" s="1"/>
  <c r="H26" i="19"/>
  <c r="N26" i="19" s="1"/>
  <c r="H25" i="19"/>
  <c r="N25" i="19" s="1"/>
  <c r="K315" i="26"/>
  <c r="K211" i="26"/>
  <c r="H32" i="19"/>
  <c r="N32" i="19" s="1"/>
  <c r="O82" i="26"/>
  <c r="H31" i="19"/>
  <c r="N31" i="19" s="1"/>
  <c r="H22" i="19"/>
  <c r="N22" i="19" s="1"/>
  <c r="O81" i="26"/>
  <c r="AJ4" i="30"/>
  <c r="H30" i="19"/>
  <c r="N30" i="19" s="1"/>
  <c r="H21" i="19"/>
  <c r="N21" i="19" s="1"/>
  <c r="G331" i="26"/>
  <c r="H331" i="26" s="1"/>
  <c r="G319" i="26"/>
  <c r="H319" i="26" s="1"/>
  <c r="G311" i="26"/>
  <c r="H311" i="26" s="1"/>
  <c r="G295" i="26"/>
  <c r="H295" i="26" s="1"/>
  <c r="G326" i="26"/>
  <c r="H326" i="26" s="1"/>
  <c r="G318" i="26"/>
  <c r="H318" i="26" s="1"/>
  <c r="G310" i="26"/>
  <c r="H310" i="26" s="1"/>
  <c r="G325" i="26"/>
  <c r="H325" i="26" s="1"/>
  <c r="G309" i="26"/>
  <c r="H309" i="26" s="1"/>
  <c r="G301" i="26"/>
  <c r="H301" i="26" s="1"/>
  <c r="G332" i="26"/>
  <c r="H332" i="26" s="1"/>
  <c r="G315" i="26"/>
  <c r="H315" i="26" s="1"/>
  <c r="G307" i="26"/>
  <c r="H307" i="26" s="1"/>
  <c r="O375" i="26"/>
  <c r="O334" i="26"/>
  <c r="K319" i="26"/>
  <c r="H5" i="30"/>
  <c r="O380" i="26"/>
  <c r="O374" i="26"/>
  <c r="O365" i="26"/>
  <c r="O362" i="26"/>
  <c r="O356" i="26"/>
  <c r="K352" i="26"/>
  <c r="K384" i="26"/>
  <c r="O383" i="26"/>
  <c r="O377" i="26"/>
  <c r="O371" i="26"/>
  <c r="O368" i="26"/>
  <c r="O353" i="26"/>
  <c r="O386" i="26"/>
  <c r="O364" i="26"/>
  <c r="O358" i="26"/>
  <c r="O324" i="26"/>
  <c r="K295" i="26"/>
  <c r="O379" i="26"/>
  <c r="O373" i="26"/>
  <c r="O361" i="26"/>
  <c r="O355" i="26"/>
  <c r="K357" i="26"/>
  <c r="O370" i="26"/>
  <c r="O363" i="26"/>
  <c r="H4" i="30"/>
  <c r="AG4" i="30" s="1"/>
  <c r="O378" i="26"/>
  <c r="O354" i="26"/>
  <c r="O369" i="26"/>
  <c r="K243" i="26"/>
  <c r="K271" i="26"/>
  <c r="K253" i="26"/>
  <c r="K201" i="26"/>
  <c r="K277" i="26"/>
  <c r="K209" i="26"/>
  <c r="K163" i="26"/>
  <c r="K72" i="26"/>
  <c r="K333" i="26"/>
  <c r="K305" i="26"/>
  <c r="K259" i="26"/>
  <c r="O251" i="26"/>
  <c r="K221" i="26"/>
  <c r="O115" i="26"/>
  <c r="O204" i="26"/>
  <c r="O330" i="26"/>
  <c r="O235" i="26"/>
  <c r="O153" i="26"/>
  <c r="O339" i="26"/>
  <c r="O292" i="26"/>
  <c r="K283" i="26"/>
  <c r="K239" i="26"/>
  <c r="O212" i="26"/>
  <c r="K155" i="26"/>
  <c r="K336" i="26"/>
  <c r="K329" i="26"/>
  <c r="K317" i="26"/>
  <c r="K287" i="26"/>
  <c r="K265" i="26"/>
  <c r="K237" i="26"/>
  <c r="K203" i="26"/>
  <c r="K189" i="26"/>
  <c r="K167" i="26"/>
  <c r="K307" i="26"/>
  <c r="K281" i="26"/>
  <c r="K255" i="26"/>
  <c r="K175" i="26"/>
  <c r="K161" i="26"/>
  <c r="O210" i="26"/>
  <c r="O107" i="26"/>
  <c r="K94" i="26"/>
  <c r="K321" i="26"/>
  <c r="K269" i="26"/>
  <c r="K245" i="26"/>
  <c r="K223" i="26"/>
  <c r="K195" i="26"/>
  <c r="K144" i="26"/>
  <c r="O351" i="26"/>
  <c r="O343" i="26"/>
  <c r="O350" i="26"/>
  <c r="O349" i="26"/>
  <c r="H16" i="19"/>
  <c r="N16" i="19" s="1"/>
  <c r="O123" i="26"/>
  <c r="O348" i="26"/>
  <c r="O347" i="26"/>
  <c r="O346" i="26"/>
  <c r="K40" i="26"/>
  <c r="O55" i="26"/>
  <c r="O345" i="26"/>
  <c r="K39" i="26"/>
  <c r="O56" i="26"/>
  <c r="K38" i="26"/>
  <c r="K80" i="26"/>
  <c r="O217" i="26"/>
  <c r="K70" i="26"/>
  <c r="O131" i="26"/>
  <c r="O268" i="26"/>
  <c r="O41" i="26"/>
  <c r="K303" i="26"/>
  <c r="K279" i="26"/>
  <c r="O275" i="26"/>
  <c r="K241" i="26"/>
  <c r="O234" i="26"/>
  <c r="K231" i="26"/>
  <c r="O218" i="26"/>
  <c r="O170" i="26"/>
  <c r="O344" i="26"/>
  <c r="D22" i="19"/>
  <c r="K181" i="26"/>
  <c r="O172" i="26"/>
  <c r="K169" i="26"/>
  <c r="O186" i="26"/>
  <c r="O173" i="26"/>
  <c r="K193" i="26"/>
  <c r="O178" i="26"/>
  <c r="O187" i="26"/>
  <c r="D19" i="19"/>
  <c r="D16" i="19"/>
  <c r="H17" i="19"/>
  <c r="N17" i="19" s="1"/>
  <c r="D18" i="19"/>
  <c r="K152" i="26"/>
  <c r="AJ3" i="30"/>
  <c r="H3" i="30"/>
  <c r="O48" i="26"/>
  <c r="K86" i="26"/>
  <c r="O47" i="26"/>
  <c r="K64" i="26"/>
  <c r="O105" i="26"/>
  <c r="O309" i="26"/>
  <c r="O297" i="26"/>
  <c r="O273" i="26"/>
  <c r="O213" i="26"/>
  <c r="O42" i="26"/>
  <c r="K63" i="26"/>
  <c r="K69" i="26"/>
  <c r="O114" i="26"/>
  <c r="K311" i="26"/>
  <c r="K299" i="26"/>
  <c r="O276" i="26"/>
  <c r="K225" i="26"/>
  <c r="K215" i="26"/>
  <c r="K133" i="26"/>
  <c r="K125" i="26"/>
  <c r="K340" i="26"/>
  <c r="K68" i="26"/>
  <c r="O75" i="26"/>
  <c r="O300" i="26"/>
  <c r="O226" i="26"/>
  <c r="O164" i="26"/>
  <c r="O147" i="26"/>
  <c r="O66" i="26"/>
  <c r="O83" i="26"/>
  <c r="O338" i="26"/>
  <c r="O284" i="26"/>
  <c r="K261" i="26"/>
  <c r="K205" i="26"/>
  <c r="K183" i="26"/>
  <c r="K149" i="26"/>
  <c r="O342" i="26"/>
  <c r="H15" i="19"/>
  <c r="N15" i="19" s="1"/>
  <c r="W35" i="27"/>
  <c r="P1252" i="13"/>
  <c r="L1211" i="13"/>
  <c r="P1227" i="13"/>
  <c r="P1224" i="13"/>
  <c r="P1216" i="13"/>
  <c r="L1240" i="13"/>
  <c r="L1273" i="13"/>
  <c r="K185" i="26"/>
  <c r="K180" i="26"/>
  <c r="O180" i="26"/>
  <c r="K165" i="26"/>
  <c r="K162" i="26"/>
  <c r="O162" i="26"/>
  <c r="K117" i="26"/>
  <c r="O117" i="26"/>
  <c r="K100" i="26"/>
  <c r="O100" i="26"/>
  <c r="H13" i="19"/>
  <c r="N13" i="19" s="1"/>
  <c r="G121" i="26"/>
  <c r="H121" i="26" s="1"/>
  <c r="K146" i="26"/>
  <c r="O146" i="26"/>
  <c r="K51" i="26"/>
  <c r="O51" i="26"/>
  <c r="O59" i="26"/>
  <c r="K301" i="26"/>
  <c r="O301" i="26"/>
  <c r="K252" i="26"/>
  <c r="O252" i="26"/>
  <c r="O199" i="26"/>
  <c r="K199" i="26"/>
  <c r="K179" i="26"/>
  <c r="O179" i="26"/>
  <c r="K50" i="26"/>
  <c r="O50" i="26"/>
  <c r="K58" i="26"/>
  <c r="O99" i="26"/>
  <c r="K5" i="26"/>
  <c r="K44" i="26"/>
  <c r="O44" i="26"/>
  <c r="K57" i="26"/>
  <c r="K90" i="26"/>
  <c r="K285" i="26"/>
  <c r="O285" i="26"/>
  <c r="K257" i="26"/>
  <c r="O257" i="26"/>
  <c r="K228" i="26"/>
  <c r="O228" i="26"/>
  <c r="K202" i="26"/>
  <c r="O202" i="26"/>
  <c r="K49" i="26"/>
  <c r="O89" i="26"/>
  <c r="K89" i="26"/>
  <c r="G117" i="26"/>
  <c r="H117" i="26" s="1"/>
  <c r="O341" i="26"/>
  <c r="K332" i="26"/>
  <c r="O332" i="26"/>
  <c r="O313" i="26"/>
  <c r="K236" i="26"/>
  <c r="O236" i="26"/>
  <c r="O88" i="26"/>
  <c r="K88" i="26"/>
  <c r="K111" i="26"/>
  <c r="O308" i="26"/>
  <c r="K260" i="26"/>
  <c r="O260" i="26"/>
  <c r="O87" i="26"/>
  <c r="K87" i="26"/>
  <c r="H14" i="19"/>
  <c r="N14" i="19" s="1"/>
  <c r="K110" i="26"/>
  <c r="O110" i="26"/>
  <c r="G123" i="26"/>
  <c r="H123" i="26" s="1"/>
  <c r="G115" i="26"/>
  <c r="H115" i="26" s="1"/>
  <c r="O331" i="26"/>
  <c r="O316" i="26"/>
  <c r="K293" i="26"/>
  <c r="O293" i="26"/>
  <c r="K244" i="26"/>
  <c r="O244" i="26"/>
  <c r="O220" i="26"/>
  <c r="K188" i="26"/>
  <c r="O188" i="26"/>
  <c r="O139" i="26"/>
  <c r="O43" i="26"/>
  <c r="K65" i="26"/>
  <c r="O67" i="26"/>
  <c r="K73" i="26"/>
  <c r="O106" i="26"/>
  <c r="G122" i="26"/>
  <c r="H122" i="26" s="1"/>
  <c r="K323" i="26"/>
  <c r="K291" i="26"/>
  <c r="O263" i="26"/>
  <c r="K263" i="26"/>
  <c r="K249" i="26"/>
  <c r="O249" i="26"/>
  <c r="K247" i="26"/>
  <c r="K227" i="26"/>
  <c r="O227" i="26"/>
  <c r="K196" i="26"/>
  <c r="O196" i="26"/>
  <c r="O194" i="26"/>
  <c r="K191" i="26"/>
  <c r="K171" i="26"/>
  <c r="K141" i="26"/>
  <c r="K154" i="26"/>
  <c r="O154" i="26"/>
  <c r="O159" i="26"/>
  <c r="K159" i="26"/>
  <c r="K157" i="26"/>
  <c r="O157" i="26"/>
  <c r="H12" i="19"/>
  <c r="N12" i="19" s="1"/>
  <c r="H9" i="19"/>
  <c r="N9" i="19" s="1"/>
  <c r="G374" i="26"/>
  <c r="H374" i="26" s="1"/>
  <c r="H369" i="26"/>
  <c r="O138" i="26"/>
  <c r="K137" i="26"/>
  <c r="O130" i="26"/>
  <c r="K129" i="26"/>
  <c r="O122" i="26"/>
  <c r="K121" i="26"/>
  <c r="H360" i="26"/>
  <c r="K136" i="26"/>
  <c r="K128" i="26"/>
  <c r="K120" i="26"/>
  <c r="H366" i="26"/>
  <c r="H386" i="26"/>
  <c r="G383" i="26"/>
  <c r="H383" i="26" s="1"/>
  <c r="H380" i="26"/>
  <c r="G376" i="26"/>
  <c r="H376" i="26" s="1"/>
  <c r="G362" i="26"/>
  <c r="H362" i="26" s="1"/>
  <c r="H357" i="26"/>
  <c r="G353" i="26"/>
  <c r="H353" i="26" s="1"/>
  <c r="H348" i="26"/>
  <c r="G344" i="26"/>
  <c r="H344" i="26" s="1"/>
  <c r="H382" i="26"/>
  <c r="H370" i="26"/>
  <c r="H385" i="26"/>
  <c r="H365" i="26"/>
  <c r="H356" i="26"/>
  <c r="H378" i="26"/>
  <c r="H346" i="26"/>
  <c r="H381" i="26"/>
  <c r="H373" i="26"/>
  <c r="H364" i="26"/>
  <c r="H368" i="26"/>
  <c r="H354" i="26"/>
  <c r="H345" i="26"/>
  <c r="H372" i="26"/>
  <c r="H358" i="26"/>
  <c r="H349" i="26"/>
  <c r="G234" i="26"/>
  <c r="H234" i="26" s="1"/>
  <c r="G176" i="26"/>
  <c r="H176" i="26" s="1"/>
  <c r="G304" i="26"/>
  <c r="H304" i="26" s="1"/>
  <c r="AJ2" i="30"/>
  <c r="G336" i="26"/>
  <c r="H336" i="26" s="1"/>
  <c r="G316" i="26"/>
  <c r="H316" i="26" s="1"/>
  <c r="H282" i="26"/>
  <c r="G266" i="26"/>
  <c r="H266" i="26" s="1"/>
  <c r="H224" i="26"/>
  <c r="G208" i="26"/>
  <c r="H208" i="26" s="1"/>
  <c r="H154" i="26"/>
  <c r="G138" i="26"/>
  <c r="H138" i="26" s="1"/>
  <c r="H298" i="26"/>
  <c r="H240" i="26"/>
  <c r="H170" i="26"/>
  <c r="H314" i="26"/>
  <c r="H256" i="26"/>
  <c r="H128" i="26"/>
  <c r="H342" i="26"/>
  <c r="H330" i="26"/>
  <c r="H272" i="26"/>
  <c r="H202" i="26"/>
  <c r="H144" i="26"/>
  <c r="H288" i="26"/>
  <c r="H218" i="26"/>
  <c r="H160" i="26"/>
  <c r="G268" i="26"/>
  <c r="H268" i="26" s="1"/>
  <c r="H252" i="26"/>
  <c r="H236" i="26"/>
  <c r="H220" i="26"/>
  <c r="H204" i="26"/>
  <c r="H140" i="26"/>
  <c r="H124" i="26"/>
  <c r="G284" i="26"/>
  <c r="H284" i="26" s="1"/>
  <c r="G156" i="26"/>
  <c r="H156" i="26" s="1"/>
  <c r="G300" i="26"/>
  <c r="H300" i="26" s="1"/>
  <c r="G172" i="26"/>
  <c r="H172" i="26" s="1"/>
  <c r="G335" i="26"/>
  <c r="H335" i="26" s="1"/>
  <c r="G324" i="26"/>
  <c r="H324" i="26" s="1"/>
  <c r="G308" i="26"/>
  <c r="H308" i="26" s="1"/>
  <c r="H302" i="26"/>
  <c r="G292" i="26"/>
  <c r="H292" i="26" s="1"/>
  <c r="H286" i="26"/>
  <c r="G276" i="26"/>
  <c r="H276" i="26" s="1"/>
  <c r="H270" i="26"/>
  <c r="G260" i="26"/>
  <c r="H260" i="26" s="1"/>
  <c r="H254" i="26"/>
  <c r="G244" i="26"/>
  <c r="H244" i="26" s="1"/>
  <c r="H238" i="26"/>
  <c r="G228" i="26"/>
  <c r="H228" i="26" s="1"/>
  <c r="H222" i="26"/>
  <c r="G212" i="26"/>
  <c r="H212" i="26" s="1"/>
  <c r="H206" i="26"/>
  <c r="G180" i="26"/>
  <c r="H180" i="26" s="1"/>
  <c r="H174" i="26"/>
  <c r="G164" i="26"/>
  <c r="H164" i="26" s="1"/>
  <c r="H158" i="26"/>
  <c r="G148" i="26"/>
  <c r="H148" i="26" s="1"/>
  <c r="H142" i="26"/>
  <c r="G132" i="26"/>
  <c r="H132" i="26" s="1"/>
  <c r="H126" i="26"/>
  <c r="G116" i="26"/>
  <c r="H116" i="26" s="1"/>
  <c r="G334" i="26"/>
  <c r="H334" i="26" s="1"/>
  <c r="H328" i="26"/>
  <c r="H312" i="26"/>
  <c r="H296" i="26"/>
  <c r="H280" i="26"/>
  <c r="H264" i="26"/>
  <c r="H248" i="26"/>
  <c r="H232" i="26"/>
  <c r="H216" i="26"/>
  <c r="H200" i="26"/>
  <c r="H184" i="26"/>
  <c r="H168" i="26"/>
  <c r="H152" i="26"/>
  <c r="H136" i="26"/>
  <c r="H120" i="26"/>
  <c r="H338" i="26"/>
  <c r="G333" i="26"/>
  <c r="H333" i="26" s="1"/>
  <c r="H322" i="26"/>
  <c r="H306" i="26"/>
  <c r="H290" i="26"/>
  <c r="H274" i="26"/>
  <c r="H258" i="26"/>
  <c r="H242" i="26"/>
  <c r="H226" i="26"/>
  <c r="H210" i="26"/>
  <c r="H178" i="26"/>
  <c r="H162" i="26"/>
  <c r="H146" i="26"/>
  <c r="H130" i="26"/>
  <c r="L1219" i="13"/>
  <c r="L705" i="13"/>
  <c r="L713" i="13"/>
  <c r="L702" i="13"/>
  <c r="P1234" i="13"/>
  <c r="O337" i="26"/>
  <c r="K326" i="26"/>
  <c r="O322" i="26"/>
  <c r="K318" i="26"/>
  <c r="O314" i="26"/>
  <c r="K310" i="26"/>
  <c r="O306" i="26"/>
  <c r="K302" i="26"/>
  <c r="O298" i="26"/>
  <c r="K294" i="26"/>
  <c r="O290" i="26"/>
  <c r="K286" i="26"/>
  <c r="O282" i="26"/>
  <c r="K278" i="26"/>
  <c r="O274" i="26"/>
  <c r="K270" i="26"/>
  <c r="O266" i="26"/>
  <c r="K262" i="26"/>
  <c r="O258" i="26"/>
  <c r="K254" i="26"/>
  <c r="O250" i="26"/>
  <c r="K246" i="26"/>
  <c r="O242" i="26"/>
  <c r="K238" i="26"/>
  <c r="K230" i="26"/>
  <c r="K222" i="26"/>
  <c r="K214" i="26"/>
  <c r="K206" i="26"/>
  <c r="K198" i="26"/>
  <c r="K190" i="26"/>
  <c r="K182" i="26"/>
  <c r="K174" i="26"/>
  <c r="K166" i="26"/>
  <c r="K158" i="26"/>
  <c r="K150" i="26"/>
  <c r="K142" i="26"/>
  <c r="K134" i="26"/>
  <c r="K126" i="26"/>
  <c r="K118" i="26"/>
  <c r="K335" i="26"/>
  <c r="K151" i="26"/>
  <c r="K143" i="26"/>
  <c r="K135" i="26"/>
  <c r="K127" i="26"/>
  <c r="K119" i="26"/>
  <c r="K328" i="26"/>
  <c r="K320" i="26"/>
  <c r="K312" i="26"/>
  <c r="K304" i="26"/>
  <c r="K296" i="26"/>
  <c r="K288" i="26"/>
  <c r="K280" i="26"/>
  <c r="K272" i="26"/>
  <c r="K264" i="26"/>
  <c r="K256" i="26"/>
  <c r="K248" i="26"/>
  <c r="K240" i="26"/>
  <c r="K232" i="26"/>
  <c r="K224" i="26"/>
  <c r="K216" i="26"/>
  <c r="K208" i="26"/>
  <c r="K200" i="26"/>
  <c r="K192" i="26"/>
  <c r="K184" i="26"/>
  <c r="K176" i="26"/>
  <c r="K168" i="26"/>
  <c r="K160" i="26"/>
  <c r="O148" i="26"/>
  <c r="O140" i="26"/>
  <c r="O132" i="26"/>
  <c r="O124" i="26"/>
  <c r="O116" i="26"/>
  <c r="K109" i="26"/>
  <c r="O85" i="26"/>
  <c r="K95" i="26"/>
  <c r="O96" i="26"/>
  <c r="K108" i="26"/>
  <c r="K104" i="26"/>
  <c r="O91" i="26"/>
  <c r="K93" i="26"/>
  <c r="K103" i="26"/>
  <c r="O113" i="26"/>
  <c r="H11" i="19"/>
  <c r="N11" i="19" s="1"/>
  <c r="K97" i="26"/>
  <c r="O71" i="26"/>
  <c r="K77" i="26"/>
  <c r="K92" i="26"/>
  <c r="K102" i="26"/>
  <c r="O112" i="26"/>
  <c r="O15" i="26"/>
  <c r="O14" i="26"/>
  <c r="K62" i="26"/>
  <c r="K54" i="26"/>
  <c r="K46" i="26"/>
  <c r="K79" i="26"/>
  <c r="K85" i="26"/>
  <c r="K61" i="26"/>
  <c r="K53" i="26"/>
  <c r="K45" i="26"/>
  <c r="K78" i="26"/>
  <c r="K84" i="26"/>
  <c r="O13" i="26"/>
  <c r="K60" i="26"/>
  <c r="K52" i="26"/>
  <c r="K76" i="26"/>
  <c r="O92" i="26"/>
  <c r="K101" i="26"/>
  <c r="D2" i="30"/>
  <c r="H2" i="30"/>
  <c r="G112" i="26"/>
  <c r="H112" i="26" s="1"/>
  <c r="G107" i="26"/>
  <c r="H107" i="26" s="1"/>
  <c r="G99" i="26"/>
  <c r="H99" i="26" s="1"/>
  <c r="H114" i="26"/>
  <c r="G105" i="26"/>
  <c r="H105" i="26" s="1"/>
  <c r="G97" i="26"/>
  <c r="H97" i="26" s="1"/>
  <c r="G95" i="26"/>
  <c r="H95" i="26" s="1"/>
  <c r="H110" i="26"/>
  <c r="H102" i="26"/>
  <c r="G94" i="26"/>
  <c r="H94" i="26" s="1"/>
  <c r="H109" i="26"/>
  <c r="G101" i="26"/>
  <c r="H101" i="26" s="1"/>
  <c r="G93" i="26"/>
  <c r="H93" i="26" s="1"/>
  <c r="H108" i="26"/>
  <c r="H92" i="26"/>
  <c r="G100" i="26"/>
  <c r="H100" i="26" s="1"/>
  <c r="P719" i="13"/>
  <c r="P708" i="13"/>
  <c r="L1243" i="13"/>
  <c r="P1256" i="13"/>
  <c r="P727" i="13"/>
  <c r="P1248" i="13"/>
  <c r="L1220" i="13"/>
  <c r="L748" i="13"/>
  <c r="L745" i="13"/>
  <c r="P1232" i="13"/>
  <c r="L740" i="13"/>
  <c r="P724" i="13"/>
  <c r="L729" i="13"/>
  <c r="L734" i="13"/>
  <c r="L726" i="13"/>
  <c r="L750" i="13"/>
  <c r="L721" i="13"/>
  <c r="P743" i="13"/>
  <c r="L718" i="13"/>
  <c r="L742" i="13"/>
  <c r="P741" i="13"/>
  <c r="P759" i="13"/>
  <c r="P717" i="13"/>
  <c r="L737" i="13"/>
  <c r="L716" i="13"/>
  <c r="P757" i="13"/>
  <c r="P735" i="13"/>
  <c r="P756" i="13"/>
  <c r="P733" i="13"/>
  <c r="P711" i="13"/>
  <c r="L732" i="13"/>
  <c r="L710" i="13"/>
  <c r="P751" i="13"/>
  <c r="P709" i="13"/>
  <c r="P1225" i="13"/>
  <c r="P749" i="13"/>
  <c r="P725" i="13"/>
  <c r="P703" i="13"/>
  <c r="L731" i="13"/>
  <c r="P760" i="13"/>
  <c r="P752" i="13"/>
  <c r="P744" i="13"/>
  <c r="P736" i="13"/>
  <c r="P728" i="13"/>
  <c r="P720" i="13"/>
  <c r="P712" i="13"/>
  <c r="P704" i="13"/>
  <c r="L116" i="13"/>
  <c r="L747" i="13"/>
  <c r="L1254" i="13"/>
  <c r="P758" i="13"/>
  <c r="L723" i="13"/>
  <c r="P763" i="13"/>
  <c r="P755" i="13"/>
  <c r="P739" i="13"/>
  <c r="P715" i="13"/>
  <c r="P707" i="13"/>
  <c r="L746" i="13"/>
  <c r="L738" i="13"/>
  <c r="L730" i="13"/>
  <c r="L722" i="13"/>
  <c r="L714" i="13"/>
  <c r="L706" i="13"/>
  <c r="L1230" i="13"/>
  <c r="P762" i="13"/>
  <c r="P754" i="13"/>
  <c r="P761" i="13"/>
  <c r="P753" i="13"/>
  <c r="D10" i="19"/>
  <c r="H10" i="19"/>
  <c r="N10" i="19" s="1"/>
  <c r="D9" i="19"/>
  <c r="H8" i="19"/>
  <c r="N8" i="19" s="1"/>
  <c r="H7" i="19"/>
  <c r="N7" i="19" s="1"/>
  <c r="H6" i="19"/>
  <c r="N6" i="19" s="1"/>
  <c r="G69" i="26"/>
  <c r="H69" i="26" s="1"/>
  <c r="H75" i="26"/>
  <c r="G84" i="26"/>
  <c r="H84" i="26" s="1"/>
  <c r="G68" i="26"/>
  <c r="H68" i="26" s="1"/>
  <c r="G52" i="26"/>
  <c r="H52" i="26" s="1"/>
  <c r="G83" i="26"/>
  <c r="H83" i="26" s="1"/>
  <c r="G67" i="26"/>
  <c r="H67" i="26" s="1"/>
  <c r="G51" i="26"/>
  <c r="H51" i="26" s="1"/>
  <c r="H91" i="26"/>
  <c r="H59" i="26"/>
  <c r="H78" i="26"/>
  <c r="H62" i="26"/>
  <c r="G76" i="26"/>
  <c r="H76" i="26" s="1"/>
  <c r="H85" i="26"/>
  <c r="H77" i="26"/>
  <c r="H61" i="26"/>
  <c r="H53" i="26"/>
  <c r="G86" i="26"/>
  <c r="H86" i="26" s="1"/>
  <c r="G70" i="26"/>
  <c r="H70" i="26" s="1"/>
  <c r="G54" i="26"/>
  <c r="H54" i="26" s="1"/>
  <c r="G66" i="26"/>
  <c r="H66" i="26" s="1"/>
  <c r="G58" i="26"/>
  <c r="H58" i="26" s="1"/>
  <c r="G50" i="26"/>
  <c r="H50" i="26" s="1"/>
  <c r="H88" i="26"/>
  <c r="H80" i="26"/>
  <c r="H72" i="26"/>
  <c r="H48" i="26"/>
  <c r="G65" i="26"/>
  <c r="H65" i="26" s="1"/>
  <c r="G57" i="26"/>
  <c r="H57" i="26" s="1"/>
  <c r="G49" i="26"/>
  <c r="H49" i="26" s="1"/>
  <c r="H87" i="26"/>
  <c r="H79" i="26"/>
  <c r="H71" i="26"/>
  <c r="H63" i="26"/>
  <c r="H47" i="26"/>
  <c r="G64" i="26"/>
  <c r="H64" i="26" s="1"/>
  <c r="G56" i="26"/>
  <c r="H56" i="26" s="1"/>
  <c r="H46" i="26"/>
  <c r="G55" i="26"/>
  <c r="H55" i="26" s="1"/>
  <c r="G40" i="26"/>
  <c r="H40" i="26" s="1"/>
  <c r="H41" i="26"/>
  <c r="H42" i="26"/>
  <c r="G43" i="26"/>
  <c r="H43" i="26" s="1"/>
  <c r="O29" i="26"/>
  <c r="K36" i="26"/>
  <c r="O9" i="26"/>
  <c r="O8" i="26"/>
  <c r="O7" i="26"/>
  <c r="O23" i="26"/>
  <c r="K30" i="26"/>
  <c r="O6" i="26"/>
  <c r="O22" i="26"/>
  <c r="O21" i="26"/>
  <c r="O20" i="26"/>
  <c r="O37" i="26"/>
  <c r="O28" i="26"/>
  <c r="K33" i="26"/>
  <c r="K31" i="26"/>
  <c r="O35" i="26"/>
  <c r="O27" i="26"/>
  <c r="O19" i="26"/>
  <c r="O34" i="26"/>
  <c r="O2" i="26"/>
  <c r="O4" i="26"/>
  <c r="O26" i="26"/>
  <c r="O18" i="26"/>
  <c r="O3" i="26"/>
  <c r="O25" i="26"/>
  <c r="O17" i="26"/>
  <c r="O32" i="26"/>
  <c r="O11" i="26"/>
  <c r="O24" i="26"/>
  <c r="O16" i="26"/>
  <c r="O10" i="26"/>
  <c r="H38" i="19"/>
  <c r="H39" i="19"/>
  <c r="H46" i="19"/>
  <c r="N46" i="19" s="1"/>
  <c r="H45" i="19"/>
  <c r="H44" i="19"/>
  <c r="H43" i="19"/>
  <c r="H42" i="19"/>
  <c r="P1275" i="13"/>
  <c r="P1074" i="13"/>
  <c r="L1251" i="13"/>
  <c r="H41" i="19"/>
  <c r="H40" i="19"/>
  <c r="N40" i="19" s="1"/>
  <c r="L1218" i="13"/>
  <c r="P1218" i="13"/>
  <c r="L1233" i="13"/>
  <c r="P1233" i="13"/>
  <c r="L1217" i="13"/>
  <c r="P1217" i="13"/>
  <c r="P690" i="13"/>
  <c r="P1241" i="13"/>
  <c r="L834" i="13"/>
  <c r="E5" i="37"/>
  <c r="P1236" i="13"/>
  <c r="L1269" i="13"/>
  <c r="P1235" i="13"/>
  <c r="L1244" i="13"/>
  <c r="P1244" i="13"/>
  <c r="L1228" i="13"/>
  <c r="P1228" i="13"/>
  <c r="L539" i="13"/>
  <c r="L585" i="13"/>
  <c r="L867" i="13"/>
  <c r="L788" i="13"/>
  <c r="P896" i="13"/>
  <c r="L965" i="13"/>
  <c r="L1155" i="13"/>
  <c r="P1155" i="13"/>
  <c r="L1122" i="13"/>
  <c r="L1033" i="13"/>
  <c r="H7" i="34" s="1"/>
  <c r="N7" i="34" s="1"/>
  <c r="L1173" i="13"/>
  <c r="L1226" i="13"/>
  <c r="P1226" i="13"/>
  <c r="L1212" i="13"/>
  <c r="P1212" i="13"/>
  <c r="L1210" i="13"/>
  <c r="D5" i="19"/>
  <c r="H5" i="19"/>
  <c r="N5" i="19" s="1"/>
  <c r="G32" i="26"/>
  <c r="H32" i="26" s="1"/>
  <c r="H34" i="26"/>
  <c r="G39" i="26"/>
  <c r="H39" i="26" s="1"/>
  <c r="G31" i="26"/>
  <c r="H31" i="26" s="1"/>
  <c r="H33" i="26"/>
  <c r="H4" i="19"/>
  <c r="N4" i="19" s="1"/>
  <c r="D3" i="19"/>
  <c r="H3" i="19"/>
  <c r="N3" i="19" s="1"/>
  <c r="P1169" i="13"/>
  <c r="O12" i="26"/>
  <c r="L415" i="13"/>
  <c r="P1245" i="13"/>
  <c r="P1147" i="13"/>
  <c r="L1214" i="13"/>
  <c r="H9" i="28" s="1"/>
  <c r="N9" i="28" s="1"/>
  <c r="P1253" i="13"/>
  <c r="P1085" i="13"/>
  <c r="P1166" i="13"/>
  <c r="L497" i="13"/>
  <c r="P1054" i="13"/>
  <c r="P1086" i="13"/>
  <c r="P1045" i="13"/>
  <c r="P1117" i="13"/>
  <c r="P1044" i="13"/>
  <c r="P1108" i="13"/>
  <c r="P1172" i="13"/>
  <c r="P1109" i="13"/>
  <c r="P1053" i="13"/>
  <c r="P1077" i="13"/>
  <c r="P1142" i="13"/>
  <c r="P1076" i="13"/>
  <c r="P1118" i="13"/>
  <c r="L81" i="13"/>
  <c r="P834" i="13"/>
  <c r="P1153" i="13"/>
  <c r="P1024" i="13"/>
  <c r="P1201" i="13"/>
  <c r="P1064" i="13"/>
  <c r="P573" i="13"/>
  <c r="P445" i="13"/>
  <c r="P1164" i="13"/>
  <c r="P1123" i="13"/>
  <c r="P673" i="13"/>
  <c r="P821" i="13"/>
  <c r="P1140" i="13"/>
  <c r="P1107" i="13"/>
  <c r="P1069" i="13"/>
  <c r="P1037" i="13"/>
  <c r="L1103" i="13"/>
  <c r="L1179" i="13"/>
  <c r="P812" i="13"/>
  <c r="P1133" i="13"/>
  <c r="P1101" i="13"/>
  <c r="P1066" i="13"/>
  <c r="P1027" i="13"/>
  <c r="P795" i="13"/>
  <c r="P1165" i="13"/>
  <c r="P1130" i="13"/>
  <c r="P1090" i="13"/>
  <c r="P1026" i="13"/>
  <c r="P540" i="13"/>
  <c r="P675" i="13"/>
  <c r="P983" i="13"/>
  <c r="L1180" i="13"/>
  <c r="P876" i="13"/>
  <c r="P868" i="13"/>
  <c r="L852" i="13"/>
  <c r="P1255" i="13"/>
  <c r="L836" i="13"/>
  <c r="P828" i="13"/>
  <c r="L1091" i="13"/>
  <c r="P604" i="13"/>
  <c r="P1163" i="13"/>
  <c r="P1080" i="13"/>
  <c r="P1059" i="13"/>
  <c r="P1043" i="13"/>
  <c r="L1229" i="13"/>
  <c r="L1213" i="13"/>
  <c r="I9" i="28" s="1"/>
  <c r="O9" i="28" s="1"/>
  <c r="P1162" i="13"/>
  <c r="P1098" i="13"/>
  <c r="P1058" i="13"/>
  <c r="P1042" i="13"/>
  <c r="L1177" i="13"/>
  <c r="P1279" i="13"/>
  <c r="P1239" i="13"/>
  <c r="P1231" i="13"/>
  <c r="P1223" i="13"/>
  <c r="P1215" i="13"/>
  <c r="L925" i="13"/>
  <c r="P1106" i="13"/>
  <c r="L767" i="13"/>
  <c r="P1161" i="13"/>
  <c r="P1139" i="13"/>
  <c r="P1114" i="13"/>
  <c r="P1096" i="13"/>
  <c r="P1056" i="13"/>
  <c r="P1263" i="13"/>
  <c r="P1247" i="13"/>
  <c r="P1238" i="13"/>
  <c r="P1222" i="13"/>
  <c r="P1145" i="13"/>
  <c r="P1122" i="13"/>
  <c r="P1082" i="13"/>
  <c r="P489" i="13"/>
  <c r="L635" i="13"/>
  <c r="L864" i="13"/>
  <c r="P999" i="13"/>
  <c r="P1160" i="13"/>
  <c r="P1138" i="13"/>
  <c r="P1112" i="13"/>
  <c r="P1075" i="13"/>
  <c r="P1034" i="13"/>
  <c r="L1129" i="13"/>
  <c r="P1209" i="13"/>
  <c r="P1246" i="13"/>
  <c r="P1237" i="13"/>
  <c r="P1221" i="13"/>
  <c r="L580" i="13"/>
  <c r="P682" i="13"/>
  <c r="L455" i="13"/>
  <c r="P482" i="13"/>
  <c r="L556" i="13"/>
  <c r="L844" i="13"/>
  <c r="L881" i="13"/>
  <c r="P936" i="13"/>
  <c r="P564" i="13"/>
  <c r="P1249" i="13"/>
  <c r="P548" i="13"/>
  <c r="P526" i="13"/>
  <c r="L910" i="13"/>
  <c r="L992" i="13"/>
  <c r="L201" i="13"/>
  <c r="L427" i="13"/>
  <c r="P476" i="13"/>
  <c r="P525" i="13"/>
  <c r="P619" i="13"/>
  <c r="L667" i="13"/>
  <c r="L775" i="13"/>
  <c r="L787" i="13"/>
  <c r="P1120" i="13"/>
  <c r="P1048" i="13"/>
  <c r="P611" i="13"/>
  <c r="L643" i="13"/>
  <c r="P877" i="13"/>
  <c r="P954" i="13"/>
  <c r="L1039" i="13"/>
  <c r="P595" i="13"/>
  <c r="L627" i="13"/>
  <c r="P889" i="13"/>
  <c r="P660" i="13"/>
  <c r="L620" i="13"/>
  <c r="P861" i="13"/>
  <c r="P887" i="13"/>
  <c r="L305" i="13"/>
  <c r="L456" i="13"/>
  <c r="P544" i="13"/>
  <c r="P659" i="13"/>
  <c r="P860" i="13"/>
  <c r="P779" i="13"/>
  <c r="P879" i="13"/>
  <c r="L952" i="13"/>
  <c r="P1128" i="13"/>
  <c r="L1087" i="13"/>
  <c r="P651" i="13"/>
  <c r="L820" i="13"/>
  <c r="P1088" i="13"/>
  <c r="P479" i="13"/>
  <c r="L668" i="13"/>
  <c r="L587" i="13"/>
  <c r="P984" i="13"/>
  <c r="P1032" i="13"/>
  <c r="L1071" i="13"/>
  <c r="P428" i="13"/>
  <c r="P784" i="13"/>
  <c r="L168" i="13"/>
  <c r="P584" i="13"/>
  <c r="P552" i="13"/>
  <c r="P528" i="13"/>
  <c r="L532" i="13"/>
  <c r="P649" i="13"/>
  <c r="P697" i="13"/>
  <c r="L690" i="13"/>
  <c r="I37" i="31" s="1"/>
  <c r="O37" i="31" s="1"/>
  <c r="L930" i="13"/>
  <c r="L940" i="13"/>
  <c r="P1005" i="13"/>
  <c r="P962" i="13"/>
  <c r="L1099" i="13"/>
  <c r="L1191" i="13"/>
  <c r="L1258" i="13"/>
  <c r="P490" i="13"/>
  <c r="L520" i="13"/>
  <c r="P576" i="13"/>
  <c r="P551" i="13"/>
  <c r="P527" i="13"/>
  <c r="P676" i="13"/>
  <c r="P640" i="13"/>
  <c r="P692" i="13"/>
  <c r="P865" i="13"/>
  <c r="P840" i="13"/>
  <c r="P804" i="13"/>
  <c r="L816" i="13"/>
  <c r="P1002" i="13"/>
  <c r="P959" i="13"/>
  <c r="P1011" i="13"/>
  <c r="P1131" i="13"/>
  <c r="P1115" i="13"/>
  <c r="P1083" i="13"/>
  <c r="P1067" i="13"/>
  <c r="P1051" i="13"/>
  <c r="P1035" i="13"/>
  <c r="L1135" i="13"/>
  <c r="L1097" i="13"/>
  <c r="L1046" i="13"/>
  <c r="P1175" i="13"/>
  <c r="L453" i="13"/>
  <c r="P575" i="13"/>
  <c r="P633" i="13"/>
  <c r="P585" i="13"/>
  <c r="P833" i="13"/>
  <c r="P792" i="13"/>
  <c r="P921" i="13"/>
  <c r="L900" i="13"/>
  <c r="H5" i="34" s="1"/>
  <c r="N5" i="34" s="1"/>
  <c r="P419" i="13"/>
  <c r="P568" i="13"/>
  <c r="P625" i="13"/>
  <c r="P856" i="13"/>
  <c r="P830" i="13"/>
  <c r="P789" i="13"/>
  <c r="P1195" i="13"/>
  <c r="L1203" i="13"/>
  <c r="P1187" i="13"/>
  <c r="L1202" i="13"/>
  <c r="P535" i="13"/>
  <c r="L186" i="13"/>
  <c r="P560" i="13"/>
  <c r="P534" i="13"/>
  <c r="P657" i="13"/>
  <c r="P846" i="13"/>
  <c r="P970" i="13"/>
  <c r="P1186" i="13"/>
  <c r="P417" i="13"/>
  <c r="P461" i="13"/>
  <c r="P557" i="13"/>
  <c r="P608" i="13"/>
  <c r="P870" i="13"/>
  <c r="P845" i="13"/>
  <c r="P813" i="13"/>
  <c r="P890" i="13"/>
  <c r="L893" i="13"/>
  <c r="H54" i="15" s="1"/>
  <c r="N54" i="15" s="1"/>
  <c r="L932" i="13"/>
  <c r="P967" i="13"/>
  <c r="P1156" i="13"/>
  <c r="L1102" i="13"/>
  <c r="P1185" i="13"/>
  <c r="L1193" i="13"/>
  <c r="L200" i="13"/>
  <c r="L110" i="13"/>
  <c r="L159" i="13"/>
  <c r="L166" i="13"/>
  <c r="L99" i="13"/>
  <c r="L471" i="13"/>
  <c r="L547" i="13"/>
  <c r="L596" i="13"/>
  <c r="P803" i="13"/>
  <c r="L800" i="13"/>
  <c r="I4" i="34" s="1"/>
  <c r="O4" i="34" s="1"/>
  <c r="P989" i="13"/>
  <c r="P426" i="13"/>
  <c r="L447" i="13"/>
  <c r="L466" i="13"/>
  <c r="L513" i="13"/>
  <c r="P582" i="13"/>
  <c r="P559" i="13"/>
  <c r="P536" i="13"/>
  <c r="L538" i="13"/>
  <c r="P665" i="13"/>
  <c r="P612" i="13"/>
  <c r="L634" i="13"/>
  <c r="P867" i="13"/>
  <c r="P849" i="13"/>
  <c r="P837" i="13"/>
  <c r="P819" i="13"/>
  <c r="L873" i="13"/>
  <c r="P891" i="13"/>
  <c r="P926" i="13"/>
  <c r="L935" i="13"/>
  <c r="L903" i="13"/>
  <c r="L948" i="13"/>
  <c r="P986" i="13"/>
  <c r="P968" i="13"/>
  <c r="L1004" i="13"/>
  <c r="P1013" i="13"/>
  <c r="P1158" i="13"/>
  <c r="P1144" i="13"/>
  <c r="P1132" i="13"/>
  <c r="P1110" i="13"/>
  <c r="P1100" i="13"/>
  <c r="P1078" i="13"/>
  <c r="P1068" i="13"/>
  <c r="P1036" i="13"/>
  <c r="L1183" i="13"/>
  <c r="P1259" i="13"/>
  <c r="L571" i="13"/>
  <c r="H3" i="37" s="1"/>
  <c r="N3" i="37" s="1"/>
  <c r="L835" i="13"/>
  <c r="L1126" i="13"/>
  <c r="L562" i="13"/>
  <c r="P810" i="13"/>
  <c r="L785" i="13"/>
  <c r="P906" i="13"/>
  <c r="P981" i="13"/>
  <c r="L980" i="13"/>
  <c r="L145" i="13"/>
  <c r="L144" i="13"/>
  <c r="L383" i="13"/>
  <c r="P397" i="13"/>
  <c r="P436" i="13"/>
  <c r="L495" i="13"/>
  <c r="P656" i="13"/>
  <c r="P624" i="13"/>
  <c r="P874" i="13"/>
  <c r="P858" i="13"/>
  <c r="P843" i="13"/>
  <c r="P829" i="13"/>
  <c r="P806" i="13"/>
  <c r="L853" i="13"/>
  <c r="P883" i="13"/>
  <c r="L878" i="13"/>
  <c r="L918" i="13"/>
  <c r="P942" i="13"/>
  <c r="P997" i="13"/>
  <c r="P975" i="13"/>
  <c r="P957" i="13"/>
  <c r="L972" i="13"/>
  <c r="P1150" i="13"/>
  <c r="P1116" i="13"/>
  <c r="P1094" i="13"/>
  <c r="P1084" i="13"/>
  <c r="P1062" i="13"/>
  <c r="P1052" i="13"/>
  <c r="P1030" i="13"/>
  <c r="P1020" i="13"/>
  <c r="L1065" i="13"/>
  <c r="L1038" i="13"/>
  <c r="L1276" i="13"/>
  <c r="L343" i="13"/>
  <c r="P396" i="13"/>
  <c r="P434" i="13"/>
  <c r="P522" i="13"/>
  <c r="P565" i="13"/>
  <c r="P621" i="13"/>
  <c r="L644" i="13"/>
  <c r="L606" i="13"/>
  <c r="P842" i="13"/>
  <c r="P805" i="13"/>
  <c r="L817" i="13"/>
  <c r="L914" i="13"/>
  <c r="P973" i="13"/>
  <c r="P1148" i="13"/>
  <c r="P1136" i="13"/>
  <c r="P1125" i="13"/>
  <c r="P1104" i="13"/>
  <c r="P1093" i="13"/>
  <c r="P1061" i="13"/>
  <c r="P1040" i="13"/>
  <c r="P1029" i="13"/>
  <c r="P1178" i="13"/>
  <c r="P1271" i="13"/>
  <c r="L341" i="13"/>
  <c r="P433" i="13"/>
  <c r="P492" i="13"/>
  <c r="P507" i="13"/>
  <c r="P543" i="13"/>
  <c r="P672" i="13"/>
  <c r="P592" i="13"/>
  <c r="P766" i="13"/>
  <c r="P869" i="13"/>
  <c r="P841" i="13"/>
  <c r="P825" i="13"/>
  <c r="L851" i="13"/>
  <c r="L777" i="13"/>
  <c r="L911" i="13"/>
  <c r="P991" i="13"/>
  <c r="L956" i="13"/>
  <c r="P1134" i="13"/>
  <c r="P1124" i="13"/>
  <c r="P1092" i="13"/>
  <c r="P1070" i="13"/>
  <c r="P1060" i="13"/>
  <c r="P1028" i="13"/>
  <c r="P1196" i="13"/>
  <c r="P1267" i="13"/>
  <c r="P631" i="13"/>
  <c r="L699" i="13"/>
  <c r="P699" i="13"/>
  <c r="L683" i="13"/>
  <c r="P683" i="13"/>
  <c r="P467" i="13"/>
  <c r="L467" i="13"/>
  <c r="L639" i="13"/>
  <c r="P639" i="13"/>
  <c r="L623" i="13"/>
  <c r="P623" i="13"/>
  <c r="P607" i="13"/>
  <c r="L607" i="13"/>
  <c r="L382" i="13"/>
  <c r="L416" i="13"/>
  <c r="P416" i="13"/>
  <c r="P505" i="13"/>
  <c r="L574" i="13"/>
  <c r="P574" i="13"/>
  <c r="L566" i="13"/>
  <c r="P566" i="13"/>
  <c r="L558" i="13"/>
  <c r="P558" i="13"/>
  <c r="L550" i="13"/>
  <c r="P550" i="13"/>
  <c r="L542" i="13"/>
  <c r="P542" i="13"/>
  <c r="P888" i="13"/>
  <c r="P446" i="13"/>
  <c r="L446" i="13"/>
  <c r="P460" i="13"/>
  <c r="P480" i="13"/>
  <c r="P518" i="13"/>
  <c r="L518" i="13"/>
  <c r="P669" i="13"/>
  <c r="L669" i="13"/>
  <c r="L629" i="13"/>
  <c r="P629" i="13"/>
  <c r="L613" i="13"/>
  <c r="P613" i="13"/>
  <c r="L605" i="13"/>
  <c r="P605" i="13"/>
  <c r="L696" i="13"/>
  <c r="P696" i="13"/>
  <c r="P680" i="13"/>
  <c r="L680" i="13"/>
  <c r="L872" i="13"/>
  <c r="H9" i="33" s="1"/>
  <c r="N9" i="33" s="1"/>
  <c r="P872" i="13"/>
  <c r="L848" i="13"/>
  <c r="P848" i="13"/>
  <c r="L832" i="13"/>
  <c r="P832" i="13"/>
  <c r="P824" i="13"/>
  <c r="L824" i="13"/>
  <c r="L799" i="13"/>
  <c r="P799" i="13"/>
  <c r="L791" i="13"/>
  <c r="P791" i="13"/>
  <c r="L783" i="13"/>
  <c r="P783" i="13"/>
  <c r="P429" i="13"/>
  <c r="L429" i="13"/>
  <c r="L496" i="13"/>
  <c r="P496" i="13"/>
  <c r="L655" i="13"/>
  <c r="L615" i="13"/>
  <c r="L880" i="13"/>
  <c r="P880" i="13"/>
  <c r="L939" i="13"/>
  <c r="P939" i="13"/>
  <c r="L143" i="13"/>
  <c r="L24" i="13"/>
  <c r="P452" i="13"/>
  <c r="L488" i="13"/>
  <c r="P488" i="13"/>
  <c r="L464" i="13"/>
  <c r="P464" i="13"/>
  <c r="P647" i="13"/>
  <c r="L104" i="13"/>
  <c r="L524" i="13"/>
  <c r="P524" i="13"/>
  <c r="P563" i="13"/>
  <c r="L563" i="13"/>
  <c r="L768" i="13"/>
  <c r="P801" i="13"/>
  <c r="L808" i="13"/>
  <c r="I7" i="35" s="1"/>
  <c r="O7" i="35" s="1"/>
  <c r="L862" i="13"/>
  <c r="P862" i="13"/>
  <c r="L854" i="13"/>
  <c r="P854" i="13"/>
  <c r="L838" i="13"/>
  <c r="P838" i="13"/>
  <c r="L822" i="13"/>
  <c r="P822" i="13"/>
  <c r="L814" i="13"/>
  <c r="H4" i="36" s="1"/>
  <c r="N4" i="36" s="1"/>
  <c r="P814" i="13"/>
  <c r="L797" i="13"/>
  <c r="P797" i="13"/>
  <c r="P993" i="13"/>
  <c r="P366" i="13"/>
  <c r="L366" i="13"/>
  <c r="P342" i="13"/>
  <c r="L342" i="13"/>
  <c r="P326" i="13"/>
  <c r="L326" i="13"/>
  <c r="L435" i="13"/>
  <c r="P435" i="13"/>
  <c r="P504" i="13"/>
  <c r="P472" i="13"/>
  <c r="P691" i="13"/>
  <c r="L894" i="13"/>
  <c r="P894" i="13"/>
  <c r="P886" i="13"/>
  <c r="L886" i="13"/>
  <c r="L977" i="13"/>
  <c r="P977" i="13"/>
  <c r="L961" i="13"/>
  <c r="P961" i="13"/>
  <c r="L101" i="13"/>
  <c r="L23" i="13"/>
  <c r="L95" i="13"/>
  <c r="L25" i="13"/>
  <c r="P309" i="13"/>
  <c r="L309" i="13"/>
  <c r="P677" i="13"/>
  <c r="P688" i="13"/>
  <c r="L776" i="13"/>
  <c r="P776" i="13"/>
  <c r="P933" i="13"/>
  <c r="L933" i="13"/>
  <c r="L917" i="13"/>
  <c r="P917" i="13"/>
  <c r="P909" i="13"/>
  <c r="L909" i="13"/>
  <c r="L901" i="13"/>
  <c r="P901" i="13"/>
  <c r="P463" i="13"/>
  <c r="P541" i="13"/>
  <c r="P641" i="13"/>
  <c r="P601" i="13"/>
  <c r="P698" i="13"/>
  <c r="P826" i="13"/>
  <c r="L857" i="13"/>
  <c r="P934" i="13"/>
  <c r="L941" i="13"/>
  <c r="P964" i="13"/>
  <c r="L988" i="13"/>
  <c r="H6" i="36" s="1"/>
  <c r="N6" i="36" s="1"/>
  <c r="P1154" i="13"/>
  <c r="P1143" i="13"/>
  <c r="L1119" i="13"/>
  <c r="L1081" i="13"/>
  <c r="L1055" i="13"/>
  <c r="L1105" i="13"/>
  <c r="L1079" i="13"/>
  <c r="L1041" i="13"/>
  <c r="P1269" i="13"/>
  <c r="W56" i="15"/>
  <c r="P928" i="13"/>
  <c r="P912" i="13"/>
  <c r="L974" i="13"/>
  <c r="L349" i="13"/>
  <c r="P549" i="13"/>
  <c r="L533" i="13"/>
  <c r="P609" i="13"/>
  <c r="P593" i="13"/>
  <c r="P859" i="13"/>
  <c r="P850" i="13"/>
  <c r="P793" i="13"/>
  <c r="P927" i="13"/>
  <c r="P1170" i="13"/>
  <c r="L1157" i="13"/>
  <c r="L1141" i="13"/>
  <c r="I8" i="37" s="1"/>
  <c r="O8" i="37" s="1"/>
  <c r="L1127" i="13"/>
  <c r="I8" i="34" s="1"/>
  <c r="O8" i="34" s="1"/>
  <c r="L1089" i="13"/>
  <c r="L1063" i="13"/>
  <c r="I7" i="36" s="1"/>
  <c r="O7" i="36" s="1"/>
  <c r="L1025" i="13"/>
  <c r="P1265" i="13"/>
  <c r="L1113" i="13"/>
  <c r="L1049" i="13"/>
  <c r="P1176" i="13"/>
  <c r="W9" i="34"/>
  <c r="P425" i="13"/>
  <c r="P583" i="13"/>
  <c r="P572" i="13"/>
  <c r="P648" i="13"/>
  <c r="P632" i="13"/>
  <c r="L689" i="13"/>
  <c r="P875" i="13"/>
  <c r="P866" i="13"/>
  <c r="P811" i="13"/>
  <c r="P802" i="13"/>
  <c r="L919" i="13"/>
  <c r="P996" i="13"/>
  <c r="P982" i="13"/>
  <c r="L1017" i="13"/>
  <c r="P1146" i="13"/>
  <c r="P1137" i="13"/>
  <c r="P1121" i="13"/>
  <c r="P1073" i="13"/>
  <c r="P1057" i="13"/>
  <c r="P1033" i="13"/>
  <c r="L1111" i="13"/>
  <c r="L1047" i="13"/>
  <c r="I10" i="35" s="1"/>
  <c r="O10" i="35" s="1"/>
  <c r="P1277" i="13"/>
  <c r="P1261" i="13"/>
  <c r="L1270" i="13"/>
  <c r="L503" i="13"/>
  <c r="P581" i="13"/>
  <c r="P567" i="13"/>
  <c r="P617" i="13"/>
  <c r="P603" i="13"/>
  <c r="P684" i="13"/>
  <c r="L681" i="13"/>
  <c r="P827" i="13"/>
  <c r="P818" i="13"/>
  <c r="P809" i="13"/>
  <c r="P965" i="13"/>
  <c r="P951" i="13"/>
  <c r="L990" i="13"/>
  <c r="P1095" i="13"/>
  <c r="P1031" i="13"/>
  <c r="L1149" i="13"/>
  <c r="P1257" i="13"/>
  <c r="L892" i="13"/>
  <c r="P892" i="13"/>
  <c r="L884" i="13"/>
  <c r="P884" i="13"/>
  <c r="P943" i="13"/>
  <c r="L943" i="13"/>
  <c r="W6" i="34"/>
  <c r="L1018" i="13"/>
  <c r="P1018" i="13"/>
  <c r="L1010" i="13"/>
  <c r="P1010" i="13"/>
  <c r="L458" i="13"/>
  <c r="P458" i="13"/>
  <c r="P509" i="13"/>
  <c r="L509" i="13"/>
  <c r="P622" i="13"/>
  <c r="L176" i="13"/>
  <c r="L469" i="13"/>
  <c r="W8" i="34"/>
  <c r="L405" i="13"/>
  <c r="P405" i="13"/>
  <c r="L422" i="13"/>
  <c r="P422" i="13"/>
  <c r="L414" i="13"/>
  <c r="P414" i="13"/>
  <c r="L577" i="13"/>
  <c r="P577" i="13"/>
  <c r="L569" i="13"/>
  <c r="P569" i="13"/>
  <c r="L561" i="13"/>
  <c r="P561" i="13"/>
  <c r="L553" i="13"/>
  <c r="H4" i="35" s="1"/>
  <c r="N4" i="35" s="1"/>
  <c r="P553" i="13"/>
  <c r="L545" i="13"/>
  <c r="P545" i="13"/>
  <c r="L529" i="13"/>
  <c r="P529" i="13"/>
  <c r="L670" i="13"/>
  <c r="P670" i="13"/>
  <c r="L662" i="13"/>
  <c r="P662" i="13"/>
  <c r="P654" i="13"/>
  <c r="L654" i="13"/>
  <c r="P646" i="13"/>
  <c r="L646" i="13"/>
  <c r="L638" i="13"/>
  <c r="P638" i="13"/>
  <c r="L630" i="13"/>
  <c r="I5" i="33" s="1"/>
  <c r="O5" i="33" s="1"/>
  <c r="P630" i="13"/>
  <c r="L614" i="13"/>
  <c r="P614" i="13"/>
  <c r="P598" i="13"/>
  <c r="L598" i="13"/>
  <c r="L590" i="13"/>
  <c r="P590" i="13"/>
  <c r="L20" i="13"/>
  <c r="L219" i="13"/>
  <c r="L22" i="13"/>
  <c r="L209" i="13"/>
  <c r="H5" i="17" s="1"/>
  <c r="N5" i="17" s="1"/>
  <c r="P306" i="13"/>
  <c r="L306" i="13"/>
  <c r="L431" i="13"/>
  <c r="P431" i="13"/>
  <c r="L423" i="13"/>
  <c r="P423" i="13"/>
  <c r="P693" i="13"/>
  <c r="L693" i="13"/>
  <c r="L685" i="13"/>
  <c r="P685" i="13"/>
  <c r="L798" i="13"/>
  <c r="P798" i="13"/>
  <c r="P782" i="13"/>
  <c r="L782" i="13"/>
  <c r="I7" i="33" s="1"/>
  <c r="O7" i="33" s="1"/>
  <c r="W54" i="15"/>
  <c r="L188" i="13"/>
  <c r="L187" i="13"/>
  <c r="L3" i="13"/>
  <c r="L89" i="13"/>
  <c r="L85" i="13"/>
  <c r="L174" i="13"/>
  <c r="L218" i="13"/>
  <c r="L537" i="13"/>
  <c r="L179" i="13"/>
  <c r="L213" i="13"/>
  <c r="L438" i="13"/>
  <c r="P438" i="13"/>
  <c r="L771" i="13"/>
  <c r="P771" i="13"/>
  <c r="P871" i="13"/>
  <c r="P863" i="13"/>
  <c r="P855" i="13"/>
  <c r="P847" i="13"/>
  <c r="P839" i="13"/>
  <c r="P831" i="13"/>
  <c r="P823" i="13"/>
  <c r="P815" i="13"/>
  <c r="P807" i="13"/>
  <c r="L790" i="13"/>
  <c r="L307" i="13"/>
  <c r="L508" i="13"/>
  <c r="L578" i="13"/>
  <c r="W5" i="33"/>
  <c r="P661" i="13"/>
  <c r="P652" i="13"/>
  <c r="P597" i="13"/>
  <c r="P588" i="13"/>
  <c r="L671" i="13"/>
  <c r="P694" i="13"/>
  <c r="P686" i="13"/>
  <c r="L770" i="13"/>
  <c r="P882" i="13"/>
  <c r="P924" i="13"/>
  <c r="P998" i="13"/>
  <c r="L1000" i="13"/>
  <c r="L976" i="13"/>
  <c r="L985" i="13"/>
  <c r="P985" i="13"/>
  <c r="L969" i="13"/>
  <c r="P969" i="13"/>
  <c r="P1008" i="13"/>
  <c r="L1009" i="13"/>
  <c r="W2" i="28"/>
  <c r="L645" i="13"/>
  <c r="W37" i="31"/>
  <c r="L769" i="13"/>
  <c r="L764" i="13"/>
  <c r="L885" i="13"/>
  <c r="P885" i="13"/>
  <c r="W6" i="28"/>
  <c r="P406" i="13"/>
  <c r="P459" i="13"/>
  <c r="W36" i="31"/>
  <c r="L516" i="13"/>
  <c r="W4" i="34"/>
  <c r="P908" i="13"/>
  <c r="P922" i="13"/>
  <c r="L950" i="13"/>
  <c r="W7" i="34"/>
  <c r="L1168" i="13"/>
  <c r="P1168" i="13"/>
  <c r="P432" i="13"/>
  <c r="P424" i="13"/>
  <c r="L439" i="13"/>
  <c r="H51" i="15" s="1"/>
  <c r="N51" i="15" s="1"/>
  <c r="W37" i="27"/>
  <c r="W4" i="28"/>
  <c r="L546" i="13"/>
  <c r="L653" i="13"/>
  <c r="W5" i="36"/>
  <c r="L929" i="13"/>
  <c r="P929" i="13"/>
  <c r="P913" i="13"/>
  <c r="L913" i="13"/>
  <c r="W8" i="35"/>
  <c r="L381" i="13"/>
  <c r="L325" i="13"/>
  <c r="P404" i="13"/>
  <c r="P413" i="13"/>
  <c r="P457" i="13"/>
  <c r="L454" i="13"/>
  <c r="P487" i="13"/>
  <c r="P468" i="13"/>
  <c r="L465" i="13"/>
  <c r="H2" i="34" s="1"/>
  <c r="N2" i="34" s="1"/>
  <c r="P521" i="13"/>
  <c r="L515" i="13"/>
  <c r="L570" i="13"/>
  <c r="P664" i="13"/>
  <c r="P637" i="13"/>
  <c r="P628" i="13"/>
  <c r="P600" i="13"/>
  <c r="P591" i="13"/>
  <c r="L666" i="13"/>
  <c r="H52" i="15"/>
  <c r="N52" i="15" s="1"/>
  <c r="I6" i="33"/>
  <c r="O6" i="33" s="1"/>
  <c r="H6" i="33"/>
  <c r="N6" i="33" s="1"/>
  <c r="W6" i="33"/>
  <c r="W38" i="31"/>
  <c r="P796" i="13"/>
  <c r="P788" i="13"/>
  <c r="P780" i="13"/>
  <c r="P895" i="13"/>
  <c r="P916" i="13"/>
  <c r="P905" i="13"/>
  <c r="L922" i="13"/>
  <c r="L920" i="13"/>
  <c r="P920" i="13"/>
  <c r="L904" i="13"/>
  <c r="P904" i="13"/>
  <c r="L896" i="13"/>
  <c r="P949" i="13"/>
  <c r="W6" i="36"/>
  <c r="P1001" i="13"/>
  <c r="L1006" i="13"/>
  <c r="P1012" i="13"/>
  <c r="L1014" i="13"/>
  <c r="L1015" i="13"/>
  <c r="P1015" i="13"/>
  <c r="L1007" i="13"/>
  <c r="H56" i="15" s="1"/>
  <c r="N56" i="15" s="1"/>
  <c r="P1007" i="13"/>
  <c r="P403" i="13"/>
  <c r="P421" i="13"/>
  <c r="P412" i="13"/>
  <c r="P430" i="13"/>
  <c r="P437" i="13"/>
  <c r="W3" i="34"/>
  <c r="P579" i="13"/>
  <c r="P555" i="13"/>
  <c r="P539" i="13"/>
  <c r="P531" i="13"/>
  <c r="I4" i="28"/>
  <c r="O4" i="28" s="1"/>
  <c r="P663" i="13"/>
  <c r="P636" i="13"/>
  <c r="P599" i="13"/>
  <c r="W5" i="34"/>
  <c r="P944" i="13"/>
  <c r="P966" i="13"/>
  <c r="L960" i="13"/>
  <c r="L308" i="13"/>
  <c r="P301" i="13"/>
  <c r="L365" i="13"/>
  <c r="P420" i="13"/>
  <c r="P411" i="13"/>
  <c r="P481" i="13"/>
  <c r="P554" i="13"/>
  <c r="P530" i="13"/>
  <c r="P616" i="13"/>
  <c r="P589" i="13"/>
  <c r="P687" i="13"/>
  <c r="P678" i="13"/>
  <c r="P794" i="13"/>
  <c r="P786" i="13"/>
  <c r="P778" i="13"/>
  <c r="L902" i="13"/>
  <c r="I5" i="34" s="1"/>
  <c r="O5" i="34" s="1"/>
  <c r="P902" i="13"/>
  <c r="W55" i="15"/>
  <c r="P953" i="13"/>
  <c r="L958" i="13"/>
  <c r="L994" i="13"/>
  <c r="P994" i="13"/>
  <c r="P978" i="13"/>
  <c r="L978" i="13"/>
  <c r="P1192" i="13"/>
  <c r="L1207" i="13"/>
  <c r="L1280" i="13"/>
  <c r="L1262" i="13"/>
  <c r="H9" i="34"/>
  <c r="N9" i="34" s="1"/>
  <c r="L1171" i="13"/>
  <c r="L1072" i="13"/>
  <c r="W7" i="28"/>
  <c r="W57" i="15"/>
  <c r="P1188" i="13"/>
  <c r="L1204" i="13"/>
  <c r="L1194" i="13"/>
  <c r="L1184" i="13"/>
  <c r="P1274" i="13"/>
  <c r="P1266" i="13"/>
  <c r="P1250" i="13"/>
  <c r="P1242" i="13"/>
  <c r="L1278" i="13"/>
  <c r="L1260" i="13"/>
  <c r="I7" i="34"/>
  <c r="O7" i="34" s="1"/>
  <c r="P1200" i="13"/>
  <c r="P1272" i="13"/>
  <c r="P1264" i="13"/>
  <c r="W58" i="15"/>
  <c r="P1152" i="13"/>
  <c r="W8" i="37"/>
  <c r="L1188" i="13"/>
  <c r="L1268" i="13"/>
  <c r="I11" i="35"/>
  <c r="O11" i="35" s="1"/>
  <c r="P1208" i="13"/>
  <c r="L1199" i="13"/>
  <c r="I9" i="34"/>
  <c r="O9" i="34" s="1"/>
  <c r="N2" i="19"/>
  <c r="W10" i="33"/>
  <c r="W9" i="33"/>
  <c r="W8" i="33"/>
  <c r="W4" i="33"/>
  <c r="H8" i="33"/>
  <c r="N8" i="33" s="1"/>
  <c r="I8" i="33"/>
  <c r="O8" i="33" s="1"/>
  <c r="H5" i="33"/>
  <c r="N5" i="33" s="1"/>
  <c r="W7" i="33"/>
  <c r="H10" i="35"/>
  <c r="N10" i="35" s="1"/>
  <c r="J11" i="35"/>
  <c r="P11" i="35" s="1"/>
  <c r="S11" i="35"/>
  <c r="Z11" i="35" s="1"/>
  <c r="W7" i="35"/>
  <c r="W6" i="35"/>
  <c r="W5" i="35"/>
  <c r="W4" i="35"/>
  <c r="H6" i="35"/>
  <c r="N6" i="35" s="1"/>
  <c r="I6" i="35"/>
  <c r="O6" i="35" s="1"/>
  <c r="W11" i="35"/>
  <c r="W3" i="35"/>
  <c r="H5" i="35"/>
  <c r="N5" i="35" s="1"/>
  <c r="I5" i="35"/>
  <c r="O5" i="35" s="1"/>
  <c r="W10" i="35"/>
  <c r="E11" i="35"/>
  <c r="W9" i="35"/>
  <c r="H11" i="35"/>
  <c r="N11" i="35" s="1"/>
  <c r="H8" i="36"/>
  <c r="N8" i="36" s="1"/>
  <c r="I8" i="36"/>
  <c r="O8" i="36" s="1"/>
  <c r="W8" i="36"/>
  <c r="H7" i="36"/>
  <c r="N7" i="36" s="1"/>
  <c r="W7" i="36"/>
  <c r="W4" i="36"/>
  <c r="H3" i="29"/>
  <c r="I6" i="37"/>
  <c r="O6" i="37" s="1"/>
  <c r="J5" i="37"/>
  <c r="P5" i="37" s="1"/>
  <c r="S5" i="37"/>
  <c r="Z5" i="37" s="1"/>
  <c r="W7" i="37"/>
  <c r="I5" i="37"/>
  <c r="O5" i="37" s="1"/>
  <c r="W6" i="37"/>
  <c r="H5" i="37"/>
  <c r="N5" i="37" s="1"/>
  <c r="I4" i="37"/>
  <c r="O4" i="37" s="1"/>
  <c r="W5" i="37"/>
  <c r="H4" i="37"/>
  <c r="N4" i="37" s="1"/>
  <c r="I3" i="37"/>
  <c r="O3" i="37" s="1"/>
  <c r="W4" i="37"/>
  <c r="W3" i="37"/>
  <c r="D5" i="37"/>
  <c r="I9" i="37"/>
  <c r="O9" i="37" s="1"/>
  <c r="H9" i="37"/>
  <c r="N9" i="37" s="1"/>
  <c r="W9" i="37"/>
  <c r="I5" i="28"/>
  <c r="O5" i="28" s="1"/>
  <c r="H7" i="28"/>
  <c r="N7" i="28" s="1"/>
  <c r="W5" i="28"/>
  <c r="W9" i="28"/>
  <c r="W8" i="28"/>
  <c r="I7" i="28"/>
  <c r="O7" i="28" s="1"/>
  <c r="W3" i="28"/>
  <c r="H4" i="28"/>
  <c r="N4" i="28" s="1"/>
  <c r="W38" i="27"/>
  <c r="H37" i="31"/>
  <c r="N37" i="31" s="1"/>
  <c r="W53" i="15"/>
  <c r="H57" i="15"/>
  <c r="N57" i="15" s="1"/>
  <c r="W52" i="15"/>
  <c r="P1205" i="13"/>
  <c r="P1197" i="13"/>
  <c r="P1189" i="13"/>
  <c r="P1181" i="13"/>
  <c r="P1173" i="13"/>
  <c r="L1206" i="13"/>
  <c r="L1198" i="13"/>
  <c r="L1190" i="13"/>
  <c r="L1182" i="13"/>
  <c r="L1174" i="13"/>
  <c r="H10" i="33" s="1"/>
  <c r="N10" i="33" s="1"/>
  <c r="P1167" i="13"/>
  <c r="P1159" i="13"/>
  <c r="P1151" i="13"/>
  <c r="L1019" i="13"/>
  <c r="L1016" i="13"/>
  <c r="P1003" i="13"/>
  <c r="L1003" i="13"/>
  <c r="H6" i="37" s="1"/>
  <c r="N6" i="37" s="1"/>
  <c r="P995" i="13"/>
  <c r="L995" i="13"/>
  <c r="P987" i="13"/>
  <c r="L987" i="13"/>
  <c r="P979" i="13"/>
  <c r="L979" i="13"/>
  <c r="P963" i="13"/>
  <c r="L963" i="13"/>
  <c r="P955" i="13"/>
  <c r="L955" i="13"/>
  <c r="P971" i="13"/>
  <c r="L971" i="13"/>
  <c r="P945" i="13"/>
  <c r="P937" i="13"/>
  <c r="L947" i="13"/>
  <c r="L946" i="13"/>
  <c r="L938" i="13"/>
  <c r="H55" i="15" s="1"/>
  <c r="N55" i="15" s="1"/>
  <c r="P931" i="13"/>
  <c r="P923" i="13"/>
  <c r="P915" i="13"/>
  <c r="P907" i="13"/>
  <c r="P899" i="13"/>
  <c r="P772" i="13"/>
  <c r="P764" i="13"/>
  <c r="L774" i="13"/>
  <c r="I38" i="31" s="1"/>
  <c r="O38" i="31" s="1"/>
  <c r="L773" i="13"/>
  <c r="L765" i="13"/>
  <c r="L695" i="13"/>
  <c r="L679" i="13"/>
  <c r="L658" i="13"/>
  <c r="L626" i="13"/>
  <c r="L674" i="13"/>
  <c r="L642" i="13"/>
  <c r="L610" i="13"/>
  <c r="P650" i="13"/>
  <c r="P618" i="13"/>
  <c r="P602" i="13"/>
  <c r="P594" i="13"/>
  <c r="P586" i="13"/>
  <c r="L130" i="13"/>
  <c r="L46" i="13"/>
  <c r="L90" i="13"/>
  <c r="L182" i="13"/>
  <c r="L206" i="13"/>
  <c r="L221" i="13"/>
  <c r="L313" i="13"/>
  <c r="L373" i="13"/>
  <c r="L350" i="13"/>
  <c r="L327" i="13"/>
  <c r="P399" i="13"/>
  <c r="L391" i="13"/>
  <c r="L443" i="13"/>
  <c r="P484" i="13"/>
  <c r="L498" i="13"/>
  <c r="I3" i="38" s="1"/>
  <c r="O3" i="38" s="1"/>
  <c r="L485" i="13"/>
  <c r="L473" i="13"/>
  <c r="L511" i="13"/>
  <c r="L367" i="13"/>
  <c r="P398" i="13"/>
  <c r="L390" i="13"/>
  <c r="W3" i="33"/>
  <c r="L483" i="13"/>
  <c r="P519" i="13"/>
  <c r="W3" i="38"/>
  <c r="L493" i="13"/>
  <c r="L418" i="13"/>
  <c r="I34" i="31" s="1"/>
  <c r="O34" i="31" s="1"/>
  <c r="L108" i="13"/>
  <c r="L216" i="13"/>
  <c r="L407" i="13"/>
  <c r="L122" i="13"/>
  <c r="L335" i="13"/>
  <c r="L477" i="13"/>
  <c r="H3" i="35" s="1"/>
  <c r="N3" i="35" s="1"/>
  <c r="L55" i="13"/>
  <c r="L93" i="13"/>
  <c r="L119" i="13"/>
  <c r="L192" i="13"/>
  <c r="L301" i="13"/>
  <c r="L375" i="13"/>
  <c r="L357" i="13"/>
  <c r="L334" i="13"/>
  <c r="I2" i="33" s="1"/>
  <c r="O2" i="33" s="1"/>
  <c r="P389" i="13"/>
  <c r="P444" i="13"/>
  <c r="P500" i="13"/>
  <c r="P474" i="13"/>
  <c r="L501" i="13"/>
  <c r="L475" i="13"/>
  <c r="P510" i="13"/>
  <c r="L21" i="13"/>
  <c r="L78" i="13"/>
  <c r="L107" i="13"/>
  <c r="L217" i="13"/>
  <c r="L73" i="13"/>
  <c r="L77" i="13"/>
  <c r="L106" i="13"/>
  <c r="L154" i="13"/>
  <c r="L196" i="13"/>
  <c r="L359" i="13"/>
  <c r="L64" i="13"/>
  <c r="L76" i="13"/>
  <c r="L165" i="13"/>
  <c r="L193" i="13"/>
  <c r="L358" i="13"/>
  <c r="W51" i="15"/>
  <c r="L49" i="13"/>
  <c r="L91" i="13"/>
  <c r="L183" i="13"/>
  <c r="L191" i="13"/>
  <c r="L374" i="13"/>
  <c r="L351" i="13"/>
  <c r="L333" i="13"/>
  <c r="L392" i="13"/>
  <c r="H36" i="27" s="1"/>
  <c r="N36" i="27" s="1"/>
  <c r="P451" i="13"/>
  <c r="L499" i="13"/>
  <c r="L195" i="13"/>
  <c r="P401" i="13"/>
  <c r="L401" i="13"/>
  <c r="L173" i="13"/>
  <c r="P377" i="13"/>
  <c r="L377" i="13"/>
  <c r="L88" i="13"/>
  <c r="L133" i="13"/>
  <c r="P378" i="13"/>
  <c r="L378" i="13"/>
  <c r="P354" i="13"/>
  <c r="L354" i="13"/>
  <c r="P338" i="13"/>
  <c r="L338" i="13"/>
  <c r="L79" i="13"/>
  <c r="L146" i="13"/>
  <c r="P311" i="13"/>
  <c r="L311" i="13"/>
  <c r="L156" i="13"/>
  <c r="P385" i="13"/>
  <c r="L385" i="13"/>
  <c r="P369" i="13"/>
  <c r="L369" i="13"/>
  <c r="P361" i="13"/>
  <c r="L361" i="13"/>
  <c r="P353" i="13"/>
  <c r="L353" i="13"/>
  <c r="P345" i="13"/>
  <c r="L345" i="13"/>
  <c r="P337" i="13"/>
  <c r="L337" i="13"/>
  <c r="P329" i="13"/>
  <c r="L329" i="13"/>
  <c r="P321" i="13"/>
  <c r="L321" i="13"/>
  <c r="L94" i="13"/>
  <c r="L86" i="13"/>
  <c r="L111" i="13"/>
  <c r="L160" i="13"/>
  <c r="L172" i="13"/>
  <c r="L194" i="13"/>
  <c r="L199" i="13"/>
  <c r="L205" i="13"/>
  <c r="T32" i="18" s="1"/>
  <c r="Y32" i="18" s="1"/>
  <c r="P409" i="13"/>
  <c r="L409" i="13"/>
  <c r="P303" i="13"/>
  <c r="L303" i="13"/>
  <c r="L98" i="13"/>
  <c r="L167" i="13"/>
  <c r="L204" i="13"/>
  <c r="P304" i="13"/>
  <c r="L304" i="13"/>
  <c r="L150" i="13"/>
  <c r="L142" i="13"/>
  <c r="L80" i="13"/>
  <c r="P312" i="13"/>
  <c r="L312" i="13"/>
  <c r="P386" i="13"/>
  <c r="L386" i="13"/>
  <c r="P362" i="13"/>
  <c r="L362" i="13"/>
  <c r="P346" i="13"/>
  <c r="L346" i="13"/>
  <c r="P322" i="13"/>
  <c r="L322" i="13"/>
  <c r="L112" i="13"/>
  <c r="L92" i="13"/>
  <c r="L215" i="13"/>
  <c r="T46" i="19" s="1"/>
  <c r="Y46" i="19" s="1"/>
  <c r="L82" i="13"/>
  <c r="L127" i="13"/>
  <c r="L164" i="13"/>
  <c r="L177" i="13"/>
  <c r="L178" i="13"/>
  <c r="L197" i="13"/>
  <c r="L207" i="13"/>
  <c r="L395" i="13"/>
  <c r="P395" i="13"/>
  <c r="P370" i="13"/>
  <c r="L370" i="13"/>
  <c r="P330" i="13"/>
  <c r="L330" i="13"/>
  <c r="L147" i="13"/>
  <c r="L180" i="13"/>
  <c r="L185" i="13"/>
  <c r="H4" i="17" s="1"/>
  <c r="N4" i="17" s="1"/>
  <c r="L148" i="13"/>
  <c r="L157" i="13"/>
  <c r="L220" i="13"/>
  <c r="P394" i="13"/>
  <c r="L394" i="13"/>
  <c r="L410" i="13"/>
  <c r="P410" i="13"/>
  <c r="L402" i="13"/>
  <c r="H49" i="15" s="1"/>
  <c r="N49" i="15" s="1"/>
  <c r="P402" i="13"/>
  <c r="P393" i="13"/>
  <c r="P408" i="13"/>
  <c r="P400" i="13"/>
  <c r="P448" i="13"/>
  <c r="P440" i="13"/>
  <c r="L450" i="13"/>
  <c r="H3" i="33" s="1"/>
  <c r="N3" i="33" s="1"/>
  <c r="L58" i="13"/>
  <c r="L384" i="13"/>
  <c r="L376" i="13"/>
  <c r="L368" i="13"/>
  <c r="L360" i="13"/>
  <c r="L352" i="13"/>
  <c r="L344" i="13"/>
  <c r="L336" i="13"/>
  <c r="L328" i="13"/>
  <c r="L320" i="13"/>
  <c r="P491" i="13"/>
  <c r="P506" i="13"/>
  <c r="P514" i="13"/>
  <c r="L109" i="13"/>
  <c r="L380" i="13"/>
  <c r="L372" i="13"/>
  <c r="L364" i="13"/>
  <c r="L356" i="13"/>
  <c r="L348" i="13"/>
  <c r="L340" i="13"/>
  <c r="L332" i="13"/>
  <c r="L324" i="13"/>
  <c r="L316" i="13"/>
  <c r="L442" i="13"/>
  <c r="L83" i="13"/>
  <c r="L87" i="13"/>
  <c r="L149" i="13"/>
  <c r="L141" i="13"/>
  <c r="L171" i="13"/>
  <c r="L181" i="13"/>
  <c r="L190" i="13"/>
  <c r="L211" i="13"/>
  <c r="L203" i="13"/>
  <c r="L387" i="13"/>
  <c r="L379" i="13"/>
  <c r="L371" i="13"/>
  <c r="L363" i="13"/>
  <c r="L355" i="13"/>
  <c r="L347" i="13"/>
  <c r="L339" i="13"/>
  <c r="L331" i="13"/>
  <c r="L323" i="13"/>
  <c r="L315" i="13"/>
  <c r="I2" i="28" s="1"/>
  <c r="O2" i="28" s="1"/>
  <c r="L449" i="13"/>
  <c r="L441" i="13"/>
  <c r="P502" i="13"/>
  <c r="P494" i="13"/>
  <c r="P486" i="13"/>
  <c r="P478" i="13"/>
  <c r="P470" i="13"/>
  <c r="P462" i="13"/>
  <c r="P517" i="13"/>
  <c r="L26" i="13"/>
  <c r="L163" i="13"/>
  <c r="H3" i="17" s="1"/>
  <c r="N3" i="17" s="1"/>
  <c r="L388" i="13"/>
  <c r="L170" i="13"/>
  <c r="L210" i="13"/>
  <c r="L202" i="13"/>
  <c r="L214" i="13"/>
  <c r="L310" i="13"/>
  <c r="L302" i="13"/>
  <c r="P516" i="13"/>
  <c r="L523" i="13"/>
  <c r="L512" i="13"/>
  <c r="H37" i="27" s="1"/>
  <c r="N37" i="27" s="1"/>
  <c r="H2" i="28"/>
  <c r="N2" i="28" s="1"/>
  <c r="P314" i="13"/>
  <c r="W36" i="27"/>
  <c r="I3" i="28"/>
  <c r="O3" i="28" s="1"/>
  <c r="H3" i="28"/>
  <c r="N3" i="28" s="1"/>
  <c r="W34" i="31"/>
  <c r="W49" i="15"/>
  <c r="I36" i="27"/>
  <c r="O36" i="27" s="1"/>
  <c r="W2" i="38"/>
  <c r="H2" i="38"/>
  <c r="N2" i="38" s="1"/>
  <c r="W2" i="37"/>
  <c r="W2" i="36"/>
  <c r="W2" i="35"/>
  <c r="W2" i="34"/>
  <c r="I2" i="34"/>
  <c r="O2" i="34" s="1"/>
  <c r="W2" i="33"/>
  <c r="H2" i="33"/>
  <c r="N2" i="33" s="1"/>
  <c r="W35" i="31"/>
  <c r="W2" i="29"/>
  <c r="I2" i="29"/>
  <c r="E3" i="29"/>
  <c r="D3" i="29"/>
  <c r="W10" i="28"/>
  <c r="T7" i="17"/>
  <c r="T39" i="19"/>
  <c r="Y39" i="19" s="1"/>
  <c r="T42" i="19"/>
  <c r="Y42" i="19" s="1"/>
  <c r="T4" i="17"/>
  <c r="Y4" i="17" s="1"/>
  <c r="H32" i="18"/>
  <c r="N32" i="18" s="1"/>
  <c r="T34" i="18"/>
  <c r="T31" i="18"/>
  <c r="Y31" i="18" s="1"/>
  <c r="W59" i="15"/>
  <c r="P258" i="13"/>
  <c r="L74" i="13"/>
  <c r="L72" i="13"/>
  <c r="L71" i="13"/>
  <c r="L70" i="13"/>
  <c r="L69" i="13"/>
  <c r="L68" i="13"/>
  <c r="H26" i="18" s="1"/>
  <c r="N26" i="18" s="1"/>
  <c r="L66" i="13"/>
  <c r="L65" i="13"/>
  <c r="L63" i="13"/>
  <c r="L62" i="13"/>
  <c r="L61" i="13"/>
  <c r="L60" i="13"/>
  <c r="L59" i="13"/>
  <c r="L57" i="13"/>
  <c r="L56" i="13"/>
  <c r="L54" i="13"/>
  <c r="L53" i="13"/>
  <c r="L52" i="13"/>
  <c r="L51" i="13"/>
  <c r="L50" i="13"/>
  <c r="L48" i="13"/>
  <c r="L47" i="13"/>
  <c r="L45" i="13"/>
  <c r="L44" i="13"/>
  <c r="L43" i="13"/>
  <c r="L42" i="13"/>
  <c r="L41" i="13"/>
  <c r="L103" i="13"/>
  <c r="L102" i="13"/>
  <c r="L100" i="13"/>
  <c r="L97" i="13"/>
  <c r="L96" i="13"/>
  <c r="L123" i="13"/>
  <c r="L121" i="13"/>
  <c r="L120" i="13"/>
  <c r="L118" i="13"/>
  <c r="L117" i="13"/>
  <c r="L115" i="13"/>
  <c r="L114" i="13"/>
  <c r="L134" i="13"/>
  <c r="L132" i="13"/>
  <c r="L131" i="13"/>
  <c r="L129" i="13"/>
  <c r="L128" i="13"/>
  <c r="L126" i="13"/>
  <c r="L125" i="13"/>
  <c r="L152" i="13"/>
  <c r="T30" i="18" s="1"/>
  <c r="G29" i="26"/>
  <c r="H29" i="26" s="1"/>
  <c r="G28" i="26"/>
  <c r="H28" i="26" s="1"/>
  <c r="G27" i="26"/>
  <c r="H27" i="26" s="1"/>
  <c r="G26" i="26"/>
  <c r="H26" i="26" s="1"/>
  <c r="G25" i="26"/>
  <c r="H25" i="26" s="1"/>
  <c r="G24" i="26"/>
  <c r="H24" i="26" s="1"/>
  <c r="G23" i="26"/>
  <c r="H23" i="26" s="1"/>
  <c r="G22" i="26"/>
  <c r="H22" i="26" s="1"/>
  <c r="G21" i="26"/>
  <c r="H21" i="26" s="1"/>
  <c r="G20" i="26"/>
  <c r="H20" i="26" s="1"/>
  <c r="G19" i="26"/>
  <c r="H19" i="26" s="1"/>
  <c r="G18" i="26"/>
  <c r="H18" i="26" s="1"/>
  <c r="G17" i="26"/>
  <c r="H17" i="26" s="1"/>
  <c r="G16" i="26"/>
  <c r="H16" i="26" s="1"/>
  <c r="G15" i="26"/>
  <c r="H15" i="26" s="1"/>
  <c r="G14" i="26"/>
  <c r="H14" i="26" s="1"/>
  <c r="D2" i="19"/>
  <c r="G13" i="26"/>
  <c r="H13" i="26" s="1"/>
  <c r="G12" i="26"/>
  <c r="H12" i="26" s="1"/>
  <c r="G11" i="26"/>
  <c r="H11" i="26" s="1"/>
  <c r="G10" i="26"/>
  <c r="H10" i="26" s="1"/>
  <c r="G9" i="26"/>
  <c r="H9" i="26" s="1"/>
  <c r="G8" i="26"/>
  <c r="H8" i="26" s="1"/>
  <c r="G7" i="26"/>
  <c r="H7" i="26" s="1"/>
  <c r="G6" i="26"/>
  <c r="H6" i="26" s="1"/>
  <c r="G5" i="26"/>
  <c r="H5" i="26" s="1"/>
  <c r="G4" i="26"/>
  <c r="H4" i="26" s="1"/>
  <c r="G3" i="26"/>
  <c r="H3" i="26" s="1"/>
  <c r="L139" i="13"/>
  <c r="L138" i="13"/>
  <c r="L137" i="13"/>
  <c r="L136" i="13"/>
  <c r="L135" i="13"/>
  <c r="T2" i="17" s="1"/>
  <c r="Y2" i="17" s="1"/>
  <c r="L153" i="13"/>
  <c r="L161" i="13"/>
  <c r="L158" i="13"/>
  <c r="L155" i="13"/>
  <c r="L300" i="13"/>
  <c r="L238" i="13"/>
  <c r="L299" i="13"/>
  <c r="L298" i="13"/>
  <c r="L297" i="13"/>
  <c r="H7" i="17" s="1"/>
  <c r="L296" i="13"/>
  <c r="L295" i="13"/>
  <c r="L294" i="13"/>
  <c r="L293" i="13"/>
  <c r="L292" i="13"/>
  <c r="L291" i="13"/>
  <c r="L290" i="13"/>
  <c r="L289" i="13"/>
  <c r="H34" i="18" s="1"/>
  <c r="L288" i="13"/>
  <c r="L287" i="13"/>
  <c r="L286" i="13"/>
  <c r="L285" i="13"/>
  <c r="L284" i="13"/>
  <c r="L282" i="13"/>
  <c r="L281" i="13"/>
  <c r="L280" i="13"/>
  <c r="I10" i="28" s="1"/>
  <c r="L279" i="13"/>
  <c r="L278" i="13"/>
  <c r="L277" i="13"/>
  <c r="L276" i="13"/>
  <c r="L275" i="13"/>
  <c r="L274" i="13"/>
  <c r="L273" i="13"/>
  <c r="H10" i="28" s="1"/>
  <c r="N10" i="28" s="1"/>
  <c r="L271" i="13"/>
  <c r="L270" i="13"/>
  <c r="L269" i="13"/>
  <c r="L268" i="13"/>
  <c r="L267" i="13"/>
  <c r="L266" i="13"/>
  <c r="L265" i="13"/>
  <c r="L264" i="13"/>
  <c r="L263" i="13"/>
  <c r="L262" i="13"/>
  <c r="L261" i="13"/>
  <c r="L260" i="13"/>
  <c r="L259" i="13"/>
  <c r="L258" i="13"/>
  <c r="L257" i="13"/>
  <c r="L256" i="13"/>
  <c r="L255" i="13"/>
  <c r="L254" i="13"/>
  <c r="L253" i="13"/>
  <c r="L252" i="13"/>
  <c r="L251" i="13"/>
  <c r="L250" i="13"/>
  <c r="L249" i="13"/>
  <c r="L248" i="13"/>
  <c r="L247" i="13"/>
  <c r="L246" i="13"/>
  <c r="L245" i="13"/>
  <c r="L244" i="13"/>
  <c r="L243" i="13"/>
  <c r="L242" i="13"/>
  <c r="L241" i="13"/>
  <c r="L240" i="13"/>
  <c r="L239" i="13"/>
  <c r="H2" i="16" s="1"/>
  <c r="N2" i="16" s="1"/>
  <c r="L235" i="13"/>
  <c r="L234" i="13"/>
  <c r="L233" i="13"/>
  <c r="L228" i="13"/>
  <c r="L232" i="13"/>
  <c r="L231" i="13"/>
  <c r="L230" i="13"/>
  <c r="L229" i="13"/>
  <c r="L227" i="13"/>
  <c r="L226" i="13"/>
  <c r="L225" i="13"/>
  <c r="L224" i="13"/>
  <c r="L223" i="13"/>
  <c r="L222" i="13"/>
  <c r="L8" i="13"/>
  <c r="L7" i="13"/>
  <c r="L6" i="13"/>
  <c r="L5" i="13"/>
  <c r="T2" i="14" s="1"/>
  <c r="L4" i="13"/>
  <c r="L236" i="13"/>
  <c r="L13" i="13"/>
  <c r="L12" i="13"/>
  <c r="L11" i="13"/>
  <c r="L10" i="13"/>
  <c r="L9" i="13"/>
  <c r="L237" i="13"/>
  <c r="L40" i="13"/>
  <c r="L39" i="13"/>
  <c r="L38" i="13"/>
  <c r="L37" i="13"/>
  <c r="L36" i="13"/>
  <c r="L35" i="13"/>
  <c r="L34" i="13"/>
  <c r="L33" i="13"/>
  <c r="L32" i="13"/>
  <c r="L31" i="13"/>
  <c r="L30" i="13"/>
  <c r="L29" i="13"/>
  <c r="L28" i="13"/>
  <c r="L27" i="13"/>
  <c r="I35" i="27" s="1"/>
  <c r="L18" i="13"/>
  <c r="L17" i="13"/>
  <c r="L16" i="13"/>
  <c r="L15" i="13"/>
  <c r="L14" i="13"/>
  <c r="L2" i="13"/>
  <c r="AB4" i="38" l="1"/>
  <c r="AC4" i="38"/>
  <c r="AB6" i="38"/>
  <c r="AC6" i="38"/>
  <c r="AM17" i="31"/>
  <c r="AL7" i="15"/>
  <c r="Q6" i="18"/>
  <c r="R6" i="18" s="1"/>
  <c r="F12" i="27"/>
  <c r="AK12" i="27" s="1"/>
  <c r="AM33" i="31"/>
  <c r="AN33" i="31" s="1"/>
  <c r="Q10" i="18"/>
  <c r="R10" i="18" s="1"/>
  <c r="Q4" i="18"/>
  <c r="R4" i="18" s="1"/>
  <c r="Q13" i="18"/>
  <c r="R13" i="18" s="1"/>
  <c r="F8" i="15"/>
  <c r="AJ8" i="15" s="1"/>
  <c r="Q15" i="18"/>
  <c r="R15" i="18" s="1"/>
  <c r="L17" i="31"/>
  <c r="Q17" i="31" s="1"/>
  <c r="R17" i="31" s="1"/>
  <c r="AN17" i="31"/>
  <c r="Q20" i="31"/>
  <c r="R20" i="31" s="1"/>
  <c r="AK20" i="31"/>
  <c r="L7" i="15"/>
  <c r="Q33" i="31"/>
  <c r="R33" i="31" s="1"/>
  <c r="M7" i="15"/>
  <c r="L7" i="31"/>
  <c r="Q7" i="31" s="1"/>
  <c r="R7" i="31" s="1"/>
  <c r="AK7" i="31"/>
  <c r="AK32" i="31"/>
  <c r="AM32" i="31" s="1"/>
  <c r="L32" i="31"/>
  <c r="Q32" i="31" s="1"/>
  <c r="R32" i="31" s="1"/>
  <c r="L28" i="31"/>
  <c r="Q28" i="31" s="1"/>
  <c r="R28" i="31" s="1"/>
  <c r="AK28" i="31"/>
  <c r="AM28" i="31" s="1"/>
  <c r="L2" i="31"/>
  <c r="Q2" i="31" s="1"/>
  <c r="R2" i="31" s="1"/>
  <c r="AN2" i="31"/>
  <c r="L11" i="31"/>
  <c r="Q11" i="31" s="1"/>
  <c r="R11" i="31" s="1"/>
  <c r="AK11" i="31"/>
  <c r="AK31" i="31"/>
  <c r="L31" i="31"/>
  <c r="Q31" i="31" s="1"/>
  <c r="R31" i="31" s="1"/>
  <c r="AK30" i="31"/>
  <c r="AM30" i="31" s="1"/>
  <c r="L30" i="31"/>
  <c r="Q30" i="31" s="1"/>
  <c r="R30" i="31" s="1"/>
  <c r="L13" i="31"/>
  <c r="Q13" i="31" s="1"/>
  <c r="R13" i="31" s="1"/>
  <c r="AK13" i="31"/>
  <c r="AK24" i="31"/>
  <c r="L24" i="31"/>
  <c r="Q24" i="31" s="1"/>
  <c r="R24" i="31" s="1"/>
  <c r="L16" i="31"/>
  <c r="Q16" i="31" s="1"/>
  <c r="R16" i="31" s="1"/>
  <c r="AK16" i="31"/>
  <c r="AM16" i="31" s="1"/>
  <c r="AK29" i="31"/>
  <c r="L29" i="31"/>
  <c r="Q29" i="31" s="1"/>
  <c r="R29" i="31" s="1"/>
  <c r="L5" i="31"/>
  <c r="Q5" i="31" s="1"/>
  <c r="R5" i="31" s="1"/>
  <c r="AK5" i="31"/>
  <c r="L26" i="31"/>
  <c r="Q26" i="31" s="1"/>
  <c r="R26" i="31" s="1"/>
  <c r="AK26" i="31"/>
  <c r="L19" i="31"/>
  <c r="Q19" i="31" s="1"/>
  <c r="R19" i="31" s="1"/>
  <c r="AK19" i="31"/>
  <c r="AM19" i="31" s="1"/>
  <c r="L8" i="31"/>
  <c r="Q8" i="31" s="1"/>
  <c r="R8" i="31" s="1"/>
  <c r="AK8" i="31"/>
  <c r="L14" i="31"/>
  <c r="Q14" i="31" s="1"/>
  <c r="R14" i="31" s="1"/>
  <c r="AK14" i="31"/>
  <c r="AK27" i="31"/>
  <c r="L27" i="31"/>
  <c r="Q27" i="31" s="1"/>
  <c r="R27" i="31" s="1"/>
  <c r="L9" i="31"/>
  <c r="AK9" i="31"/>
  <c r="AM9" i="31" s="1"/>
  <c r="L6" i="31"/>
  <c r="Q6" i="31" s="1"/>
  <c r="R6" i="31" s="1"/>
  <c r="AK6" i="31"/>
  <c r="L12" i="31"/>
  <c r="Q12" i="31" s="1"/>
  <c r="R12" i="31" s="1"/>
  <c r="AK12" i="31"/>
  <c r="AK22" i="31"/>
  <c r="L22" i="31"/>
  <c r="Q22" i="31" s="1"/>
  <c r="R22" i="31" s="1"/>
  <c r="L15" i="31"/>
  <c r="Q15" i="31" s="1"/>
  <c r="R15" i="31" s="1"/>
  <c r="AK15" i="31"/>
  <c r="AM15" i="31" s="1"/>
  <c r="L4" i="31"/>
  <c r="Q4" i="31" s="1"/>
  <c r="R4" i="31" s="1"/>
  <c r="AK4" i="31"/>
  <c r="AM4" i="31" s="1"/>
  <c r="L10" i="31"/>
  <c r="Q10" i="31" s="1"/>
  <c r="R10" i="31" s="1"/>
  <c r="AK10" i="31"/>
  <c r="L21" i="31"/>
  <c r="Q21" i="31" s="1"/>
  <c r="R21" i="31" s="1"/>
  <c r="AK21" i="31"/>
  <c r="AK23" i="31"/>
  <c r="AM23" i="31" s="1"/>
  <c r="L23" i="31"/>
  <c r="Q23" i="31" s="1"/>
  <c r="R23" i="31" s="1"/>
  <c r="L3" i="31"/>
  <c r="Q3" i="31" s="1"/>
  <c r="R3" i="31" s="1"/>
  <c r="AK3" i="31"/>
  <c r="AM3" i="31" s="1"/>
  <c r="AK25" i="31"/>
  <c r="AM25" i="31" s="1"/>
  <c r="L25" i="31"/>
  <c r="Q25" i="31" s="1"/>
  <c r="R25" i="31" s="1"/>
  <c r="L18" i="31"/>
  <c r="Q18" i="31" s="1"/>
  <c r="R18" i="31" s="1"/>
  <c r="AK18" i="31"/>
  <c r="Q9" i="31"/>
  <c r="R9" i="31" s="1"/>
  <c r="F19" i="15"/>
  <c r="AJ19" i="15" s="1"/>
  <c r="F27" i="27"/>
  <c r="AK27" i="27" s="1"/>
  <c r="AM27" i="27" s="1"/>
  <c r="F48" i="15"/>
  <c r="L48" i="15" s="1"/>
  <c r="M48" i="15"/>
  <c r="K8" i="15" a="1"/>
  <c r="K8" i="15" s="1"/>
  <c r="L14" i="15"/>
  <c r="AJ34" i="15"/>
  <c r="F9" i="15"/>
  <c r="AJ9" i="15" s="1"/>
  <c r="F22" i="27"/>
  <c r="AK22" i="27" s="1"/>
  <c r="F18" i="27"/>
  <c r="L18" i="27" s="1"/>
  <c r="Q18" i="27" s="1"/>
  <c r="R18" i="27" s="1"/>
  <c r="L16" i="15"/>
  <c r="AJ16" i="15"/>
  <c r="P35" i="15"/>
  <c r="L40" i="15"/>
  <c r="AJ40" i="15"/>
  <c r="AG36" i="15"/>
  <c r="M36" i="15"/>
  <c r="AG45" i="15"/>
  <c r="M45" i="15"/>
  <c r="P47" i="15"/>
  <c r="M37" i="15"/>
  <c r="AG37" i="15"/>
  <c r="AG16" i="15"/>
  <c r="M16" i="15"/>
  <c r="M24" i="15"/>
  <c r="AG24" i="15"/>
  <c r="L30" i="15"/>
  <c r="AJ30" i="15"/>
  <c r="P39" i="15"/>
  <c r="P22" i="15"/>
  <c r="AG13" i="15"/>
  <c r="M13" i="15"/>
  <c r="L29" i="15"/>
  <c r="AJ29" i="15"/>
  <c r="L42" i="15"/>
  <c r="AJ42" i="15"/>
  <c r="P14" i="15"/>
  <c r="P32" i="15"/>
  <c r="L31" i="15"/>
  <c r="AJ31" i="15"/>
  <c r="AJ25" i="15"/>
  <c r="L25" i="15"/>
  <c r="L13" i="15"/>
  <c r="AJ13" i="15"/>
  <c r="AG47" i="15"/>
  <c r="M47" i="15"/>
  <c r="L33" i="15"/>
  <c r="AJ33" i="15"/>
  <c r="AJ37" i="15"/>
  <c r="L37" i="15"/>
  <c r="AG14" i="15"/>
  <c r="M14" i="15"/>
  <c r="P28" i="15"/>
  <c r="AG44" i="15"/>
  <c r="M44" i="15"/>
  <c r="AJ28" i="15"/>
  <c r="L28" i="15"/>
  <c r="M19" i="15"/>
  <c r="AG19" i="15"/>
  <c r="AG35" i="15"/>
  <c r="M35" i="15"/>
  <c r="AJ39" i="15"/>
  <c r="L39" i="15"/>
  <c r="AG42" i="15"/>
  <c r="M42" i="15"/>
  <c r="P37" i="15"/>
  <c r="P16" i="15"/>
  <c r="L24" i="15"/>
  <c r="AJ24" i="15"/>
  <c r="M22" i="15"/>
  <c r="AG22" i="15"/>
  <c r="L46" i="15"/>
  <c r="AJ46" i="15"/>
  <c r="L43" i="15"/>
  <c r="AJ43" i="15"/>
  <c r="L35" i="15"/>
  <c r="AJ35" i="15"/>
  <c r="P33" i="15"/>
  <c r="P30" i="15"/>
  <c r="AG28" i="15"/>
  <c r="AL28" i="15" s="1"/>
  <c r="M28" i="15"/>
  <c r="AG32" i="15"/>
  <c r="M32" i="15"/>
  <c r="P44" i="15"/>
  <c r="P38" i="15"/>
  <c r="AJ18" i="15"/>
  <c r="L18" i="15"/>
  <c r="P19" i="15"/>
  <c r="L36" i="15"/>
  <c r="AJ36" i="15"/>
  <c r="P31" i="15"/>
  <c r="P20" i="15"/>
  <c r="P18" i="15"/>
  <c r="AJ22" i="15"/>
  <c r="L22" i="15"/>
  <c r="L17" i="15"/>
  <c r="AJ17" i="15"/>
  <c r="L32" i="15"/>
  <c r="AJ32" i="15"/>
  <c r="AG30" i="15"/>
  <c r="AL30" i="15" s="1"/>
  <c r="M30" i="15"/>
  <c r="P27" i="15"/>
  <c r="AG38" i="15"/>
  <c r="M38" i="15"/>
  <c r="L38" i="15"/>
  <c r="AJ38" i="15"/>
  <c r="AJ21" i="15"/>
  <c r="L21" i="15"/>
  <c r="AG31" i="15"/>
  <c r="M31" i="15"/>
  <c r="AG40" i="15"/>
  <c r="AL40" i="15" s="1"/>
  <c r="M40" i="15"/>
  <c r="P29" i="15"/>
  <c r="M20" i="15"/>
  <c r="AG20" i="15"/>
  <c r="P12" i="15"/>
  <c r="L27" i="15"/>
  <c r="AJ27" i="15"/>
  <c r="AG33" i="15"/>
  <c r="M33" i="15"/>
  <c r="M25" i="15"/>
  <c r="AG25" i="15"/>
  <c r="M17" i="15"/>
  <c r="AG17" i="15"/>
  <c r="AG21" i="30"/>
  <c r="P43" i="15"/>
  <c r="AG46" i="15"/>
  <c r="M46" i="15"/>
  <c r="P34" i="15"/>
  <c r="L20" i="15"/>
  <c r="AJ20" i="15"/>
  <c r="M21" i="15"/>
  <c r="AG21" i="15"/>
  <c r="P23" i="15"/>
  <c r="M18" i="15"/>
  <c r="AG18" i="15"/>
  <c r="M12" i="15"/>
  <c r="AG12" i="15"/>
  <c r="L26" i="15"/>
  <c r="AJ26" i="15"/>
  <c r="AJ23" i="15"/>
  <c r="L23" i="15"/>
  <c r="P25" i="15"/>
  <c r="P17" i="15"/>
  <c r="AG27" i="15"/>
  <c r="M27" i="15"/>
  <c r="AG43" i="15"/>
  <c r="AL43" i="15" s="1"/>
  <c r="M43" i="15"/>
  <c r="P46" i="15"/>
  <c r="K46" i="15" a="1"/>
  <c r="K46" i="15" s="1"/>
  <c r="AG34" i="15"/>
  <c r="AL34" i="15" s="1"/>
  <c r="M34" i="15"/>
  <c r="L47" i="15"/>
  <c r="AJ47" i="15"/>
  <c r="P21" i="15"/>
  <c r="P40" i="15"/>
  <c r="K40" i="15" a="1"/>
  <c r="K40" i="15" s="1"/>
  <c r="AG29" i="15"/>
  <c r="M29" i="15"/>
  <c r="AG41" i="15"/>
  <c r="M41" i="15"/>
  <c r="P24" i="15"/>
  <c r="P26" i="15"/>
  <c r="L45" i="15"/>
  <c r="AJ45" i="15"/>
  <c r="AJ44" i="15"/>
  <c r="L44" i="15"/>
  <c r="K36" i="15" a="1"/>
  <c r="K36" i="15" s="1"/>
  <c r="P36" i="15"/>
  <c r="P45" i="15"/>
  <c r="K45" i="15" a="1"/>
  <c r="K45" i="15" s="1"/>
  <c r="M23" i="15"/>
  <c r="AG23" i="15"/>
  <c r="AL23" i="15" s="1"/>
  <c r="P41" i="15"/>
  <c r="AJ12" i="15"/>
  <c r="L12" i="15"/>
  <c r="AG39" i="15"/>
  <c r="M39" i="15"/>
  <c r="M26" i="15"/>
  <c r="AG26" i="15"/>
  <c r="AL26" i="15" s="1"/>
  <c r="P13" i="15"/>
  <c r="L41" i="15"/>
  <c r="AJ41" i="15"/>
  <c r="AF2" i="15"/>
  <c r="AH21" i="27"/>
  <c r="AM7" i="15"/>
  <c r="P11" i="15"/>
  <c r="P8" i="15"/>
  <c r="L8" i="15"/>
  <c r="L10" i="15"/>
  <c r="AJ10" i="15"/>
  <c r="P10" i="15"/>
  <c r="P6" i="15"/>
  <c r="AG10" i="15"/>
  <c r="M10" i="15"/>
  <c r="M6" i="15"/>
  <c r="AG6" i="15"/>
  <c r="L11" i="15"/>
  <c r="AJ11" i="15"/>
  <c r="P4" i="15"/>
  <c r="AJ4" i="15"/>
  <c r="L4" i="15"/>
  <c r="P9" i="15"/>
  <c r="M27" i="27"/>
  <c r="AG11" i="15"/>
  <c r="M11" i="15"/>
  <c r="M4" i="15"/>
  <c r="AG4" i="15"/>
  <c r="AJ6" i="15"/>
  <c r="L6" i="15"/>
  <c r="AG9" i="15"/>
  <c r="M9" i="15"/>
  <c r="M8" i="15"/>
  <c r="AG8" i="15"/>
  <c r="L5" i="15"/>
  <c r="Q5" i="15" s="1"/>
  <c r="R5" i="15" s="1"/>
  <c r="AJ5" i="15"/>
  <c r="L2" i="15"/>
  <c r="M2" i="15"/>
  <c r="AG2" i="15"/>
  <c r="AH29" i="27"/>
  <c r="AH18" i="27"/>
  <c r="AK17" i="27"/>
  <c r="AK29" i="27"/>
  <c r="AK28" i="27"/>
  <c r="Q29" i="27"/>
  <c r="R29" i="27" s="1"/>
  <c r="F10" i="27"/>
  <c r="AK10" i="27" s="1"/>
  <c r="F14" i="27"/>
  <c r="AK14" i="27" s="1"/>
  <c r="F15" i="27"/>
  <c r="L15" i="27" s="1"/>
  <c r="L21" i="27"/>
  <c r="Q21" i="27" s="1"/>
  <c r="R21" i="27" s="1"/>
  <c r="AK21" i="27"/>
  <c r="P28" i="27"/>
  <c r="M26" i="27"/>
  <c r="AH26" i="27"/>
  <c r="AH33" i="27"/>
  <c r="M33" i="27"/>
  <c r="AH28" i="27"/>
  <c r="M28" i="27"/>
  <c r="P24" i="27"/>
  <c r="AK26" i="27"/>
  <c r="L26" i="27"/>
  <c r="AH24" i="27"/>
  <c r="M24" i="27"/>
  <c r="L23" i="27"/>
  <c r="AK23" i="27"/>
  <c r="L31" i="27"/>
  <c r="AK31" i="27"/>
  <c r="L24" i="27"/>
  <c r="AK24" i="27"/>
  <c r="AH34" i="27"/>
  <c r="AM34" i="27" s="1"/>
  <c r="M34" i="27"/>
  <c r="P34" i="27"/>
  <c r="L30" i="27"/>
  <c r="AK30" i="27"/>
  <c r="M31" i="27"/>
  <c r="AH31" i="27"/>
  <c r="AM31" i="27" s="1"/>
  <c r="AH30" i="27"/>
  <c r="M30" i="27"/>
  <c r="M22" i="27"/>
  <c r="AH22" i="27"/>
  <c r="P26" i="27"/>
  <c r="P23" i="27"/>
  <c r="AK33" i="27"/>
  <c r="L33" i="27"/>
  <c r="AH23" i="27"/>
  <c r="M23" i="27"/>
  <c r="AK34" i="27"/>
  <c r="L34" i="27"/>
  <c r="P33" i="27"/>
  <c r="L16" i="27"/>
  <c r="AK16" i="27"/>
  <c r="F8" i="27"/>
  <c r="L8" i="27" s="1"/>
  <c r="M17" i="27"/>
  <c r="AH17" i="27"/>
  <c r="AH16" i="27"/>
  <c r="M16" i="27"/>
  <c r="P20" i="27"/>
  <c r="L20" i="27"/>
  <c r="AK20" i="27"/>
  <c r="AH20" i="27"/>
  <c r="M20" i="27"/>
  <c r="P17" i="27"/>
  <c r="AH15" i="27"/>
  <c r="M15" i="27"/>
  <c r="P15" i="27"/>
  <c r="P14" i="27"/>
  <c r="M14" i="27"/>
  <c r="AH14" i="27"/>
  <c r="AM14" i="27" s="1"/>
  <c r="F9" i="27"/>
  <c r="L9" i="27" s="1"/>
  <c r="AH13" i="27"/>
  <c r="M13" i="27"/>
  <c r="AH12" i="27"/>
  <c r="M12" i="27"/>
  <c r="L12" i="27"/>
  <c r="P12" i="27"/>
  <c r="L13" i="27"/>
  <c r="AK13" i="27"/>
  <c r="L11" i="27"/>
  <c r="AK11" i="27"/>
  <c r="P9" i="27"/>
  <c r="P11" i="27"/>
  <c r="AH9" i="27"/>
  <c r="M9" i="27"/>
  <c r="AH11" i="27"/>
  <c r="M11" i="27"/>
  <c r="M10" i="27"/>
  <c r="AH10" i="27"/>
  <c r="P8" i="27"/>
  <c r="M8" i="27"/>
  <c r="AH8" i="27"/>
  <c r="P6" i="27"/>
  <c r="L7" i="27"/>
  <c r="AH6" i="27"/>
  <c r="M7" i="27"/>
  <c r="AH7" i="27"/>
  <c r="P7" i="27"/>
  <c r="L6" i="27"/>
  <c r="AI27" i="30"/>
  <c r="AL27" i="30" s="1"/>
  <c r="M684" i="26"/>
  <c r="E5" i="27"/>
  <c r="J5" i="27"/>
  <c r="M687" i="26"/>
  <c r="M686" i="26"/>
  <c r="I5" i="27"/>
  <c r="O5" i="27" s="1"/>
  <c r="F4" i="27"/>
  <c r="P3" i="27"/>
  <c r="E3" i="27"/>
  <c r="M670" i="26"/>
  <c r="I3" i="27"/>
  <c r="O3" i="27" s="1"/>
  <c r="M664" i="26"/>
  <c r="M667" i="26"/>
  <c r="M662" i="26"/>
  <c r="M663" i="26"/>
  <c r="M669" i="26"/>
  <c r="M666" i="26"/>
  <c r="M668" i="26"/>
  <c r="M665" i="26"/>
  <c r="I635" i="26" a="1"/>
  <c r="I635" i="26" s="1"/>
  <c r="M635" i="26" s="1"/>
  <c r="M671" i="26"/>
  <c r="M661" i="26"/>
  <c r="AG27" i="30"/>
  <c r="P2" i="15"/>
  <c r="I592" i="26" a="1"/>
  <c r="I592" i="26" s="1"/>
  <c r="M592" i="26" s="1"/>
  <c r="I633" i="26" a="1"/>
  <c r="I633" i="26" s="1"/>
  <c r="M633" i="26" s="1"/>
  <c r="I642" i="26" a="1"/>
  <c r="I642" i="26" s="1"/>
  <c r="I29" i="30" s="1"/>
  <c r="O29" i="30" s="1"/>
  <c r="AG17" i="30"/>
  <c r="I608" i="26" a="1"/>
  <c r="I608" i="26" s="1"/>
  <c r="M608" i="26" s="1"/>
  <c r="I640" i="26" a="1"/>
  <c r="I640" i="26" s="1"/>
  <c r="M640" i="26" s="1"/>
  <c r="I612" i="26" a="1"/>
  <c r="I612" i="26" s="1"/>
  <c r="M612" i="26" s="1"/>
  <c r="I622" i="26" a="1"/>
  <c r="I622" i="26" s="1"/>
  <c r="M622" i="26" s="1"/>
  <c r="I582" i="26" a="1"/>
  <c r="I582" i="26" s="1"/>
  <c r="M582" i="26" s="1"/>
  <c r="I614" i="26" a="1"/>
  <c r="I614" i="26" s="1"/>
  <c r="M614" i="26" s="1"/>
  <c r="I631" i="26" a="1"/>
  <c r="I631" i="26" s="1"/>
  <c r="M631" i="26" s="1"/>
  <c r="I627" i="26" a="1"/>
  <c r="I627" i="26" s="1"/>
  <c r="M627" i="26" s="1"/>
  <c r="I616" i="26" a="1"/>
  <c r="I616" i="26" s="1"/>
  <c r="M616" i="26" s="1"/>
  <c r="I638" i="26" a="1"/>
  <c r="I638" i="26" s="1"/>
  <c r="M638" i="26" s="1"/>
  <c r="I601" i="26" a="1"/>
  <c r="I601" i="26" s="1"/>
  <c r="M601" i="26" s="1"/>
  <c r="I597" i="26" a="1"/>
  <c r="I597" i="26" s="1"/>
  <c r="M597" i="26" s="1"/>
  <c r="I599" i="26" a="1"/>
  <c r="I599" i="26" s="1"/>
  <c r="M599" i="26" s="1"/>
  <c r="I644" i="26" a="1"/>
  <c r="I644" i="26" s="1"/>
  <c r="M644" i="26" s="1"/>
  <c r="I598" i="26" a="1"/>
  <c r="I598" i="26" s="1"/>
  <c r="M598" i="26" s="1"/>
  <c r="I623" i="26" a="1"/>
  <c r="I623" i="26" s="1"/>
  <c r="M623" i="26" s="1"/>
  <c r="I625" i="26" a="1"/>
  <c r="I625" i="26" s="1"/>
  <c r="M625" i="26" s="1"/>
  <c r="I609" i="26" a="1"/>
  <c r="I609" i="26" s="1"/>
  <c r="M609" i="26" s="1"/>
  <c r="I634" i="26" a="1"/>
  <c r="I634" i="26" s="1"/>
  <c r="M634" i="26" s="1"/>
  <c r="I604" i="26" a="1"/>
  <c r="I604" i="26" s="1"/>
  <c r="M604" i="26" s="1"/>
  <c r="I593" i="26" a="1"/>
  <c r="I593" i="26" s="1"/>
  <c r="M593" i="26" s="1"/>
  <c r="I641" i="26" a="1"/>
  <c r="I641" i="26" s="1"/>
  <c r="M641" i="26" s="1"/>
  <c r="I639" i="26" a="1"/>
  <c r="I639" i="26" s="1"/>
  <c r="M639" i="26" s="1"/>
  <c r="I645" i="26" a="1"/>
  <c r="I645" i="26" s="1"/>
  <c r="M645" i="26" s="1"/>
  <c r="I643" i="26" a="1"/>
  <c r="I643" i="26" s="1"/>
  <c r="M643" i="26" s="1"/>
  <c r="I605" i="26" a="1"/>
  <c r="I605" i="26" s="1"/>
  <c r="M605" i="26" s="1"/>
  <c r="I636" i="26" a="1"/>
  <c r="I636" i="26" s="1"/>
  <c r="M636" i="26" s="1"/>
  <c r="I620" i="26" a="1"/>
  <c r="I620" i="26" s="1"/>
  <c r="M620" i="26" s="1"/>
  <c r="I626" i="26" a="1"/>
  <c r="I626" i="26" s="1"/>
  <c r="M626" i="26" s="1"/>
  <c r="I606" i="26" a="1"/>
  <c r="I606" i="26" s="1"/>
  <c r="M606" i="26" s="1"/>
  <c r="I630" i="26" a="1"/>
  <c r="I630" i="26" s="1"/>
  <c r="M630" i="26" s="1"/>
  <c r="I611" i="26" a="1"/>
  <c r="I611" i="26" s="1"/>
  <c r="M611" i="26" s="1"/>
  <c r="I624" i="26" a="1"/>
  <c r="I624" i="26" s="1"/>
  <c r="M624" i="26" s="1"/>
  <c r="I632" i="26" a="1"/>
  <c r="I632" i="26" s="1"/>
  <c r="M632" i="26" s="1"/>
  <c r="I594" i="26" a="1"/>
  <c r="I594" i="26" s="1"/>
  <c r="M594" i="26" s="1"/>
  <c r="I618" i="26" a="1"/>
  <c r="I618" i="26" s="1"/>
  <c r="M618" i="26" s="1"/>
  <c r="I628" i="26" a="1"/>
  <c r="I628" i="26" s="1"/>
  <c r="I595" i="26" a="1"/>
  <c r="I595" i="26" s="1"/>
  <c r="I617" i="26" a="1"/>
  <c r="I617" i="26" s="1"/>
  <c r="M617" i="26" s="1"/>
  <c r="I629" i="26" a="1"/>
  <c r="I629" i="26" s="1"/>
  <c r="M629" i="26" s="1"/>
  <c r="I596" i="26" a="1"/>
  <c r="I596" i="26" s="1"/>
  <c r="M596" i="26" s="1"/>
  <c r="AI6" i="30"/>
  <c r="AL6" i="30" s="1"/>
  <c r="AI5" i="30"/>
  <c r="AL5" i="30" s="1"/>
  <c r="I570" i="26" a="1"/>
  <c r="I570" i="26" s="1"/>
  <c r="M570" i="26" s="1"/>
  <c r="I610" i="26" a="1"/>
  <c r="I610" i="26" s="1"/>
  <c r="M610" i="26" s="1"/>
  <c r="N20" i="30"/>
  <c r="AG20" i="30"/>
  <c r="I602" i="26" a="1"/>
  <c r="I602" i="26" s="1"/>
  <c r="M602" i="26" s="1"/>
  <c r="I603" i="26" a="1"/>
  <c r="I603" i="26" s="1"/>
  <c r="M603" i="26" s="1"/>
  <c r="I607" i="26" a="1"/>
  <c r="I607" i="26" s="1"/>
  <c r="M607" i="26" s="1"/>
  <c r="N18" i="30"/>
  <c r="AG18" i="30"/>
  <c r="N25" i="30"/>
  <c r="AG25" i="30"/>
  <c r="N26" i="30"/>
  <c r="AG26" i="30"/>
  <c r="AG11" i="30"/>
  <c r="N11" i="30"/>
  <c r="I621" i="26" a="1"/>
  <c r="I621" i="26" s="1"/>
  <c r="M621" i="26" s="1"/>
  <c r="I600" i="26" a="1"/>
  <c r="I600" i="26" s="1"/>
  <c r="N15" i="30"/>
  <c r="AG15" i="30"/>
  <c r="I615" i="26" a="1"/>
  <c r="I615" i="26" s="1"/>
  <c r="M615" i="26" s="1"/>
  <c r="N13" i="30"/>
  <c r="AG13" i="30"/>
  <c r="N6" i="30"/>
  <c r="AG6" i="30"/>
  <c r="I613" i="26" a="1"/>
  <c r="I613" i="26" s="1"/>
  <c r="M613" i="26" s="1"/>
  <c r="N16" i="30"/>
  <c r="AG16" i="30"/>
  <c r="I637" i="26" a="1"/>
  <c r="I637" i="26" s="1"/>
  <c r="M637" i="26" s="1"/>
  <c r="N22" i="30"/>
  <c r="AG22" i="30"/>
  <c r="N28" i="30"/>
  <c r="AG28" i="30"/>
  <c r="AG23" i="30"/>
  <c r="N23" i="30"/>
  <c r="I584" i="26" a="1"/>
  <c r="I584" i="26" s="1"/>
  <c r="M584" i="26" s="1"/>
  <c r="N7" i="30"/>
  <c r="AG7" i="30"/>
  <c r="N29" i="30"/>
  <c r="AG29" i="30"/>
  <c r="N10" i="30"/>
  <c r="AG10" i="30"/>
  <c r="AG12" i="30"/>
  <c r="N12" i="30"/>
  <c r="AG14" i="30"/>
  <c r="N14" i="30"/>
  <c r="I619" i="26" a="1"/>
  <c r="I619" i="26" s="1"/>
  <c r="M619" i="26" s="1"/>
  <c r="I586" i="26" a="1"/>
  <c r="I586" i="26" s="1"/>
  <c r="M586" i="26" s="1"/>
  <c r="N5" i="30"/>
  <c r="AG5" i="30"/>
  <c r="I585" i="26" a="1"/>
  <c r="I585" i="26" s="1"/>
  <c r="M585" i="26" s="1"/>
  <c r="I583" i="26" a="1"/>
  <c r="I583" i="26" s="1"/>
  <c r="M583" i="26" s="1"/>
  <c r="I587" i="26" a="1"/>
  <c r="I587" i="26" s="1"/>
  <c r="M587" i="26" s="1"/>
  <c r="I581" i="26" a="1"/>
  <c r="I581" i="26" s="1"/>
  <c r="M581" i="26" s="1"/>
  <c r="N9" i="30"/>
  <c r="AG9" i="30"/>
  <c r="AI18" i="30"/>
  <c r="AL18" i="30" s="1"/>
  <c r="N24" i="30"/>
  <c r="AG24" i="30"/>
  <c r="I591" i="26" a="1"/>
  <c r="I591" i="26" s="1"/>
  <c r="M591" i="26" s="1"/>
  <c r="I580" i="26" a="1"/>
  <c r="I580" i="26" s="1"/>
  <c r="M580" i="26" s="1"/>
  <c r="I588" i="26" a="1"/>
  <c r="I588" i="26" s="1"/>
  <c r="M588" i="26" s="1"/>
  <c r="I589" i="26" a="1"/>
  <c r="I589" i="26" s="1"/>
  <c r="M589" i="26" s="1"/>
  <c r="I590" i="26" a="1"/>
  <c r="I590" i="26" s="1"/>
  <c r="M590" i="26" s="1"/>
  <c r="I573" i="26" a="1"/>
  <c r="I573" i="26" s="1"/>
  <c r="M573" i="26" s="1"/>
  <c r="I576" i="26" a="1"/>
  <c r="I576" i="26" s="1"/>
  <c r="M576" i="26" s="1"/>
  <c r="I519" i="26" a="1"/>
  <c r="I519" i="26" s="1"/>
  <c r="M519" i="26" s="1"/>
  <c r="I563" i="26" a="1"/>
  <c r="I563" i="26" s="1"/>
  <c r="M563" i="26" s="1"/>
  <c r="I567" i="26" a="1"/>
  <c r="I567" i="26" s="1"/>
  <c r="M567" i="26" s="1"/>
  <c r="I546" i="26" a="1"/>
  <c r="I546" i="26" s="1"/>
  <c r="M546" i="26" s="1"/>
  <c r="I551" i="26" a="1"/>
  <c r="I551" i="26" s="1"/>
  <c r="M551" i="26" s="1"/>
  <c r="I549" i="26" a="1"/>
  <c r="I549" i="26" s="1"/>
  <c r="M549" i="26" s="1"/>
  <c r="I558" i="26" a="1"/>
  <c r="I558" i="26" s="1"/>
  <c r="M558" i="26" s="1"/>
  <c r="I557" i="26" a="1"/>
  <c r="I557" i="26" s="1"/>
  <c r="I562" i="26" a="1"/>
  <c r="I562" i="26" s="1"/>
  <c r="M562" i="26" s="1"/>
  <c r="I559" i="26" a="1"/>
  <c r="I559" i="26" s="1"/>
  <c r="M559" i="26" s="1"/>
  <c r="I554" i="26" a="1"/>
  <c r="I554" i="26" s="1"/>
  <c r="M554" i="26" s="1"/>
  <c r="I566" i="26" a="1"/>
  <c r="I566" i="26" s="1"/>
  <c r="M566" i="26" s="1"/>
  <c r="I565" i="26" a="1"/>
  <c r="I565" i="26" s="1"/>
  <c r="M565" i="26" s="1"/>
  <c r="I560" i="26" a="1"/>
  <c r="I560" i="26" s="1"/>
  <c r="M560" i="26" s="1"/>
  <c r="I550" i="26" a="1"/>
  <c r="I550" i="26" s="1"/>
  <c r="M550" i="26" s="1"/>
  <c r="I547" i="26" a="1"/>
  <c r="I547" i="26" s="1"/>
  <c r="I564" i="26" a="1"/>
  <c r="I564" i="26" s="1"/>
  <c r="M564" i="26" s="1"/>
  <c r="I539" i="26" a="1"/>
  <c r="I539" i="26" s="1"/>
  <c r="M539" i="26" s="1"/>
  <c r="I555" i="26" a="1"/>
  <c r="I555" i="26" s="1"/>
  <c r="M555" i="26" s="1"/>
  <c r="I552" i="26" a="1"/>
  <c r="I552" i="26" s="1"/>
  <c r="I553" i="26" a="1"/>
  <c r="I553" i="26" s="1"/>
  <c r="M553" i="26" s="1"/>
  <c r="I561" i="26" a="1"/>
  <c r="I561" i="26" s="1"/>
  <c r="M561" i="26" s="1"/>
  <c r="I513" i="26" a="1"/>
  <c r="I513" i="26" s="1"/>
  <c r="M513" i="26" s="1"/>
  <c r="I514" i="26" a="1"/>
  <c r="I514" i="26" s="1"/>
  <c r="M514" i="26" s="1"/>
  <c r="I575" i="26" a="1"/>
  <c r="I575" i="26" s="1"/>
  <c r="M575" i="26" s="1"/>
  <c r="I579" i="26" a="1"/>
  <c r="I579" i="26" s="1"/>
  <c r="M579" i="26" s="1"/>
  <c r="I568" i="26" a="1"/>
  <c r="I568" i="26" s="1"/>
  <c r="M568" i="26" s="1"/>
  <c r="I569" i="26" a="1"/>
  <c r="I569" i="26" s="1"/>
  <c r="M569" i="26" s="1"/>
  <c r="I537" i="26" a="1"/>
  <c r="I537" i="26" s="1"/>
  <c r="M537" i="26" s="1"/>
  <c r="I507" i="26" a="1"/>
  <c r="I507" i="26" s="1"/>
  <c r="M507" i="26" s="1"/>
  <c r="I571" i="26" a="1"/>
  <c r="I571" i="26" s="1"/>
  <c r="M571" i="26" s="1"/>
  <c r="I572" i="26" a="1"/>
  <c r="I572" i="26" s="1"/>
  <c r="M572" i="26" s="1"/>
  <c r="I509" i="26" a="1"/>
  <c r="I509" i="26" s="1"/>
  <c r="M509" i="26" s="1"/>
  <c r="I545" i="26" a="1"/>
  <c r="I545" i="26" s="1"/>
  <c r="M545" i="26" s="1"/>
  <c r="I577" i="26" a="1"/>
  <c r="I577" i="26" s="1"/>
  <c r="M577" i="26" s="1"/>
  <c r="I578" i="26" a="1"/>
  <c r="I578" i="26" s="1"/>
  <c r="M578" i="26" s="1"/>
  <c r="I574" i="26" a="1"/>
  <c r="I574" i="26" s="1"/>
  <c r="M574" i="26" s="1"/>
  <c r="I556" i="26" a="1"/>
  <c r="I556" i="26" s="1"/>
  <c r="M556" i="26" s="1"/>
  <c r="I544" i="26" a="1"/>
  <c r="I544" i="26" s="1"/>
  <c r="M544" i="26" s="1"/>
  <c r="I508" i="26" a="1"/>
  <c r="I508" i="26" s="1"/>
  <c r="M508" i="26" s="1"/>
  <c r="I538" i="26" a="1"/>
  <c r="I538" i="26" s="1"/>
  <c r="AI20" i="30" s="1"/>
  <c r="AL20" i="30" s="1"/>
  <c r="I515" i="26" a="1"/>
  <c r="I515" i="26" s="1"/>
  <c r="M515" i="26" s="1"/>
  <c r="I548" i="26" a="1"/>
  <c r="I548" i="26" s="1"/>
  <c r="M548" i="26" s="1"/>
  <c r="I510" i="26" a="1"/>
  <c r="I510" i="26" s="1"/>
  <c r="M510" i="26" s="1"/>
  <c r="I543" i="26" a="1"/>
  <c r="I543" i="26" s="1"/>
  <c r="M543" i="26" s="1"/>
  <c r="I518" i="26" a="1"/>
  <c r="I518" i="26" s="1"/>
  <c r="M518" i="26" s="1"/>
  <c r="I522" i="26" a="1"/>
  <c r="I522" i="26" s="1"/>
  <c r="M522" i="26" s="1"/>
  <c r="I520" i="26" a="1"/>
  <c r="I520" i="26" s="1"/>
  <c r="M520" i="26" s="1"/>
  <c r="I516" i="26" a="1"/>
  <c r="I516" i="26" s="1"/>
  <c r="I521" i="26" a="1"/>
  <c r="I521" i="26" s="1"/>
  <c r="M521" i="26" s="1"/>
  <c r="I517" i="26" a="1"/>
  <c r="I517" i="26" s="1"/>
  <c r="M517" i="26" s="1"/>
  <c r="I536" i="26" a="1"/>
  <c r="I536" i="26" s="1"/>
  <c r="M536" i="26" s="1"/>
  <c r="I542" i="26" a="1"/>
  <c r="I542" i="26" s="1"/>
  <c r="M542" i="26" s="1"/>
  <c r="I503" i="26" a="1"/>
  <c r="I503" i="26" s="1"/>
  <c r="M503" i="26" s="1"/>
  <c r="I504" i="26" a="1"/>
  <c r="I504" i="26" s="1"/>
  <c r="M504" i="26" s="1"/>
  <c r="I535" i="26" a="1"/>
  <c r="I535" i="26" s="1"/>
  <c r="M535" i="26" s="1"/>
  <c r="I541" i="26" a="1"/>
  <c r="I541" i="26" s="1"/>
  <c r="M541" i="26" s="1"/>
  <c r="I502" i="26" a="1"/>
  <c r="I502" i="26" s="1"/>
  <c r="I511" i="26" a="1"/>
  <c r="I511" i="26" s="1"/>
  <c r="M511" i="26" s="1"/>
  <c r="I512" i="26" a="1"/>
  <c r="I512" i="26" s="1"/>
  <c r="M512" i="26" s="1"/>
  <c r="I540" i="26" a="1"/>
  <c r="I540" i="26" s="1"/>
  <c r="M540" i="26" s="1"/>
  <c r="I534" i="26" a="1"/>
  <c r="I534" i="26" s="1"/>
  <c r="I491" i="26" a="1"/>
  <c r="I491" i="26" s="1"/>
  <c r="M491" i="26" s="1"/>
  <c r="I505" i="26" a="1"/>
  <c r="I505" i="26" s="1"/>
  <c r="M505" i="26" s="1"/>
  <c r="I506" i="26" a="1"/>
  <c r="I506" i="26" s="1"/>
  <c r="I480" i="26" a="1"/>
  <c r="I480" i="26" s="1"/>
  <c r="M480" i="26" s="1"/>
  <c r="I444" i="26" a="1"/>
  <c r="I444" i="26" s="1"/>
  <c r="M444" i="26" s="1"/>
  <c r="I481" i="26" a="1"/>
  <c r="I481" i="26" s="1"/>
  <c r="I427" i="26" a="1"/>
  <c r="I427" i="26" s="1"/>
  <c r="M427" i="26" s="1"/>
  <c r="I433" i="26" a="1"/>
  <c r="I433" i="26" s="1"/>
  <c r="M433" i="26" s="1"/>
  <c r="I445" i="26" a="1"/>
  <c r="I445" i="26" s="1"/>
  <c r="M445" i="26" s="1"/>
  <c r="I456" i="26" a="1"/>
  <c r="I456" i="26" s="1"/>
  <c r="M456" i="26" s="1"/>
  <c r="I498" i="26" a="1"/>
  <c r="I498" i="26" s="1"/>
  <c r="M498" i="26" s="1"/>
  <c r="I488" i="26" a="1"/>
  <c r="I488" i="26" s="1"/>
  <c r="M488" i="26" s="1"/>
  <c r="I474" i="26" a="1"/>
  <c r="I474" i="26" s="1"/>
  <c r="M474" i="26" s="1"/>
  <c r="I473" i="26" a="1"/>
  <c r="I473" i="26" s="1"/>
  <c r="I470" i="26" a="1"/>
  <c r="I470" i="26" s="1"/>
  <c r="I501" i="26" a="1"/>
  <c r="I501" i="26" s="1"/>
  <c r="M501" i="26" s="1"/>
  <c r="I496" i="26" a="1"/>
  <c r="I496" i="26" s="1"/>
  <c r="M496" i="26" s="1"/>
  <c r="I499" i="26" a="1"/>
  <c r="I499" i="26" s="1"/>
  <c r="M499" i="26" s="1"/>
  <c r="I484" i="26" a="1"/>
  <c r="I484" i="26" s="1"/>
  <c r="M484" i="26" s="1"/>
  <c r="I489" i="26" a="1"/>
  <c r="I489" i="26" s="1"/>
  <c r="M489" i="26" s="1"/>
  <c r="I485" i="26" a="1"/>
  <c r="I485" i="26" s="1"/>
  <c r="I483" i="26" a="1"/>
  <c r="I483" i="26" s="1"/>
  <c r="M483" i="26" s="1"/>
  <c r="I494" i="26" a="1"/>
  <c r="I494" i="26" s="1"/>
  <c r="M494" i="26" s="1"/>
  <c r="I475" i="26" a="1"/>
  <c r="I475" i="26" s="1"/>
  <c r="M475" i="26" s="1"/>
  <c r="I476" i="26" a="1"/>
  <c r="I476" i="26" s="1"/>
  <c r="M476" i="26" s="1"/>
  <c r="I478" i="26" a="1"/>
  <c r="I478" i="26" s="1"/>
  <c r="M478" i="26" s="1"/>
  <c r="I490" i="26" a="1"/>
  <c r="I490" i="26" s="1"/>
  <c r="M490" i="26" s="1"/>
  <c r="I438" i="26" a="1"/>
  <c r="I438" i="26" s="1"/>
  <c r="M438" i="26" s="1"/>
  <c r="I426" i="26" a="1"/>
  <c r="I426" i="26" s="1"/>
  <c r="M426" i="26" s="1"/>
  <c r="I457" i="26" a="1"/>
  <c r="I457" i="26" s="1"/>
  <c r="M457" i="26" s="1"/>
  <c r="I472" i="26" a="1"/>
  <c r="I472" i="26" s="1"/>
  <c r="M472" i="26" s="1"/>
  <c r="I446" i="26" a="1"/>
  <c r="I446" i="26" s="1"/>
  <c r="M446" i="26" s="1"/>
  <c r="I448" i="26" a="1"/>
  <c r="I448" i="26" s="1"/>
  <c r="M448" i="26" s="1"/>
  <c r="I443" i="26" a="1"/>
  <c r="I443" i="26" s="1"/>
  <c r="I492" i="26" a="1"/>
  <c r="I492" i="26" s="1"/>
  <c r="I497" i="26" a="1"/>
  <c r="I497" i="26" s="1"/>
  <c r="M497" i="26" s="1"/>
  <c r="I411" i="26" a="1"/>
  <c r="I411" i="26" s="1"/>
  <c r="M411" i="26" s="1"/>
  <c r="I431" i="26" a="1"/>
  <c r="I431" i="26" s="1"/>
  <c r="M431" i="26" s="1"/>
  <c r="I437" i="26" a="1"/>
  <c r="I437" i="26" s="1"/>
  <c r="M437" i="26" s="1"/>
  <c r="I451" i="26" a="1"/>
  <c r="I451" i="26" s="1"/>
  <c r="I493" i="26" a="1"/>
  <c r="I493" i="26" s="1"/>
  <c r="M493" i="26" s="1"/>
  <c r="I487" i="26" a="1"/>
  <c r="I487" i="26" s="1"/>
  <c r="M487" i="26" s="1"/>
  <c r="I482" i="26" a="1"/>
  <c r="I482" i="26" s="1"/>
  <c r="M482" i="26" s="1"/>
  <c r="I477" i="26" a="1"/>
  <c r="I477" i="26" s="1"/>
  <c r="M477" i="26" s="1"/>
  <c r="I471" i="26" a="1"/>
  <c r="I471" i="26" s="1"/>
  <c r="M471" i="26" s="1"/>
  <c r="I442" i="26" a="1"/>
  <c r="I442" i="26" s="1"/>
  <c r="M442" i="26" s="1"/>
  <c r="I462" i="26" a="1"/>
  <c r="I462" i="26" s="1"/>
  <c r="M462" i="26" s="1"/>
  <c r="I495" i="26" a="1"/>
  <c r="I495" i="26" s="1"/>
  <c r="I486" i="26" a="1"/>
  <c r="I486" i="26" s="1"/>
  <c r="M486" i="26" s="1"/>
  <c r="I449" i="26" a="1"/>
  <c r="I449" i="26" s="1"/>
  <c r="M449" i="26" s="1"/>
  <c r="I461" i="26" a="1"/>
  <c r="I461" i="26" s="1"/>
  <c r="M461" i="26" s="1"/>
  <c r="I479" i="26" a="1"/>
  <c r="I479" i="26" s="1"/>
  <c r="M479" i="26" s="1"/>
  <c r="I500" i="26" a="1"/>
  <c r="I500" i="26" s="1"/>
  <c r="M500" i="26" s="1"/>
  <c r="I469" i="26" a="1"/>
  <c r="I469" i="26" s="1"/>
  <c r="M469" i="26" s="1"/>
  <c r="I434" i="26" a="1"/>
  <c r="I434" i="26" s="1"/>
  <c r="M434" i="26" s="1"/>
  <c r="I430" i="26" a="1"/>
  <c r="I430" i="26" s="1"/>
  <c r="M430" i="26" s="1"/>
  <c r="I432" i="26" a="1"/>
  <c r="I432" i="26" s="1"/>
  <c r="M432" i="26" s="1"/>
  <c r="I455" i="26" a="1"/>
  <c r="I455" i="26" s="1"/>
  <c r="M455" i="26" s="1"/>
  <c r="I466" i="26" a="1"/>
  <c r="I466" i="26" s="1"/>
  <c r="M466" i="26" s="1"/>
  <c r="I439" i="26" a="1"/>
  <c r="I439" i="26" s="1"/>
  <c r="M439" i="26" s="1"/>
  <c r="I440" i="26" a="1"/>
  <c r="I440" i="26" s="1"/>
  <c r="M440" i="26" s="1"/>
  <c r="I468" i="26" a="1"/>
  <c r="I468" i="26" s="1"/>
  <c r="M468" i="26" s="1"/>
  <c r="I454" i="26" a="1"/>
  <c r="I454" i="26" s="1"/>
  <c r="M454" i="26" s="1"/>
  <c r="I459" i="26" a="1"/>
  <c r="I459" i="26" s="1"/>
  <c r="M459" i="26" s="1"/>
  <c r="I428" i="26" a="1"/>
  <c r="I428" i="26" s="1"/>
  <c r="I429" i="26" a="1"/>
  <c r="I429" i="26" s="1"/>
  <c r="M429" i="26" s="1"/>
  <c r="I453" i="26" a="1"/>
  <c r="I453" i="26" s="1"/>
  <c r="M453" i="26" s="1"/>
  <c r="I450" i="26" a="1"/>
  <c r="I450" i="26" s="1"/>
  <c r="I467" i="26" a="1"/>
  <c r="I467" i="26" s="1"/>
  <c r="M467" i="26" s="1"/>
  <c r="I460" i="26" a="1"/>
  <c r="I460" i="26" s="1"/>
  <c r="M460" i="26" s="1"/>
  <c r="I458" i="26" a="1"/>
  <c r="I458" i="26" s="1"/>
  <c r="M458" i="26" s="1"/>
  <c r="I435" i="26" a="1"/>
  <c r="I435" i="26" s="1"/>
  <c r="M435" i="26" s="1"/>
  <c r="I464" i="26" a="1"/>
  <c r="I464" i="26" s="1"/>
  <c r="M464" i="26" s="1"/>
  <c r="I452" i="26" a="1"/>
  <c r="I452" i="26" s="1"/>
  <c r="M452" i="26" s="1"/>
  <c r="I441" i="26" a="1"/>
  <c r="I441" i="26" s="1"/>
  <c r="I425" i="26" a="1"/>
  <c r="I425" i="26" s="1"/>
  <c r="I436" i="26" a="1"/>
  <c r="I436" i="26" s="1"/>
  <c r="M436" i="26" s="1"/>
  <c r="I447" i="26" a="1"/>
  <c r="I447" i="26" s="1"/>
  <c r="M447" i="26" s="1"/>
  <c r="I388" i="26" a="1"/>
  <c r="I388" i="26" s="1"/>
  <c r="M388" i="26" s="1"/>
  <c r="I412" i="26" a="1"/>
  <c r="I412" i="26" s="1"/>
  <c r="M412" i="26" s="1"/>
  <c r="I465" i="26" a="1"/>
  <c r="I465" i="26" s="1"/>
  <c r="M465" i="26" s="1"/>
  <c r="I463" i="26" a="1"/>
  <c r="I463" i="26" s="1"/>
  <c r="M463" i="26" s="1"/>
  <c r="I416" i="26" a="1"/>
  <c r="I416" i="26" s="1"/>
  <c r="I423" i="26" a="1"/>
  <c r="I423" i="26" s="1"/>
  <c r="M423" i="26" s="1"/>
  <c r="I421" i="26" a="1"/>
  <c r="I421" i="26" s="1"/>
  <c r="M421" i="26" s="1"/>
  <c r="I417" i="26" a="1"/>
  <c r="I417" i="26" s="1"/>
  <c r="M417" i="26" s="1"/>
  <c r="I420" i="26" a="1"/>
  <c r="I420" i="26" s="1"/>
  <c r="M420" i="26" s="1"/>
  <c r="I422" i="26" a="1"/>
  <c r="I422" i="26" s="1"/>
  <c r="M422" i="26" s="1"/>
  <c r="I424" i="26" a="1"/>
  <c r="I424" i="26" s="1"/>
  <c r="M424" i="26" s="1"/>
  <c r="I409" i="26" a="1"/>
  <c r="I409" i="26" s="1"/>
  <c r="I419" i="26" a="1"/>
  <c r="I419" i="26" s="1"/>
  <c r="M419" i="26" s="1"/>
  <c r="I406" i="26" a="1"/>
  <c r="I406" i="26" s="1"/>
  <c r="M406" i="26" s="1"/>
  <c r="I413" i="26" a="1"/>
  <c r="I413" i="26" s="1"/>
  <c r="M413" i="26" s="1"/>
  <c r="I407" i="26" a="1"/>
  <c r="I407" i="26" s="1"/>
  <c r="M407" i="26" s="1"/>
  <c r="I410" i="26" a="1"/>
  <c r="I410" i="26" s="1"/>
  <c r="M410" i="26" s="1"/>
  <c r="I414" i="26" a="1"/>
  <c r="I414" i="26" s="1"/>
  <c r="M414" i="26" s="1"/>
  <c r="I418" i="26" a="1"/>
  <c r="I418" i="26" s="1"/>
  <c r="M418" i="26" s="1"/>
  <c r="I408" i="26" a="1"/>
  <c r="I408" i="26" s="1"/>
  <c r="M408" i="26" s="1"/>
  <c r="I405" i="26" a="1"/>
  <c r="I405" i="26" s="1"/>
  <c r="I395" i="26" a="1"/>
  <c r="I395" i="26" s="1"/>
  <c r="M395" i="26" s="1"/>
  <c r="I397" i="26" a="1"/>
  <c r="I397" i="26" s="1"/>
  <c r="M397" i="26" s="1"/>
  <c r="I396" i="26" a="1"/>
  <c r="I396" i="26" s="1"/>
  <c r="M396" i="26" s="1"/>
  <c r="I415" i="26" a="1"/>
  <c r="I415" i="26" s="1"/>
  <c r="I392" i="26" a="1"/>
  <c r="I392" i="26" s="1"/>
  <c r="M392" i="26" s="1"/>
  <c r="I387" i="26" a="1"/>
  <c r="I387" i="26" s="1"/>
  <c r="I72" i="26" a="1"/>
  <c r="I72" i="26" s="1"/>
  <c r="M72" i="26" s="1"/>
  <c r="I389" i="26" a="1"/>
  <c r="I389" i="26" s="1"/>
  <c r="I393" i="26" a="1"/>
  <c r="I393" i="26" s="1"/>
  <c r="M393" i="26" s="1"/>
  <c r="I394" i="26" a="1"/>
  <c r="I394" i="26" s="1"/>
  <c r="M394" i="26" s="1"/>
  <c r="I390" i="26" a="1"/>
  <c r="I390" i="26" s="1"/>
  <c r="M390" i="26" s="1"/>
  <c r="I391" i="26" a="1"/>
  <c r="I391" i="26" s="1"/>
  <c r="M391" i="26" s="1"/>
  <c r="I302" i="26" a="1"/>
  <c r="I302" i="26" s="1"/>
  <c r="M302" i="26" s="1"/>
  <c r="I322" i="26" a="1"/>
  <c r="I322" i="26" s="1"/>
  <c r="M322" i="26" s="1"/>
  <c r="I328" i="26" a="1"/>
  <c r="I328" i="26" s="1"/>
  <c r="M328" i="26" s="1"/>
  <c r="I308" i="26" a="1"/>
  <c r="I308" i="26" s="1"/>
  <c r="M308" i="26" s="1"/>
  <c r="I284" i="26" a="1"/>
  <c r="I284" i="26" s="1"/>
  <c r="M284" i="26" s="1"/>
  <c r="I325" i="26" a="1"/>
  <c r="I325" i="26" s="1"/>
  <c r="M325" i="26" s="1"/>
  <c r="I310" i="26" a="1"/>
  <c r="I310" i="26" s="1"/>
  <c r="M310" i="26" s="1"/>
  <c r="I332" i="26" a="1"/>
  <c r="I332" i="26" s="1"/>
  <c r="M332" i="26" s="1"/>
  <c r="I316" i="26" a="1"/>
  <c r="I316" i="26" s="1"/>
  <c r="M316" i="26" s="1"/>
  <c r="I298" i="26" a="1"/>
  <c r="I298" i="26" s="1"/>
  <c r="M298" i="26" s="1"/>
  <c r="I329" i="26" a="1"/>
  <c r="I329" i="26" s="1"/>
  <c r="M329" i="26" s="1"/>
  <c r="I319" i="26" a="1"/>
  <c r="I319" i="26" s="1"/>
  <c r="M319" i="26" s="1"/>
  <c r="I296" i="26" a="1"/>
  <c r="I296" i="26" s="1"/>
  <c r="M296" i="26" s="1"/>
  <c r="I303" i="26" a="1"/>
  <c r="I303" i="26" s="1"/>
  <c r="M303" i="26" s="1"/>
  <c r="I300" i="26" a="1"/>
  <c r="I300" i="26" s="1"/>
  <c r="M300" i="26" s="1"/>
  <c r="I252" i="26" a="1"/>
  <c r="I252" i="26" s="1"/>
  <c r="M252" i="26" s="1"/>
  <c r="I330" i="26" a="1"/>
  <c r="I330" i="26" s="1"/>
  <c r="M330" i="26" s="1"/>
  <c r="I306" i="26" a="1"/>
  <c r="I306" i="26" s="1"/>
  <c r="M306" i="26" s="1"/>
  <c r="I312" i="26" a="1"/>
  <c r="I312" i="26" s="1"/>
  <c r="M312" i="26" s="1"/>
  <c r="I309" i="26" a="1"/>
  <c r="I309" i="26" s="1"/>
  <c r="M309" i="26" s="1"/>
  <c r="I318" i="26" a="1"/>
  <c r="I318" i="26" s="1"/>
  <c r="M318" i="26" s="1"/>
  <c r="I314" i="26" a="1"/>
  <c r="I314" i="26" s="1"/>
  <c r="M314" i="26" s="1"/>
  <c r="I320" i="26" a="1"/>
  <c r="I320" i="26" s="1"/>
  <c r="M320" i="26" s="1"/>
  <c r="I307" i="26" a="1"/>
  <c r="I307" i="26" s="1"/>
  <c r="M307" i="26" s="1"/>
  <c r="I299" i="26" a="1"/>
  <c r="I299" i="26" s="1"/>
  <c r="M299" i="26" s="1"/>
  <c r="I313" i="26" a="1"/>
  <c r="I313" i="26" s="1"/>
  <c r="I315" i="26" a="1"/>
  <c r="I315" i="26" s="1"/>
  <c r="M315" i="26" s="1"/>
  <c r="I294" i="26" a="1"/>
  <c r="I294" i="26" s="1"/>
  <c r="M294" i="26" s="1"/>
  <c r="I292" i="26" a="1"/>
  <c r="I292" i="26" s="1"/>
  <c r="I295" i="26" a="1"/>
  <c r="I295" i="26" s="1"/>
  <c r="M295" i="26" s="1"/>
  <c r="I331" i="26" a="1"/>
  <c r="I331" i="26" s="1"/>
  <c r="M331" i="26" s="1"/>
  <c r="I317" i="26" a="1"/>
  <c r="I317" i="26" s="1"/>
  <c r="I301" i="26" a="1"/>
  <c r="I301" i="26" s="1"/>
  <c r="M301" i="26" s="1"/>
  <c r="I311" i="26" a="1"/>
  <c r="I311" i="26" s="1"/>
  <c r="M311" i="26" s="1"/>
  <c r="I323" i="26" a="1"/>
  <c r="I323" i="26" s="1"/>
  <c r="M323" i="26" s="1"/>
  <c r="I321" i="26" a="1"/>
  <c r="I321" i="26" s="1"/>
  <c r="M321" i="26" s="1"/>
  <c r="I304" i="26" a="1"/>
  <c r="I304" i="26" s="1"/>
  <c r="I293" i="26" a="1"/>
  <c r="I293" i="26" s="1"/>
  <c r="M293" i="26" s="1"/>
  <c r="I297" i="26" a="1"/>
  <c r="I297" i="26" s="1"/>
  <c r="I290" i="26" a="1"/>
  <c r="I290" i="26" s="1"/>
  <c r="M290" i="26" s="1"/>
  <c r="I268" i="26" a="1"/>
  <c r="I268" i="26" s="1"/>
  <c r="M268" i="26" s="1"/>
  <c r="I305" i="26" a="1"/>
  <c r="I305" i="26" s="1"/>
  <c r="M305" i="26" s="1"/>
  <c r="I326" i="26" a="1"/>
  <c r="I326" i="26" s="1"/>
  <c r="M326" i="26" s="1"/>
  <c r="I263" i="26" a="1"/>
  <c r="I263" i="26" s="1"/>
  <c r="M263" i="26" s="1"/>
  <c r="I324" i="26" a="1"/>
  <c r="I324" i="26" s="1"/>
  <c r="I327" i="26" a="1"/>
  <c r="I327" i="26" s="1"/>
  <c r="M327" i="26" s="1"/>
  <c r="I274" i="26" a="1"/>
  <c r="I274" i="26" s="1"/>
  <c r="M274" i="26" s="1"/>
  <c r="I280" i="26" a="1"/>
  <c r="I280" i="26" s="1"/>
  <c r="M280" i="26" s="1"/>
  <c r="I289" i="26" a="1"/>
  <c r="I289" i="26" s="1"/>
  <c r="M289" i="26" s="1"/>
  <c r="I272" i="26" a="1"/>
  <c r="I272" i="26" s="1"/>
  <c r="M272" i="26" s="1"/>
  <c r="I244" i="26" a="1"/>
  <c r="I244" i="26" s="1"/>
  <c r="M244" i="26" s="1"/>
  <c r="I226" i="26" a="1"/>
  <c r="I226" i="26" s="1"/>
  <c r="M226" i="26" s="1"/>
  <c r="I233" i="26" a="1"/>
  <c r="I233" i="26" s="1"/>
  <c r="M233" i="26" s="1"/>
  <c r="I260" i="26" a="1"/>
  <c r="I260" i="26" s="1"/>
  <c r="M260" i="26" s="1"/>
  <c r="I288" i="26" a="1"/>
  <c r="I288" i="26" s="1"/>
  <c r="M288" i="26" s="1"/>
  <c r="I275" i="26" a="1"/>
  <c r="I275" i="26" s="1"/>
  <c r="M275" i="26" s="1"/>
  <c r="I270" i="26" a="1"/>
  <c r="I270" i="26" s="1"/>
  <c r="M270" i="26" s="1"/>
  <c r="I282" i="26" a="1"/>
  <c r="I282" i="26" s="1"/>
  <c r="M282" i="26" s="1"/>
  <c r="I258" i="26" a="1"/>
  <c r="I258" i="26" s="1"/>
  <c r="I264" i="26" a="1"/>
  <c r="I264" i="26" s="1"/>
  <c r="M264" i="26" s="1"/>
  <c r="I212" i="26" a="1"/>
  <c r="I212" i="26" s="1"/>
  <c r="I276" i="26" a="1"/>
  <c r="I276" i="26" s="1"/>
  <c r="I225" i="26" a="1"/>
  <c r="I225" i="26" s="1"/>
  <c r="M225" i="26" s="1"/>
  <c r="I240" i="26" a="1"/>
  <c r="I240" i="26" s="1"/>
  <c r="M240" i="26" s="1"/>
  <c r="I287" i="26" a="1"/>
  <c r="I287" i="26" s="1"/>
  <c r="I273" i="26" a="1"/>
  <c r="I273" i="26" s="1"/>
  <c r="M273" i="26" s="1"/>
  <c r="I285" i="26" a="1"/>
  <c r="I285" i="26" s="1"/>
  <c r="I277" i="26" a="1"/>
  <c r="I277" i="26" s="1"/>
  <c r="M277" i="26" s="1"/>
  <c r="I222" i="26" a="1"/>
  <c r="I222" i="26" s="1"/>
  <c r="I243" i="26" a="1"/>
  <c r="I243" i="26" s="1"/>
  <c r="M243" i="26" s="1"/>
  <c r="I283" i="26" a="1"/>
  <c r="I283" i="26" s="1"/>
  <c r="M283" i="26" s="1"/>
  <c r="I278" i="26" a="1"/>
  <c r="I278" i="26" s="1"/>
  <c r="M278" i="26" s="1"/>
  <c r="I228" i="26" a="1"/>
  <c r="I228" i="26" s="1"/>
  <c r="M228" i="26" s="1"/>
  <c r="I267" i="26" a="1"/>
  <c r="I267" i="26" s="1"/>
  <c r="I256" i="26" a="1"/>
  <c r="I256" i="26" s="1"/>
  <c r="M256" i="26" s="1"/>
  <c r="I269" i="26" a="1"/>
  <c r="I269" i="26" s="1"/>
  <c r="M269" i="26" s="1"/>
  <c r="I266" i="26" a="1"/>
  <c r="I266" i="26" s="1"/>
  <c r="M266" i="26" s="1"/>
  <c r="I238" i="26" a="1"/>
  <c r="I238" i="26" s="1"/>
  <c r="I286" i="26" a="1"/>
  <c r="I286" i="26" s="1"/>
  <c r="M286" i="26" s="1"/>
  <c r="I259" i="26" a="1"/>
  <c r="I259" i="26" s="1"/>
  <c r="M259" i="26" s="1"/>
  <c r="I265" i="26" a="1"/>
  <c r="I265" i="26" s="1"/>
  <c r="I262" i="26" a="1"/>
  <c r="I262" i="26" s="1"/>
  <c r="M262" i="26" s="1"/>
  <c r="I257" i="26" a="1"/>
  <c r="I257" i="26" s="1"/>
  <c r="M257" i="26" s="1"/>
  <c r="N4" i="30"/>
  <c r="I291" i="26" a="1"/>
  <c r="I291" i="26" s="1"/>
  <c r="M291" i="26" s="1"/>
  <c r="I255" i="26" a="1"/>
  <c r="I255" i="26" s="1"/>
  <c r="I281" i="26" a="1"/>
  <c r="I281" i="26" s="1"/>
  <c r="M281" i="26" s="1"/>
  <c r="I261" i="26" a="1"/>
  <c r="I261" i="26" s="1"/>
  <c r="M261" i="26" s="1"/>
  <c r="I210" i="26" a="1"/>
  <c r="I210" i="26" s="1"/>
  <c r="I216" i="26" a="1"/>
  <c r="I216" i="26" s="1"/>
  <c r="M216" i="26" s="1"/>
  <c r="I254" i="26" a="1"/>
  <c r="I254" i="26" s="1"/>
  <c r="M254" i="26" s="1"/>
  <c r="I218" i="26" a="1"/>
  <c r="I218" i="26" s="1"/>
  <c r="M218" i="26" s="1"/>
  <c r="I224" i="26" a="1"/>
  <c r="I224" i="26" s="1"/>
  <c r="M224" i="26" s="1"/>
  <c r="I234" i="26" a="1"/>
  <c r="I234" i="26" s="1"/>
  <c r="M234" i="26" s="1"/>
  <c r="I271" i="26" a="1"/>
  <c r="I271" i="26" s="1"/>
  <c r="M271" i="26" s="1"/>
  <c r="I279" i="26" a="1"/>
  <c r="I279" i="26" s="1"/>
  <c r="I242" i="26" a="1"/>
  <c r="I242" i="26" s="1"/>
  <c r="M242" i="26" s="1"/>
  <c r="I251" i="26" a="1"/>
  <c r="I251" i="26" s="1"/>
  <c r="M251" i="26" s="1"/>
  <c r="I245" i="26" a="1"/>
  <c r="I245" i="26" s="1"/>
  <c r="I220" i="26" a="1"/>
  <c r="I220" i="26" s="1"/>
  <c r="I246" i="26" a="1"/>
  <c r="I246" i="26" s="1"/>
  <c r="M246" i="26" s="1"/>
  <c r="I241" i="26" a="1"/>
  <c r="I241" i="26" s="1"/>
  <c r="M241" i="26" s="1"/>
  <c r="I232" i="26" a="1"/>
  <c r="I232" i="26" s="1"/>
  <c r="M232" i="26" s="1"/>
  <c r="I211" i="26" a="1"/>
  <c r="I211" i="26" s="1"/>
  <c r="M211" i="26" s="1"/>
  <c r="I235" i="26" a="1"/>
  <c r="I235" i="26" s="1"/>
  <c r="M235" i="26" s="1"/>
  <c r="I250" i="26" a="1"/>
  <c r="I250" i="26" s="1"/>
  <c r="M250" i="26" s="1"/>
  <c r="I231" i="26" a="1"/>
  <c r="I231" i="26" s="1"/>
  <c r="I223" i="26" a="1"/>
  <c r="I223" i="26" s="1"/>
  <c r="M223" i="26" s="1"/>
  <c r="I219" i="26" a="1"/>
  <c r="I219" i="26" s="1"/>
  <c r="M219" i="26" s="1"/>
  <c r="I236" i="26" a="1"/>
  <c r="I236" i="26" s="1"/>
  <c r="I229" i="26" a="1"/>
  <c r="I229" i="26" s="1"/>
  <c r="M229" i="26" s="1"/>
  <c r="I213" i="26" a="1"/>
  <c r="I213" i="26" s="1"/>
  <c r="M213" i="26" s="1"/>
  <c r="I230" i="26" a="1"/>
  <c r="I230" i="26" s="1"/>
  <c r="I221" i="26" a="1"/>
  <c r="I221" i="26" s="1"/>
  <c r="M221" i="26" s="1"/>
  <c r="I217" i="26" a="1"/>
  <c r="I217" i="26" s="1"/>
  <c r="M217" i="26" s="1"/>
  <c r="I249" i="26" a="1"/>
  <c r="I249" i="26" s="1"/>
  <c r="I209" i="26" a="1"/>
  <c r="I209" i="26" s="1"/>
  <c r="M209" i="26" s="1"/>
  <c r="I227" i="26" a="1"/>
  <c r="I227" i="26" s="1"/>
  <c r="M227" i="26" s="1"/>
  <c r="I215" i="26" a="1"/>
  <c r="I215" i="26" s="1"/>
  <c r="M215" i="26" s="1"/>
  <c r="I247" i="26" a="1"/>
  <c r="I247" i="26" s="1"/>
  <c r="M247" i="26" s="1"/>
  <c r="I248" i="26" a="1"/>
  <c r="I248" i="26" s="1"/>
  <c r="M248" i="26" s="1"/>
  <c r="I239" i="26" a="1"/>
  <c r="I239" i="26" s="1"/>
  <c r="M239" i="26" s="1"/>
  <c r="I214" i="26" a="1"/>
  <c r="I214" i="26" s="1"/>
  <c r="M214" i="26" s="1"/>
  <c r="I253" i="26" a="1"/>
  <c r="I253" i="26" s="1"/>
  <c r="M253" i="26" s="1"/>
  <c r="I237" i="26" a="1"/>
  <c r="I237" i="26" s="1"/>
  <c r="M237" i="26" s="1"/>
  <c r="I206" i="26" a="1"/>
  <c r="I206" i="26" s="1"/>
  <c r="M206" i="26" s="1"/>
  <c r="I204" i="26" a="1"/>
  <c r="I204" i="26" s="1"/>
  <c r="M204" i="26" s="1"/>
  <c r="I202" i="26" a="1"/>
  <c r="I202" i="26" s="1"/>
  <c r="M202" i="26" s="1"/>
  <c r="I208" i="26" a="1"/>
  <c r="I208" i="26" s="1"/>
  <c r="M208" i="26" s="1"/>
  <c r="I203" i="26" a="1"/>
  <c r="I203" i="26" s="1"/>
  <c r="I199" i="26" a="1"/>
  <c r="I199" i="26" s="1"/>
  <c r="I201" i="26" a="1"/>
  <c r="I201" i="26" s="1"/>
  <c r="M201" i="26" s="1"/>
  <c r="I207" i="26" a="1"/>
  <c r="I207" i="26" s="1"/>
  <c r="M207" i="26" s="1"/>
  <c r="I205" i="26" a="1"/>
  <c r="I205" i="26" s="1"/>
  <c r="M205" i="26" s="1"/>
  <c r="I200" i="26" a="1"/>
  <c r="I200" i="26" s="1"/>
  <c r="M200" i="26" s="1"/>
  <c r="I377" i="26" a="1"/>
  <c r="I377" i="26" s="1"/>
  <c r="I376" i="26" a="1"/>
  <c r="I376" i="26" s="1"/>
  <c r="M376" i="26" s="1"/>
  <c r="M198" i="26"/>
  <c r="I380" i="26" a="1"/>
  <c r="I380" i="26" s="1"/>
  <c r="M380" i="26" s="1"/>
  <c r="I382" i="26" a="1"/>
  <c r="I382" i="26" s="1"/>
  <c r="M382" i="26" s="1"/>
  <c r="I383" i="26" a="1"/>
  <c r="I383" i="26" s="1"/>
  <c r="M383" i="26" s="1"/>
  <c r="I381" i="26" a="1"/>
  <c r="I381" i="26" s="1"/>
  <c r="M381" i="26" s="1"/>
  <c r="I386" i="26" a="1"/>
  <c r="I386" i="26" s="1"/>
  <c r="M386" i="26" s="1"/>
  <c r="I378" i="26" a="1"/>
  <c r="I378" i="26" s="1"/>
  <c r="M378" i="26" s="1"/>
  <c r="I385" i="26" a="1"/>
  <c r="I385" i="26" s="1"/>
  <c r="M385" i="26" s="1"/>
  <c r="I373" i="26" a="1"/>
  <c r="I373" i="26" s="1"/>
  <c r="M373" i="26" s="1"/>
  <c r="I379" i="26" a="1"/>
  <c r="I379" i="26" s="1"/>
  <c r="M379" i="26" s="1"/>
  <c r="I372" i="26" a="1"/>
  <c r="I372" i="26" s="1"/>
  <c r="M372" i="26" s="1"/>
  <c r="I375" i="26" a="1"/>
  <c r="I375" i="26" s="1"/>
  <c r="M375" i="26" s="1"/>
  <c r="I369" i="26" a="1"/>
  <c r="I369" i="26" s="1"/>
  <c r="M369" i="26" s="1"/>
  <c r="I374" i="26" a="1"/>
  <c r="I374" i="26" s="1"/>
  <c r="M374" i="26" s="1"/>
  <c r="I364" i="26" a="1"/>
  <c r="I364" i="26" s="1"/>
  <c r="M364" i="26" s="1"/>
  <c r="I370" i="26" a="1"/>
  <c r="I370" i="26" s="1"/>
  <c r="M370" i="26" s="1"/>
  <c r="I384" i="26" a="1"/>
  <c r="I384" i="26" s="1"/>
  <c r="M384" i="26" s="1"/>
  <c r="I358" i="26" a="1"/>
  <c r="I358" i="26" s="1"/>
  <c r="M358" i="26" s="1"/>
  <c r="I371" i="26" a="1"/>
  <c r="I371" i="26" s="1"/>
  <c r="M371" i="26" s="1"/>
  <c r="I366" i="26" a="1"/>
  <c r="I366" i="26" s="1"/>
  <c r="M366" i="26" s="1"/>
  <c r="I353" i="26" a="1"/>
  <c r="I353" i="26" s="1"/>
  <c r="M353" i="26" s="1"/>
  <c r="I368" i="26" a="1"/>
  <c r="I368" i="26" s="1"/>
  <c r="I354" i="26" a="1"/>
  <c r="I354" i="26" s="1"/>
  <c r="M354" i="26" s="1"/>
  <c r="I356" i="26" a="1"/>
  <c r="I356" i="26" s="1"/>
  <c r="I357" i="26" a="1"/>
  <c r="I357" i="26" s="1"/>
  <c r="M357" i="26" s="1"/>
  <c r="I367" i="26" a="1"/>
  <c r="I367" i="26" s="1"/>
  <c r="M367" i="26" s="1"/>
  <c r="I365" i="26" a="1"/>
  <c r="I365" i="26" s="1"/>
  <c r="M365" i="26" s="1"/>
  <c r="I362" i="26" a="1"/>
  <c r="I362" i="26" s="1"/>
  <c r="M362" i="26" s="1"/>
  <c r="I360" i="26" a="1"/>
  <c r="I360" i="26" s="1"/>
  <c r="M360" i="26" s="1"/>
  <c r="I352" i="26" a="1"/>
  <c r="I352" i="26" s="1"/>
  <c r="I361" i="26" a="1"/>
  <c r="I361" i="26" s="1"/>
  <c r="M361" i="26" s="1"/>
  <c r="I355" i="26" a="1"/>
  <c r="I355" i="26" s="1"/>
  <c r="I359" i="26" a="1"/>
  <c r="I359" i="26" s="1"/>
  <c r="M359" i="26" s="1"/>
  <c r="I363" i="26" a="1"/>
  <c r="I363" i="26" s="1"/>
  <c r="M363" i="26" s="1"/>
  <c r="I180" i="26" a="1"/>
  <c r="I180" i="26" s="1"/>
  <c r="M180" i="26" s="1"/>
  <c r="I127" i="26" a="1"/>
  <c r="I127" i="26" s="1"/>
  <c r="M127" i="26" s="1"/>
  <c r="I164" i="26" a="1"/>
  <c r="I164" i="26" s="1"/>
  <c r="I183" i="26" a="1"/>
  <c r="I183" i="26" s="1"/>
  <c r="M183" i="26" s="1"/>
  <c r="I184" i="26" a="1"/>
  <c r="I184" i="26" s="1"/>
  <c r="M184" i="26" s="1"/>
  <c r="I172" i="26" a="1"/>
  <c r="I172" i="26" s="1"/>
  <c r="M172" i="26" s="1"/>
  <c r="M186" i="26"/>
  <c r="I179" i="26" a="1"/>
  <c r="I179" i="26" s="1"/>
  <c r="I185" i="26" a="1"/>
  <c r="I185" i="26" s="1"/>
  <c r="M185" i="26" s="1"/>
  <c r="I177" i="26" a="1"/>
  <c r="I177" i="26" s="1"/>
  <c r="I178" i="26" a="1"/>
  <c r="I178" i="26" s="1"/>
  <c r="M178" i="26" s="1"/>
  <c r="I181" i="26" a="1"/>
  <c r="I181" i="26" s="1"/>
  <c r="M181" i="26" s="1"/>
  <c r="I182" i="26" a="1"/>
  <c r="I182" i="26" s="1"/>
  <c r="M182" i="26" s="1"/>
  <c r="I176" i="26" a="1"/>
  <c r="I176" i="26" s="1"/>
  <c r="M176" i="26" s="1"/>
  <c r="I169" i="26" a="1"/>
  <c r="I169" i="26" s="1"/>
  <c r="M169" i="26" s="1"/>
  <c r="I170" i="26" a="1"/>
  <c r="I170" i="26" s="1"/>
  <c r="I174" i="26" a="1"/>
  <c r="I174" i="26" s="1"/>
  <c r="M174" i="26" s="1"/>
  <c r="I173" i="26" a="1"/>
  <c r="I173" i="26" s="1"/>
  <c r="M173" i="26" s="1"/>
  <c r="I171" i="26" a="1"/>
  <c r="I171" i="26" s="1"/>
  <c r="M171" i="26" s="1"/>
  <c r="I168" i="26" a="1"/>
  <c r="I168" i="26" s="1"/>
  <c r="I175" i="26" a="1"/>
  <c r="I175" i="26" s="1"/>
  <c r="M175" i="26" s="1"/>
  <c r="I162" i="26" a="1"/>
  <c r="I162" i="26" s="1"/>
  <c r="M162" i="26" s="1"/>
  <c r="I159" i="26" a="1"/>
  <c r="I159" i="26" s="1"/>
  <c r="I158" i="26" a="1"/>
  <c r="I158" i="26" s="1"/>
  <c r="M158" i="26" s="1"/>
  <c r="I161" i="26" a="1"/>
  <c r="I161" i="26" s="1"/>
  <c r="M161" i="26" s="1"/>
  <c r="I163" i="26" a="1"/>
  <c r="I163" i="26" s="1"/>
  <c r="M163" i="26" s="1"/>
  <c r="I165" i="26" a="1"/>
  <c r="I165" i="26" s="1"/>
  <c r="M165" i="26" s="1"/>
  <c r="I166" i="26" a="1"/>
  <c r="I166" i="26" s="1"/>
  <c r="M166" i="26" s="1"/>
  <c r="I160" i="26" a="1"/>
  <c r="I160" i="26" s="1"/>
  <c r="M160" i="26" s="1"/>
  <c r="I167" i="26" a="1"/>
  <c r="I167" i="26" s="1"/>
  <c r="M167" i="26" s="1"/>
  <c r="I154" i="26" a="1"/>
  <c r="I154" i="26" s="1"/>
  <c r="M154" i="26" s="1"/>
  <c r="I146" i="26" a="1"/>
  <c r="I146" i="26" s="1"/>
  <c r="M146" i="26" s="1"/>
  <c r="I157" i="26" a="1"/>
  <c r="I157" i="26" s="1"/>
  <c r="M157" i="26" s="1"/>
  <c r="I156" i="26" a="1"/>
  <c r="I156" i="26" s="1"/>
  <c r="M156" i="26" s="1"/>
  <c r="I152" i="26" a="1"/>
  <c r="I152" i="26" s="1"/>
  <c r="I150" i="26" a="1"/>
  <c r="I150" i="26" s="1"/>
  <c r="I138" i="26" a="1"/>
  <c r="I138" i="26" s="1"/>
  <c r="M138" i="26" s="1"/>
  <c r="I153" i="26" a="1"/>
  <c r="I153" i="26" s="1"/>
  <c r="M153" i="26" s="1"/>
  <c r="I151" i="26" a="1"/>
  <c r="I151" i="26" s="1"/>
  <c r="M151" i="26" s="1"/>
  <c r="I155" i="26" a="1"/>
  <c r="I155" i="26" s="1"/>
  <c r="M155" i="26" s="1"/>
  <c r="I136" i="26" a="1"/>
  <c r="I136" i="26" s="1"/>
  <c r="M136" i="26" s="1"/>
  <c r="I134" i="26" a="1"/>
  <c r="I134" i="26" s="1"/>
  <c r="M134" i="26" s="1"/>
  <c r="I140" i="26" a="1"/>
  <c r="I140" i="26" s="1"/>
  <c r="I17" i="19" s="1"/>
  <c r="O17" i="19" s="1"/>
  <c r="I145" i="26" a="1"/>
  <c r="I145" i="26" s="1"/>
  <c r="M145" i="26" s="1"/>
  <c r="I148" i="26" a="1"/>
  <c r="I148" i="26" s="1"/>
  <c r="M148" i="26" s="1"/>
  <c r="I144" i="26" a="1"/>
  <c r="I144" i="26" s="1"/>
  <c r="M144" i="26" s="1"/>
  <c r="I143" i="26" a="1"/>
  <c r="I143" i="26" s="1"/>
  <c r="I137" i="26" a="1"/>
  <c r="I137" i="26" s="1"/>
  <c r="M137" i="26" s="1"/>
  <c r="I147" i="26" a="1"/>
  <c r="I147" i="26" s="1"/>
  <c r="M147" i="26" s="1"/>
  <c r="I142" i="26" a="1"/>
  <c r="I142" i="26" s="1"/>
  <c r="M142" i="26" s="1"/>
  <c r="I135" i="26" a="1"/>
  <c r="I135" i="26" s="1"/>
  <c r="M135" i="26" s="1"/>
  <c r="I124" i="26" a="1"/>
  <c r="I124" i="26" s="1"/>
  <c r="M124" i="26" s="1"/>
  <c r="I141" i="26" a="1"/>
  <c r="I141" i="26" s="1"/>
  <c r="I149" i="26" a="1"/>
  <c r="I149" i="26" s="1"/>
  <c r="M149" i="26" s="1"/>
  <c r="I139" i="26" a="1"/>
  <c r="I139" i="26" s="1"/>
  <c r="M139" i="26" s="1"/>
  <c r="I131" i="26" a="1"/>
  <c r="I131" i="26" s="1"/>
  <c r="M131" i="26" s="1"/>
  <c r="I133" i="26" a="1"/>
  <c r="I133" i="26" s="1"/>
  <c r="M133" i="26" s="1"/>
  <c r="I132" i="26" a="1"/>
  <c r="I132" i="26" s="1"/>
  <c r="M132" i="26" s="1"/>
  <c r="I128" i="26" a="1"/>
  <c r="I128" i="26" s="1"/>
  <c r="M128" i="26" s="1"/>
  <c r="I129" i="26" a="1"/>
  <c r="I129" i="26" s="1"/>
  <c r="M129" i="26" s="1"/>
  <c r="I126" i="26" a="1"/>
  <c r="I126" i="26" s="1"/>
  <c r="I16" i="19" s="1"/>
  <c r="O16" i="19" s="1"/>
  <c r="I125" i="26" a="1"/>
  <c r="I125" i="26" s="1"/>
  <c r="M125" i="26" s="1"/>
  <c r="I130" i="26" a="1"/>
  <c r="I130" i="26" s="1"/>
  <c r="M130" i="26" s="1"/>
  <c r="I116" i="26" a="1"/>
  <c r="I116" i="26" s="1"/>
  <c r="M116" i="26" s="1"/>
  <c r="I345" i="26" a="1"/>
  <c r="I345" i="26" s="1"/>
  <c r="M345" i="26" s="1"/>
  <c r="N3" i="30"/>
  <c r="AG3" i="30"/>
  <c r="I346" i="26" a="1"/>
  <c r="I346" i="26" s="1"/>
  <c r="I348" i="26" a="1"/>
  <c r="I348" i="26" s="1"/>
  <c r="M348" i="26" s="1"/>
  <c r="I344" i="26" a="1"/>
  <c r="I344" i="26" s="1"/>
  <c r="M344" i="26" s="1"/>
  <c r="I349" i="26" a="1"/>
  <c r="I349" i="26" s="1"/>
  <c r="M349" i="26" s="1"/>
  <c r="I351" i="26" a="1"/>
  <c r="I351" i="26" s="1"/>
  <c r="M351" i="26" s="1"/>
  <c r="I343" i="26" a="1"/>
  <c r="I343" i="26" s="1"/>
  <c r="I347" i="26" a="1"/>
  <c r="I347" i="26" s="1"/>
  <c r="M347" i="26" s="1"/>
  <c r="I350" i="26" a="1"/>
  <c r="I350" i="26" s="1"/>
  <c r="M350" i="26" s="1"/>
  <c r="U11" i="35"/>
  <c r="AA11" i="35" s="1"/>
  <c r="I118" i="26" a="1"/>
  <c r="I118" i="26" s="1"/>
  <c r="I121" i="26" a="1"/>
  <c r="I121" i="26" s="1"/>
  <c r="M121" i="26" s="1"/>
  <c r="I122" i="26" a="1"/>
  <c r="I122" i="26" s="1"/>
  <c r="M122" i="26" s="1"/>
  <c r="I123" i="26" a="1"/>
  <c r="I123" i="26" s="1"/>
  <c r="M123" i="26" s="1"/>
  <c r="I117" i="26" a="1"/>
  <c r="I117" i="26" s="1"/>
  <c r="M117" i="26" s="1"/>
  <c r="I119" i="26" a="1"/>
  <c r="I119" i="26" s="1"/>
  <c r="M119" i="26" s="1"/>
  <c r="I115" i="26" a="1"/>
  <c r="I115" i="26" s="1"/>
  <c r="I120" i="26" a="1"/>
  <c r="I120" i="26" s="1"/>
  <c r="M120" i="26" s="1"/>
  <c r="N2" i="30"/>
  <c r="AG2" i="30"/>
  <c r="I334" i="26" a="1"/>
  <c r="I334" i="26" s="1"/>
  <c r="M334" i="26" s="1"/>
  <c r="I335" i="26" a="1"/>
  <c r="I335" i="26" s="1"/>
  <c r="M335" i="26" s="1"/>
  <c r="I337" i="26" a="1"/>
  <c r="I337" i="26" s="1"/>
  <c r="I342" i="26" a="1"/>
  <c r="I342" i="26" s="1"/>
  <c r="M342" i="26" s="1"/>
  <c r="I333" i="26" a="1"/>
  <c r="I333" i="26" s="1"/>
  <c r="I338" i="26" a="1"/>
  <c r="I338" i="26" s="1"/>
  <c r="M338" i="26" s="1"/>
  <c r="I341" i="26" a="1"/>
  <c r="I341" i="26" s="1"/>
  <c r="M341" i="26" s="1"/>
  <c r="I339" i="26" a="1"/>
  <c r="I339" i="26" s="1"/>
  <c r="M339" i="26" s="1"/>
  <c r="I340" i="26" a="1"/>
  <c r="I340" i="26" s="1"/>
  <c r="M340" i="26" s="1"/>
  <c r="I336" i="26" a="1"/>
  <c r="I336" i="26" s="1"/>
  <c r="U5" i="37"/>
  <c r="AA5" i="37" s="1"/>
  <c r="I112" i="26" a="1"/>
  <c r="I112" i="26" s="1"/>
  <c r="M112" i="26" s="1"/>
  <c r="I103" i="26" a="1"/>
  <c r="I103" i="26" s="1"/>
  <c r="M103" i="26" s="1"/>
  <c r="I110" i="26" a="1"/>
  <c r="I110" i="26" s="1"/>
  <c r="I113" i="26" a="1"/>
  <c r="I113" i="26" s="1"/>
  <c r="I102" i="26" a="1"/>
  <c r="I102" i="26" s="1"/>
  <c r="M102" i="26" s="1"/>
  <c r="I111" i="26" a="1"/>
  <c r="I111" i="26" s="1"/>
  <c r="M111" i="26" s="1"/>
  <c r="I97" i="26" a="1"/>
  <c r="I97" i="26" s="1"/>
  <c r="M97" i="26" s="1"/>
  <c r="I114" i="26" a="1"/>
  <c r="I114" i="26" s="1"/>
  <c r="M114" i="26" s="1"/>
  <c r="I105" i="26" a="1"/>
  <c r="I105" i="26" s="1"/>
  <c r="M105" i="26" s="1"/>
  <c r="I93" i="26" a="1"/>
  <c r="I93" i="26" s="1"/>
  <c r="M93" i="26" s="1"/>
  <c r="I98" i="26" a="1"/>
  <c r="I98" i="26" s="1"/>
  <c r="M98" i="26" s="1"/>
  <c r="I92" i="26" a="1"/>
  <c r="I92" i="26" s="1"/>
  <c r="I96" i="26" a="1"/>
  <c r="I96" i="26" s="1"/>
  <c r="M96" i="26" s="1"/>
  <c r="I95" i="26" a="1"/>
  <c r="I95" i="26" s="1"/>
  <c r="I99" i="26" a="1"/>
  <c r="I99" i="26" s="1"/>
  <c r="M99" i="26" s="1"/>
  <c r="I100" i="26" a="1"/>
  <c r="I100" i="26" s="1"/>
  <c r="M100" i="26" s="1"/>
  <c r="I94" i="26" a="1"/>
  <c r="I94" i="26" s="1"/>
  <c r="M94" i="26" s="1"/>
  <c r="I107" i="26" a="1"/>
  <c r="I107" i="26" s="1"/>
  <c r="M107" i="26" s="1"/>
  <c r="I109" i="26" a="1"/>
  <c r="I109" i="26" s="1"/>
  <c r="M109" i="26" s="1"/>
  <c r="I108" i="26" a="1"/>
  <c r="I108" i="26" s="1"/>
  <c r="M108" i="26" s="1"/>
  <c r="I106" i="26" a="1"/>
  <c r="I106" i="26" s="1"/>
  <c r="M106" i="26" s="1"/>
  <c r="I101" i="26" a="1"/>
  <c r="I101" i="26" s="1"/>
  <c r="M101" i="26" s="1"/>
  <c r="I104" i="26" a="1"/>
  <c r="I104" i="26" s="1"/>
  <c r="M104" i="26" s="1"/>
  <c r="I86" i="26" a="1"/>
  <c r="I86" i="26" s="1"/>
  <c r="M86" i="26" s="1"/>
  <c r="I91" i="26" a="1"/>
  <c r="I91" i="26" s="1"/>
  <c r="M91" i="26" s="1"/>
  <c r="I69" i="26" a="1"/>
  <c r="I69" i="26" s="1"/>
  <c r="M69" i="26" s="1"/>
  <c r="I79" i="26" a="1"/>
  <c r="I79" i="26" s="1"/>
  <c r="M79" i="26" s="1"/>
  <c r="I88" i="26" a="1"/>
  <c r="I88" i="26" s="1"/>
  <c r="I87" i="26" a="1"/>
  <c r="I87" i="26" s="1"/>
  <c r="M87" i="26" s="1"/>
  <c r="I85" i="26" a="1"/>
  <c r="I85" i="26" s="1"/>
  <c r="I89" i="26" a="1"/>
  <c r="I89" i="26" s="1"/>
  <c r="M89" i="26" s="1"/>
  <c r="I90" i="26" a="1"/>
  <c r="I90" i="26" s="1"/>
  <c r="M90" i="26" s="1"/>
  <c r="I55" i="26" a="1"/>
  <c r="I55" i="26" s="1"/>
  <c r="M55" i="26" s="1"/>
  <c r="I83" i="26" a="1"/>
  <c r="I83" i="26" s="1"/>
  <c r="M83" i="26" s="1"/>
  <c r="I76" i="26" a="1"/>
  <c r="I76" i="26" s="1"/>
  <c r="I77" i="26" a="1"/>
  <c r="I77" i="26" s="1"/>
  <c r="M77" i="26" s="1"/>
  <c r="I78" i="26" a="1"/>
  <c r="I78" i="26" s="1"/>
  <c r="I84" i="26" a="1"/>
  <c r="I84" i="26" s="1"/>
  <c r="M84" i="26" s="1"/>
  <c r="I80" i="26" a="1"/>
  <c r="I80" i="26" s="1"/>
  <c r="M80" i="26" s="1"/>
  <c r="I81" i="26" a="1"/>
  <c r="I81" i="26" s="1"/>
  <c r="M81" i="26" s="1"/>
  <c r="I82" i="26" a="1"/>
  <c r="I82" i="26" s="1"/>
  <c r="M82" i="26" s="1"/>
  <c r="N45" i="19"/>
  <c r="I67" i="26" a="1"/>
  <c r="I67" i="26" s="1"/>
  <c r="M67" i="26" s="1"/>
  <c r="I75" i="26" a="1"/>
  <c r="I75" i="26" s="1"/>
  <c r="M75" i="26" s="1"/>
  <c r="I70" i="26" a="1"/>
  <c r="I70" i="26" s="1"/>
  <c r="I68" i="26" a="1"/>
  <c r="I68" i="26" s="1"/>
  <c r="I73" i="26" a="1"/>
  <c r="I73" i="26" s="1"/>
  <c r="M73" i="26" s="1"/>
  <c r="I71" i="26" a="1"/>
  <c r="I71" i="26" s="1"/>
  <c r="M71" i="26" s="1"/>
  <c r="I74" i="26" a="1"/>
  <c r="I74" i="26" s="1"/>
  <c r="M74" i="26" s="1"/>
  <c r="I65" i="26" a="1"/>
  <c r="I65" i="26" s="1"/>
  <c r="M65" i="26" s="1"/>
  <c r="I64" i="26" a="1"/>
  <c r="I64" i="26" s="1"/>
  <c r="I47" i="26" a="1"/>
  <c r="I47" i="26" s="1"/>
  <c r="M47" i="26" s="1"/>
  <c r="I54" i="26" a="1"/>
  <c r="I54" i="26" s="1"/>
  <c r="M54" i="26" s="1"/>
  <c r="I50" i="26" a="1"/>
  <c r="I50" i="26" s="1"/>
  <c r="I56" i="26" a="1"/>
  <c r="I56" i="26" s="1"/>
  <c r="N41" i="19"/>
  <c r="I58" i="26" a="1"/>
  <c r="I58" i="26" s="1"/>
  <c r="M58" i="26" s="1"/>
  <c r="I66" i="26" a="1"/>
  <c r="I66" i="26" s="1"/>
  <c r="M66" i="26" s="1"/>
  <c r="I61" i="26" a="1"/>
  <c r="I61" i="26" s="1"/>
  <c r="M61" i="26" s="1"/>
  <c r="I51" i="26" a="1"/>
  <c r="I51" i="26" s="1"/>
  <c r="M51" i="26" s="1"/>
  <c r="I59" i="26" a="1"/>
  <c r="I59" i="26" s="1"/>
  <c r="M59" i="26" s="1"/>
  <c r="I60" i="26" a="1"/>
  <c r="I60" i="26" s="1"/>
  <c r="M60" i="26" s="1"/>
  <c r="I49" i="26" a="1"/>
  <c r="I49" i="26" s="1"/>
  <c r="M49" i="26" s="1"/>
  <c r="I63" i="26" a="1"/>
  <c r="I63" i="26" s="1"/>
  <c r="I57" i="26" a="1"/>
  <c r="I57" i="26" s="1"/>
  <c r="M57" i="26" s="1"/>
  <c r="I48" i="26" a="1"/>
  <c r="I48" i="26" s="1"/>
  <c r="M48" i="26" s="1"/>
  <c r="I53" i="26" a="1"/>
  <c r="I53" i="26" s="1"/>
  <c r="M53" i="26" s="1"/>
  <c r="I46" i="26" a="1"/>
  <c r="I46" i="26" s="1"/>
  <c r="I62" i="26" a="1"/>
  <c r="I62" i="26" s="1"/>
  <c r="M62" i="26" s="1"/>
  <c r="I52" i="26" a="1"/>
  <c r="I52" i="26" s="1"/>
  <c r="M52" i="26" s="1"/>
  <c r="I41" i="26" a="1"/>
  <c r="I41" i="26" s="1"/>
  <c r="M41" i="26" s="1"/>
  <c r="I45" i="26" a="1"/>
  <c r="I45" i="26" s="1"/>
  <c r="M45" i="26" s="1"/>
  <c r="I44" i="26" a="1"/>
  <c r="I44" i="26" s="1"/>
  <c r="M44" i="26" s="1"/>
  <c r="I42" i="26" a="1"/>
  <c r="I42" i="26" s="1"/>
  <c r="I43" i="26" a="1"/>
  <c r="I43" i="26" s="1"/>
  <c r="M43" i="26" s="1"/>
  <c r="I40" i="26" a="1"/>
  <c r="I40" i="26" s="1"/>
  <c r="N42" i="19"/>
  <c r="I5" i="36"/>
  <c r="O5" i="36" s="1"/>
  <c r="T40" i="19"/>
  <c r="Y40" i="19" s="1"/>
  <c r="H34" i="31"/>
  <c r="N34" i="31" s="1"/>
  <c r="H31" i="18"/>
  <c r="N31" i="18" s="1"/>
  <c r="H3" i="34"/>
  <c r="N3" i="34" s="1"/>
  <c r="I3" i="34"/>
  <c r="O3" i="34" s="1"/>
  <c r="I2" i="35"/>
  <c r="O2" i="35" s="1"/>
  <c r="H2" i="35"/>
  <c r="N2" i="35" s="1"/>
  <c r="T41" i="19"/>
  <c r="Y41" i="19" s="1"/>
  <c r="I38" i="27"/>
  <c r="O38" i="27" s="1"/>
  <c r="H38" i="27"/>
  <c r="N38" i="27" s="1"/>
  <c r="I6" i="28"/>
  <c r="O6" i="28" s="1"/>
  <c r="H6" i="28"/>
  <c r="N6" i="28" s="1"/>
  <c r="I8" i="28"/>
  <c r="O8" i="28" s="1"/>
  <c r="H8" i="28"/>
  <c r="N8" i="28" s="1"/>
  <c r="H33" i="18"/>
  <c r="N33" i="18" s="1"/>
  <c r="T6" i="17"/>
  <c r="Y6" i="17" s="1"/>
  <c r="H6" i="17"/>
  <c r="N6" i="17" s="1"/>
  <c r="H59" i="15"/>
  <c r="N59" i="15" s="1"/>
  <c r="H29" i="18"/>
  <c r="N29" i="18" s="1"/>
  <c r="T29" i="18"/>
  <c r="Y29" i="18" s="1"/>
  <c r="T26" i="18"/>
  <c r="Y26" i="18" s="1"/>
  <c r="T2" i="16"/>
  <c r="Y2" i="16" s="1"/>
  <c r="T45" i="19"/>
  <c r="Y45" i="19" s="1"/>
  <c r="I26" i="18"/>
  <c r="O26" i="18" s="1"/>
  <c r="I3" i="35"/>
  <c r="O3" i="35" s="1"/>
  <c r="H7" i="37"/>
  <c r="N7" i="37" s="1"/>
  <c r="I7" i="37"/>
  <c r="O7" i="37" s="1"/>
  <c r="H8" i="35"/>
  <c r="N8" i="35" s="1"/>
  <c r="I8" i="35"/>
  <c r="O8" i="35" s="1"/>
  <c r="I2" i="36"/>
  <c r="O2" i="36" s="1"/>
  <c r="H2" i="36"/>
  <c r="N2" i="36" s="1"/>
  <c r="N43" i="19"/>
  <c r="T43" i="19"/>
  <c r="Y43" i="19" s="1"/>
  <c r="H27" i="18"/>
  <c r="N27" i="18" s="1"/>
  <c r="I27" i="18"/>
  <c r="O27" i="18" s="1"/>
  <c r="H2" i="29"/>
  <c r="N2" i="29" s="1"/>
  <c r="N38" i="19"/>
  <c r="T38" i="19"/>
  <c r="Y38" i="19" s="1"/>
  <c r="H35" i="27"/>
  <c r="N35" i="27" s="1"/>
  <c r="T44" i="19"/>
  <c r="Y44" i="19" s="1"/>
  <c r="N44" i="19"/>
  <c r="H38" i="31"/>
  <c r="N38" i="31" s="1"/>
  <c r="H2" i="37"/>
  <c r="N2" i="37" s="1"/>
  <c r="I37" i="27"/>
  <c r="O37" i="27" s="1"/>
  <c r="T3" i="17"/>
  <c r="Y3" i="17" s="1"/>
  <c r="H9" i="35"/>
  <c r="N9" i="35" s="1"/>
  <c r="I9" i="35"/>
  <c r="O9" i="35" s="1"/>
  <c r="H36" i="31"/>
  <c r="N36" i="31" s="1"/>
  <c r="I36" i="31"/>
  <c r="O36" i="31" s="1"/>
  <c r="H5" i="28"/>
  <c r="N5" i="28" s="1"/>
  <c r="I10" i="33"/>
  <c r="O10" i="33" s="1"/>
  <c r="H4" i="33"/>
  <c r="N4" i="33" s="1"/>
  <c r="H6" i="34"/>
  <c r="N6" i="34" s="1"/>
  <c r="H4" i="34"/>
  <c r="N4" i="34" s="1"/>
  <c r="H58" i="15"/>
  <c r="N58" i="15" s="1"/>
  <c r="I2" i="38"/>
  <c r="O2" i="38" s="1"/>
  <c r="H53" i="15"/>
  <c r="N53" i="15" s="1"/>
  <c r="H2" i="14"/>
  <c r="N2" i="14" s="1"/>
  <c r="T33" i="18"/>
  <c r="Y33" i="18" s="1"/>
  <c r="H3" i="38"/>
  <c r="N3" i="38" s="1"/>
  <c r="I3" i="33"/>
  <c r="O3" i="33" s="1"/>
  <c r="T27" i="18"/>
  <c r="Y27" i="18" s="1"/>
  <c r="N39" i="19"/>
  <c r="H35" i="31"/>
  <c r="N35" i="31" s="1"/>
  <c r="I35" i="31"/>
  <c r="O35" i="31" s="1"/>
  <c r="I6" i="36"/>
  <c r="O6" i="36" s="1"/>
  <c r="H2" i="17"/>
  <c r="N2" i="17" s="1"/>
  <c r="T5" i="17"/>
  <c r="Y5" i="17" s="1"/>
  <c r="I2" i="37"/>
  <c r="O2" i="37" s="1"/>
  <c r="I4" i="36"/>
  <c r="O4" i="36" s="1"/>
  <c r="H7" i="35"/>
  <c r="N7" i="35" s="1"/>
  <c r="H7" i="33"/>
  <c r="N7" i="33" s="1"/>
  <c r="I9" i="33"/>
  <c r="O9" i="33" s="1"/>
  <c r="H5" i="36"/>
  <c r="N5" i="36" s="1"/>
  <c r="I4" i="33"/>
  <c r="O4" i="33" s="1"/>
  <c r="H8" i="37"/>
  <c r="N8" i="37" s="1"/>
  <c r="I4" i="35"/>
  <c r="O4" i="35" s="1"/>
  <c r="I6" i="34"/>
  <c r="O6" i="34" s="1"/>
  <c r="H8" i="34"/>
  <c r="N8" i="34" s="1"/>
  <c r="I33" i="26" a="1"/>
  <c r="I33" i="26" s="1"/>
  <c r="M33" i="26" s="1"/>
  <c r="I39" i="26" a="1"/>
  <c r="I39" i="26" s="1"/>
  <c r="M39" i="26" s="1"/>
  <c r="I31" i="26" a="1"/>
  <c r="I31" i="26" s="1"/>
  <c r="M31" i="26" s="1"/>
  <c r="I37" i="26" a="1"/>
  <c r="I37" i="26" s="1"/>
  <c r="M37" i="26" s="1"/>
  <c r="I38" i="26" a="1"/>
  <c r="I38" i="26" s="1"/>
  <c r="M38" i="26" s="1"/>
  <c r="I30" i="26" a="1"/>
  <c r="I30" i="26" s="1"/>
  <c r="I36" i="26" a="1"/>
  <c r="I36" i="26" s="1"/>
  <c r="M36" i="26" s="1"/>
  <c r="I35" i="26" a="1"/>
  <c r="I35" i="26" s="1"/>
  <c r="M35" i="26" s="1"/>
  <c r="I34" i="26" a="1"/>
  <c r="I34" i="26" s="1"/>
  <c r="M34" i="26" s="1"/>
  <c r="I32" i="26" a="1"/>
  <c r="I32" i="26" s="1"/>
  <c r="I22" i="26" a="1"/>
  <c r="I22" i="26" s="1"/>
  <c r="M22" i="26" s="1"/>
  <c r="U4" i="17"/>
  <c r="Z4" i="17" s="1"/>
  <c r="U45" i="19"/>
  <c r="Z45" i="19" s="1"/>
  <c r="U44" i="19"/>
  <c r="Z44" i="19" s="1"/>
  <c r="U40" i="19"/>
  <c r="Z40" i="19" s="1"/>
  <c r="U46" i="19"/>
  <c r="Z46" i="19" s="1"/>
  <c r="U6" i="37"/>
  <c r="AA6" i="37" s="1"/>
  <c r="U39" i="19"/>
  <c r="Z39" i="19" s="1"/>
  <c r="U32" i="18"/>
  <c r="Z32" i="18" s="1"/>
  <c r="U5" i="17"/>
  <c r="Z5" i="17" s="1"/>
  <c r="U41" i="19"/>
  <c r="Z41" i="19" s="1"/>
  <c r="U43" i="19"/>
  <c r="Z43" i="19" s="1"/>
  <c r="U3" i="17"/>
  <c r="Z3" i="17" s="1"/>
  <c r="U31" i="18"/>
  <c r="Z31" i="18" s="1"/>
  <c r="U27" i="18"/>
  <c r="Z27" i="18" s="1"/>
  <c r="U29" i="18"/>
  <c r="Z29" i="18" s="1"/>
  <c r="U2" i="17"/>
  <c r="Z2" i="17" s="1"/>
  <c r="U2" i="14"/>
  <c r="Z2" i="14" s="1"/>
  <c r="U33" i="18"/>
  <c r="Z33" i="18" s="1"/>
  <c r="U34" i="18"/>
  <c r="Z34" i="18" s="1"/>
  <c r="O2" i="29"/>
  <c r="O10" i="28"/>
  <c r="O35" i="27"/>
  <c r="U6" i="17"/>
  <c r="Z6" i="17" s="1"/>
  <c r="U7" i="17"/>
  <c r="Z7" i="17" s="1"/>
  <c r="U42" i="19"/>
  <c r="Z42" i="19" s="1"/>
  <c r="U26" i="18"/>
  <c r="Z26" i="18" s="1"/>
  <c r="U38" i="19"/>
  <c r="Z38" i="19" s="1"/>
  <c r="Y34" i="18"/>
  <c r="U2" i="16"/>
  <c r="Z2" i="16" s="1"/>
  <c r="U30" i="18"/>
  <c r="Z30" i="18" s="1"/>
  <c r="Y7" i="17"/>
  <c r="N34" i="18"/>
  <c r="N7" i="17"/>
  <c r="Y2" i="14"/>
  <c r="Y30" i="18"/>
  <c r="N30" i="18"/>
  <c r="I14" i="26" a="1"/>
  <c r="I14" i="26" s="1"/>
  <c r="I19" i="26" a="1"/>
  <c r="I19" i="26" s="1"/>
  <c r="I16" i="26" a="1"/>
  <c r="I16" i="26" s="1"/>
  <c r="I17" i="26" a="1"/>
  <c r="I17" i="26" s="1"/>
  <c r="M17" i="26" s="1"/>
  <c r="I18" i="26" a="1"/>
  <c r="I18" i="26" s="1"/>
  <c r="M18" i="26" s="1"/>
  <c r="I20" i="26" a="1"/>
  <c r="I20" i="26" s="1"/>
  <c r="M20" i="26" s="1"/>
  <c r="I21" i="26" a="1"/>
  <c r="I21" i="26" s="1"/>
  <c r="M21" i="26" s="1"/>
  <c r="I23" i="26" a="1"/>
  <c r="I23" i="26" s="1"/>
  <c r="M23" i="26" s="1"/>
  <c r="I24" i="26" a="1"/>
  <c r="I24" i="26" s="1"/>
  <c r="M24" i="26" s="1"/>
  <c r="I25" i="26" a="1"/>
  <c r="I25" i="26" s="1"/>
  <c r="M25" i="26" s="1"/>
  <c r="I26" i="26" a="1"/>
  <c r="I26" i="26" s="1"/>
  <c r="M26" i="26" s="1"/>
  <c r="I27" i="26" a="1"/>
  <c r="I27" i="26" s="1"/>
  <c r="M27" i="26" s="1"/>
  <c r="I28" i="26" a="1"/>
  <c r="I28" i="26" s="1"/>
  <c r="M28" i="26" s="1"/>
  <c r="I29" i="26" a="1"/>
  <c r="I29" i="26" s="1"/>
  <c r="M29" i="26" s="1"/>
  <c r="I15" i="26" a="1"/>
  <c r="I15" i="26" s="1"/>
  <c r="M15" i="26" s="1"/>
  <c r="I3" i="26" a="1"/>
  <c r="I3" i="26" s="1"/>
  <c r="I4" i="26" a="1"/>
  <c r="I4" i="26" s="1"/>
  <c r="I5" i="26" a="1"/>
  <c r="I5" i="26" s="1"/>
  <c r="M5" i="26" s="1"/>
  <c r="I6" i="26" a="1"/>
  <c r="I6" i="26" s="1"/>
  <c r="M6" i="26" s="1"/>
  <c r="I7" i="26" a="1"/>
  <c r="I7" i="26" s="1"/>
  <c r="M7" i="26" s="1"/>
  <c r="I8" i="26" a="1"/>
  <c r="I8" i="26" s="1"/>
  <c r="M8" i="26" s="1"/>
  <c r="I9" i="26" a="1"/>
  <c r="I9" i="26" s="1"/>
  <c r="M9" i="26" s="1"/>
  <c r="I10" i="26" a="1"/>
  <c r="I10" i="26" s="1"/>
  <c r="M10" i="26" s="1"/>
  <c r="I11" i="26" a="1"/>
  <c r="I11" i="26" s="1"/>
  <c r="M11" i="26" s="1"/>
  <c r="I12" i="26" a="1"/>
  <c r="I12" i="26" s="1"/>
  <c r="M12" i="26" s="1"/>
  <c r="I13" i="26" a="1"/>
  <c r="I13" i="26" s="1"/>
  <c r="M13" i="26" s="1"/>
  <c r="AL35" i="15" l="1"/>
  <c r="AL24" i="15"/>
  <c r="AM22" i="27"/>
  <c r="AL9" i="15"/>
  <c r="AL46" i="15"/>
  <c r="AM46" i="15" s="1"/>
  <c r="AL33" i="15"/>
  <c r="AM16" i="27"/>
  <c r="AM29" i="27"/>
  <c r="AN29" i="27" s="1"/>
  <c r="AL31" i="15"/>
  <c r="AL17" i="15"/>
  <c r="AM33" i="27"/>
  <c r="AL19" i="15"/>
  <c r="AM19" i="15" s="1"/>
  <c r="AM17" i="27"/>
  <c r="AN17" i="27" s="1"/>
  <c r="AM26" i="27"/>
  <c r="AL10" i="15"/>
  <c r="AL25" i="15"/>
  <c r="AM25" i="15" s="1"/>
  <c r="AM11" i="27"/>
  <c r="AL8" i="15"/>
  <c r="AM8" i="15" s="1"/>
  <c r="AM28" i="27"/>
  <c r="AL11" i="15"/>
  <c r="AM11" i="15" s="1"/>
  <c r="AL6" i="15"/>
  <c r="AM6" i="15" s="1"/>
  <c r="AL29" i="15"/>
  <c r="AM29" i="15" s="1"/>
  <c r="AL37" i="15"/>
  <c r="AM37" i="15" s="1"/>
  <c r="AL21" i="15"/>
  <c r="AM21" i="15" s="1"/>
  <c r="AM20" i="27"/>
  <c r="AM24" i="27"/>
  <c r="AL38" i="15"/>
  <c r="AL22" i="15"/>
  <c r="AM22" i="15" s="1"/>
  <c r="AL13" i="15"/>
  <c r="AM13" i="15" s="1"/>
  <c r="AL16" i="15"/>
  <c r="AM16" i="15" s="1"/>
  <c r="AM11" i="31"/>
  <c r="AN11" i="31" s="1"/>
  <c r="AL44" i="15"/>
  <c r="AM44" i="15" s="1"/>
  <c r="AL47" i="15"/>
  <c r="AM47" i="15" s="1"/>
  <c r="AM21" i="31"/>
  <c r="AN21" i="31" s="1"/>
  <c r="AN25" i="31"/>
  <c r="AM14" i="31"/>
  <c r="AN14" i="31" s="1"/>
  <c r="AM5" i="31"/>
  <c r="AN5" i="31" s="1"/>
  <c r="AM13" i="31"/>
  <c r="AN13" i="31" s="1"/>
  <c r="AL20" i="15"/>
  <c r="AM20" i="15" s="1"/>
  <c r="AL14" i="15"/>
  <c r="AM14" i="15" s="1"/>
  <c r="AN3" i="31"/>
  <c r="AN4" i="31"/>
  <c r="AN28" i="31"/>
  <c r="AM10" i="31"/>
  <c r="AN10" i="31" s="1"/>
  <c r="AM22" i="31"/>
  <c r="AN22" i="31" s="1"/>
  <c r="AM7" i="27"/>
  <c r="AN7" i="27" s="1"/>
  <c r="AM10" i="27"/>
  <c r="AN10" i="27" s="1"/>
  <c r="AM12" i="27"/>
  <c r="AN12" i="27" s="1"/>
  <c r="AM23" i="27"/>
  <c r="AN23" i="27" s="1"/>
  <c r="AM30" i="27"/>
  <c r="AN30" i="27" s="1"/>
  <c r="AL12" i="15"/>
  <c r="AM12" i="15" s="1"/>
  <c r="AL32" i="15"/>
  <c r="AM32" i="15" s="1"/>
  <c r="AL45" i="15"/>
  <c r="AM45" i="15" s="1"/>
  <c r="AN27" i="27"/>
  <c r="AN30" i="31"/>
  <c r="AM29" i="31"/>
  <c r="AN29" i="31" s="1"/>
  <c r="AM6" i="31"/>
  <c r="AN6" i="31" s="1"/>
  <c r="AM20" i="31"/>
  <c r="AN20" i="31" s="1"/>
  <c r="AL5" i="15"/>
  <c r="AM5" i="15" s="1"/>
  <c r="AL4" i="15"/>
  <c r="AM4" i="15" s="1"/>
  <c r="AM21" i="27"/>
  <c r="AN21" i="27" s="1"/>
  <c r="AL39" i="15"/>
  <c r="AM39" i="15" s="1"/>
  <c r="AL27" i="15"/>
  <c r="AM27" i="15" s="1"/>
  <c r="AN15" i="31"/>
  <c r="AN9" i="31"/>
  <c r="AN19" i="31"/>
  <c r="AN16" i="31"/>
  <c r="AM18" i="31"/>
  <c r="AN18" i="31" s="1"/>
  <c r="AM12" i="31"/>
  <c r="AN12" i="31" s="1"/>
  <c r="AM7" i="31"/>
  <c r="AN7" i="31" s="1"/>
  <c r="AM6" i="27"/>
  <c r="AN6" i="27" s="1"/>
  <c r="AM13" i="27"/>
  <c r="AN13" i="27" s="1"/>
  <c r="AL41" i="15"/>
  <c r="AM41" i="15" s="1"/>
  <c r="AL18" i="15"/>
  <c r="AM18" i="15" s="1"/>
  <c r="AL42" i="15"/>
  <c r="AM42" i="15" s="1"/>
  <c r="AL36" i="15"/>
  <c r="AM36" i="15" s="1"/>
  <c r="AN23" i="31"/>
  <c r="AN32" i="31"/>
  <c r="AM26" i="31"/>
  <c r="AN26" i="31" s="1"/>
  <c r="AM31" i="31"/>
  <c r="AN31" i="31" s="1"/>
  <c r="AM27" i="31"/>
  <c r="AN27" i="31" s="1"/>
  <c r="AM8" i="31"/>
  <c r="AN8" i="31" s="1"/>
  <c r="AM24" i="31"/>
  <c r="AN24" i="31" s="1"/>
  <c r="G2" i="19"/>
  <c r="M2" i="19" s="1"/>
  <c r="Q7" i="15"/>
  <c r="R7" i="15" s="1"/>
  <c r="K22" i="18" a="1"/>
  <c r="K22" i="18" s="1"/>
  <c r="K24" i="18" a="1"/>
  <c r="K24" i="18" s="1"/>
  <c r="K15" i="18" a="1"/>
  <c r="K15" i="18" s="1"/>
  <c r="K2" i="18" a="1"/>
  <c r="K2" i="18" s="1"/>
  <c r="K25" i="18" a="1"/>
  <c r="K25" i="18" s="1"/>
  <c r="K20" i="18" a="1"/>
  <c r="K20" i="18" s="1"/>
  <c r="K12" i="18" a="1"/>
  <c r="K12" i="18" s="1"/>
  <c r="K10" i="18" a="1"/>
  <c r="K10" i="18" s="1"/>
  <c r="K9" i="18" a="1"/>
  <c r="K9" i="18" s="1"/>
  <c r="K16" i="18" a="1"/>
  <c r="K16" i="18" s="1"/>
  <c r="K21" i="18" a="1"/>
  <c r="K21" i="18" s="1"/>
  <c r="K19" i="18" a="1"/>
  <c r="K19" i="18" s="1"/>
  <c r="K11" i="18" a="1"/>
  <c r="K11" i="18" s="1"/>
  <c r="K13" i="18" a="1"/>
  <c r="K13" i="18" s="1"/>
  <c r="K8" i="18" a="1"/>
  <c r="K8" i="18" s="1"/>
  <c r="K5" i="18" a="1"/>
  <c r="K5" i="18" s="1"/>
  <c r="K6" i="18" a="1"/>
  <c r="K6" i="18" s="1"/>
  <c r="K17" i="18" a="1"/>
  <c r="K17" i="18" s="1"/>
  <c r="K14" i="18" a="1"/>
  <c r="K14" i="18" s="1"/>
  <c r="K23" i="18" a="1"/>
  <c r="K23" i="18" s="1"/>
  <c r="K18" i="18" a="1"/>
  <c r="K18" i="18" s="1"/>
  <c r="K4" i="18" a="1"/>
  <c r="K4" i="18" s="1"/>
  <c r="K3" i="18" a="1"/>
  <c r="K3" i="18" s="1"/>
  <c r="L27" i="27"/>
  <c r="AM34" i="15"/>
  <c r="K25" i="31" a="1"/>
  <c r="K25" i="31" s="1"/>
  <c r="K16" i="31" a="1"/>
  <c r="K16" i="31" s="1"/>
  <c r="K21" i="31" a="1"/>
  <c r="K21" i="31" s="1"/>
  <c r="K29" i="31" a="1"/>
  <c r="K29" i="31" s="1"/>
  <c r="K27" i="31" a="1"/>
  <c r="K27" i="31" s="1"/>
  <c r="K26" i="31" a="1"/>
  <c r="K26" i="31" s="1"/>
  <c r="K18" i="31" a="1"/>
  <c r="K18" i="31" s="1"/>
  <c r="K28" i="31" a="1"/>
  <c r="K28" i="31" s="1"/>
  <c r="K17" i="31" a="1"/>
  <c r="K17" i="31" s="1"/>
  <c r="K32" i="31" a="1"/>
  <c r="K32" i="31" s="1"/>
  <c r="K19" i="31" a="1"/>
  <c r="K19" i="31" s="1"/>
  <c r="K31" i="31" a="1"/>
  <c r="K31" i="31" s="1"/>
  <c r="K23" i="31" a="1"/>
  <c r="K23" i="31" s="1"/>
  <c r="K30" i="31" a="1"/>
  <c r="K30" i="31" s="1"/>
  <c r="K24" i="31" a="1"/>
  <c r="K24" i="31" s="1"/>
  <c r="K22" i="31" a="1"/>
  <c r="K22" i="31" s="1"/>
  <c r="K20" i="31" a="1"/>
  <c r="K20" i="31" s="1"/>
  <c r="K33" i="31" a="1"/>
  <c r="K33" i="31" s="1"/>
  <c r="L19" i="15"/>
  <c r="Q19" i="15" s="1"/>
  <c r="R19" i="15" s="1"/>
  <c r="AJ48" i="15"/>
  <c r="K15" i="31" a="1"/>
  <c r="K15" i="31" s="1"/>
  <c r="K8" i="31" a="1"/>
  <c r="K8" i="31" s="1"/>
  <c r="K2" i="31" a="1"/>
  <c r="K2" i="31" s="1"/>
  <c r="K9" i="31" a="1"/>
  <c r="K9" i="31" s="1"/>
  <c r="K13" i="31" a="1"/>
  <c r="K13" i="31" s="1"/>
  <c r="K4" i="31" a="1"/>
  <c r="K4" i="31" s="1"/>
  <c r="K5" i="31" a="1"/>
  <c r="K5" i="31" s="1"/>
  <c r="K14" i="31" a="1"/>
  <c r="K14" i="31" s="1"/>
  <c r="K12" i="31" a="1"/>
  <c r="K12" i="31" s="1"/>
  <c r="K10" i="31" a="1"/>
  <c r="K10" i="31" s="1"/>
  <c r="K6" i="31" a="1"/>
  <c r="K6" i="31" s="1"/>
  <c r="K11" i="31" a="1"/>
  <c r="K11" i="31" s="1"/>
  <c r="K7" i="31" a="1"/>
  <c r="K7" i="31" s="1"/>
  <c r="Q48" i="15"/>
  <c r="R48" i="15" s="1"/>
  <c r="Q47" i="15"/>
  <c r="R47" i="15" s="1"/>
  <c r="Q4" i="15"/>
  <c r="R4" i="15" s="1"/>
  <c r="L22" i="27"/>
  <c r="Q22" i="27" s="1"/>
  <c r="R22" i="27" s="1"/>
  <c r="M642" i="26"/>
  <c r="L9" i="15"/>
  <c r="Q9" i="15" s="1"/>
  <c r="R9" i="15" s="1"/>
  <c r="AM28" i="15"/>
  <c r="AK18" i="27"/>
  <c r="AM17" i="15"/>
  <c r="Q22" i="15"/>
  <c r="R22" i="15" s="1"/>
  <c r="Q12" i="15"/>
  <c r="R12" i="15" s="1"/>
  <c r="Q41" i="15"/>
  <c r="R41" i="15" s="1"/>
  <c r="Q45" i="15"/>
  <c r="R45" i="15" s="1"/>
  <c r="AM35" i="15"/>
  <c r="Q44" i="15"/>
  <c r="R44" i="15" s="1"/>
  <c r="AM33" i="15"/>
  <c r="AM31" i="15"/>
  <c r="Q20" i="15"/>
  <c r="R20" i="15" s="1"/>
  <c r="Q21" i="15"/>
  <c r="R21" i="15" s="1"/>
  <c r="Q14" i="15"/>
  <c r="R14" i="15" s="1"/>
  <c r="AM38" i="15"/>
  <c r="Q37" i="15"/>
  <c r="R37" i="15" s="1"/>
  <c r="K48" i="15" a="1"/>
  <c r="K48" i="15" s="1"/>
  <c r="Q26" i="15"/>
  <c r="R26" i="15" s="1"/>
  <c r="AN31" i="27"/>
  <c r="K31" i="15" a="1"/>
  <c r="K31" i="15" s="1"/>
  <c r="K37" i="15" a="1"/>
  <c r="K37" i="15" s="1"/>
  <c r="K22" i="15" a="1"/>
  <c r="K22" i="15" s="1"/>
  <c r="K34" i="15" a="1"/>
  <c r="K34" i="15" s="1"/>
  <c r="Q17" i="15"/>
  <c r="R17" i="15" s="1"/>
  <c r="K38" i="15" a="1"/>
  <c r="K38" i="15" s="1"/>
  <c r="K30" i="15" a="1"/>
  <c r="K30" i="15" s="1"/>
  <c r="Q46" i="15"/>
  <c r="R46" i="15" s="1"/>
  <c r="Q13" i="15"/>
  <c r="R13" i="15" s="1"/>
  <c r="K14" i="15" a="1"/>
  <c r="K14" i="15" s="1"/>
  <c r="K25" i="15" a="1"/>
  <c r="K25" i="15" s="1"/>
  <c r="K26" i="15" a="1"/>
  <c r="K26" i="15" s="1"/>
  <c r="K44" i="15" a="1"/>
  <c r="K44" i="15" s="1"/>
  <c r="Q28" i="15"/>
  <c r="R28" i="15" s="1"/>
  <c r="Q25" i="15"/>
  <c r="R25" i="15" s="1"/>
  <c r="K39" i="15" a="1"/>
  <c r="K39" i="15" s="1"/>
  <c r="AM40" i="15"/>
  <c r="K24" i="15" a="1"/>
  <c r="K24" i="15" s="1"/>
  <c r="Q23" i="15"/>
  <c r="R23" i="15" s="1"/>
  <c r="K12" i="15" a="1"/>
  <c r="K12" i="15" s="1"/>
  <c r="K27" i="15" a="1"/>
  <c r="K27" i="15" s="1"/>
  <c r="Q36" i="15"/>
  <c r="R36" i="15" s="1"/>
  <c r="K33" i="15" a="1"/>
  <c r="K33" i="15" s="1"/>
  <c r="Q42" i="15"/>
  <c r="R42" i="15" s="1"/>
  <c r="Q40" i="15"/>
  <c r="R40" i="15" s="1"/>
  <c r="K23" i="15" a="1"/>
  <c r="K23" i="15" s="1"/>
  <c r="K19" i="15" a="1"/>
  <c r="K19" i="15" s="1"/>
  <c r="Q39" i="15"/>
  <c r="R39" i="15" s="1"/>
  <c r="K47" i="15" a="1"/>
  <c r="K47" i="15" s="1"/>
  <c r="K35" i="15" a="1"/>
  <c r="K35" i="15" s="1"/>
  <c r="K13" i="15" a="1"/>
  <c r="K13" i="15" s="1"/>
  <c r="K41" i="15" a="1"/>
  <c r="K41" i="15" s="1"/>
  <c r="K43" i="15" a="1"/>
  <c r="K43" i="15" s="1"/>
  <c r="AM30" i="15"/>
  <c r="K18" i="15" a="1"/>
  <c r="K18" i="15" s="1"/>
  <c r="Q35" i="15"/>
  <c r="R35" i="15" s="1"/>
  <c r="Q24" i="15"/>
  <c r="R24" i="15" s="1"/>
  <c r="Q33" i="15"/>
  <c r="R33" i="15" s="1"/>
  <c r="Q31" i="15"/>
  <c r="R31" i="15" s="1"/>
  <c r="Q29" i="15"/>
  <c r="R29" i="15" s="1"/>
  <c r="Q30" i="15"/>
  <c r="R30" i="15" s="1"/>
  <c r="K29" i="15" a="1"/>
  <c r="K29" i="15" s="1"/>
  <c r="K20" i="15" a="1"/>
  <c r="K20" i="15" s="1"/>
  <c r="Q18" i="15"/>
  <c r="R18" i="15" s="1"/>
  <c r="AM43" i="15"/>
  <c r="K28" i="15" a="1"/>
  <c r="K28" i="15" s="1"/>
  <c r="K32" i="15" a="1"/>
  <c r="K32" i="15" s="1"/>
  <c r="AM24" i="15"/>
  <c r="K21" i="15" a="1"/>
  <c r="K21" i="15" s="1"/>
  <c r="K16" i="15" a="1"/>
  <c r="K16" i="15" s="1"/>
  <c r="K15" i="27" a="1"/>
  <c r="K15" i="27" s="1"/>
  <c r="AI29" i="30"/>
  <c r="AL29" i="30" s="1"/>
  <c r="AM26" i="15"/>
  <c r="AM23" i="15"/>
  <c r="Q34" i="15"/>
  <c r="R34" i="15" s="1"/>
  <c r="K17" i="15" a="1"/>
  <c r="K17" i="15" s="1"/>
  <c r="Q27" i="15"/>
  <c r="R27" i="15" s="1"/>
  <c r="Q38" i="15"/>
  <c r="R38" i="15" s="1"/>
  <c r="Q32" i="15"/>
  <c r="R32" i="15" s="1"/>
  <c r="Q43" i="15"/>
  <c r="R43" i="15" s="1"/>
  <c r="Q16" i="15"/>
  <c r="R16" i="15" s="1"/>
  <c r="Q8" i="15"/>
  <c r="R8" i="15" s="1"/>
  <c r="Q6" i="15"/>
  <c r="R6" i="15" s="1"/>
  <c r="Q27" i="27"/>
  <c r="R27" i="27" s="1"/>
  <c r="AN28" i="27"/>
  <c r="AM10" i="15"/>
  <c r="K9" i="15" a="1"/>
  <c r="K9" i="15" s="1"/>
  <c r="Q10" i="15"/>
  <c r="R10" i="15" s="1"/>
  <c r="K5" i="15" a="1"/>
  <c r="K5" i="15" s="1"/>
  <c r="K7" i="15" a="1"/>
  <c r="K7" i="15" s="1"/>
  <c r="K6" i="15" a="1"/>
  <c r="K6" i="15" s="1"/>
  <c r="AM9" i="15"/>
  <c r="K4" i="15" a="1"/>
  <c r="K4" i="15" s="1"/>
  <c r="Q2" i="15"/>
  <c r="R2" i="15" s="1"/>
  <c r="Q11" i="15"/>
  <c r="R11" i="15" s="1"/>
  <c r="K10" i="15" a="1"/>
  <c r="K10" i="15" s="1"/>
  <c r="K11" i="15" a="1"/>
  <c r="K11" i="15" s="1"/>
  <c r="AM2" i="15"/>
  <c r="Q33" i="27"/>
  <c r="R33" i="27" s="1"/>
  <c r="L14" i="27"/>
  <c r="Q14" i="27" s="1"/>
  <c r="R14" i="27" s="1"/>
  <c r="Q15" i="27"/>
  <c r="R15" i="27" s="1"/>
  <c r="Q16" i="27"/>
  <c r="R16" i="27" s="1"/>
  <c r="AN24" i="27"/>
  <c r="L10" i="27"/>
  <c r="Q10" i="27" s="1"/>
  <c r="R10" i="27" s="1"/>
  <c r="AK15" i="27"/>
  <c r="AM15" i="27" s="1"/>
  <c r="AN22" i="27"/>
  <c r="AN16" i="27"/>
  <c r="Q28" i="27"/>
  <c r="R28" i="27" s="1"/>
  <c r="AN33" i="27"/>
  <c r="K33" i="27" a="1"/>
  <c r="K33" i="27" s="1"/>
  <c r="K29" i="27" a="1"/>
  <c r="K29" i="27" s="1"/>
  <c r="K27" i="27" a="1"/>
  <c r="K27" i="27" s="1"/>
  <c r="K21" i="27" a="1"/>
  <c r="K21" i="27" s="1"/>
  <c r="K30" i="27" a="1"/>
  <c r="K30" i="27" s="1"/>
  <c r="K22" i="27" a="1"/>
  <c r="K22" i="27" s="1"/>
  <c r="Q34" i="27"/>
  <c r="R34" i="27" s="1"/>
  <c r="Q24" i="27"/>
  <c r="R24" i="27" s="1"/>
  <c r="K26" i="27" a="1"/>
  <c r="K26" i="27" s="1"/>
  <c r="K20" i="27" a="1"/>
  <c r="K20" i="27" s="1"/>
  <c r="Q30" i="27"/>
  <c r="R30" i="27" s="1"/>
  <c r="Q31" i="27"/>
  <c r="R31" i="27" s="1"/>
  <c r="AN26" i="27"/>
  <c r="K34" i="27" a="1"/>
  <c r="K34" i="27" s="1"/>
  <c r="Q23" i="27"/>
  <c r="R23" i="27" s="1"/>
  <c r="K24" i="27" a="1"/>
  <c r="K24" i="27" s="1"/>
  <c r="K28" i="27" a="1"/>
  <c r="K28" i="27" s="1"/>
  <c r="K17" i="27" a="1"/>
  <c r="K17" i="27" s="1"/>
  <c r="AN34" i="27"/>
  <c r="K23" i="27" a="1"/>
  <c r="K23" i="27" s="1"/>
  <c r="Q26" i="27"/>
  <c r="R26" i="27" s="1"/>
  <c r="AK8" i="27"/>
  <c r="AM8" i="27" s="1"/>
  <c r="Q17" i="27"/>
  <c r="R17" i="27" s="1"/>
  <c r="AN20" i="27"/>
  <c r="K18" i="27" a="1"/>
  <c r="K18" i="27" s="1"/>
  <c r="K16" i="27" a="1"/>
  <c r="K16" i="27" s="1"/>
  <c r="Q20" i="27"/>
  <c r="R20" i="27" s="1"/>
  <c r="AN11" i="27"/>
  <c r="AN14" i="27"/>
  <c r="AK9" i="27"/>
  <c r="K7" i="27" a="1"/>
  <c r="K7" i="27" s="1"/>
  <c r="K12" i="27" a="1"/>
  <c r="K12" i="27" s="1"/>
  <c r="K11" i="27" a="1"/>
  <c r="K11" i="27" s="1"/>
  <c r="K9" i="27" a="1"/>
  <c r="K9" i="27" s="1"/>
  <c r="K6" i="27" a="1"/>
  <c r="K6" i="27" s="1"/>
  <c r="K2" i="15" a="1"/>
  <c r="K2" i="15" s="1"/>
  <c r="K14" i="27" a="1"/>
  <c r="K14" i="27" s="1"/>
  <c r="K8" i="27" a="1"/>
  <c r="K8" i="27" s="1"/>
  <c r="Q12" i="27"/>
  <c r="R12" i="27" s="1"/>
  <c r="Q8" i="27"/>
  <c r="R8" i="27" s="1"/>
  <c r="K10" i="27" a="1"/>
  <c r="K10" i="27" s="1"/>
  <c r="K13" i="27" a="1"/>
  <c r="K13" i="27" s="1"/>
  <c r="Q13" i="27"/>
  <c r="R13" i="27" s="1"/>
  <c r="Q9" i="27"/>
  <c r="R9" i="27" s="1"/>
  <c r="Q11" i="27"/>
  <c r="R11" i="27" s="1"/>
  <c r="Q6" i="27"/>
  <c r="R6" i="27" s="1"/>
  <c r="I37" i="19"/>
  <c r="O37" i="19" s="1"/>
  <c r="F5" i="27"/>
  <c r="AK5" i="27" s="1"/>
  <c r="Q7" i="27"/>
  <c r="R7" i="27" s="1"/>
  <c r="K5" i="27" a="1"/>
  <c r="K5" i="27" s="1"/>
  <c r="P5" i="27"/>
  <c r="M5" i="27"/>
  <c r="AH5" i="27"/>
  <c r="K3" i="27" a="1"/>
  <c r="K3" i="27" s="1"/>
  <c r="K4" i="27" a="1"/>
  <c r="K4" i="27" s="1"/>
  <c r="AK4" i="27"/>
  <c r="L4" i="27"/>
  <c r="Q4" i="27" s="1"/>
  <c r="R4" i="27" s="1"/>
  <c r="F3" i="27"/>
  <c r="AK3" i="27" s="1"/>
  <c r="AM3" i="27" s="1"/>
  <c r="AN3" i="27" s="1"/>
  <c r="M3" i="27"/>
  <c r="AI9" i="30"/>
  <c r="AL9" i="30" s="1"/>
  <c r="AI14" i="30"/>
  <c r="AL14" i="30" s="1"/>
  <c r="AI26" i="30"/>
  <c r="AL26" i="30" s="1"/>
  <c r="I26" i="30"/>
  <c r="O26" i="30" s="1"/>
  <c r="AI25" i="30"/>
  <c r="AL25" i="30" s="1"/>
  <c r="I28" i="30"/>
  <c r="O28" i="30" s="1"/>
  <c r="E25" i="30"/>
  <c r="M26" i="30"/>
  <c r="F27" i="30"/>
  <c r="L27" i="30" s="1"/>
  <c r="I25" i="30"/>
  <c r="O25" i="30" s="1"/>
  <c r="M628" i="26"/>
  <c r="F28" i="30" s="1"/>
  <c r="AI28" i="30"/>
  <c r="AL28" i="30" s="1"/>
  <c r="I23" i="30"/>
  <c r="O23" i="30" s="1"/>
  <c r="M595" i="26"/>
  <c r="F25" i="30" s="1"/>
  <c r="AI24" i="30"/>
  <c r="AL24" i="30" s="1"/>
  <c r="I21" i="30"/>
  <c r="O21" i="30" s="1"/>
  <c r="AI21" i="30"/>
  <c r="AL21" i="30" s="1"/>
  <c r="M485" i="26"/>
  <c r="I15" i="30"/>
  <c r="O15" i="30" s="1"/>
  <c r="J29" i="30"/>
  <c r="E29" i="30"/>
  <c r="AI7" i="30"/>
  <c r="AL7" i="30" s="1"/>
  <c r="E26" i="30"/>
  <c r="M425" i="26"/>
  <c r="J11" i="30"/>
  <c r="E11" i="30"/>
  <c r="M450" i="26"/>
  <c r="J13" i="30"/>
  <c r="E13" i="30"/>
  <c r="M502" i="26"/>
  <c r="J17" i="30"/>
  <c r="E17" i="30"/>
  <c r="M600" i="26"/>
  <c r="F26" i="30" s="1"/>
  <c r="AI15" i="30"/>
  <c r="AL15" i="30" s="1"/>
  <c r="J27" i="30"/>
  <c r="E27" i="30"/>
  <c r="J26" i="30"/>
  <c r="M389" i="26"/>
  <c r="I7" i="30"/>
  <c r="O7" i="30" s="1"/>
  <c r="M405" i="26"/>
  <c r="J9" i="30"/>
  <c r="E9" i="30"/>
  <c r="M416" i="26"/>
  <c r="AI10" i="30"/>
  <c r="AL10" i="30" s="1"/>
  <c r="I10" i="30"/>
  <c r="O10" i="30" s="1"/>
  <c r="M441" i="26"/>
  <c r="J12" i="30"/>
  <c r="E12" i="30"/>
  <c r="M492" i="26"/>
  <c r="J16" i="30"/>
  <c r="E16" i="30"/>
  <c r="M506" i="26"/>
  <c r="I17" i="30"/>
  <c r="O17" i="30" s="1"/>
  <c r="M516" i="26"/>
  <c r="F18" i="30" s="1"/>
  <c r="J18" i="30"/>
  <c r="E18" i="30"/>
  <c r="M547" i="26"/>
  <c r="F21" i="30" s="1"/>
  <c r="J21" i="30"/>
  <c r="E21" i="30"/>
  <c r="M409" i="26"/>
  <c r="I9" i="30"/>
  <c r="O9" i="30" s="1"/>
  <c r="M443" i="26"/>
  <c r="I12" i="30"/>
  <c r="O12" i="30" s="1"/>
  <c r="AI12" i="30"/>
  <c r="AL12" i="30" s="1"/>
  <c r="J23" i="30"/>
  <c r="E23" i="30"/>
  <c r="J24" i="30"/>
  <c r="E24" i="30"/>
  <c r="J28" i="30"/>
  <c r="E28" i="30"/>
  <c r="M557" i="26"/>
  <c r="I22" i="30"/>
  <c r="O22" i="30" s="1"/>
  <c r="J7" i="30"/>
  <c r="M428" i="26"/>
  <c r="AI11" i="30"/>
  <c r="AL11" i="30" s="1"/>
  <c r="I11" i="30"/>
  <c r="O11" i="30" s="1"/>
  <c r="M377" i="26"/>
  <c r="F6" i="30" s="1"/>
  <c r="J6" i="30"/>
  <c r="M495" i="26"/>
  <c r="I16" i="30"/>
  <c r="O16" i="30" s="1"/>
  <c r="M451" i="26"/>
  <c r="AI13" i="30"/>
  <c r="AL13" i="30" s="1"/>
  <c r="I13" i="30"/>
  <c r="O13" i="30" s="1"/>
  <c r="M534" i="26"/>
  <c r="J20" i="30"/>
  <c r="E20" i="30"/>
  <c r="F23" i="30"/>
  <c r="M538" i="26"/>
  <c r="I20" i="30"/>
  <c r="O20" i="30" s="1"/>
  <c r="M552" i="26"/>
  <c r="J22" i="30"/>
  <c r="E22" i="30"/>
  <c r="F29" i="30"/>
  <c r="I24" i="30"/>
  <c r="O24" i="30" s="1"/>
  <c r="J5" i="30"/>
  <c r="P5" i="30" s="1"/>
  <c r="M415" i="26"/>
  <c r="J10" i="30"/>
  <c r="E10" i="30"/>
  <c r="M470" i="26"/>
  <c r="J14" i="30"/>
  <c r="E14" i="30"/>
  <c r="F24" i="30"/>
  <c r="AI22" i="30"/>
  <c r="AL22" i="30" s="1"/>
  <c r="AI23" i="30"/>
  <c r="AL23" i="30" s="1"/>
  <c r="J25" i="30"/>
  <c r="M473" i="26"/>
  <c r="I14" i="30"/>
  <c r="O14" i="30" s="1"/>
  <c r="M481" i="26"/>
  <c r="J15" i="30"/>
  <c r="E15" i="30"/>
  <c r="AI17" i="30"/>
  <c r="AL17" i="30" s="1"/>
  <c r="AI16" i="30"/>
  <c r="AL16" i="30" s="1"/>
  <c r="M387" i="26"/>
  <c r="E7" i="30"/>
  <c r="I35" i="19"/>
  <c r="O35" i="19" s="1"/>
  <c r="J22" i="19"/>
  <c r="P22" i="19" s="1"/>
  <c r="J19" i="19"/>
  <c r="J21" i="19"/>
  <c r="M279" i="26"/>
  <c r="I32" i="19"/>
  <c r="O32" i="19" s="1"/>
  <c r="M152" i="26"/>
  <c r="I19" i="19"/>
  <c r="O19" i="19" s="1"/>
  <c r="M164" i="26"/>
  <c r="I20" i="19"/>
  <c r="O20" i="19" s="1"/>
  <c r="I36" i="19"/>
  <c r="O36" i="19" s="1"/>
  <c r="M317" i="26"/>
  <c r="M236" i="26"/>
  <c r="J28" i="19"/>
  <c r="E28" i="19"/>
  <c r="M28" i="19"/>
  <c r="M255" i="26"/>
  <c r="J30" i="19"/>
  <c r="E30" i="19"/>
  <c r="M30" i="19"/>
  <c r="M238" i="26"/>
  <c r="I28" i="19"/>
  <c r="O28" i="19" s="1"/>
  <c r="M276" i="26"/>
  <c r="J32" i="19"/>
  <c r="M32" i="19"/>
  <c r="E32" i="19"/>
  <c r="I34" i="19"/>
  <c r="O34" i="19" s="1"/>
  <c r="M297" i="26"/>
  <c r="M222" i="26"/>
  <c r="I26" i="19"/>
  <c r="O26" i="19" s="1"/>
  <c r="M212" i="26"/>
  <c r="I25" i="19"/>
  <c r="O25" i="19" s="1"/>
  <c r="M170" i="26"/>
  <c r="I21" i="19"/>
  <c r="O21" i="19" s="1"/>
  <c r="M179" i="26"/>
  <c r="I22" i="19"/>
  <c r="O22" i="19" s="1"/>
  <c r="M249" i="26"/>
  <c r="I29" i="19"/>
  <c r="O29" i="19" s="1"/>
  <c r="M220" i="26"/>
  <c r="M26" i="19"/>
  <c r="J26" i="19"/>
  <c r="E26" i="19"/>
  <c r="J37" i="19"/>
  <c r="M37" i="19"/>
  <c r="E37" i="19"/>
  <c r="M324" i="26"/>
  <c r="F37" i="19" s="1"/>
  <c r="L37" i="19" s="1"/>
  <c r="M35" i="19"/>
  <c r="J35" i="19"/>
  <c r="E35" i="19"/>
  <c r="M304" i="26"/>
  <c r="F35" i="19" s="1"/>
  <c r="L35" i="19" s="1"/>
  <c r="M34" i="19"/>
  <c r="E34" i="19"/>
  <c r="J34" i="19"/>
  <c r="M143" i="26"/>
  <c r="I18" i="19"/>
  <c r="O18" i="19" s="1"/>
  <c r="J20" i="19"/>
  <c r="J24" i="19"/>
  <c r="M231" i="26"/>
  <c r="I27" i="19"/>
  <c r="O27" i="19" s="1"/>
  <c r="M245" i="26"/>
  <c r="E29" i="19"/>
  <c r="J29" i="19"/>
  <c r="M29" i="19"/>
  <c r="M285" i="26"/>
  <c r="M33" i="19"/>
  <c r="J33" i="19"/>
  <c r="E33" i="19"/>
  <c r="M258" i="26"/>
  <c r="I30" i="19"/>
  <c r="O30" i="19" s="1"/>
  <c r="M203" i="26"/>
  <c r="I24" i="19"/>
  <c r="O24" i="19" s="1"/>
  <c r="M267" i="26"/>
  <c r="I31" i="19"/>
  <c r="O31" i="19" s="1"/>
  <c r="M292" i="26"/>
  <c r="J18" i="19"/>
  <c r="M230" i="26"/>
  <c r="M27" i="19"/>
  <c r="J27" i="19"/>
  <c r="E27" i="19"/>
  <c r="M210" i="26"/>
  <c r="M25" i="19"/>
  <c r="J25" i="19"/>
  <c r="E25" i="19"/>
  <c r="M265" i="26"/>
  <c r="E31" i="19"/>
  <c r="J31" i="19"/>
  <c r="M31" i="19"/>
  <c r="M287" i="26"/>
  <c r="I33" i="19"/>
  <c r="O33" i="19" s="1"/>
  <c r="M313" i="26"/>
  <c r="J36" i="19"/>
  <c r="E36" i="19"/>
  <c r="M36" i="19"/>
  <c r="M18" i="19"/>
  <c r="E24" i="19"/>
  <c r="M24" i="19"/>
  <c r="M150" i="26"/>
  <c r="M19" i="19"/>
  <c r="M21" i="19"/>
  <c r="M22" i="19"/>
  <c r="M159" i="26"/>
  <c r="M20" i="19"/>
  <c r="M199" i="26"/>
  <c r="E6" i="30"/>
  <c r="M368" i="26"/>
  <c r="F5" i="30" s="1"/>
  <c r="E5" i="30"/>
  <c r="M355" i="26"/>
  <c r="I4" i="30"/>
  <c r="O4" i="30" s="1"/>
  <c r="M356" i="26"/>
  <c r="AI4" i="30"/>
  <c r="AL4" i="30" s="1"/>
  <c r="M352" i="26"/>
  <c r="E4" i="30"/>
  <c r="J4" i="30"/>
  <c r="E22" i="19"/>
  <c r="M177" i="26"/>
  <c r="M168" i="26"/>
  <c r="E21" i="19"/>
  <c r="E19" i="19"/>
  <c r="E20" i="19"/>
  <c r="M140" i="26"/>
  <c r="F17" i="19" s="1"/>
  <c r="L17" i="19" s="1"/>
  <c r="M141" i="26"/>
  <c r="E18" i="19"/>
  <c r="M126" i="26"/>
  <c r="F16" i="19" s="1"/>
  <c r="L16" i="19" s="1"/>
  <c r="M16" i="19"/>
  <c r="J16" i="19"/>
  <c r="E16" i="19"/>
  <c r="M17" i="19"/>
  <c r="J17" i="19"/>
  <c r="E17" i="19"/>
  <c r="I3" i="30"/>
  <c r="O3" i="30" s="1"/>
  <c r="M346" i="26"/>
  <c r="AI3" i="30"/>
  <c r="AL3" i="30" s="1"/>
  <c r="M343" i="26"/>
  <c r="E3" i="30"/>
  <c r="J3" i="30"/>
  <c r="M118" i="26"/>
  <c r="I15" i="19"/>
  <c r="O15" i="19" s="1"/>
  <c r="M115" i="26"/>
  <c r="M15" i="19"/>
  <c r="E15" i="19"/>
  <c r="J15" i="19"/>
  <c r="K2" i="30" a="1"/>
  <c r="K2" i="30" s="1"/>
  <c r="M337" i="26"/>
  <c r="AI2" i="30"/>
  <c r="AL2" i="30" s="1"/>
  <c r="M336" i="26"/>
  <c r="O2" i="30"/>
  <c r="M333" i="26"/>
  <c r="P2" i="30"/>
  <c r="E2" i="30"/>
  <c r="M95" i="26"/>
  <c r="I13" i="19"/>
  <c r="O13" i="19" s="1"/>
  <c r="J13" i="19"/>
  <c r="M13" i="19"/>
  <c r="M113" i="26"/>
  <c r="I14" i="19"/>
  <c r="O14" i="19" s="1"/>
  <c r="M110" i="26"/>
  <c r="J14" i="19"/>
  <c r="M14" i="19"/>
  <c r="E14" i="19"/>
  <c r="M92" i="26"/>
  <c r="E13" i="19"/>
  <c r="M85" i="26"/>
  <c r="M12" i="19"/>
  <c r="E12" i="19"/>
  <c r="J12" i="19"/>
  <c r="M88" i="26"/>
  <c r="I12" i="19"/>
  <c r="O12" i="19" s="1"/>
  <c r="M2" i="26"/>
  <c r="M78" i="26"/>
  <c r="I11" i="19"/>
  <c r="O11" i="19" s="1"/>
  <c r="M76" i="26"/>
  <c r="M11" i="19"/>
  <c r="E11" i="19"/>
  <c r="J11" i="19"/>
  <c r="M68" i="26"/>
  <c r="E10" i="19"/>
  <c r="J10" i="19"/>
  <c r="M10" i="19"/>
  <c r="M70" i="26"/>
  <c r="I10" i="19"/>
  <c r="O10" i="19" s="1"/>
  <c r="J7" i="19"/>
  <c r="P7" i="19" s="1"/>
  <c r="M50" i="26"/>
  <c r="I7" i="19"/>
  <c r="O7" i="19" s="1"/>
  <c r="M63" i="26"/>
  <c r="M9" i="19"/>
  <c r="J9" i="19"/>
  <c r="E9" i="19"/>
  <c r="J8" i="19"/>
  <c r="M56" i="26"/>
  <c r="F8" i="19" s="1"/>
  <c r="L8" i="19" s="1"/>
  <c r="I8" i="19"/>
  <c r="O8" i="19" s="1"/>
  <c r="M64" i="26"/>
  <c r="I9" i="19"/>
  <c r="O9" i="19" s="1"/>
  <c r="E7" i="19"/>
  <c r="M7" i="19"/>
  <c r="M46" i="26"/>
  <c r="E8" i="19"/>
  <c r="M8" i="19"/>
  <c r="M40" i="26"/>
  <c r="J6" i="19"/>
  <c r="M6" i="19"/>
  <c r="E6" i="19"/>
  <c r="M42" i="26"/>
  <c r="I6" i="19"/>
  <c r="O6" i="19" s="1"/>
  <c r="M30" i="26"/>
  <c r="E5" i="19"/>
  <c r="J5" i="19"/>
  <c r="M5" i="19"/>
  <c r="M32" i="26"/>
  <c r="I5" i="19"/>
  <c r="O5" i="19" s="1"/>
  <c r="M16" i="26"/>
  <c r="I3" i="19"/>
  <c r="O3" i="19" s="1"/>
  <c r="M19" i="26"/>
  <c r="F4" i="19" s="1"/>
  <c r="L4" i="19" s="1"/>
  <c r="J4" i="19"/>
  <c r="M4" i="19"/>
  <c r="J3" i="19"/>
  <c r="M14" i="26"/>
  <c r="M3" i="19"/>
  <c r="I4" i="19"/>
  <c r="O4" i="19" s="1"/>
  <c r="E3" i="19"/>
  <c r="E4" i="19"/>
  <c r="M4" i="26"/>
  <c r="I2" i="19"/>
  <c r="O2" i="19" s="1"/>
  <c r="M3" i="26"/>
  <c r="J2" i="19"/>
  <c r="K2" i="19" s="1" a="1"/>
  <c r="K2" i="19" s="1"/>
  <c r="E2" i="19"/>
  <c r="T95" i="13"/>
  <c r="U95" i="13"/>
  <c r="T102" i="13"/>
  <c r="U102" i="13"/>
  <c r="T103" i="13"/>
  <c r="U103" i="13"/>
  <c r="T104" i="13"/>
  <c r="U104" i="13"/>
  <c r="AN8" i="27" l="1"/>
  <c r="AL48" i="15"/>
  <c r="AM48" i="15" s="1"/>
  <c r="AM5" i="27"/>
  <c r="AN5" i="27" s="1"/>
  <c r="AN15" i="27"/>
  <c r="AM4" i="27"/>
  <c r="AN4" i="27" s="1"/>
  <c r="AM9" i="27"/>
  <c r="AN9" i="27" s="1"/>
  <c r="AM18" i="27"/>
  <c r="AN18" i="27" s="1"/>
  <c r="K22" i="19" a="1"/>
  <c r="K22" i="19" s="1"/>
  <c r="L5" i="27"/>
  <c r="Q5" i="27" s="1"/>
  <c r="R5" i="27" s="1"/>
  <c r="L3" i="27"/>
  <c r="Q3" i="27" s="1"/>
  <c r="R3" i="27" s="1"/>
  <c r="F19" i="19"/>
  <c r="L19" i="19" s="1"/>
  <c r="AH26" i="30"/>
  <c r="F20" i="30"/>
  <c r="AK20" i="30" s="1"/>
  <c r="F22" i="30"/>
  <c r="L22" i="30" s="1"/>
  <c r="F17" i="30"/>
  <c r="L17" i="30" s="1"/>
  <c r="F7" i="30"/>
  <c r="L7" i="30" s="1"/>
  <c r="AK27" i="30"/>
  <c r="F10" i="30"/>
  <c r="L10" i="30" s="1"/>
  <c r="F24" i="19"/>
  <c r="L24" i="19" s="1"/>
  <c r="F15" i="30"/>
  <c r="AK15" i="30" s="1"/>
  <c r="F27" i="19"/>
  <c r="L27" i="19" s="1"/>
  <c r="F18" i="19"/>
  <c r="L18" i="19" s="1"/>
  <c r="L28" i="30"/>
  <c r="AK28" i="30"/>
  <c r="F20" i="19"/>
  <c r="L20" i="19" s="1"/>
  <c r="F11" i="30"/>
  <c r="L11" i="30" s="1"/>
  <c r="F36" i="19"/>
  <c r="L36" i="19" s="1"/>
  <c r="P15" i="30"/>
  <c r="K15" i="30" a="1"/>
  <c r="K15" i="30" s="1"/>
  <c r="M10" i="30"/>
  <c r="AH10" i="30"/>
  <c r="AK26" i="30"/>
  <c r="L26" i="30"/>
  <c r="L23" i="30"/>
  <c r="AK23" i="30"/>
  <c r="M7" i="30"/>
  <c r="AH7" i="30"/>
  <c r="M28" i="30"/>
  <c r="AH28" i="30"/>
  <c r="AM28" i="30" s="1"/>
  <c r="M23" i="30"/>
  <c r="AH23" i="30"/>
  <c r="M21" i="30"/>
  <c r="AH21" i="30"/>
  <c r="M29" i="30"/>
  <c r="AH29" i="30"/>
  <c r="AK29" i="30"/>
  <c r="L29" i="30"/>
  <c r="P7" i="30"/>
  <c r="K7" i="30" a="1"/>
  <c r="K7" i="30" s="1"/>
  <c r="K28" i="30" a="1"/>
  <c r="K28" i="30" s="1"/>
  <c r="P28" i="30"/>
  <c r="K23" i="30" a="1"/>
  <c r="K23" i="30" s="1"/>
  <c r="P23" i="30"/>
  <c r="AK21" i="30"/>
  <c r="L21" i="30"/>
  <c r="P16" i="30"/>
  <c r="K16" i="30" a="1"/>
  <c r="K16" i="30" s="1"/>
  <c r="K26" i="30" a="1"/>
  <c r="K26" i="30" s="1"/>
  <c r="P26" i="30"/>
  <c r="M17" i="30"/>
  <c r="AH17" i="30"/>
  <c r="P11" i="30"/>
  <c r="K11" i="30" a="1"/>
  <c r="K11" i="30" s="1"/>
  <c r="K29" i="30" a="1"/>
  <c r="K29" i="30" s="1"/>
  <c r="P29" i="30"/>
  <c r="M15" i="30"/>
  <c r="AH15" i="30"/>
  <c r="AM15" i="30" s="1"/>
  <c r="K10" i="30" a="1"/>
  <c r="K10" i="30" s="1"/>
  <c r="P10" i="30"/>
  <c r="M20" i="30"/>
  <c r="AH20" i="30"/>
  <c r="M6" i="30"/>
  <c r="AH6" i="30"/>
  <c r="M16" i="30"/>
  <c r="AH16" i="30"/>
  <c r="P17" i="30"/>
  <c r="K17" i="30" a="1"/>
  <c r="K17" i="30" s="1"/>
  <c r="M11" i="30"/>
  <c r="AH11" i="30"/>
  <c r="M25" i="30"/>
  <c r="AH25" i="30"/>
  <c r="AK24" i="30"/>
  <c r="L24" i="30"/>
  <c r="P22" i="30"/>
  <c r="K22" i="30" a="1"/>
  <c r="K22" i="30" s="1"/>
  <c r="K20" i="30" a="1"/>
  <c r="K20" i="30" s="1"/>
  <c r="P20" i="30"/>
  <c r="P6" i="30"/>
  <c r="K6" i="30" a="1"/>
  <c r="K6" i="30" s="1"/>
  <c r="M18" i="30"/>
  <c r="AH18" i="30"/>
  <c r="AM18" i="30" s="1"/>
  <c r="F16" i="30"/>
  <c r="M27" i="30"/>
  <c r="AH27" i="30"/>
  <c r="AM27" i="30" s="1"/>
  <c r="M22" i="30"/>
  <c r="AH22" i="30"/>
  <c r="L6" i="30"/>
  <c r="AK6" i="30"/>
  <c r="K18" i="30" a="1"/>
  <c r="K18" i="30" s="1"/>
  <c r="P18" i="30"/>
  <c r="M9" i="30"/>
  <c r="AH9" i="30"/>
  <c r="P27" i="30"/>
  <c r="K27" i="30" a="1"/>
  <c r="K27" i="30" s="1"/>
  <c r="P25" i="30"/>
  <c r="K25" i="30" a="1"/>
  <c r="K25" i="30" s="1"/>
  <c r="M14" i="30"/>
  <c r="AH14" i="30"/>
  <c r="L25" i="30"/>
  <c r="AK25" i="30"/>
  <c r="M24" i="30"/>
  <c r="AH24" i="30"/>
  <c r="L18" i="30"/>
  <c r="AK18" i="30"/>
  <c r="M12" i="30"/>
  <c r="AH12" i="30"/>
  <c r="P9" i="30"/>
  <c r="K9" i="30" a="1"/>
  <c r="K9" i="30" s="1"/>
  <c r="K13" i="30" a="1"/>
  <c r="K13" i="30" s="1"/>
  <c r="P13" i="30"/>
  <c r="F29" i="19"/>
  <c r="L29" i="19" s="1"/>
  <c r="M5" i="30"/>
  <c r="AH5" i="30"/>
  <c r="P14" i="30"/>
  <c r="K14" i="30" a="1"/>
  <c r="K14" i="30" s="1"/>
  <c r="P24" i="30"/>
  <c r="K24" i="30" a="1"/>
  <c r="K24" i="30" s="1"/>
  <c r="K12" i="30" a="1"/>
  <c r="K12" i="30" s="1"/>
  <c r="P12" i="30"/>
  <c r="F9" i="30"/>
  <c r="M13" i="30"/>
  <c r="AH13" i="30"/>
  <c r="L5" i="30"/>
  <c r="AK5" i="30"/>
  <c r="F14" i="30"/>
  <c r="P21" i="30"/>
  <c r="K21" i="30" a="1"/>
  <c r="K21" i="30" s="1"/>
  <c r="F12" i="30"/>
  <c r="F32" i="19"/>
  <c r="L32" i="19" s="1"/>
  <c r="F26" i="19"/>
  <c r="L26" i="19" s="1"/>
  <c r="F21" i="19"/>
  <c r="L21" i="19" s="1"/>
  <c r="F25" i="19"/>
  <c r="L25" i="19" s="1"/>
  <c r="F22" i="19"/>
  <c r="L22" i="19" s="1"/>
  <c r="Q22" i="19" s="1"/>
  <c r="R22" i="19" s="1"/>
  <c r="F33" i="19"/>
  <c r="L33" i="19" s="1"/>
  <c r="P20" i="19"/>
  <c r="K20" i="19" a="1"/>
  <c r="K20" i="19" s="1"/>
  <c r="P35" i="19"/>
  <c r="K35" i="19" a="1"/>
  <c r="K35" i="19" s="1"/>
  <c r="K32" i="19" a="1"/>
  <c r="K32" i="19" s="1"/>
  <c r="P32" i="19"/>
  <c r="K31" i="19" a="1"/>
  <c r="K31" i="19" s="1"/>
  <c r="P31" i="19"/>
  <c r="P27" i="19"/>
  <c r="K27" i="19" a="1"/>
  <c r="K27" i="19" s="1"/>
  <c r="P29" i="19"/>
  <c r="K29" i="19" a="1"/>
  <c r="K29" i="19" s="1"/>
  <c r="P28" i="19"/>
  <c r="K28" i="19" a="1"/>
  <c r="K28" i="19" s="1"/>
  <c r="K34" i="19" a="1"/>
  <c r="K34" i="19" s="1"/>
  <c r="P34" i="19"/>
  <c r="F28" i="19"/>
  <c r="L28" i="19" s="1"/>
  <c r="K17" i="19" a="1"/>
  <c r="K17" i="19" s="1"/>
  <c r="P17" i="19"/>
  <c r="Q17" i="19" s="1"/>
  <c r="R17" i="19" s="1"/>
  <c r="F31" i="19"/>
  <c r="L31" i="19" s="1"/>
  <c r="P36" i="19"/>
  <c r="K36" i="19" a="1"/>
  <c r="K36" i="19" s="1"/>
  <c r="K18" i="19" a="1"/>
  <c r="K18" i="19" s="1"/>
  <c r="P18" i="19"/>
  <c r="P37" i="19"/>
  <c r="Q37" i="19" s="1"/>
  <c r="R37" i="19" s="1"/>
  <c r="K37" i="19" a="1"/>
  <c r="K37" i="19" s="1"/>
  <c r="K15" i="19" a="1"/>
  <c r="K15" i="19" s="1"/>
  <c r="P15" i="19"/>
  <c r="K25" i="19" a="1"/>
  <c r="K25" i="19" s="1"/>
  <c r="P25" i="19"/>
  <c r="F34" i="19"/>
  <c r="L34" i="19" s="1"/>
  <c r="K33" i="19" a="1"/>
  <c r="K33" i="19" s="1"/>
  <c r="P33" i="19"/>
  <c r="Q35" i="19"/>
  <c r="R35" i="19" s="1"/>
  <c r="P30" i="19"/>
  <c r="K30" i="19" a="1"/>
  <c r="K30" i="19" s="1"/>
  <c r="P21" i="19"/>
  <c r="K21" i="19" a="1"/>
  <c r="K21" i="19" s="1"/>
  <c r="K16" i="19" a="1"/>
  <c r="K16" i="19" s="1"/>
  <c r="P16" i="19"/>
  <c r="Q16" i="19" s="1"/>
  <c r="R16" i="19" s="1"/>
  <c r="K24" i="19" a="1"/>
  <c r="K24" i="19" s="1"/>
  <c r="P24" i="19"/>
  <c r="K26" i="19" a="1"/>
  <c r="K26" i="19" s="1"/>
  <c r="P26" i="19"/>
  <c r="F30" i="19"/>
  <c r="L30" i="19" s="1"/>
  <c r="P19" i="19"/>
  <c r="K19" i="19" a="1"/>
  <c r="K19" i="19" s="1"/>
  <c r="F4" i="30"/>
  <c r="AK4" i="30" s="1"/>
  <c r="F15" i="19"/>
  <c r="L15" i="19" s="1"/>
  <c r="P4" i="30"/>
  <c r="K4" i="30" a="1"/>
  <c r="K4" i="30" s="1"/>
  <c r="M4" i="30"/>
  <c r="AH4" i="30"/>
  <c r="F13" i="19"/>
  <c r="L13" i="19" s="1"/>
  <c r="F12" i="19"/>
  <c r="L12" i="19" s="1"/>
  <c r="F14" i="19"/>
  <c r="L14" i="19" s="1"/>
  <c r="K7" i="19" a="1"/>
  <c r="K7" i="19" s="1"/>
  <c r="F3" i="30"/>
  <c r="AK3" i="30" s="1"/>
  <c r="M3" i="30"/>
  <c r="AH3" i="30"/>
  <c r="P3" i="30"/>
  <c r="K3" i="30" a="1"/>
  <c r="K3" i="30" s="1"/>
  <c r="F2" i="30"/>
  <c r="AK2" i="30" s="1"/>
  <c r="M2" i="30"/>
  <c r="AH2" i="30"/>
  <c r="F11" i="19"/>
  <c r="L11" i="19" s="1"/>
  <c r="P14" i="19"/>
  <c r="K14" i="19" a="1"/>
  <c r="K14" i="19" s="1"/>
  <c r="P13" i="19"/>
  <c r="K13" i="19" a="1"/>
  <c r="K13" i="19" s="1"/>
  <c r="P12" i="19"/>
  <c r="K12" i="19" a="1"/>
  <c r="K12" i="19" s="1"/>
  <c r="F7" i="19"/>
  <c r="L7" i="19" s="1"/>
  <c r="Q7" i="19" s="1"/>
  <c r="R7" i="19" s="1"/>
  <c r="P11" i="19"/>
  <c r="K11" i="19" a="1"/>
  <c r="K11" i="19" s="1"/>
  <c r="P10" i="19"/>
  <c r="K10" i="19" a="1"/>
  <c r="K10" i="19" s="1"/>
  <c r="F10" i="19"/>
  <c r="L10" i="19" s="1"/>
  <c r="P9" i="19"/>
  <c r="K9" i="19" a="1"/>
  <c r="K9" i="19" s="1"/>
  <c r="F9" i="19"/>
  <c r="L9" i="19" s="1"/>
  <c r="P8" i="19"/>
  <c r="Q8" i="19" s="1"/>
  <c r="R8" i="19" s="1"/>
  <c r="K8" i="19" a="1"/>
  <c r="K8" i="19" s="1"/>
  <c r="P6" i="19"/>
  <c r="K6" i="19" a="1"/>
  <c r="K6" i="19" s="1"/>
  <c r="F6" i="19"/>
  <c r="L6" i="19" s="1"/>
  <c r="F3" i="19"/>
  <c r="L3" i="19" s="1"/>
  <c r="P5" i="19"/>
  <c r="K5" i="19" a="1"/>
  <c r="K5" i="19" s="1"/>
  <c r="F5" i="19"/>
  <c r="L5" i="19" s="1"/>
  <c r="K3" i="19" a="1"/>
  <c r="K3" i="19" s="1"/>
  <c r="P3" i="19"/>
  <c r="K4" i="19" a="1"/>
  <c r="K4" i="19" s="1"/>
  <c r="P4" i="19"/>
  <c r="Q4" i="19" s="1"/>
  <c r="R4" i="19" s="1"/>
  <c r="F2" i="19"/>
  <c r="L2" i="19" s="1"/>
  <c r="P2" i="19"/>
  <c r="U100" i="13"/>
  <c r="T100" i="13"/>
  <c r="T101" i="13"/>
  <c r="U101" i="13"/>
  <c r="U96" i="13"/>
  <c r="T96" i="13"/>
  <c r="T99" i="13"/>
  <c r="U99" i="13"/>
  <c r="T97" i="13"/>
  <c r="U97" i="13"/>
  <c r="U98" i="13"/>
  <c r="T98" i="13"/>
  <c r="AM20" i="30" l="1"/>
  <c r="AM6" i="30"/>
  <c r="AM4" i="30"/>
  <c r="AM29" i="30"/>
  <c r="AN29" i="30" s="1"/>
  <c r="AM5" i="30"/>
  <c r="AM21" i="30"/>
  <c r="AN21" i="30" s="1"/>
  <c r="AM25" i="30"/>
  <c r="AN25" i="30" s="1"/>
  <c r="AM2" i="30"/>
  <c r="AN2" i="30" s="1"/>
  <c r="AM23" i="30"/>
  <c r="AN23" i="30" s="1"/>
  <c r="AM24" i="30"/>
  <c r="AN24" i="30" s="1"/>
  <c r="AM3" i="30"/>
  <c r="AN3" i="30" s="1"/>
  <c r="AM13" i="30"/>
  <c r="AN13" i="30" s="1"/>
  <c r="AM26" i="30"/>
  <c r="Q24" i="19"/>
  <c r="R24" i="19" s="1"/>
  <c r="AK17" i="30"/>
  <c r="AM17" i="30" s="1"/>
  <c r="Q19" i="19"/>
  <c r="R19" i="19" s="1"/>
  <c r="L20" i="30"/>
  <c r="Q20" i="30" s="1"/>
  <c r="R20" i="30" s="1"/>
  <c r="Q11" i="30"/>
  <c r="R11" i="30" s="1"/>
  <c r="AN6" i="30"/>
  <c r="Q20" i="19"/>
  <c r="R20" i="19" s="1"/>
  <c r="AK22" i="30"/>
  <c r="AM22" i="30" s="1"/>
  <c r="AN26" i="30"/>
  <c r="Q30" i="19"/>
  <c r="R30" i="19" s="1"/>
  <c r="Q27" i="30"/>
  <c r="R27" i="30" s="1"/>
  <c r="Q36" i="19"/>
  <c r="R36" i="19" s="1"/>
  <c r="Q7" i="30"/>
  <c r="R7" i="30" s="1"/>
  <c r="Q15" i="19"/>
  <c r="R15" i="19" s="1"/>
  <c r="Q29" i="19"/>
  <c r="R29" i="19" s="1"/>
  <c r="Q18" i="30"/>
  <c r="R18" i="30" s="1"/>
  <c r="AK7" i="30"/>
  <c r="AN27" i="30"/>
  <c r="AK10" i="30"/>
  <c r="AM10" i="30" s="1"/>
  <c r="Q27" i="19"/>
  <c r="R27" i="19" s="1"/>
  <c r="Q26" i="19"/>
  <c r="R26" i="19" s="1"/>
  <c r="Q18" i="19"/>
  <c r="R18" i="19" s="1"/>
  <c r="AN28" i="30"/>
  <c r="L15" i="30"/>
  <c r="Q15" i="30" s="1"/>
  <c r="R15" i="30" s="1"/>
  <c r="AK11" i="30"/>
  <c r="AM11" i="30" s="1"/>
  <c r="Q17" i="30"/>
  <c r="R17" i="30" s="1"/>
  <c r="Q21" i="19"/>
  <c r="R21" i="19" s="1"/>
  <c r="Q32" i="19"/>
  <c r="R32" i="19" s="1"/>
  <c r="Q28" i="30"/>
  <c r="R28" i="30" s="1"/>
  <c r="Q31" i="19"/>
  <c r="R31" i="19" s="1"/>
  <c r="L12" i="30"/>
  <c r="Q12" i="30" s="1"/>
  <c r="R12" i="30" s="1"/>
  <c r="AK12" i="30"/>
  <c r="AM12" i="30" s="1"/>
  <c r="AK9" i="30"/>
  <c r="AM9" i="30" s="1"/>
  <c r="L9" i="30"/>
  <c r="Q9" i="30" s="1"/>
  <c r="R9" i="30" s="1"/>
  <c r="AN5" i="30"/>
  <c r="Q25" i="30"/>
  <c r="R25" i="30" s="1"/>
  <c r="AK16" i="30"/>
  <c r="L16" i="30"/>
  <c r="Q16" i="30" s="1"/>
  <c r="R16" i="30" s="1"/>
  <c r="Q22" i="30"/>
  <c r="R22" i="30" s="1"/>
  <c r="AN18" i="30"/>
  <c r="Q10" i="30"/>
  <c r="R10" i="30" s="1"/>
  <c r="Q23" i="30"/>
  <c r="R23" i="30" s="1"/>
  <c r="AK14" i="30"/>
  <c r="AM14" i="30" s="1"/>
  <c r="L14" i="30"/>
  <c r="Q14" i="30" s="1"/>
  <c r="R14" i="30" s="1"/>
  <c r="Q24" i="30"/>
  <c r="R24" i="30" s="1"/>
  <c r="Q21" i="30"/>
  <c r="R21" i="30" s="1"/>
  <c r="Q29" i="30"/>
  <c r="R29" i="30" s="1"/>
  <c r="Q5" i="30"/>
  <c r="R5" i="30" s="1"/>
  <c r="Q6" i="30"/>
  <c r="R6" i="30" s="1"/>
  <c r="Q13" i="30"/>
  <c r="R13" i="30" s="1"/>
  <c r="AN20" i="30"/>
  <c r="AN15" i="30"/>
  <c r="Q26" i="30"/>
  <c r="R26" i="30" s="1"/>
  <c r="Q25" i="19"/>
  <c r="R25" i="19" s="1"/>
  <c r="Q28" i="19"/>
  <c r="R28" i="19" s="1"/>
  <c r="AN4" i="30"/>
  <c r="Q34" i="19"/>
  <c r="R34" i="19" s="1"/>
  <c r="Q33" i="19"/>
  <c r="R33" i="19" s="1"/>
  <c r="L4" i="30"/>
  <c r="Q4" i="30" s="1"/>
  <c r="R4" i="30" s="1"/>
  <c r="Q13" i="19"/>
  <c r="R13" i="19" s="1"/>
  <c r="Q12" i="19"/>
  <c r="R12" i="19" s="1"/>
  <c r="Q14" i="19"/>
  <c r="R14" i="19" s="1"/>
  <c r="L3" i="30"/>
  <c r="Q3" i="30" s="1"/>
  <c r="R3" i="30" s="1"/>
  <c r="L2" i="30"/>
  <c r="Q2" i="30" s="1"/>
  <c r="R2" i="30" s="1"/>
  <c r="Q11" i="19"/>
  <c r="R11" i="19" s="1"/>
  <c r="Q10" i="19"/>
  <c r="R10" i="19" s="1"/>
  <c r="Q9" i="19"/>
  <c r="R9" i="19" s="1"/>
  <c r="Q6" i="19"/>
  <c r="R6" i="19" s="1"/>
  <c r="Q5" i="19"/>
  <c r="R5" i="19" s="1"/>
  <c r="Q3" i="19"/>
  <c r="R3" i="19" s="1"/>
  <c r="Q2" i="19"/>
  <c r="R2" i="19" s="1"/>
  <c r="AN14" i="30" l="1"/>
  <c r="AN9" i="30"/>
  <c r="AN22" i="30"/>
  <c r="AN11" i="30"/>
  <c r="AN10" i="30"/>
  <c r="AN12" i="30"/>
  <c r="AN17" i="30"/>
  <c r="AM7" i="30"/>
  <c r="AN7" i="30" s="1"/>
  <c r="AM16" i="30"/>
  <c r="AN16" i="30" s="1"/>
  <c r="O59" i="15"/>
  <c r="T375" i="13" l="1"/>
  <c r="U375" i="13"/>
  <c r="E4" i="38" l="1"/>
  <c r="T575" i="13"/>
  <c r="U575" i="13"/>
  <c r="T576" i="13" l="1"/>
  <c r="U576" i="13"/>
  <c r="T582" i="13"/>
  <c r="U582" i="13"/>
  <c r="U581" i="13"/>
  <c r="T581" i="13"/>
  <c r="U577" i="13"/>
  <c r="T577" i="13"/>
  <c r="T580" i="13"/>
  <c r="U580" i="13"/>
  <c r="U574" i="13"/>
  <c r="T574" i="13"/>
  <c r="T578" i="13"/>
  <c r="U578" i="13"/>
  <c r="T584" i="13"/>
  <c r="U584" i="13"/>
  <c r="T583" i="13"/>
  <c r="U583" i="13"/>
  <c r="T579" i="13"/>
  <c r="U579" i="13"/>
  <c r="T658" i="13" l="1"/>
  <c r="U662" i="13"/>
  <c r="U658" i="13" l="1"/>
  <c r="T662" i="13"/>
  <c r="T665" i="13"/>
  <c r="U665" i="13"/>
  <c r="U659" i="13"/>
  <c r="T659" i="13"/>
  <c r="T664" i="13"/>
  <c r="U664" i="13"/>
  <c r="U653" i="13"/>
  <c r="T653" i="13"/>
  <c r="U661" i="13"/>
  <c r="T661" i="13"/>
  <c r="T656" i="13"/>
  <c r="U656" i="13"/>
  <c r="T663" i="13"/>
  <c r="U663" i="13"/>
  <c r="U654" i="13"/>
  <c r="T654" i="13"/>
  <c r="T655" i="13"/>
  <c r="U655" i="13"/>
  <c r="U657" i="13"/>
  <c r="T657" i="13"/>
  <c r="U660" i="13"/>
  <c r="T660" i="13"/>
  <c r="T841" i="13" l="1"/>
  <c r="U841" i="13"/>
  <c r="T842" i="13" l="1"/>
  <c r="U842" i="13"/>
  <c r="U846" i="13"/>
  <c r="T846" i="13"/>
  <c r="U835" i="13"/>
  <c r="T835" i="13"/>
  <c r="U847" i="13"/>
  <c r="T847" i="13"/>
  <c r="T843" i="13"/>
  <c r="U843" i="13"/>
  <c r="U838" i="13"/>
  <c r="T838" i="13"/>
  <c r="U840" i="13"/>
  <c r="T840" i="13"/>
  <c r="U844" i="13"/>
  <c r="T844" i="13"/>
  <c r="U837" i="13"/>
  <c r="T837" i="13"/>
  <c r="T836" i="13"/>
  <c r="U836" i="13"/>
  <c r="U839" i="13"/>
  <c r="T839" i="13"/>
  <c r="U834" i="13"/>
  <c r="T834" i="13"/>
  <c r="U845" i="13"/>
  <c r="T845" i="13"/>
  <c r="X5" i="37" l="1"/>
  <c r="Y5" i="37"/>
  <c r="V5" i="37"/>
  <c r="AB5" i="37" s="1"/>
  <c r="F5" i="37"/>
  <c r="L5" i="37" s="1"/>
  <c r="AC5" i="37" l="1"/>
  <c r="T1109" i="13" l="1"/>
  <c r="U1109" i="13"/>
  <c r="T1252" i="13" l="1"/>
  <c r="U1251" i="13"/>
  <c r="T1249" i="13"/>
  <c r="U1249" i="13"/>
  <c r="U1246" i="13"/>
  <c r="T1246" i="13"/>
  <c r="U1248" i="13"/>
  <c r="T1248" i="13"/>
  <c r="U1247" i="13"/>
  <c r="T1247" i="13"/>
  <c r="T1251" i="13" l="1"/>
  <c r="U1252" i="13"/>
  <c r="T1244" i="13"/>
  <c r="U1244" i="13"/>
  <c r="U1243" i="13"/>
  <c r="T1243" i="13"/>
  <c r="U1250" i="13"/>
  <c r="T1250" i="13"/>
  <c r="U1245" i="13"/>
  <c r="T1245" i="13"/>
  <c r="X11" i="35" l="1"/>
  <c r="Y11" i="35"/>
  <c r="F11" i="35"/>
  <c r="L11" i="35" s="1"/>
  <c r="V11" i="35"/>
  <c r="AC11" i="35" l="1"/>
  <c r="AB11" i="35"/>
  <c r="X55" i="15" l="1"/>
  <c r="X59" i="15"/>
  <c r="X51" i="15"/>
  <c r="X2" i="33"/>
  <c r="X9" i="34"/>
  <c r="X9" i="37"/>
  <c r="Y3" i="38"/>
  <c r="X8" i="37"/>
  <c r="Y35" i="31"/>
  <c r="Y34" i="31"/>
  <c r="X2" i="38"/>
  <c r="Y9" i="37"/>
  <c r="G1276" i="13"/>
  <c r="X3" i="38"/>
  <c r="Y4" i="36"/>
  <c r="G248" i="13"/>
  <c r="H248" i="13" s="1"/>
  <c r="X2" i="34"/>
  <c r="X10" i="33"/>
  <c r="X4" i="36"/>
  <c r="Y3" i="28"/>
  <c r="X52" i="15"/>
  <c r="Y9" i="33"/>
  <c r="G291" i="13"/>
  <c r="Y57" i="15"/>
  <c r="X6" i="36"/>
  <c r="Y10" i="28"/>
  <c r="Y8" i="33"/>
  <c r="G228" i="13"/>
  <c r="H228" i="13" s="1"/>
  <c r="G929" i="13"/>
  <c r="H929" i="13" s="1"/>
  <c r="G257" i="13"/>
  <c r="H257" i="13" s="1"/>
  <c r="G171" i="13"/>
  <c r="Y10" i="33"/>
  <c r="X2" i="37"/>
  <c r="Y54" i="15"/>
  <c r="G49" i="13"/>
  <c r="H49" i="13" s="1"/>
  <c r="I49" i="13" s="1"/>
  <c r="G203" i="13"/>
  <c r="G789" i="13"/>
  <c r="H789" i="13" s="1"/>
  <c r="I789" i="13" s="1"/>
  <c r="G1223" i="13"/>
  <c r="H1223" i="13" s="1"/>
  <c r="G1110" i="13"/>
  <c r="G8" i="13"/>
  <c r="G344" i="13"/>
  <c r="H344" i="13" s="1"/>
  <c r="I344" i="13" s="1"/>
  <c r="G796" i="13"/>
  <c r="G928" i="13"/>
  <c r="H928" i="13" s="1"/>
  <c r="I928" i="13" s="1"/>
  <c r="G398" i="13"/>
  <c r="Y2" i="34"/>
  <c r="Y55" i="15"/>
  <c r="G92" i="13"/>
  <c r="H92" i="13" s="1"/>
  <c r="I92" i="13" s="1"/>
  <c r="G153" i="13"/>
  <c r="Y59" i="15"/>
  <c r="G16" i="13"/>
  <c r="H16" i="13" s="1"/>
  <c r="I16" i="13" s="1"/>
  <c r="G1109" i="13"/>
  <c r="G1117" i="13"/>
  <c r="G17" i="13"/>
  <c r="Y4" i="33"/>
  <c r="X5" i="33"/>
  <c r="G240" i="13"/>
  <c r="X54" i="15"/>
  <c r="G1272" i="13"/>
  <c r="H1272" i="13" s="1"/>
  <c r="G496" i="13"/>
  <c r="G241" i="13"/>
  <c r="G1113" i="13"/>
  <c r="G31" i="13"/>
  <c r="H31" i="13" s="1"/>
  <c r="G930" i="13"/>
  <c r="G1149" i="13"/>
  <c r="H1149" i="13" s="1"/>
  <c r="G520" i="13"/>
  <c r="H520" i="13" s="1"/>
  <c r="Y2" i="37"/>
  <c r="G892" i="13"/>
  <c r="G927" i="13"/>
  <c r="G300" i="13"/>
  <c r="Y6" i="36"/>
  <c r="X10" i="28"/>
  <c r="Y51" i="15"/>
  <c r="G227" i="13"/>
  <c r="G386" i="13"/>
  <c r="G284" i="13"/>
  <c r="X3" i="28"/>
  <c r="X2" i="36"/>
  <c r="X8" i="28"/>
  <c r="X3" i="35"/>
  <c r="Y2" i="33"/>
  <c r="X8" i="33"/>
  <c r="G1257" i="13"/>
  <c r="H1257" i="13" s="1"/>
  <c r="G64" i="13"/>
  <c r="G1115" i="13"/>
  <c r="G1262" i="13"/>
  <c r="X4" i="33"/>
  <c r="X8" i="36"/>
  <c r="X36" i="27"/>
  <c r="Y8" i="36"/>
  <c r="G467" i="13"/>
  <c r="H467" i="13" s="1"/>
  <c r="I467" i="13" s="1"/>
  <c r="X34" i="31"/>
  <c r="X9" i="33"/>
  <c r="Y4" i="28"/>
  <c r="G298" i="13"/>
  <c r="G861" i="13"/>
  <c r="H861" i="13" s="1"/>
  <c r="X4" i="28"/>
  <c r="G388" i="13"/>
  <c r="H388" i="13" s="1"/>
  <c r="I388" i="13" s="1"/>
  <c r="G20" i="13"/>
  <c r="G250" i="13"/>
  <c r="H250" i="13" s="1"/>
  <c r="I250" i="13" s="1"/>
  <c r="X5" i="36"/>
  <c r="X57" i="15"/>
  <c r="G1239" i="13"/>
  <c r="H1239" i="13" s="1"/>
  <c r="G274" i="13"/>
  <c r="H274" i="13" s="1"/>
  <c r="I274" i="13" s="1"/>
  <c r="G500" i="13"/>
  <c r="G170" i="13"/>
  <c r="G233" i="13"/>
  <c r="H233" i="13" s="1"/>
  <c r="G205" i="13"/>
  <c r="G73" i="13"/>
  <c r="G934" i="13"/>
  <c r="X35" i="27"/>
  <c r="Y8" i="37"/>
  <c r="G268" i="13"/>
  <c r="G1221" i="13"/>
  <c r="G117" i="13"/>
  <c r="G517" i="13"/>
  <c r="G122" i="13"/>
  <c r="G285" i="13"/>
  <c r="H285" i="13" s="1"/>
  <c r="G771" i="13"/>
  <c r="G60" i="13"/>
  <c r="G15" i="13"/>
  <c r="G61" i="13"/>
  <c r="H61" i="13" s="1"/>
  <c r="G93" i="13"/>
  <c r="G1104" i="13"/>
  <c r="G1264" i="13"/>
  <c r="H1264" i="13" s="1"/>
  <c r="I1264" i="13" s="1"/>
  <c r="X35" i="31"/>
  <c r="G53" i="13"/>
  <c r="H53" i="13" s="1"/>
  <c r="G1212" i="13"/>
  <c r="H1212" i="13" s="1"/>
  <c r="G433" i="13"/>
  <c r="G338" i="13"/>
  <c r="G345" i="13"/>
  <c r="H345" i="13" s="1"/>
  <c r="I345" i="13" s="1"/>
  <c r="G78" i="13"/>
  <c r="G12" i="13"/>
  <c r="G792" i="13"/>
  <c r="G335" i="13"/>
  <c r="G637" i="13"/>
  <c r="G26" i="13"/>
  <c r="Y5" i="33"/>
  <c r="G342" i="13"/>
  <c r="G185" i="13"/>
  <c r="H185" i="13" s="1"/>
  <c r="G251" i="13"/>
  <c r="G90" i="13"/>
  <c r="H90" i="13" s="1"/>
  <c r="G215" i="13"/>
  <c r="G673" i="13"/>
  <c r="H673" i="13" s="1"/>
  <c r="G179" i="13"/>
  <c r="Y2" i="38"/>
  <c r="G363" i="13"/>
  <c r="H363" i="13" s="1"/>
  <c r="G136" i="13"/>
  <c r="G4" i="13"/>
  <c r="G44" i="13"/>
  <c r="G954" i="13"/>
  <c r="G62" i="13"/>
  <c r="H62" i="13" s="1"/>
  <c r="Y35" i="27"/>
  <c r="G150" i="13"/>
  <c r="G708" i="13"/>
  <c r="H708" i="13" s="1"/>
  <c r="G1218" i="13"/>
  <c r="G1148" i="13"/>
  <c r="H1148" i="13" s="1"/>
  <c r="I1148" i="13" s="1"/>
  <c r="G632" i="13"/>
  <c r="G148" i="13"/>
  <c r="G81" i="13"/>
  <c r="G1266" i="13"/>
  <c r="G202" i="13"/>
  <c r="G1121" i="13"/>
  <c r="G384" i="13"/>
  <c r="H384" i="13" s="1"/>
  <c r="G267" i="13"/>
  <c r="G311" i="13"/>
  <c r="G165" i="13"/>
  <c r="H165" i="13" s="1"/>
  <c r="G1265" i="13"/>
  <c r="G1144" i="13"/>
  <c r="G1261" i="13"/>
  <c r="H1261" i="13" s="1"/>
  <c r="G1271" i="13"/>
  <c r="G200" i="13"/>
  <c r="G74" i="13"/>
  <c r="Y8" i="28"/>
  <c r="G221" i="13"/>
  <c r="G1237" i="13"/>
  <c r="G643" i="13"/>
  <c r="H643" i="13" s="1"/>
  <c r="G346" i="13"/>
  <c r="G589" i="13"/>
  <c r="G572" i="13"/>
  <c r="H572" i="13" s="1"/>
  <c r="I572" i="13" s="1"/>
  <c r="G182" i="13"/>
  <c r="H182" i="13" s="1"/>
  <c r="G1259" i="13"/>
  <c r="G109" i="13"/>
  <c r="G1143" i="13"/>
  <c r="G277" i="13"/>
  <c r="G63" i="13"/>
  <c r="G760" i="13"/>
  <c r="H760" i="13" s="1"/>
  <c r="G22" i="13"/>
  <c r="G1119" i="13"/>
  <c r="G236" i="13"/>
  <c r="G1153" i="13"/>
  <c r="G1116" i="13"/>
  <c r="G6" i="13"/>
  <c r="G40" i="13"/>
  <c r="G237" i="13"/>
  <c r="H237" i="13" s="1"/>
  <c r="I237" i="13" s="1"/>
  <c r="Y9" i="34"/>
  <c r="G1277" i="13"/>
  <c r="G94" i="13"/>
  <c r="G270" i="13"/>
  <c r="H270" i="13" s="1"/>
  <c r="I270" i="13" s="1"/>
  <c r="G56" i="13"/>
  <c r="G359" i="13"/>
  <c r="H359" i="13" s="1"/>
  <c r="G923" i="13"/>
  <c r="H923" i="13" s="1"/>
  <c r="G518" i="13"/>
  <c r="H518" i="13" s="1"/>
  <c r="I518" i="13" s="1"/>
  <c r="G58" i="13"/>
  <c r="H58" i="13" s="1"/>
  <c r="G317" i="13"/>
  <c r="G735" i="13"/>
  <c r="H735" i="13" s="1"/>
  <c r="G279" i="13"/>
  <c r="G28" i="13"/>
  <c r="H28" i="13" s="1"/>
  <c r="I28" i="13" s="1"/>
  <c r="G756" i="13"/>
  <c r="H756" i="13" s="1"/>
  <c r="I756" i="13" s="1"/>
  <c r="G1273" i="13"/>
  <c r="H1273" i="13" s="1"/>
  <c r="G130" i="13"/>
  <c r="G1216" i="13"/>
  <c r="H1216" i="13" s="1"/>
  <c r="G409" i="13"/>
  <c r="X7" i="33"/>
  <c r="Y6" i="28"/>
  <c r="G1145" i="13"/>
  <c r="G361" i="13"/>
  <c r="G308" i="13"/>
  <c r="G194" i="13"/>
  <c r="G1254" i="13"/>
  <c r="H1254" i="13" s="1"/>
  <c r="G862" i="13"/>
  <c r="G800" i="13"/>
  <c r="G207" i="13"/>
  <c r="H207" i="13" s="1"/>
  <c r="I207" i="13" s="1"/>
  <c r="G65" i="13"/>
  <c r="G261" i="13"/>
  <c r="G133" i="13"/>
  <c r="H133" i="13" s="1"/>
  <c r="I133" i="13" s="1"/>
  <c r="X2" i="29"/>
  <c r="G149" i="13"/>
  <c r="G173" i="13"/>
  <c r="G114" i="13"/>
  <c r="G144" i="13"/>
  <c r="G672" i="13"/>
  <c r="H672" i="13" s="1"/>
  <c r="I672" i="13" s="1"/>
  <c r="G356" i="13"/>
  <c r="G48" i="13"/>
  <c r="G181" i="13"/>
  <c r="H181" i="13" s="1"/>
  <c r="I181" i="13" s="1"/>
  <c r="Y52" i="15"/>
  <c r="G1236" i="13"/>
  <c r="G1147" i="13"/>
  <c r="H1147" i="13" s="1"/>
  <c r="G1120" i="13"/>
  <c r="G748" i="13"/>
  <c r="H748" i="13" s="1"/>
  <c r="G935" i="13"/>
  <c r="H935" i="13" s="1"/>
  <c r="G1219" i="13"/>
  <c r="H1219" i="13" s="1"/>
  <c r="I1219" i="13" s="1"/>
  <c r="G510" i="13"/>
  <c r="G434" i="13"/>
  <c r="G540" i="13"/>
  <c r="G229" i="13"/>
  <c r="H229" i="13" s="1"/>
  <c r="I229" i="13" s="1"/>
  <c r="G310" i="13"/>
  <c r="Y36" i="27"/>
  <c r="G312" i="13"/>
  <c r="G30" i="13"/>
  <c r="H30" i="13" s="1"/>
  <c r="G503" i="13"/>
  <c r="G1211" i="13"/>
  <c r="Y3" i="35"/>
  <c r="G347" i="13"/>
  <c r="G1263" i="13"/>
  <c r="H1263" i="13" s="1"/>
  <c r="I1263" i="13" s="1"/>
  <c r="G336" i="13"/>
  <c r="G260" i="13"/>
  <c r="G600" i="13"/>
  <c r="G804" i="13"/>
  <c r="G394" i="13"/>
  <c r="G152" i="13"/>
  <c r="H152" i="13" s="1"/>
  <c r="G216" i="13"/>
  <c r="G698" i="13"/>
  <c r="G313" i="13"/>
  <c r="G527" i="13"/>
  <c r="H527" i="13" s="1"/>
  <c r="G168" i="13"/>
  <c r="H168" i="13" s="1"/>
  <c r="G797" i="13"/>
  <c r="H797" i="13" s="1"/>
  <c r="I797" i="13" s="1"/>
  <c r="G307" i="13"/>
  <c r="Y7" i="33"/>
  <c r="X6" i="33"/>
  <c r="Y2" i="36"/>
  <c r="G246" i="13"/>
  <c r="G551" i="13"/>
  <c r="Y5" i="36"/>
  <c r="G351" i="13"/>
  <c r="G289" i="13"/>
  <c r="G1215" i="13"/>
  <c r="G440" i="13"/>
  <c r="G50" i="13"/>
  <c r="G11" i="13"/>
  <c r="G1150" i="13"/>
  <c r="G282" i="13"/>
  <c r="G247" i="13"/>
  <c r="H247" i="13" s="1"/>
  <c r="G1035" i="13"/>
  <c r="H1035" i="13" s="1"/>
  <c r="G86" i="13"/>
  <c r="G1099" i="13"/>
  <c r="G648" i="13"/>
  <c r="G52" i="13"/>
  <c r="G528" i="13"/>
  <c r="H528" i="13" s="1"/>
  <c r="I528" i="13" s="1"/>
  <c r="G1217" i="13"/>
  <c r="G1111" i="13"/>
  <c r="G406" i="13"/>
  <c r="G118" i="13"/>
  <c r="G1275" i="13"/>
  <c r="H1275" i="13" s="1"/>
  <c r="I1275" i="13" s="1"/>
  <c r="G192" i="13"/>
  <c r="G1255" i="13"/>
  <c r="G1158" i="13"/>
  <c r="G513" i="13"/>
  <c r="G79" i="13"/>
  <c r="G262" i="13"/>
  <c r="G422" i="13"/>
  <c r="G382" i="13"/>
  <c r="H1279" i="13"/>
  <c r="G369" i="13"/>
  <c r="H369" i="13" s="1"/>
  <c r="I369" i="13" s="1"/>
  <c r="G924" i="13"/>
  <c r="G604" i="13"/>
  <c r="G339" i="13"/>
  <c r="G304" i="13"/>
  <c r="G573" i="13"/>
  <c r="G889" i="13"/>
  <c r="G85" i="13"/>
  <c r="G429" i="13"/>
  <c r="H429" i="13" s="1"/>
  <c r="G914" i="13"/>
  <c r="G218" i="13"/>
  <c r="G415" i="13"/>
  <c r="G70" i="13"/>
  <c r="G348" i="13"/>
  <c r="H348" i="13" s="1"/>
  <c r="G24" i="13"/>
  <c r="G327" i="13"/>
  <c r="G217" i="13"/>
  <c r="G1229" i="13"/>
  <c r="H1229" i="13" s="1"/>
  <c r="I1229" i="13" s="1"/>
  <c r="G177" i="13"/>
  <c r="H177" i="13" s="1"/>
  <c r="G791" i="13"/>
  <c r="H791" i="13" s="1"/>
  <c r="I791" i="13" s="1"/>
  <c r="G249" i="13"/>
  <c r="G641" i="13"/>
  <c r="G1059" i="13"/>
  <c r="H1059" i="13" s="1"/>
  <c r="G32" i="13"/>
  <c r="H32" i="13" s="1"/>
  <c r="G88" i="13"/>
  <c r="X58" i="15"/>
  <c r="G1225" i="13"/>
  <c r="H1225" i="13" s="1"/>
  <c r="G833" i="13"/>
  <c r="H833" i="13" s="1"/>
  <c r="I833" i="13" s="1"/>
  <c r="Y5" i="28"/>
  <c r="G142" i="13"/>
  <c r="G186" i="13"/>
  <c r="G219" i="13"/>
  <c r="G567" i="13"/>
  <c r="H567" i="13" s="1"/>
  <c r="I567" i="13" s="1"/>
  <c r="G57" i="13"/>
  <c r="G397" i="13"/>
  <c r="G670" i="13"/>
  <c r="H670" i="13" s="1"/>
  <c r="G936" i="13"/>
  <c r="G636" i="13"/>
  <c r="G266" i="13"/>
  <c r="G47" i="13"/>
  <c r="G374" i="13"/>
  <c r="G362" i="13"/>
  <c r="G793" i="13"/>
  <c r="G204" i="13"/>
  <c r="G823" i="13"/>
  <c r="H823" i="13" s="1"/>
  <c r="G1105" i="13"/>
  <c r="G1258" i="13"/>
  <c r="G1103" i="13"/>
  <c r="G39" i="13"/>
  <c r="H39" i="13" s="1"/>
  <c r="I39" i="13" s="1"/>
  <c r="G59" i="13"/>
  <c r="G1142" i="13"/>
  <c r="H1142" i="13" s="1"/>
  <c r="G43" i="13"/>
  <c r="G188" i="13"/>
  <c r="G508" i="13"/>
  <c r="G239" i="13"/>
  <c r="H239" i="13" s="1"/>
  <c r="G919" i="13"/>
  <c r="H919" i="13" s="1"/>
  <c r="I919" i="13" s="1"/>
  <c r="G178" i="13"/>
  <c r="H178" i="13" s="1"/>
  <c r="G740" i="13"/>
  <c r="G154" i="13"/>
  <c r="G620" i="13"/>
  <c r="G770" i="13"/>
  <c r="G158" i="13"/>
  <c r="H158" i="13" s="1"/>
  <c r="I158" i="13" s="1"/>
  <c r="X6" i="28"/>
  <c r="G25" i="13"/>
  <c r="G10" i="13"/>
  <c r="G470" i="13"/>
  <c r="G766" i="13"/>
  <c r="G87" i="13"/>
  <c r="G745" i="13"/>
  <c r="H745" i="13" s="1"/>
  <c r="G331" i="13"/>
  <c r="G593" i="13"/>
  <c r="G723" i="13"/>
  <c r="H723" i="13" s="1"/>
  <c r="I723" i="13" s="1"/>
  <c r="G355" i="13"/>
  <c r="H355" i="13" s="1"/>
  <c r="G211" i="13"/>
  <c r="G23" i="13"/>
  <c r="G608" i="13"/>
  <c r="G524" i="13"/>
  <c r="H524" i="13" s="1"/>
  <c r="G275" i="13"/>
  <c r="H275" i="13" s="1"/>
  <c r="I275" i="13" s="1"/>
  <c r="G882" i="13"/>
  <c r="G129" i="13"/>
  <c r="G456" i="13"/>
  <c r="H456" i="13" s="1"/>
  <c r="Y2" i="29"/>
  <c r="G538" i="13"/>
  <c r="G1151" i="13"/>
  <c r="G293" i="13"/>
  <c r="G80" i="13"/>
  <c r="G225" i="13"/>
  <c r="G373" i="13"/>
  <c r="H373" i="13" s="1"/>
  <c r="I373" i="13" s="1"/>
  <c r="G126" i="13"/>
  <c r="G711" i="13"/>
  <c r="H711" i="13" s="1"/>
  <c r="G973" i="13"/>
  <c r="G76" i="13"/>
  <c r="G910" i="13"/>
  <c r="G1256" i="13"/>
  <c r="H1256" i="13" s="1"/>
  <c r="I1256" i="13" s="1"/>
  <c r="G326" i="13"/>
  <c r="G83" i="13"/>
  <c r="Y9" i="28"/>
  <c r="G71" i="13"/>
  <c r="G421" i="13"/>
  <c r="G762" i="13"/>
  <c r="Y58" i="15"/>
  <c r="G590" i="13"/>
  <c r="G287" i="13"/>
  <c r="H287" i="13" s="1"/>
  <c r="I287" i="13" s="1"/>
  <c r="G784" i="13"/>
  <c r="G734" i="13"/>
  <c r="H734" i="13" s="1"/>
  <c r="G746" i="13"/>
  <c r="H746" i="13" s="1"/>
  <c r="G671" i="13"/>
  <c r="G602" i="13"/>
  <c r="G744" i="13"/>
  <c r="G553" i="13"/>
  <c r="G315" i="13"/>
  <c r="G407" i="13"/>
  <c r="G263" i="13"/>
  <c r="H263" i="13" s="1"/>
  <c r="Y3" i="33"/>
  <c r="D35" i="31"/>
  <c r="G1138" i="13"/>
  <c r="G364" i="13"/>
  <c r="G180" i="13"/>
  <c r="G477" i="13"/>
  <c r="X53" i="15"/>
  <c r="G870" i="13"/>
  <c r="G193" i="13"/>
  <c r="G757" i="13"/>
  <c r="H757" i="13" s="1"/>
  <c r="I757" i="13" s="1"/>
  <c r="G1274" i="13"/>
  <c r="G197" i="13"/>
  <c r="G994" i="13"/>
  <c r="H994" i="13" s="1"/>
  <c r="I994" i="13" s="1"/>
  <c r="D2" i="17"/>
  <c r="D39" i="19"/>
  <c r="Y6" i="33"/>
  <c r="G110" i="13"/>
  <c r="G281" i="13"/>
  <c r="G472" i="13"/>
  <c r="G561" i="13"/>
  <c r="G676" i="13"/>
  <c r="G385" i="13"/>
  <c r="G1152" i="13"/>
  <c r="H1152" i="13" s="1"/>
  <c r="G45" i="13"/>
  <c r="H45" i="13" s="1"/>
  <c r="G321" i="13"/>
  <c r="H321" i="13" s="1"/>
  <c r="I321" i="13" s="1"/>
  <c r="G1064" i="13"/>
  <c r="G376" i="13"/>
  <c r="H376" i="13" s="1"/>
  <c r="I376" i="13" s="1"/>
  <c r="G596" i="13"/>
  <c r="G473" i="13"/>
  <c r="H473" i="13" s="1"/>
  <c r="G476" i="13"/>
  <c r="G482" i="13"/>
  <c r="H482" i="13" s="1"/>
  <c r="I482" i="13" s="1"/>
  <c r="G392" i="13"/>
  <c r="X9" i="28"/>
  <c r="G932" i="13"/>
  <c r="G1267" i="13"/>
  <c r="G785" i="13"/>
  <c r="G259" i="13"/>
  <c r="H259" i="13" s="1"/>
  <c r="G512" i="13"/>
  <c r="G724" i="13"/>
  <c r="G82" i="13"/>
  <c r="G885" i="13"/>
  <c r="G35" i="13"/>
  <c r="H35" i="13" s="1"/>
  <c r="I35" i="13" s="1"/>
  <c r="G865" i="13"/>
  <c r="G199" i="13"/>
  <c r="G533" i="13"/>
  <c r="H533" i="13" s="1"/>
  <c r="I533" i="13" s="1"/>
  <c r="G497" i="13"/>
  <c r="H497" i="13" s="1"/>
  <c r="I497" i="13" s="1"/>
  <c r="G38" i="13"/>
  <c r="H38" i="13" s="1"/>
  <c r="I38" i="13" s="1"/>
  <c r="G931" i="13"/>
  <c r="H931" i="13" s="1"/>
  <c r="I931" i="13" s="1"/>
  <c r="G3" i="13"/>
  <c r="G813" i="13"/>
  <c r="G352" i="13"/>
  <c r="G375" i="13"/>
  <c r="H375" i="13" s="1"/>
  <c r="I375" i="13" s="1"/>
  <c r="G357" i="13"/>
  <c r="G276" i="13"/>
  <c r="G466" i="13"/>
  <c r="G1240" i="13"/>
  <c r="G996" i="13"/>
  <c r="G166" i="13"/>
  <c r="H166" i="13" s="1"/>
  <c r="G69" i="13"/>
  <c r="H69" i="13" s="1"/>
  <c r="G819" i="13"/>
  <c r="H819" i="13" s="1"/>
  <c r="I819" i="13" s="1"/>
  <c r="G899" i="13"/>
  <c r="G254" i="13"/>
  <c r="H254" i="13" s="1"/>
  <c r="I254" i="13" s="1"/>
  <c r="G72" i="13"/>
  <c r="G615" i="13"/>
  <c r="G887" i="13"/>
  <c r="G410" i="13"/>
  <c r="G719" i="13"/>
  <c r="H719" i="13" s="1"/>
  <c r="X5" i="28"/>
  <c r="G794" i="13"/>
  <c r="H794" i="13" s="1"/>
  <c r="G624" i="13"/>
  <c r="G544" i="13"/>
  <c r="G42" i="13"/>
  <c r="H42" i="13" s="1"/>
  <c r="G278" i="13"/>
  <c r="G322" i="13"/>
  <c r="H322" i="13" s="1"/>
  <c r="G710" i="13"/>
  <c r="G51" i="13"/>
  <c r="G230" i="13"/>
  <c r="H230" i="13" s="1"/>
  <c r="G543" i="13"/>
  <c r="D5" i="17"/>
  <c r="G731" i="13"/>
  <c r="G253" i="13"/>
  <c r="Y53" i="15"/>
  <c r="G484" i="13"/>
  <c r="H484" i="13" s="1"/>
  <c r="G720" i="13"/>
  <c r="H720" i="13" s="1"/>
  <c r="G305" i="13"/>
  <c r="G33" i="13"/>
  <c r="H33" i="13" s="1"/>
  <c r="I33" i="13" s="1"/>
  <c r="G1063" i="13"/>
  <c r="H1063" i="13" s="1"/>
  <c r="G751" i="13"/>
  <c r="G498" i="13"/>
  <c r="H498" i="13" s="1"/>
  <c r="G143" i="13"/>
  <c r="G1175" i="13"/>
  <c r="G1213" i="13"/>
  <c r="H1213" i="13" s="1"/>
  <c r="G486" i="13"/>
  <c r="H486" i="13" s="1"/>
  <c r="G989" i="13"/>
  <c r="G156" i="13"/>
  <c r="H156" i="13" s="1"/>
  <c r="G475" i="13"/>
  <c r="G329" i="13"/>
  <c r="H329" i="13" s="1"/>
  <c r="G223" i="13"/>
  <c r="G776" i="13"/>
  <c r="G851" i="13"/>
  <c r="G1214" i="13"/>
  <c r="G447" i="13"/>
  <c r="G264" i="13"/>
  <c r="G925" i="13"/>
  <c r="G948" i="13"/>
  <c r="G1118" i="13"/>
  <c r="G14" i="13"/>
  <c r="G1224" i="13"/>
  <c r="H1224" i="13" s="1"/>
  <c r="I1224" i="13" s="1"/>
  <c r="G381" i="13"/>
  <c r="H381" i="13" s="1"/>
  <c r="G273" i="13"/>
  <c r="H273" i="13" s="1"/>
  <c r="I273" i="13" s="1"/>
  <c r="G436" i="13"/>
  <c r="G443" i="13"/>
  <c r="G269" i="13"/>
  <c r="G1038" i="13"/>
  <c r="D2" i="38"/>
  <c r="G696" i="13"/>
  <c r="G495" i="13"/>
  <c r="G692" i="13"/>
  <c r="G1260" i="13"/>
  <c r="H1260" i="13" s="1"/>
  <c r="I1260" i="13" s="1"/>
  <c r="G244" i="13"/>
  <c r="G951" i="13"/>
  <c r="G1050" i="13"/>
  <c r="G631" i="13"/>
  <c r="G619" i="13"/>
  <c r="G379" i="13"/>
  <c r="G358" i="13"/>
  <c r="D33" i="18"/>
  <c r="G224" i="13"/>
  <c r="X3" i="33"/>
  <c r="G442" i="13"/>
  <c r="G55" i="13"/>
  <c r="G66" i="13"/>
  <c r="G405" i="13"/>
  <c r="G1114" i="13"/>
  <c r="G478" i="13"/>
  <c r="G634" i="13"/>
  <c r="G1030" i="13"/>
  <c r="D59" i="15"/>
  <c r="D7" i="17"/>
  <c r="G1102" i="13"/>
  <c r="G231" i="13"/>
  <c r="G873" i="13"/>
  <c r="X49" i="15"/>
  <c r="D27" i="18"/>
  <c r="G341" i="13"/>
  <c r="G1010" i="13"/>
  <c r="G141" i="13"/>
  <c r="G1016" i="13"/>
  <c r="G457" i="13"/>
  <c r="G1139" i="13"/>
  <c r="G1090" i="13"/>
  <c r="G860" i="13"/>
  <c r="H860" i="13" s="1"/>
  <c r="G532" i="13"/>
  <c r="D9" i="28"/>
  <c r="G1136" i="13"/>
  <c r="G461" i="13"/>
  <c r="G232" i="13"/>
  <c r="H232" i="13" s="1"/>
  <c r="I232" i="13" s="1"/>
  <c r="G196" i="13"/>
  <c r="G383" i="13"/>
  <c r="H383" i="13" s="1"/>
  <c r="G137" i="13"/>
  <c r="G682" i="13"/>
  <c r="G380" i="13"/>
  <c r="G387" i="13"/>
  <c r="G880" i="13"/>
  <c r="G370" i="13"/>
  <c r="G290" i="13"/>
  <c r="G320" i="13"/>
  <c r="G699" i="13"/>
  <c r="G209" i="13"/>
  <c r="H209" i="13" s="1"/>
  <c r="G419" i="13"/>
  <c r="G108" i="13"/>
  <c r="G621" i="13"/>
  <c r="H621" i="13" s="1"/>
  <c r="I621" i="13" s="1"/>
  <c r="G403" i="13"/>
  <c r="G297" i="13"/>
  <c r="H297" i="13" s="1"/>
  <c r="I297" i="13" s="1"/>
  <c r="G222" i="13"/>
  <c r="G226" i="13"/>
  <c r="H226" i="13" s="1"/>
  <c r="I226" i="13" s="1"/>
  <c r="G174" i="13"/>
  <c r="G471" i="13"/>
  <c r="D9" i="36"/>
  <c r="G707" i="13"/>
  <c r="H707" i="13" s="1"/>
  <c r="G309" i="13"/>
  <c r="G799" i="13"/>
  <c r="G1278" i="13"/>
  <c r="G997" i="13"/>
  <c r="G412" i="13"/>
  <c r="G324" i="13"/>
  <c r="H324" i="13" s="1"/>
  <c r="I324" i="13" s="1"/>
  <c r="G803" i="13"/>
  <c r="H803" i="13" s="1"/>
  <c r="I803" i="13" s="1"/>
  <c r="G907" i="13"/>
  <c r="G371" i="13"/>
  <c r="G1156" i="13"/>
  <c r="G905" i="13"/>
  <c r="G1080" i="13"/>
  <c r="H1080" i="13" s="1"/>
  <c r="I1080" i="13" s="1"/>
  <c r="G468" i="13"/>
  <c r="G739" i="13"/>
  <c r="G441" i="13"/>
  <c r="G1094" i="13"/>
  <c r="G1071" i="13"/>
  <c r="G645" i="13"/>
  <c r="G1253" i="13"/>
  <c r="H1253" i="13" s="1"/>
  <c r="G1268" i="13"/>
  <c r="G798" i="13"/>
  <c r="G155" i="13"/>
  <c r="G687" i="13"/>
  <c r="G391" i="13"/>
  <c r="G570" i="13"/>
  <c r="H570" i="13" s="1"/>
  <c r="I570" i="13" s="1"/>
  <c r="G402" i="13"/>
  <c r="G630" i="13"/>
  <c r="G541" i="13"/>
  <c r="G974" i="13"/>
  <c r="G1028" i="13"/>
  <c r="G1057" i="13"/>
  <c r="H1057" i="13" s="1"/>
  <c r="G464" i="13"/>
  <c r="H464" i="13" s="1"/>
  <c r="I464" i="13" s="1"/>
  <c r="G805" i="13"/>
  <c r="G413" i="13"/>
  <c r="G116" i="13"/>
  <c r="G818" i="13"/>
  <c r="H818" i="13" s="1"/>
  <c r="G749" i="13"/>
  <c r="H749" i="13" s="1"/>
  <c r="G555" i="13"/>
  <c r="H555" i="13" s="1"/>
  <c r="G172" i="13"/>
  <c r="G439" i="13"/>
  <c r="G138" i="13"/>
  <c r="H138" i="13" s="1"/>
  <c r="G499" i="13"/>
  <c r="H499" i="13" s="1"/>
  <c r="G378" i="13"/>
  <c r="G1074" i="13"/>
  <c r="H1074" i="13" s="1"/>
  <c r="G537" i="13"/>
  <c r="H537" i="13" s="1"/>
  <c r="G214" i="13"/>
  <c r="G822" i="13"/>
  <c r="H822" i="13" s="1"/>
  <c r="G455" i="13"/>
  <c r="H455" i="13" s="1"/>
  <c r="G485" i="13"/>
  <c r="G390" i="13"/>
  <c r="G18" i="13"/>
  <c r="G89" i="13"/>
  <c r="H89" i="13" s="1"/>
  <c r="I89" i="13" s="1"/>
  <c r="G147" i="13"/>
  <c r="G1169" i="13"/>
  <c r="G190" i="13"/>
  <c r="G288" i="13"/>
  <c r="H288" i="13" s="1"/>
  <c r="I288" i="13" s="1"/>
  <c r="D5" i="36"/>
  <c r="G396" i="13"/>
  <c r="G271" i="13"/>
  <c r="H271" i="13" s="1"/>
  <c r="G367" i="13"/>
  <c r="H367" i="13" s="1"/>
  <c r="I367" i="13" s="1"/>
  <c r="Y2" i="28"/>
  <c r="G949" i="13"/>
  <c r="Y49" i="15"/>
  <c r="G1108" i="13"/>
  <c r="D35" i="27"/>
  <c r="G681" i="13"/>
  <c r="G597" i="13"/>
  <c r="Y36" i="31"/>
  <c r="G459" i="13"/>
  <c r="G332" i="13"/>
  <c r="G84" i="13"/>
  <c r="G91" i="13"/>
  <c r="G995" i="13"/>
  <c r="H995" i="13" s="1"/>
  <c r="I995" i="13" s="1"/>
  <c r="G963" i="13"/>
  <c r="G758" i="13"/>
  <c r="G633" i="13"/>
  <c r="G1091" i="13"/>
  <c r="G208" i="13"/>
  <c r="G210" i="13"/>
  <c r="G884" i="13"/>
  <c r="G568" i="13"/>
  <c r="H568" i="13" s="1"/>
  <c r="D10" i="28"/>
  <c r="D6" i="17"/>
  <c r="G709" i="13"/>
  <c r="H709" i="13" s="1"/>
  <c r="I709" i="13" s="1"/>
  <c r="G426" i="13"/>
  <c r="G1184" i="13"/>
  <c r="G334" i="13"/>
  <c r="H334" i="13" s="1"/>
  <c r="I334" i="13" s="1"/>
  <c r="D2" i="16"/>
  <c r="G206" i="13"/>
  <c r="G536" i="13"/>
  <c r="H536" i="13" s="1"/>
  <c r="I536" i="13" s="1"/>
  <c r="G54" i="13"/>
  <c r="G679" i="13"/>
  <c r="G504" i="13"/>
  <c r="H504" i="13" s="1"/>
  <c r="G563" i="13"/>
  <c r="H563" i="13" s="1"/>
  <c r="G902" i="13"/>
  <c r="G886" i="13"/>
  <c r="D30" i="18"/>
  <c r="G258" i="13"/>
  <c r="G265" i="13"/>
  <c r="G159" i="13"/>
  <c r="G530" i="13"/>
  <c r="H530" i="13" s="1"/>
  <c r="I530" i="13" s="1"/>
  <c r="G395" i="13"/>
  <c r="G502" i="13"/>
  <c r="H502" i="13" s="1"/>
  <c r="G1220" i="13"/>
  <c r="G29" i="13"/>
  <c r="H29" i="13" s="1"/>
  <c r="I29" i="13" s="1"/>
  <c r="G296" i="13"/>
  <c r="G674" i="13"/>
  <c r="G611" i="13"/>
  <c r="G732" i="13"/>
  <c r="G646" i="13"/>
  <c r="G75" i="13"/>
  <c r="G77" i="13"/>
  <c r="G652" i="13"/>
  <c r="H652" i="13" s="1"/>
  <c r="I652" i="13" s="1"/>
  <c r="G622" i="13"/>
  <c r="H622" i="13" s="1"/>
  <c r="G255" i="13"/>
  <c r="H255" i="13" s="1"/>
  <c r="G318" i="13"/>
  <c r="H318" i="13" s="1"/>
  <c r="G328" i="13"/>
  <c r="H328" i="13" s="1"/>
  <c r="I328" i="13" s="1"/>
  <c r="G1159" i="13"/>
  <c r="G926" i="13"/>
  <c r="G1019" i="13"/>
  <c r="G863" i="13"/>
  <c r="H863" i="13" s="1"/>
  <c r="I863" i="13" s="1"/>
  <c r="G146" i="13"/>
  <c r="G783" i="13"/>
  <c r="G689" i="13"/>
  <c r="G1167" i="13"/>
  <c r="G295" i="13"/>
  <c r="G299" i="13"/>
  <c r="H299" i="13" s="1"/>
  <c r="I299" i="13" s="1"/>
  <c r="G526" i="13"/>
  <c r="H526" i="13" s="1"/>
  <c r="G1191" i="13"/>
  <c r="G36" i="13"/>
  <c r="G123" i="13"/>
  <c r="G303" i="13"/>
  <c r="G445" i="13"/>
  <c r="G449" i="13"/>
  <c r="G519" i="13"/>
  <c r="H519" i="13" s="1"/>
  <c r="I519" i="13" s="1"/>
  <c r="G875" i="13"/>
  <c r="G601" i="13"/>
  <c r="G522" i="13"/>
  <c r="H522" i="13" s="1"/>
  <c r="G1095" i="13"/>
  <c r="G292" i="13"/>
  <c r="H292" i="13" s="1"/>
  <c r="G904" i="13"/>
  <c r="G706" i="13"/>
  <c r="H706" i="13" s="1"/>
  <c r="G1026" i="13"/>
  <c r="G1106" i="13"/>
  <c r="G306" i="13"/>
  <c r="G418" i="13"/>
  <c r="G372" i="13"/>
  <c r="G605" i="13"/>
  <c r="G294" i="13"/>
  <c r="H294" i="13" s="1"/>
  <c r="G34" i="13"/>
  <c r="G964" i="13"/>
  <c r="G1140" i="13"/>
  <c r="D36" i="31"/>
  <c r="G638" i="13"/>
  <c r="G424" i="13"/>
  <c r="G1174" i="13"/>
  <c r="G135" i="13"/>
  <c r="G139" i="13"/>
  <c r="H139" i="13" s="1"/>
  <c r="I139" i="13" s="1"/>
  <c r="G404" i="13"/>
  <c r="G333" i="13"/>
  <c r="H333" i="13" s="1"/>
  <c r="I333" i="13" s="1"/>
  <c r="G727" i="13"/>
  <c r="G120" i="13"/>
  <c r="G1040" i="13"/>
  <c r="H1040" i="13" s="1"/>
  <c r="G242" i="13"/>
  <c r="H242" i="13" s="1"/>
  <c r="I242" i="13" s="1"/>
  <c r="G195" i="13"/>
  <c r="G1100" i="13"/>
  <c r="G1042" i="13"/>
  <c r="G1096" i="13"/>
  <c r="G1190" i="13"/>
  <c r="G704" i="13"/>
  <c r="G256" i="13"/>
  <c r="G340" i="13"/>
  <c r="G1134" i="13"/>
  <c r="G828" i="13"/>
  <c r="G627" i="13"/>
  <c r="H627" i="13" s="1"/>
  <c r="I627" i="13" s="1"/>
  <c r="G1092" i="13"/>
  <c r="G767" i="13"/>
  <c r="G349" i="13"/>
  <c r="G623" i="13"/>
  <c r="G550" i="13"/>
  <c r="G1062" i="13"/>
  <c r="G733" i="13"/>
  <c r="H733" i="13" s="1"/>
  <c r="G591" i="13"/>
  <c r="G626" i="13"/>
  <c r="G1186" i="13"/>
  <c r="G779" i="13"/>
  <c r="G1157" i="13"/>
  <c r="G432" i="13"/>
  <c r="H432" i="13" s="1"/>
  <c r="I432" i="13" s="1"/>
  <c r="G680" i="13"/>
  <c r="G1183" i="13"/>
  <c r="D51" i="15"/>
  <c r="G414" i="13"/>
  <c r="G509" i="13"/>
  <c r="D40" i="19"/>
  <c r="G1189" i="13"/>
  <c r="G1231" i="13"/>
  <c r="G941" i="13"/>
  <c r="G556" i="13"/>
  <c r="G272" i="13"/>
  <c r="G280" i="13"/>
  <c r="G677" i="13"/>
  <c r="G353" i="13"/>
  <c r="G807" i="13"/>
  <c r="H807" i="13" s="1"/>
  <c r="G1015" i="13"/>
  <c r="G1082" i="13"/>
  <c r="D26" i="18"/>
  <c r="G128" i="13"/>
  <c r="H128" i="13" s="1"/>
  <c r="X36" i="31"/>
  <c r="G1079" i="13"/>
  <c r="H1079" i="13" s="1"/>
  <c r="G119" i="13"/>
  <c r="G465" i="13"/>
  <c r="H465" i="13" s="1"/>
  <c r="I465" i="13" s="1"/>
  <c r="G111" i="13"/>
  <c r="G127" i="13"/>
  <c r="H127" i="13" s="1"/>
  <c r="I127" i="13" s="1"/>
  <c r="G161" i="13"/>
  <c r="G871" i="13"/>
  <c r="H871" i="13" s="1"/>
  <c r="G1001" i="13"/>
  <c r="H1001" i="13" s="1"/>
  <c r="I1001" i="13" s="1"/>
  <c r="G494" i="13"/>
  <c r="G947" i="13"/>
  <c r="G639" i="13"/>
  <c r="H639" i="13" s="1"/>
  <c r="G850" i="13"/>
  <c r="H850" i="13" s="1"/>
  <c r="G869" i="13"/>
  <c r="H869" i="13" s="1"/>
  <c r="G1055" i="13"/>
  <c r="G827" i="13"/>
  <c r="H827" i="13" s="1"/>
  <c r="G416" i="13"/>
  <c r="G238" i="13"/>
  <c r="G243" i="13"/>
  <c r="H243" i="13" s="1"/>
  <c r="G401" i="13"/>
  <c r="G755" i="13"/>
  <c r="H755" i="13" s="1"/>
  <c r="G1210" i="13"/>
  <c r="G1222" i="13"/>
  <c r="H1222" i="13" s="1"/>
  <c r="I1222" i="13" s="1"/>
  <c r="G991" i="13"/>
  <c r="G922" i="13"/>
  <c r="G933" i="13"/>
  <c r="H933" i="13" s="1"/>
  <c r="G985" i="13"/>
  <c r="H985" i="13" s="1"/>
  <c r="I985" i="13" s="1"/>
  <c r="G809" i="13"/>
  <c r="G431" i="13"/>
  <c r="G1125" i="13"/>
  <c r="G1126" i="13"/>
  <c r="X2" i="28"/>
  <c r="G1171" i="13"/>
  <c r="G894" i="13"/>
  <c r="G1039" i="13"/>
  <c r="G1162" i="13"/>
  <c r="G1146" i="13"/>
  <c r="H1146" i="13" s="1"/>
  <c r="G1021" i="13"/>
  <c r="G554" i="13"/>
  <c r="G647" i="13"/>
  <c r="G1177" i="13"/>
  <c r="G481" i="13"/>
  <c r="G750" i="13"/>
  <c r="H750" i="13" s="1"/>
  <c r="I750" i="13" s="1"/>
  <c r="G1196" i="13"/>
  <c r="G546" i="13"/>
  <c r="G599" i="13"/>
  <c r="G452" i="13"/>
  <c r="G523" i="13"/>
  <c r="H523" i="13" s="1"/>
  <c r="G301" i="13"/>
  <c r="G302" i="13"/>
  <c r="G1093" i="13"/>
  <c r="G454" i="13"/>
  <c r="G1070" i="13"/>
  <c r="G535" i="13"/>
  <c r="H535" i="13" s="1"/>
  <c r="G743" i="13"/>
  <c r="H743" i="13" s="1"/>
  <c r="G1107" i="13"/>
  <c r="G625" i="13"/>
  <c r="G67" i="13"/>
  <c r="G68" i="13"/>
  <c r="H68" i="13" s="1"/>
  <c r="G234" i="13"/>
  <c r="G235" i="13"/>
  <c r="G1029" i="13"/>
  <c r="D2" i="35"/>
  <c r="G1172" i="13"/>
  <c r="G782" i="13"/>
  <c r="G1036" i="13"/>
  <c r="H1036" i="13" s="1"/>
  <c r="G891" i="13"/>
  <c r="G27" i="13"/>
  <c r="G37" i="13"/>
  <c r="G668" i="13"/>
  <c r="G428" i="13"/>
  <c r="G961" i="13"/>
  <c r="G453" i="13"/>
  <c r="G683" i="13"/>
  <c r="G427" i="13"/>
  <c r="H427" i="13" s="1"/>
  <c r="G460" i="13"/>
  <c r="H460" i="13" s="1"/>
  <c r="G959" i="13"/>
  <c r="G883" i="13"/>
  <c r="G957" i="13"/>
  <c r="G448" i="13"/>
  <c r="G562" i="13"/>
  <c r="H562" i="13" s="1"/>
  <c r="D36" i="27"/>
  <c r="G939" i="13"/>
  <c r="G781" i="13"/>
  <c r="G1227" i="13"/>
  <c r="H1227" i="13" s="1"/>
  <c r="G1123" i="13"/>
  <c r="G393" i="13"/>
  <c r="D2" i="29"/>
  <c r="Y7" i="34"/>
  <c r="D46" i="19"/>
  <c r="D4" i="34"/>
  <c r="G521" i="13"/>
  <c r="G350" i="13"/>
  <c r="H350" i="13" s="1"/>
  <c r="I350" i="13" s="1"/>
  <c r="G1073" i="13"/>
  <c r="G1137" i="13"/>
  <c r="G900" i="13"/>
  <c r="G693" i="13"/>
  <c r="X7" i="34"/>
  <c r="G915" i="13"/>
  <c r="H915" i="13" s="1"/>
  <c r="I915" i="13" s="1"/>
  <c r="G220" i="13"/>
  <c r="G1078" i="13"/>
  <c r="H1078" i="13" s="1"/>
  <c r="I1078" i="13" s="1"/>
  <c r="D44" i="19"/>
  <c r="G978" i="13"/>
  <c r="G972" i="13"/>
  <c r="G825" i="13"/>
  <c r="G821" i="13"/>
  <c r="G558" i="13"/>
  <c r="H558" i="13" s="1"/>
  <c r="D3" i="33"/>
  <c r="D2" i="37"/>
  <c r="G1199" i="13"/>
  <c r="G979" i="13"/>
  <c r="H979" i="13" s="1"/>
  <c r="I979" i="13" s="1"/>
  <c r="G531" i="13"/>
  <c r="D2" i="36"/>
  <c r="D6" i="28"/>
  <c r="G893" i="13"/>
  <c r="G1235" i="13"/>
  <c r="H1235" i="13" s="1"/>
  <c r="I1235" i="13" s="1"/>
  <c r="G714" i="13"/>
  <c r="G1098" i="13"/>
  <c r="G1133" i="13"/>
  <c r="G852" i="13"/>
  <c r="G675" i="13"/>
  <c r="G106" i="13"/>
  <c r="G121" i="13"/>
  <c r="G377" i="13"/>
  <c r="H377" i="13" s="1"/>
  <c r="D41" i="19"/>
  <c r="G560" i="13"/>
  <c r="G1166" i="13"/>
  <c r="G816" i="13"/>
  <c r="G245" i="13"/>
  <c r="G252" i="13"/>
  <c r="H252" i="13" s="1"/>
  <c r="G588" i="13"/>
  <c r="G19" i="13"/>
  <c r="G21" i="13"/>
  <c r="G826" i="13"/>
  <c r="G1208" i="13"/>
  <c r="G115" i="13"/>
  <c r="G987" i="13"/>
  <c r="G890" i="13"/>
  <c r="D2" i="34"/>
  <c r="D8" i="28"/>
  <c r="G790" i="13"/>
  <c r="G747" i="13"/>
  <c r="G1097" i="13"/>
  <c r="G830" i="13"/>
  <c r="G943" i="13"/>
  <c r="G1017" i="13"/>
  <c r="G125" i="13"/>
  <c r="G167" i="13"/>
  <c r="G1234" i="13"/>
  <c r="H1234" i="13" s="1"/>
  <c r="I1234" i="13" s="1"/>
  <c r="G1198" i="13"/>
  <c r="G446" i="13"/>
  <c r="G1002" i="13"/>
  <c r="H1002" i="13" s="1"/>
  <c r="G876" i="13"/>
  <c r="H876" i="13" s="1"/>
  <c r="G160" i="13"/>
  <c r="G1165" i="13"/>
  <c r="G921" i="13"/>
  <c r="H921" i="13" s="1"/>
  <c r="G337" i="13"/>
  <c r="G1061" i="13"/>
  <c r="G176" i="13"/>
  <c r="G1194" i="13"/>
  <c r="G903" i="13"/>
  <c r="D49" i="15"/>
  <c r="D45" i="19"/>
  <c r="G897" i="13"/>
  <c r="G773" i="13"/>
  <c r="G940" i="13"/>
  <c r="G1170" i="13"/>
  <c r="G1006" i="13"/>
  <c r="H1006" i="13" s="1"/>
  <c r="I1006" i="13" s="1"/>
  <c r="G1101" i="13"/>
  <c r="G1112" i="13"/>
  <c r="G417" i="13"/>
  <c r="D4" i="35"/>
  <c r="G713" i="13"/>
  <c r="H713" i="13" s="1"/>
  <c r="I713" i="13" s="1"/>
  <c r="G1205" i="13"/>
  <c r="D4" i="33"/>
  <c r="G1127" i="13"/>
  <c r="G480" i="13"/>
  <c r="H480" i="13" s="1"/>
  <c r="I480" i="13" s="1"/>
  <c r="D9" i="37"/>
  <c r="D4" i="28"/>
  <c r="X56" i="15"/>
  <c r="G695" i="13"/>
  <c r="G559" i="13"/>
  <c r="H559" i="13" s="1"/>
  <c r="I559" i="13" s="1"/>
  <c r="G212" i="13"/>
  <c r="G213" i="13"/>
  <c r="G1242" i="13"/>
  <c r="H1242" i="13" s="1"/>
  <c r="G955" i="13"/>
  <c r="G640" i="13"/>
  <c r="G151" i="13"/>
  <c r="G157" i="13"/>
  <c r="G753" i="13"/>
  <c r="G501" i="13"/>
  <c r="G1066" i="13"/>
  <c r="H1066" i="13" s="1"/>
  <c r="G877" i="13"/>
  <c r="H877" i="13" s="1"/>
  <c r="I877" i="13" s="1"/>
  <c r="G787" i="13"/>
  <c r="G958" i="13"/>
  <c r="G628" i="13"/>
  <c r="H628" i="13" s="1"/>
  <c r="G1034" i="13"/>
  <c r="H1034" i="13" s="1"/>
  <c r="I1034" i="13" s="1"/>
  <c r="G741" i="13"/>
  <c r="H741" i="13" s="1"/>
  <c r="G786" i="13"/>
  <c r="G458" i="13"/>
  <c r="H458" i="13" s="1"/>
  <c r="G368" i="13"/>
  <c r="G444" i="13"/>
  <c r="G868" i="13"/>
  <c r="H868" i="13" s="1"/>
  <c r="G1168" i="13"/>
  <c r="G829" i="13"/>
  <c r="H829" i="13" s="1"/>
  <c r="G316" i="13"/>
  <c r="H316" i="13" s="1"/>
  <c r="G918" i="13"/>
  <c r="H918" i="13" s="1"/>
  <c r="G650" i="13"/>
  <c r="H650" i="13" s="1"/>
  <c r="I650" i="13" s="1"/>
  <c r="G1238" i="13"/>
  <c r="G881" i="13"/>
  <c r="G795" i="13"/>
  <c r="G1203" i="13"/>
  <c r="G1088" i="13"/>
  <c r="G1065" i="13"/>
  <c r="H1065" i="13" s="1"/>
  <c r="I1065" i="13" s="1"/>
  <c r="G389" i="13"/>
  <c r="G399" i="13"/>
  <c r="G330" i="13"/>
  <c r="D2" i="33"/>
  <c r="G607" i="13"/>
  <c r="G977" i="13"/>
  <c r="H977" i="13" s="1"/>
  <c r="I977" i="13" s="1"/>
  <c r="G667" i="13"/>
  <c r="G685" i="13"/>
  <c r="G1179" i="13"/>
  <c r="G566" i="13"/>
  <c r="H566" i="13" s="1"/>
  <c r="I566" i="13" s="1"/>
  <c r="G592" i="13"/>
  <c r="G616" i="13"/>
  <c r="G169" i="13"/>
  <c r="G189" i="13"/>
  <c r="G191" i="13"/>
  <c r="G920" i="13"/>
  <c r="G765" i="13"/>
  <c r="G1129" i="13"/>
  <c r="G1075" i="13"/>
  <c r="H1075" i="13" s="1"/>
  <c r="I1075" i="13" s="1"/>
  <c r="G824" i="13"/>
  <c r="H824" i="13" s="1"/>
  <c r="I824" i="13" s="1"/>
  <c r="G1135" i="13"/>
  <c r="G814" i="13"/>
  <c r="H814" i="13" s="1"/>
  <c r="G916" i="13"/>
  <c r="G866" i="13"/>
  <c r="G437" i="13"/>
  <c r="G438" i="13"/>
  <c r="G594" i="13"/>
  <c r="G1195" i="13"/>
  <c r="D38" i="19"/>
  <c r="D3" i="28"/>
  <c r="D6" i="35"/>
  <c r="D31" i="18"/>
  <c r="G400" i="13"/>
  <c r="G408" i="13"/>
  <c r="G1067" i="13"/>
  <c r="D5" i="28"/>
  <c r="D4" i="17"/>
  <c r="G1018" i="13"/>
  <c r="G1049" i="13"/>
  <c r="D34" i="31"/>
  <c r="G1197" i="13"/>
  <c r="G571" i="13"/>
  <c r="G565" i="13"/>
  <c r="H565" i="13" s="1"/>
  <c r="I565" i="13" s="1"/>
  <c r="G603" i="13"/>
  <c r="G854" i="13"/>
  <c r="G960" i="13"/>
  <c r="G1228" i="13"/>
  <c r="G1163" i="13"/>
  <c r="G557" i="13"/>
  <c r="H557" i="13" s="1"/>
  <c r="G1269" i="13"/>
  <c r="G1270" i="13"/>
  <c r="H1270" i="13" s="1"/>
  <c r="G507" i="13"/>
  <c r="G1060" i="13"/>
  <c r="G769" i="13"/>
  <c r="D3" i="34"/>
  <c r="Y7" i="35"/>
  <c r="G514" i="13"/>
  <c r="G988" i="13"/>
  <c r="H988" i="13" s="1"/>
  <c r="I988" i="13" s="1"/>
  <c r="G697" i="13"/>
  <c r="G1131" i="13"/>
  <c r="G9" i="13"/>
  <c r="G13" i="13"/>
  <c r="G716" i="13"/>
  <c r="H716" i="13" s="1"/>
  <c r="D7" i="37"/>
  <c r="G909" i="13"/>
  <c r="G1000" i="13"/>
  <c r="D37" i="27"/>
  <c r="X9" i="35"/>
  <c r="G1132" i="13"/>
  <c r="G1188" i="13"/>
  <c r="D7" i="35"/>
  <c r="G319" i="13"/>
  <c r="H319" i="13" s="1"/>
  <c r="X7" i="35"/>
  <c r="G365" i="13"/>
  <c r="G366" i="13"/>
  <c r="H366" i="13" s="1"/>
  <c r="G1209" i="13"/>
  <c r="G952" i="13"/>
  <c r="G983" i="13"/>
  <c r="H983" i="13" s="1"/>
  <c r="I983" i="13" s="1"/>
  <c r="G587" i="13"/>
  <c r="D2" i="28"/>
  <c r="G768" i="13"/>
  <c r="G586" i="13"/>
  <c r="G614" i="13"/>
  <c r="G41" i="13"/>
  <c r="G46" i="13"/>
  <c r="G617" i="13"/>
  <c r="G772" i="13"/>
  <c r="G945" i="13"/>
  <c r="Y9" i="35"/>
  <c r="G975" i="13"/>
  <c r="G1024" i="13"/>
  <c r="D38" i="31"/>
  <c r="Y56" i="15"/>
  <c r="G906" i="13"/>
  <c r="G992" i="13"/>
  <c r="H992" i="13" s="1"/>
  <c r="D37" i="31"/>
  <c r="D3" i="37"/>
  <c r="D55" i="15"/>
  <c r="G112" i="13"/>
  <c r="G547" i="13"/>
  <c r="H547" i="13" s="1"/>
  <c r="I547" i="13" s="1"/>
  <c r="G942" i="13"/>
  <c r="G1185" i="13"/>
  <c r="G953" i="13"/>
  <c r="G1003" i="13"/>
  <c r="H1003" i="13" s="1"/>
  <c r="G946" i="13"/>
  <c r="G666" i="13"/>
  <c r="G669" i="13"/>
  <c r="G888" i="13"/>
  <c r="D3" i="38"/>
  <c r="Y7" i="37"/>
  <c r="D5" i="35"/>
  <c r="G853" i="13"/>
  <c r="H853" i="13" s="1"/>
  <c r="G1160" i="13"/>
  <c r="G1176" i="13"/>
  <c r="G1011" i="13"/>
  <c r="G691" i="13"/>
  <c r="G1048" i="13"/>
  <c r="G968" i="13"/>
  <c r="G164" i="13"/>
  <c r="H164" i="13" s="1"/>
  <c r="G1041" i="13"/>
  <c r="H1041" i="13" s="1"/>
  <c r="G729" i="13"/>
  <c r="G864" i="13"/>
  <c r="H864" i="13" s="1"/>
  <c r="G1058" i="13"/>
  <c r="H1058" i="13" s="1"/>
  <c r="G1009" i="13"/>
  <c r="G956" i="13"/>
  <c r="G463" i="13"/>
  <c r="G548" i="13"/>
  <c r="H548" i="13" s="1"/>
  <c r="G812" i="13"/>
  <c r="H812" i="13" s="1"/>
  <c r="G462" i="13"/>
  <c r="G469" i="13"/>
  <c r="G966" i="13"/>
  <c r="G1047" i="13"/>
  <c r="G1202" i="13"/>
  <c r="G774" i="13"/>
  <c r="D9" i="35"/>
  <c r="G938" i="13"/>
  <c r="G806" i="13"/>
  <c r="H806" i="13" s="1"/>
  <c r="I806" i="13" s="1"/>
  <c r="G728" i="13"/>
  <c r="H728" i="13" s="1"/>
  <c r="I728" i="13" s="1"/>
  <c r="G1206" i="13"/>
  <c r="G999" i="13"/>
  <c r="H999" i="13" s="1"/>
  <c r="G911" i="13"/>
  <c r="G855" i="13"/>
  <c r="G808" i="13"/>
  <c r="H808" i="13" s="1"/>
  <c r="G506" i="13"/>
  <c r="D6" i="37"/>
  <c r="G1076" i="13"/>
  <c r="G993" i="13"/>
  <c r="H993" i="13" s="1"/>
  <c r="I993" i="13" s="1"/>
  <c r="G971" i="13"/>
  <c r="G132" i="13"/>
  <c r="H132" i="13" s="1"/>
  <c r="G542" i="13"/>
  <c r="H542" i="13" s="1"/>
  <c r="I542" i="13" s="1"/>
  <c r="G737" i="13"/>
  <c r="G549" i="13"/>
  <c r="H549" i="13" s="1"/>
  <c r="G651" i="13"/>
  <c r="H651" i="13" s="1"/>
  <c r="G980" i="13"/>
  <c r="H980" i="13" s="1"/>
  <c r="I980" i="13" s="1"/>
  <c r="G545" i="13"/>
  <c r="H545" i="13" s="1"/>
  <c r="G832" i="13"/>
  <c r="D53" i="15"/>
  <c r="G908" i="13"/>
  <c r="D43" i="19"/>
  <c r="D5" i="34"/>
  <c r="D56" i="15"/>
  <c r="Y5" i="35"/>
  <c r="D8" i="35"/>
  <c r="X38" i="27"/>
  <c r="D52" i="15"/>
  <c r="G1005" i="13"/>
  <c r="H1005" i="13" s="1"/>
  <c r="G5" i="13"/>
  <c r="G1008" i="13"/>
  <c r="G684" i="13"/>
  <c r="G1130" i="13"/>
  <c r="X7" i="37"/>
  <c r="D4" i="37"/>
  <c r="G283" i="13"/>
  <c r="G286" i="13"/>
  <c r="Y8" i="34"/>
  <c r="G1087" i="13"/>
  <c r="X3" i="37"/>
  <c r="D10" i="33"/>
  <c r="D6" i="38"/>
  <c r="G721" i="13"/>
  <c r="H721" i="13" s="1"/>
  <c r="I721" i="13" s="1"/>
  <c r="D3" i="17"/>
  <c r="Y4" i="37"/>
  <c r="X7" i="36"/>
  <c r="X5" i="34"/>
  <c r="D32" i="18"/>
  <c r="G411" i="13"/>
  <c r="G420" i="13"/>
  <c r="G184" i="13"/>
  <c r="G187" i="13"/>
  <c r="H187" i="13" s="1"/>
  <c r="I187" i="13" s="1"/>
  <c r="G754" i="13"/>
  <c r="H754" i="13" s="1"/>
  <c r="I754" i="13" s="1"/>
  <c r="G105" i="13"/>
  <c r="G107" i="13"/>
  <c r="G1077" i="13"/>
  <c r="G810" i="13"/>
  <c r="G515" i="13"/>
  <c r="G913" i="13"/>
  <c r="H913" i="13" s="1"/>
  <c r="I913" i="13" s="1"/>
  <c r="G1051" i="13"/>
  <c r="G1180" i="13"/>
  <c r="G1233" i="13"/>
  <c r="H1233" i="13" s="1"/>
  <c r="G1053" i="13"/>
  <c r="G703" i="13"/>
  <c r="H703" i="13" s="1"/>
  <c r="I703" i="13" s="1"/>
  <c r="G435" i="13"/>
  <c r="G516" i="13"/>
  <c r="G644" i="13"/>
  <c r="H644" i="13" s="1"/>
  <c r="I644" i="13" s="1"/>
  <c r="D5" i="33"/>
  <c r="D9" i="33"/>
  <c r="G1043" i="13"/>
  <c r="G354" i="13"/>
  <c r="G360" i="13"/>
  <c r="G1192" i="13"/>
  <c r="G967" i="13"/>
  <c r="D7" i="34"/>
  <c r="G1207" i="13"/>
  <c r="G1013" i="13"/>
  <c r="D9" i="34"/>
  <c r="D8" i="33"/>
  <c r="D6" i="36"/>
  <c r="Y6" i="34"/>
  <c r="G325" i="13"/>
  <c r="H325" i="13" s="1"/>
  <c r="G730" i="13"/>
  <c r="G717" i="13"/>
  <c r="H717" i="13" s="1"/>
  <c r="I717" i="13" s="1"/>
  <c r="G801" i="13"/>
  <c r="G802" i="13"/>
  <c r="X8" i="34"/>
  <c r="D7" i="36"/>
  <c r="G425" i="13"/>
  <c r="H425" i="13" s="1"/>
  <c r="G874" i="13"/>
  <c r="H874" i="13" s="1"/>
  <c r="G857" i="13"/>
  <c r="H857" i="13" s="1"/>
  <c r="G775" i="13"/>
  <c r="G950" i="13"/>
  <c r="G962" i="13"/>
  <c r="D58" i="15"/>
  <c r="G1154" i="13"/>
  <c r="H1154" i="13" s="1"/>
  <c r="I1154" i="13" s="1"/>
  <c r="G849" i="13"/>
  <c r="D38" i="27"/>
  <c r="G629" i="13"/>
  <c r="H629" i="13" s="1"/>
  <c r="G635" i="13"/>
  <c r="G763" i="13"/>
  <c r="H763" i="13" s="1"/>
  <c r="D4" i="36"/>
  <c r="G901" i="13"/>
  <c r="G613" i="13"/>
  <c r="G618" i="13"/>
  <c r="G986" i="13"/>
  <c r="H986" i="13" s="1"/>
  <c r="G990" i="13"/>
  <c r="H990" i="13" s="1"/>
  <c r="G1012" i="13"/>
  <c r="X37" i="31"/>
  <c r="G1141" i="13"/>
  <c r="H1141" i="13" s="1"/>
  <c r="I1141" i="13" s="1"/>
  <c r="D8" i="37"/>
  <c r="D7" i="33"/>
  <c r="G1232" i="13"/>
  <c r="D6" i="33"/>
  <c r="G450" i="13"/>
  <c r="G451" i="13"/>
  <c r="G1164" i="13"/>
  <c r="D6" i="34"/>
  <c r="G725" i="13"/>
  <c r="H725" i="13" s="1"/>
  <c r="G511" i="13"/>
  <c r="X6" i="34"/>
  <c r="D54" i="15"/>
  <c r="Y7" i="28"/>
  <c r="G1068" i="13"/>
  <c r="H1068" i="13" s="1"/>
  <c r="G722" i="13"/>
  <c r="G1044" i="13"/>
  <c r="H1044" i="13" s="1"/>
  <c r="Y2" i="35"/>
  <c r="G856" i="13"/>
  <c r="H856" i="13" s="1"/>
  <c r="Y3" i="37"/>
  <c r="D57" i="15"/>
  <c r="X6" i="35"/>
  <c r="Y8" i="35"/>
  <c r="Y5" i="34"/>
  <c r="X7" i="28"/>
  <c r="G1025" i="13"/>
  <c r="Y7" i="36"/>
  <c r="D8" i="36"/>
  <c r="X4" i="35"/>
  <c r="G493" i="13"/>
  <c r="G718" i="13"/>
  <c r="H718" i="13" s="1"/>
  <c r="G612" i="13"/>
  <c r="G1181" i="13"/>
  <c r="Y37" i="31"/>
  <c r="X6" i="37"/>
  <c r="G705" i="13"/>
  <c r="G712" i="13"/>
  <c r="G715" i="13"/>
  <c r="G761" i="13"/>
  <c r="H761" i="13" s="1"/>
  <c r="X4" i="37"/>
  <c r="G702" i="13"/>
  <c r="H702" i="13" s="1"/>
  <c r="G343" i="13"/>
  <c r="X2" i="35"/>
  <c r="Y4" i="34"/>
  <c r="G585" i="13"/>
  <c r="Y38" i="27"/>
  <c r="G483" i="13"/>
  <c r="H483" i="13" s="1"/>
  <c r="I483" i="13" s="1"/>
  <c r="G879" i="13"/>
  <c r="G1052" i="13"/>
  <c r="G1004" i="13"/>
  <c r="H1004" i="13" s="1"/>
  <c r="G491" i="13"/>
  <c r="G492" i="13"/>
  <c r="G700" i="13"/>
  <c r="G701" i="13"/>
  <c r="H701" i="13" s="1"/>
  <c r="I701" i="13" s="1"/>
  <c r="G1086" i="13"/>
  <c r="G858" i="13"/>
  <c r="G1124" i="13"/>
  <c r="G1193" i="13"/>
  <c r="G131" i="13"/>
  <c r="H131" i="13" s="1"/>
  <c r="I131" i="13" s="1"/>
  <c r="X8" i="35"/>
  <c r="Y38" i="31"/>
  <c r="D7" i="28"/>
  <c r="G140" i="13"/>
  <c r="G145" i="13"/>
  <c r="G738" i="13"/>
  <c r="G780" i="13"/>
  <c r="G1200" i="13"/>
  <c r="G817" i="13"/>
  <c r="H817" i="13" s="1"/>
  <c r="X5" i="35"/>
  <c r="G690" i="13"/>
  <c r="G694" i="13"/>
  <c r="G1007" i="13"/>
  <c r="G1014" i="13"/>
  <c r="G479" i="13"/>
  <c r="G878" i="13"/>
  <c r="G895" i="13"/>
  <c r="G1037" i="13"/>
  <c r="H1037" i="13" s="1"/>
  <c r="I1037" i="13" s="1"/>
  <c r="G598" i="13"/>
  <c r="G937" i="13"/>
  <c r="G944" i="13"/>
  <c r="G1089" i="13"/>
  <c r="G1022" i="13"/>
  <c r="G474" i="13"/>
  <c r="H474" i="13" s="1"/>
  <c r="I474" i="13" s="1"/>
  <c r="D3" i="35"/>
  <c r="G1230" i="13"/>
  <c r="G984" i="13"/>
  <c r="G609" i="13"/>
  <c r="G912" i="13"/>
  <c r="H912" i="13" s="1"/>
  <c r="G917" i="13"/>
  <c r="H917" i="13" s="1"/>
  <c r="D29" i="18"/>
  <c r="Y37" i="27"/>
  <c r="G1178" i="13"/>
  <c r="G1201" i="13"/>
  <c r="G970" i="13"/>
  <c r="G777" i="13"/>
  <c r="G778" i="13"/>
  <c r="G736" i="13"/>
  <c r="G742" i="13"/>
  <c r="H742" i="13" s="1"/>
  <c r="G610" i="13"/>
  <c r="G1027" i="13"/>
  <c r="G1056" i="13"/>
  <c r="G1069" i="13"/>
  <c r="G162" i="13"/>
  <c r="G163" i="13"/>
  <c r="G175" i="13"/>
  <c r="G183" i="13"/>
  <c r="G686" i="13"/>
  <c r="G113" i="13"/>
  <c r="D42" i="19"/>
  <c r="G982" i="13"/>
  <c r="H982" i="13" s="1"/>
  <c r="G898" i="13"/>
  <c r="G1226" i="13"/>
  <c r="H1226" i="13" s="1"/>
  <c r="G1241" i="13"/>
  <c r="G1023" i="13"/>
  <c r="G1032" i="13"/>
  <c r="G529" i="13"/>
  <c r="H529" i="13" s="1"/>
  <c r="G764" i="13"/>
  <c r="X38" i="31"/>
  <c r="G525" i="13"/>
  <c r="G534" i="13"/>
  <c r="G976" i="13"/>
  <c r="G981" i="13"/>
  <c r="G1187" i="13"/>
  <c r="G1204" i="13"/>
  <c r="Y10" i="35"/>
  <c r="D8" i="34"/>
  <c r="G678" i="13"/>
  <c r="G688" i="13"/>
  <c r="G1054" i="13"/>
  <c r="G788" i="13"/>
  <c r="X4" i="34"/>
  <c r="G896" i="13"/>
  <c r="G1085" i="13"/>
  <c r="G726" i="13"/>
  <c r="Y6" i="35"/>
  <c r="X3" i="34"/>
  <c r="G505" i="13"/>
  <c r="X37" i="27"/>
  <c r="D10" i="35"/>
  <c r="G1083" i="13"/>
  <c r="G1084" i="13"/>
  <c r="G124" i="13"/>
  <c r="G134" i="13"/>
  <c r="H134" i="13" s="1"/>
  <c r="I134" i="13" s="1"/>
  <c r="G1155" i="13"/>
  <c r="G1161" i="13"/>
  <c r="G552" i="13"/>
  <c r="Y4" i="35"/>
  <c r="G820" i="13"/>
  <c r="H820" i="13" s="1"/>
  <c r="I820" i="13" s="1"/>
  <c r="G314" i="13"/>
  <c r="G323" i="13"/>
  <c r="G965" i="13"/>
  <c r="G969" i="13"/>
  <c r="G1173" i="13"/>
  <c r="G1182" i="13"/>
  <c r="G642" i="13"/>
  <c r="G649" i="13"/>
  <c r="G1020" i="13"/>
  <c r="G1031" i="13"/>
  <c r="G848" i="13"/>
  <c r="G859" i="13"/>
  <c r="G1033" i="13"/>
  <c r="G1045" i="13"/>
  <c r="H1045" i="13" s="1"/>
  <c r="I1045" i="13" s="1"/>
  <c r="G423" i="13"/>
  <c r="G430" i="13"/>
  <c r="H430" i="13" s="1"/>
  <c r="G595" i="13"/>
  <c r="G606" i="13"/>
  <c r="G998" i="13"/>
  <c r="Y6" i="37"/>
  <c r="G1081" i="13"/>
  <c r="H1081" i="13" s="1"/>
  <c r="G752" i="13"/>
  <c r="G759" i="13"/>
  <c r="G815" i="13"/>
  <c r="H815" i="13" s="1"/>
  <c r="G198" i="13"/>
  <c r="G201" i="13"/>
  <c r="H201" i="13" s="1"/>
  <c r="G1122" i="13"/>
  <c r="G1128" i="13"/>
  <c r="G564" i="13"/>
  <c r="G569" i="13"/>
  <c r="G811" i="13"/>
  <c r="H811" i="13" s="1"/>
  <c r="G831" i="13"/>
  <c r="H831" i="13" s="1"/>
  <c r="G867" i="13"/>
  <c r="G872" i="13"/>
  <c r="H872" i="13" s="1"/>
  <c r="G1046" i="13"/>
  <c r="X10" i="35"/>
  <c r="G539" i="13"/>
  <c r="Y3" i="34"/>
  <c r="G1072" i="13"/>
  <c r="H1173" i="13" l="1"/>
  <c r="H1124" i="13"/>
  <c r="H106" i="13"/>
  <c r="H302" i="13"/>
  <c r="I302" i="13" s="1"/>
  <c r="H238" i="13"/>
  <c r="I238" i="13" s="1"/>
  <c r="H418" i="13"/>
  <c r="I418" i="13" s="1"/>
  <c r="H597" i="13"/>
  <c r="I597" i="13" s="1"/>
  <c r="H905" i="13"/>
  <c r="H222" i="13"/>
  <c r="I222" i="13" s="1"/>
  <c r="H1090" i="13"/>
  <c r="I1090" i="13" s="1"/>
  <c r="H83" i="13"/>
  <c r="H25" i="13"/>
  <c r="H219" i="13"/>
  <c r="H217" i="13"/>
  <c r="I217" i="13" s="1"/>
  <c r="H1116" i="13"/>
  <c r="H888" i="13"/>
  <c r="I888" i="13" s="1"/>
  <c r="H955" i="13"/>
  <c r="I955" i="13" s="1"/>
  <c r="H612" i="13"/>
  <c r="I612" i="13" s="1"/>
  <c r="H684" i="13"/>
  <c r="I684" i="13" s="1"/>
  <c r="H966" i="13"/>
  <c r="I966" i="13" s="1"/>
  <c r="H1011" i="13"/>
  <c r="H112" i="13"/>
  <c r="H697" i="13"/>
  <c r="I697" i="13" s="1"/>
  <c r="H592" i="13"/>
  <c r="H1101" i="13"/>
  <c r="H245" i="13"/>
  <c r="I245" i="13" s="1"/>
  <c r="H1177" i="13"/>
  <c r="H1171" i="13"/>
  <c r="H1186" i="13"/>
  <c r="H1190" i="13"/>
  <c r="I1190" i="13" s="1"/>
  <c r="H963" i="13"/>
  <c r="I963" i="13" s="1"/>
  <c r="H396" i="13"/>
  <c r="I396" i="13" s="1"/>
  <c r="H390" i="13"/>
  <c r="H413" i="13"/>
  <c r="H692" i="13"/>
  <c r="H447" i="13"/>
  <c r="I447" i="13" s="1"/>
  <c r="H512" i="13"/>
  <c r="H698" i="13"/>
  <c r="H310" i="13"/>
  <c r="H1120" i="13"/>
  <c r="H144" i="13"/>
  <c r="I144" i="13" s="1"/>
  <c r="H215" i="13"/>
  <c r="I215" i="13" s="1"/>
  <c r="H1110" i="13"/>
  <c r="H171" i="13"/>
  <c r="H1161" i="13"/>
  <c r="H1052" i="13"/>
  <c r="I1052" i="13" s="1"/>
  <c r="H1192" i="13"/>
  <c r="I1192" i="13" s="1"/>
  <c r="H1007" i="13"/>
  <c r="I1007" i="13" s="1"/>
  <c r="H1046" i="13"/>
  <c r="I1046" i="13" s="1"/>
  <c r="H962" i="13"/>
  <c r="H1194" i="13"/>
  <c r="I1194" i="13" s="1"/>
  <c r="H77" i="13"/>
  <c r="H899" i="13"/>
  <c r="I899" i="13" s="1"/>
  <c r="H590" i="13"/>
  <c r="H508" i="13"/>
  <c r="H1105" i="13"/>
  <c r="I1105" i="13" s="1"/>
  <c r="H889" i="13"/>
  <c r="H440" i="13"/>
  <c r="H216" i="13"/>
  <c r="I216" i="13" s="1"/>
  <c r="H771" i="13"/>
  <c r="H1130" i="13"/>
  <c r="I1130" i="13" s="1"/>
  <c r="H1009" i="13"/>
  <c r="H444" i="13"/>
  <c r="H1128" i="13"/>
  <c r="H901" i="13"/>
  <c r="I901" i="13" s="1"/>
  <c r="H1122" i="13"/>
  <c r="I1122" i="13" s="1"/>
  <c r="H609" i="13"/>
  <c r="H140" i="13"/>
  <c r="I140" i="13" s="1"/>
  <c r="H107" i="13"/>
  <c r="I107" i="13" s="1"/>
  <c r="H1008" i="13"/>
  <c r="H586" i="13"/>
  <c r="H1129" i="13"/>
  <c r="H399" i="13"/>
  <c r="H1127" i="13"/>
  <c r="H115" i="13"/>
  <c r="H1172" i="13"/>
  <c r="I1172" i="13" s="1"/>
  <c r="H414" i="13"/>
  <c r="I414" i="13" s="1"/>
  <c r="H1092" i="13"/>
  <c r="H1019" i="13"/>
  <c r="H886" i="13"/>
  <c r="I886" i="13" s="1"/>
  <c r="H606" i="13"/>
  <c r="H124" i="13"/>
  <c r="H598" i="13"/>
  <c r="I598" i="13" s="1"/>
  <c r="H506" i="13"/>
  <c r="H1160" i="13"/>
  <c r="I1160" i="13" s="1"/>
  <c r="H768" i="13"/>
  <c r="I768" i="13" s="1"/>
  <c r="H514" i="13"/>
  <c r="H1197" i="13"/>
  <c r="I1197" i="13" s="1"/>
  <c r="H765" i="13"/>
  <c r="H1170" i="13"/>
  <c r="H446" i="13"/>
  <c r="H1166" i="13"/>
  <c r="I1166" i="13" s="1"/>
  <c r="H1133" i="13"/>
  <c r="I1133" i="13" s="1"/>
  <c r="H1126" i="13"/>
  <c r="H964" i="13"/>
  <c r="I964" i="13" s="1"/>
  <c r="H884" i="13"/>
  <c r="I884" i="13" s="1"/>
  <c r="H1108" i="13"/>
  <c r="I1108" i="13" s="1"/>
  <c r="H391" i="13"/>
  <c r="I391" i="13" s="1"/>
  <c r="H1094" i="13"/>
  <c r="I1094" i="13" s="1"/>
  <c r="H880" i="13"/>
  <c r="I880" i="13" s="1"/>
  <c r="H1102" i="13"/>
  <c r="I1102" i="13" s="1"/>
  <c r="H696" i="13"/>
  <c r="H785" i="13"/>
  <c r="H197" i="13"/>
  <c r="I197" i="13" s="1"/>
  <c r="H910" i="13"/>
  <c r="H422" i="13"/>
  <c r="I422" i="13" s="1"/>
  <c r="H118" i="13"/>
  <c r="H173" i="13"/>
  <c r="I173" i="13" s="1"/>
  <c r="H1014" i="13"/>
  <c r="H1209" i="13"/>
  <c r="H1112" i="13"/>
  <c r="I1112" i="13" s="1"/>
  <c r="H969" i="13"/>
  <c r="I969" i="13" s="1"/>
  <c r="J969" i="13" s="1" a="1"/>
  <c r="J969" i="13" s="1"/>
  <c r="H879" i="13"/>
  <c r="H1025" i="13"/>
  <c r="I1025" i="13" s="1"/>
  <c r="H1086" i="13"/>
  <c r="I1086" i="13" s="1"/>
  <c r="H1053" i="13"/>
  <c r="H408" i="13"/>
  <c r="I408" i="13" s="1"/>
  <c r="H213" i="13"/>
  <c r="I213" i="13" s="1"/>
  <c r="H1107" i="13"/>
  <c r="I1107" i="13" s="1"/>
  <c r="H1096" i="13"/>
  <c r="H1031" i="13"/>
  <c r="I1031" i="13" s="1"/>
  <c r="H1020" i="13"/>
  <c r="I1020" i="13" s="1"/>
  <c r="H1084" i="13"/>
  <c r="H1201" i="13"/>
  <c r="H1012" i="13"/>
  <c r="I1012" i="13" s="1"/>
  <c r="H1013" i="13"/>
  <c r="H938" i="13"/>
  <c r="I938" i="13" s="1"/>
  <c r="H945" i="13"/>
  <c r="H940" i="13"/>
  <c r="I940" i="13" s="1"/>
  <c r="H1198" i="13"/>
  <c r="I1198" i="13" s="1"/>
  <c r="H883" i="13"/>
  <c r="H1029" i="13"/>
  <c r="I1029" i="13" s="1"/>
  <c r="H599" i="13"/>
  <c r="I599" i="13" s="1"/>
  <c r="H172" i="13"/>
  <c r="I172" i="13" s="1"/>
  <c r="H441" i="13"/>
  <c r="I441" i="13" s="1"/>
  <c r="H1136" i="13"/>
  <c r="I1136" i="13" s="1"/>
  <c r="H602" i="13"/>
  <c r="I602" i="13" s="1"/>
  <c r="H406" i="13"/>
  <c r="I406" i="13" s="1"/>
  <c r="H307" i="13"/>
  <c r="I307" i="13" s="1"/>
  <c r="H149" i="13"/>
  <c r="I149" i="13" s="1"/>
  <c r="H1117" i="13"/>
  <c r="I1117" i="13" s="1"/>
  <c r="H398" i="13"/>
  <c r="I398" i="13" s="1"/>
  <c r="H175" i="13"/>
  <c r="I175" i="13" s="1"/>
  <c r="H1207" i="13"/>
  <c r="I1207" i="13" s="1"/>
  <c r="H1051" i="13"/>
  <c r="H772" i="13"/>
  <c r="H959" i="13"/>
  <c r="I959" i="13" s="1"/>
  <c r="H111" i="13"/>
  <c r="I111" i="13" s="1"/>
  <c r="J111" i="13" s="1" a="1"/>
  <c r="J111" i="13" s="1"/>
  <c r="H680" i="13"/>
  <c r="H1134" i="13"/>
  <c r="H195" i="13"/>
  <c r="I195" i="13" s="1"/>
  <c r="H904" i="13"/>
  <c r="I904" i="13" s="1"/>
  <c r="H1167" i="13"/>
  <c r="I1167" i="13" s="1"/>
  <c r="H1184" i="13"/>
  <c r="I1184" i="13" s="1"/>
  <c r="H949" i="13"/>
  <c r="H214" i="13"/>
  <c r="I214" i="13" s="1"/>
  <c r="H1010" i="13"/>
  <c r="I1010" i="13" s="1"/>
  <c r="H1050" i="13"/>
  <c r="H410" i="13"/>
  <c r="I410" i="13" s="1"/>
  <c r="H421" i="13"/>
  <c r="H973" i="13"/>
  <c r="I973" i="13" s="1"/>
  <c r="H766" i="13"/>
  <c r="H397" i="13"/>
  <c r="I397" i="13" s="1"/>
  <c r="H510" i="13"/>
  <c r="I510" i="13" s="1"/>
  <c r="H194" i="13"/>
  <c r="H1121" i="13"/>
  <c r="I1121" i="13" s="1"/>
  <c r="H1104" i="13"/>
  <c r="I1104" i="13" s="1"/>
  <c r="H773" i="13"/>
  <c r="H911" i="13"/>
  <c r="H968" i="13"/>
  <c r="I968" i="13" s="1"/>
  <c r="H1185" i="13"/>
  <c r="I1185" i="13" s="1"/>
  <c r="H781" i="13"/>
  <c r="I781" i="13" s="1"/>
  <c r="H1196" i="13"/>
  <c r="H1174" i="13"/>
  <c r="H605" i="13"/>
  <c r="I605" i="13" s="1"/>
  <c r="H303" i="13"/>
  <c r="H611" i="13"/>
  <c r="I611" i="13" s="1"/>
  <c r="H679" i="13"/>
  <c r="I679" i="13" s="1"/>
  <c r="H1091" i="13"/>
  <c r="I1091" i="13" s="1"/>
  <c r="H147" i="13"/>
  <c r="I147" i="13" s="1"/>
  <c r="H174" i="13"/>
  <c r="I174" i="13" s="1"/>
  <c r="H1030" i="13"/>
  <c r="I1030" i="13" s="1"/>
  <c r="H951" i="13"/>
  <c r="I951" i="13" s="1"/>
  <c r="H948" i="13"/>
  <c r="I948" i="13" s="1"/>
  <c r="H3" i="13"/>
  <c r="I3" i="13" s="1"/>
  <c r="H110" i="13"/>
  <c r="H218" i="13"/>
  <c r="I218" i="13" s="1"/>
  <c r="H604" i="13"/>
  <c r="H308" i="13"/>
  <c r="I308" i="13" s="1"/>
  <c r="H20" i="13"/>
  <c r="H1054" i="13"/>
  <c r="I1054" i="13" s="1"/>
  <c r="H1089" i="13"/>
  <c r="I1089" i="13" s="1"/>
  <c r="H1181" i="13"/>
  <c r="H1204" i="13"/>
  <c r="I1204" i="13" s="1"/>
  <c r="H1027" i="13"/>
  <c r="I1027" i="13" s="1"/>
  <c r="H1178" i="13"/>
  <c r="I1178" i="13" s="1"/>
  <c r="H587" i="13"/>
  <c r="H1049" i="13"/>
  <c r="I1049" i="13" s="1"/>
  <c r="H1088" i="13"/>
  <c r="H695" i="13"/>
  <c r="I695" i="13" s="1"/>
  <c r="H1200" i="13"/>
  <c r="H1188" i="13"/>
  <c r="I1188" i="13" s="1"/>
  <c r="H769" i="13"/>
  <c r="I769" i="13" s="1"/>
  <c r="H1018" i="13"/>
  <c r="I1018" i="13" s="1"/>
  <c r="H1168" i="13"/>
  <c r="I1168" i="13" s="1"/>
  <c r="H569" i="13"/>
  <c r="I569" i="13" s="1"/>
  <c r="H1182" i="13"/>
  <c r="I1182" i="13" s="1"/>
  <c r="H780" i="13"/>
  <c r="H515" i="13"/>
  <c r="H1202" i="13"/>
  <c r="I1202" i="13" s="1"/>
  <c r="H956" i="13"/>
  <c r="H1132" i="13"/>
  <c r="I1132" i="13" s="1"/>
  <c r="H1135" i="13"/>
  <c r="H607" i="13"/>
  <c r="H1165" i="13"/>
  <c r="I1165" i="13" s="1"/>
  <c r="H588" i="13"/>
  <c r="I588" i="13" s="1"/>
  <c r="H121" i="13"/>
  <c r="I121" i="13" s="1"/>
  <c r="H893" i="13"/>
  <c r="I893" i="13" s="1"/>
  <c r="H891" i="13"/>
  <c r="I891" i="13" s="1"/>
  <c r="H1093" i="13"/>
  <c r="I1093" i="13" s="1"/>
  <c r="H947" i="13"/>
  <c r="I947" i="13" s="1"/>
  <c r="H699" i="13"/>
  <c r="I699" i="13" s="1"/>
  <c r="H443" i="13"/>
  <c r="I443" i="13" s="1"/>
  <c r="H392" i="13"/>
  <c r="I392" i="13" s="1"/>
  <c r="H10" i="13"/>
  <c r="I10" i="13" s="1"/>
  <c r="I1216" i="13"/>
  <c r="I1053" i="13"/>
  <c r="I982" i="13"/>
  <c r="I698" i="13"/>
  <c r="I529" i="13"/>
  <c r="I537" i="13"/>
  <c r="I257" i="13"/>
  <c r="I1170" i="13"/>
  <c r="I1057" i="13"/>
  <c r="I708" i="13"/>
  <c r="I32" i="13"/>
  <c r="H380" i="13"/>
  <c r="I380" i="13" s="1"/>
  <c r="I673" i="13"/>
  <c r="I524" i="13"/>
  <c r="I1279" i="13"/>
  <c r="I558" i="13"/>
  <c r="I1200" i="13"/>
  <c r="H317" i="13"/>
  <c r="I317" i="13" s="1"/>
  <c r="I20" i="13"/>
  <c r="I706" i="13"/>
  <c r="H116" i="13"/>
  <c r="I116" i="13" s="1"/>
  <c r="I209" i="13"/>
  <c r="H276" i="13"/>
  <c r="I276" i="13" s="1"/>
  <c r="H924" i="13"/>
  <c r="I924" i="13" s="1"/>
  <c r="I1223" i="13"/>
  <c r="I499" i="13"/>
  <c r="I1233" i="13"/>
  <c r="I545" i="13"/>
  <c r="I132" i="13"/>
  <c r="I1009" i="13"/>
  <c r="I377" i="13"/>
  <c r="H952" i="13"/>
  <c r="I952" i="13" s="1"/>
  <c r="I1209" i="13"/>
  <c r="H852" i="13"/>
  <c r="I852" i="13" s="1"/>
  <c r="H1176" i="13"/>
  <c r="I1176" i="13" s="1"/>
  <c r="H614" i="13"/>
  <c r="I614" i="13" s="1"/>
  <c r="I319" i="13"/>
  <c r="I850" i="13"/>
  <c r="I999" i="13"/>
  <c r="I586" i="13"/>
  <c r="I716" i="13"/>
  <c r="H775" i="13"/>
  <c r="I775" i="13" s="1"/>
  <c r="H700" i="13"/>
  <c r="I700" i="13" s="1"/>
  <c r="H13" i="13"/>
  <c r="I13" i="13" s="1"/>
  <c r="H617" i="13"/>
  <c r="I617" i="13" s="1"/>
  <c r="I592" i="13"/>
  <c r="H830" i="13"/>
  <c r="I830" i="13" s="1"/>
  <c r="I917" i="13"/>
  <c r="I1226" i="13"/>
  <c r="H1097" i="13"/>
  <c r="I1097" i="13" s="1"/>
  <c r="H704" i="13"/>
  <c r="I704" i="13" s="1"/>
  <c r="I201" i="13"/>
  <c r="H1023" i="13"/>
  <c r="I1023" i="13" s="1"/>
  <c r="H1047" i="13"/>
  <c r="I1047" i="13" s="1"/>
  <c r="H1131" i="13"/>
  <c r="I1131" i="13" s="1"/>
  <c r="H1203" i="13"/>
  <c r="I1203" i="13" s="1"/>
  <c r="H747" i="13"/>
  <c r="I747" i="13" s="1"/>
  <c r="I106" i="13"/>
  <c r="H451" i="13"/>
  <c r="I451" i="13" s="1"/>
  <c r="H801" i="13"/>
  <c r="I801" i="13" s="1"/>
  <c r="H145" i="13"/>
  <c r="I145" i="13" s="1"/>
  <c r="I986" i="13"/>
  <c r="I831" i="13"/>
  <c r="H705" i="13"/>
  <c r="I705" i="13" s="1"/>
  <c r="H360" i="13"/>
  <c r="I360" i="13" s="1"/>
  <c r="H1077" i="13"/>
  <c r="I1077" i="13" s="1"/>
  <c r="H909" i="13"/>
  <c r="I909" i="13" s="1"/>
  <c r="I430" i="13"/>
  <c r="I609" i="13"/>
  <c r="I548" i="13"/>
  <c r="H463" i="13"/>
  <c r="I463" i="13" s="1"/>
  <c r="H1060" i="13"/>
  <c r="I1060" i="13" s="1"/>
  <c r="I1079" i="13"/>
  <c r="I822" i="13"/>
  <c r="I83" i="13"/>
  <c r="I177" i="13"/>
  <c r="I1116" i="13"/>
  <c r="I872" i="13"/>
  <c r="I1014" i="13"/>
  <c r="I1044" i="13"/>
  <c r="H1180" i="13"/>
  <c r="I1180" i="13" s="1"/>
  <c r="H810" i="13"/>
  <c r="I810" i="13" s="1"/>
  <c r="I911" i="13"/>
  <c r="H1206" i="13"/>
  <c r="I1206" i="13" s="1"/>
  <c r="I164" i="13"/>
  <c r="I992" i="13"/>
  <c r="H571" i="13"/>
  <c r="I571" i="13" s="1"/>
  <c r="I829" i="13"/>
  <c r="H531" i="13"/>
  <c r="I531" i="13" s="1"/>
  <c r="I869" i="13"/>
  <c r="I1186" i="13"/>
  <c r="I522" i="13"/>
  <c r="I255" i="13"/>
  <c r="H798" i="13"/>
  <c r="I798" i="13" s="1"/>
  <c r="H1156" i="13"/>
  <c r="I1156" i="13" s="1"/>
  <c r="H290" i="13"/>
  <c r="I290" i="13" s="1"/>
  <c r="I692" i="13"/>
  <c r="I230" i="13"/>
  <c r="I456" i="13"/>
  <c r="I745" i="13"/>
  <c r="I178" i="13"/>
  <c r="I429" i="13"/>
  <c r="I735" i="13"/>
  <c r="H1276" i="13"/>
  <c r="I1276" i="13" s="1"/>
  <c r="I486" i="13"/>
  <c r="H91" i="13"/>
  <c r="I91" i="13" s="1"/>
  <c r="H541" i="13"/>
  <c r="I541" i="13" s="1"/>
  <c r="H51" i="13"/>
  <c r="I51" i="13" s="1"/>
  <c r="H199" i="13"/>
  <c r="I199" i="13" s="1"/>
  <c r="I1152" i="13"/>
  <c r="I110" i="13"/>
  <c r="I1142" i="13"/>
  <c r="H142" i="13"/>
  <c r="I142" i="13" s="1"/>
  <c r="H573" i="13"/>
  <c r="I573" i="13" s="1"/>
  <c r="I748" i="13"/>
  <c r="H311" i="13"/>
  <c r="I311" i="13" s="1"/>
  <c r="I62" i="13"/>
  <c r="H251" i="13"/>
  <c r="I251" i="13" s="1"/>
  <c r="H1109" i="13"/>
  <c r="I1109" i="13" s="1"/>
  <c r="I1013" i="13"/>
  <c r="I864" i="13"/>
  <c r="I773" i="13"/>
  <c r="H987" i="13"/>
  <c r="I987" i="13" s="1"/>
  <c r="I733" i="13"/>
  <c r="H767" i="13"/>
  <c r="I767" i="13" s="1"/>
  <c r="I294" i="13"/>
  <c r="H1106" i="13"/>
  <c r="I1106" i="13" s="1"/>
  <c r="H332" i="13"/>
  <c r="I332" i="13" s="1"/>
  <c r="H18" i="13"/>
  <c r="I18" i="13" s="1"/>
  <c r="I138" i="13"/>
  <c r="H223" i="13"/>
  <c r="I223" i="13" s="1"/>
  <c r="I1213" i="13"/>
  <c r="H374" i="13"/>
  <c r="I374" i="13" s="1"/>
  <c r="H1280" i="13"/>
  <c r="I1280" i="13" s="1"/>
  <c r="I760" i="13"/>
  <c r="I182" i="13"/>
  <c r="I1273" i="13"/>
  <c r="H1145" i="13"/>
  <c r="I1145" i="13" s="1"/>
  <c r="I53" i="13"/>
  <c r="H70" i="13"/>
  <c r="I70" i="13" s="1"/>
  <c r="I874" i="13"/>
  <c r="I812" i="13"/>
  <c r="I316" i="13"/>
  <c r="I628" i="13"/>
  <c r="H159" i="13"/>
  <c r="I159" i="13" s="1"/>
  <c r="I413" i="13"/>
  <c r="H865" i="13"/>
  <c r="I865" i="13" s="1"/>
  <c r="I785" i="13"/>
  <c r="I263" i="13"/>
  <c r="H331" i="13"/>
  <c r="I331" i="13" s="1"/>
  <c r="I1059" i="13"/>
  <c r="I58" i="13"/>
  <c r="H1032" i="13"/>
  <c r="I1032" i="13" s="1"/>
  <c r="H970" i="13"/>
  <c r="I970" i="13" s="1"/>
  <c r="H479" i="13"/>
  <c r="I479" i="13" s="1"/>
  <c r="H163" i="13"/>
  <c r="I163" i="13" s="1"/>
  <c r="H849" i="13"/>
  <c r="I849" i="13" s="1"/>
  <c r="H423" i="13"/>
  <c r="I423" i="13" s="1"/>
  <c r="I879" i="13"/>
  <c r="I990" i="13"/>
  <c r="H867" i="13"/>
  <c r="I867" i="13" s="1"/>
  <c r="H686" i="13"/>
  <c r="I686" i="13" s="1"/>
  <c r="H492" i="13"/>
  <c r="I492" i="13" s="1"/>
  <c r="H539" i="13"/>
  <c r="I539" i="13" s="1"/>
  <c r="I124" i="13"/>
  <c r="H323" i="13"/>
  <c r="I323" i="13" s="1"/>
  <c r="H984" i="13"/>
  <c r="I984" i="13" s="1"/>
  <c r="H1022" i="13"/>
  <c r="I1022" i="13" s="1"/>
  <c r="H759" i="13"/>
  <c r="I759" i="13" s="1"/>
  <c r="H764" i="13"/>
  <c r="I764" i="13" s="1"/>
  <c r="I1201" i="13"/>
  <c r="H752" i="13"/>
  <c r="I752" i="13" s="1"/>
  <c r="I1173" i="13"/>
  <c r="H1085" i="13"/>
  <c r="I1085" i="13" s="1"/>
  <c r="H688" i="13"/>
  <c r="I688" i="13" s="1"/>
  <c r="I912" i="13"/>
  <c r="H534" i="13"/>
  <c r="I534" i="13" s="1"/>
  <c r="H858" i="13"/>
  <c r="I858" i="13" s="1"/>
  <c r="H491" i="13"/>
  <c r="I491" i="13" s="1"/>
  <c r="H967" i="13"/>
  <c r="I967" i="13" s="1"/>
  <c r="H832" i="13"/>
  <c r="I832" i="13" s="1"/>
  <c r="H859" i="13"/>
  <c r="I859" i="13" s="1"/>
  <c r="H505" i="13"/>
  <c r="I505" i="13" s="1"/>
  <c r="H998" i="13"/>
  <c r="I998" i="13" s="1"/>
  <c r="I1084" i="13"/>
  <c r="H1056" i="13"/>
  <c r="I1056" i="13" s="1"/>
  <c r="H1072" i="13"/>
  <c r="I1072" i="13" s="1"/>
  <c r="I606" i="13"/>
  <c r="H1155" i="13"/>
  <c r="I1155" i="13" s="1"/>
  <c r="H678" i="13"/>
  <c r="I678" i="13" s="1"/>
  <c r="I742" i="13"/>
  <c r="H738" i="13"/>
  <c r="I738" i="13" s="1"/>
  <c r="H635" i="13"/>
  <c r="I635" i="13" s="1"/>
  <c r="H642" i="13"/>
  <c r="I642" i="13" s="1"/>
  <c r="I815" i="13"/>
  <c r="H896" i="13"/>
  <c r="I896" i="13" s="1"/>
  <c r="H162" i="13"/>
  <c r="I162" i="13" s="1"/>
  <c r="H198" i="13"/>
  <c r="I198" i="13" s="1"/>
  <c r="H595" i="13"/>
  <c r="I595" i="13" s="1"/>
  <c r="H1187" i="13"/>
  <c r="I1187" i="13" s="1"/>
  <c r="H778" i="13"/>
  <c r="I778" i="13" s="1"/>
  <c r="H944" i="13"/>
  <c r="I944" i="13" s="1"/>
  <c r="H1193" i="13"/>
  <c r="I1193" i="13" s="1"/>
  <c r="I817" i="13"/>
  <c r="H493" i="13"/>
  <c r="I493" i="13" s="1"/>
  <c r="I1005" i="13"/>
  <c r="H737" i="13"/>
  <c r="I737" i="13" s="1"/>
  <c r="H965" i="13"/>
  <c r="I965" i="13" s="1"/>
  <c r="H848" i="13"/>
  <c r="I848" i="13" s="1"/>
  <c r="H610" i="13"/>
  <c r="I610" i="13" s="1"/>
  <c r="I1128" i="13"/>
  <c r="H564" i="13"/>
  <c r="I564" i="13" s="1"/>
  <c r="I1081" i="13"/>
  <c r="H649" i="13"/>
  <c r="I649" i="13" s="1"/>
  <c r="H525" i="13"/>
  <c r="I525" i="13" s="1"/>
  <c r="H898" i="13"/>
  <c r="I898" i="13" s="1"/>
  <c r="H113" i="13"/>
  <c r="I113" i="13" s="1"/>
  <c r="I1161" i="13"/>
  <c r="H777" i="13"/>
  <c r="I777" i="13" s="1"/>
  <c r="H937" i="13"/>
  <c r="I937" i="13" s="1"/>
  <c r="I1181" i="13"/>
  <c r="H435" i="13"/>
  <c r="I435" i="13" s="1"/>
  <c r="I515" i="13"/>
  <c r="I1068" i="13"/>
  <c r="I725" i="13"/>
  <c r="H616" i="13"/>
  <c r="I616" i="13" s="1"/>
  <c r="H753" i="13"/>
  <c r="I753" i="13" s="1"/>
  <c r="H400" i="13"/>
  <c r="I400" i="13" s="1"/>
  <c r="H788" i="13"/>
  <c r="I788" i="13" s="1"/>
  <c r="I1124" i="13"/>
  <c r="I702" i="13"/>
  <c r="H1069" i="13"/>
  <c r="I1069" i="13" s="1"/>
  <c r="I718" i="13"/>
  <c r="H1232" i="13"/>
  <c r="I1232" i="13" s="1"/>
  <c r="I763" i="13"/>
  <c r="I425" i="13"/>
  <c r="I325" i="13"/>
  <c r="I1051" i="13"/>
  <c r="H1087" i="13"/>
  <c r="I1087" i="13" s="1"/>
  <c r="H283" i="13"/>
  <c r="I283" i="13" s="1"/>
  <c r="I549" i="13"/>
  <c r="H1076" i="13"/>
  <c r="I1076" i="13" s="1"/>
  <c r="H666" i="13"/>
  <c r="I666" i="13" s="1"/>
  <c r="H946" i="13"/>
  <c r="I946" i="13" s="1"/>
  <c r="I1003" i="13"/>
  <c r="H1163" i="13"/>
  <c r="I1163" i="13" s="1"/>
  <c r="H1048" i="13"/>
  <c r="I1048" i="13" s="1"/>
  <c r="H1067" i="13"/>
  <c r="I1067" i="13" s="1"/>
  <c r="I814" i="13"/>
  <c r="H191" i="13"/>
  <c r="I191" i="13" s="1"/>
  <c r="I918" i="13"/>
  <c r="I444" i="13"/>
  <c r="H552" i="13"/>
  <c r="I552" i="13" s="1"/>
  <c r="H903" i="13"/>
  <c r="I903" i="13" s="1"/>
  <c r="I921" i="13"/>
  <c r="H585" i="13"/>
  <c r="I585" i="13" s="1"/>
  <c r="H354" i="13"/>
  <c r="I354" i="13" s="1"/>
  <c r="I761" i="13"/>
  <c r="H5" i="13"/>
  <c r="I5" i="13" s="1"/>
  <c r="I808" i="13"/>
  <c r="I945" i="13"/>
  <c r="H1195" i="13"/>
  <c r="I1195" i="13" s="1"/>
  <c r="H189" i="13"/>
  <c r="I189" i="13" s="1"/>
  <c r="H1179" i="13"/>
  <c r="I1179" i="13" s="1"/>
  <c r="H389" i="13"/>
  <c r="I389" i="13" s="1"/>
  <c r="H881" i="13"/>
  <c r="I881" i="13" s="1"/>
  <c r="H368" i="13"/>
  <c r="I368" i="13" s="1"/>
  <c r="H786" i="13"/>
  <c r="I786" i="13" s="1"/>
  <c r="H157" i="13"/>
  <c r="I157" i="13" s="1"/>
  <c r="H1017" i="13"/>
  <c r="I1017" i="13" s="1"/>
  <c r="H715" i="13"/>
  <c r="I715" i="13" s="1"/>
  <c r="H975" i="13"/>
  <c r="I975" i="13" s="1"/>
  <c r="H46" i="13"/>
  <c r="I46" i="13" s="1"/>
  <c r="H9" i="13"/>
  <c r="I9" i="13" s="1"/>
  <c r="H1228" i="13"/>
  <c r="I1228" i="13" s="1"/>
  <c r="H906" i="13"/>
  <c r="I906" i="13" s="1"/>
  <c r="H1024" i="13"/>
  <c r="I1024" i="13" s="1"/>
  <c r="I1129" i="13"/>
  <c r="I1066" i="13"/>
  <c r="H337" i="13"/>
  <c r="I337" i="13" s="1"/>
  <c r="H160" i="13"/>
  <c r="I160" i="13" s="1"/>
  <c r="H890" i="13"/>
  <c r="I890" i="13" s="1"/>
  <c r="I115" i="13"/>
  <c r="I1011" i="13"/>
  <c r="H1098" i="13"/>
  <c r="I1098" i="13" s="1"/>
  <c r="H694" i="13"/>
  <c r="I694" i="13" s="1"/>
  <c r="I811" i="13"/>
  <c r="H1164" i="13"/>
  <c r="I1164" i="13" s="1"/>
  <c r="H895" i="13"/>
  <c r="I895" i="13" s="1"/>
  <c r="H855" i="13"/>
  <c r="I855" i="13" s="1"/>
  <c r="H774" i="13"/>
  <c r="I774" i="13" s="1"/>
  <c r="H953" i="13"/>
  <c r="I953" i="13" s="1"/>
  <c r="H690" i="13"/>
  <c r="I690" i="13" s="1"/>
  <c r="I587" i="13"/>
  <c r="H411" i="13"/>
  <c r="I411" i="13" s="1"/>
  <c r="H726" i="13"/>
  <c r="I726" i="13" s="1"/>
  <c r="I1135" i="13"/>
  <c r="H685" i="13"/>
  <c r="I685" i="13" s="1"/>
  <c r="H594" i="13"/>
  <c r="I594" i="13" s="1"/>
  <c r="H958" i="13"/>
  <c r="I958" i="13" s="1"/>
  <c r="H640" i="13"/>
  <c r="I640" i="13" s="1"/>
  <c r="I1041" i="13"/>
  <c r="H417" i="13"/>
  <c r="I417" i="13" s="1"/>
  <c r="H167" i="13"/>
  <c r="I167" i="13" s="1"/>
  <c r="H714" i="13"/>
  <c r="I714" i="13" s="1"/>
  <c r="H1230" i="13"/>
  <c r="I1230" i="13" s="1"/>
  <c r="I780" i="13"/>
  <c r="H1083" i="13"/>
  <c r="I1083" i="13" s="1"/>
  <c r="H450" i="13"/>
  <c r="I450" i="13" s="1"/>
  <c r="H950" i="13"/>
  <c r="I950" i="13" s="1"/>
  <c r="I857" i="13"/>
  <c r="I629" i="13"/>
  <c r="H184" i="13"/>
  <c r="I184" i="13" s="1"/>
  <c r="H183" i="13"/>
  <c r="I183" i="13" s="1"/>
  <c r="H736" i="13"/>
  <c r="I736" i="13" s="1"/>
  <c r="I1008" i="13"/>
  <c r="H511" i="13"/>
  <c r="I511" i="13" s="1"/>
  <c r="I506" i="13"/>
  <c r="I956" i="13"/>
  <c r="I1058" i="13"/>
  <c r="H730" i="13"/>
  <c r="I730" i="13" s="1"/>
  <c r="I112" i="13"/>
  <c r="H971" i="13"/>
  <c r="I971" i="13" s="1"/>
  <c r="H314" i="13"/>
  <c r="I314" i="13" s="1"/>
  <c r="I366" i="13"/>
  <c r="I1270" i="13"/>
  <c r="H603" i="13"/>
  <c r="I603" i="13" s="1"/>
  <c r="I765" i="13"/>
  <c r="H1238" i="13"/>
  <c r="I1238" i="13" s="1"/>
  <c r="H462" i="13"/>
  <c r="I462" i="13" s="1"/>
  <c r="H826" i="13"/>
  <c r="I826" i="13" s="1"/>
  <c r="H981" i="13"/>
  <c r="I981" i="13" s="1"/>
  <c r="H343" i="13"/>
  <c r="I343" i="13" s="1"/>
  <c r="I856" i="13"/>
  <c r="H722" i="13"/>
  <c r="I722" i="13" s="1"/>
  <c r="I962" i="13"/>
  <c r="H1043" i="13"/>
  <c r="I1043" i="13" s="1"/>
  <c r="H105" i="13"/>
  <c r="I105" i="13" s="1"/>
  <c r="H1241" i="13"/>
  <c r="I1241" i="13" s="1"/>
  <c r="H908" i="13"/>
  <c r="I908" i="13" s="1"/>
  <c r="I853" i="13"/>
  <c r="H729" i="13"/>
  <c r="I729" i="13" s="1"/>
  <c r="H942" i="13"/>
  <c r="I942" i="13" s="1"/>
  <c r="H365" i="13"/>
  <c r="I365" i="13" s="1"/>
  <c r="H1000" i="13"/>
  <c r="I1000" i="13" s="1"/>
  <c r="H507" i="13"/>
  <c r="I507" i="13" s="1"/>
  <c r="I557" i="13"/>
  <c r="H469" i="13"/>
  <c r="I469" i="13" s="1"/>
  <c r="H613" i="13"/>
  <c r="I613" i="13" s="1"/>
  <c r="I651" i="13"/>
  <c r="H667" i="13"/>
  <c r="I667" i="13" s="1"/>
  <c r="H330" i="13"/>
  <c r="I330" i="13" s="1"/>
  <c r="H795" i="13"/>
  <c r="I795" i="13" s="1"/>
  <c r="H787" i="13"/>
  <c r="I787" i="13" s="1"/>
  <c r="I1127" i="13"/>
  <c r="H21" i="13"/>
  <c r="I21" i="13" s="1"/>
  <c r="I1004" i="13"/>
  <c r="H878" i="13"/>
  <c r="I878" i="13" s="1"/>
  <c r="H712" i="13"/>
  <c r="I712" i="13" s="1"/>
  <c r="H618" i="13"/>
  <c r="I618" i="13" s="1"/>
  <c r="H802" i="13"/>
  <c r="I802" i="13" s="1"/>
  <c r="H1033" i="13"/>
  <c r="I1033" i="13" s="1"/>
  <c r="H516" i="13"/>
  <c r="I516" i="13" s="1"/>
  <c r="H420" i="13"/>
  <c r="I420" i="13" s="1"/>
  <c r="H286" i="13"/>
  <c r="I286" i="13" s="1"/>
  <c r="H976" i="13"/>
  <c r="I976" i="13" s="1"/>
  <c r="H691" i="13"/>
  <c r="I691" i="13" s="1"/>
  <c r="H669" i="13"/>
  <c r="I669" i="13" s="1"/>
  <c r="I514" i="13"/>
  <c r="H960" i="13"/>
  <c r="I960" i="13" s="1"/>
  <c r="H920" i="13"/>
  <c r="I920" i="13" s="1"/>
  <c r="H169" i="13"/>
  <c r="I169" i="13" s="1"/>
  <c r="J174" i="13" s="1" a="1"/>
  <c r="J174" i="13" s="1"/>
  <c r="I1088" i="13"/>
  <c r="H790" i="13"/>
  <c r="I790" i="13" s="1"/>
  <c r="H438" i="13"/>
  <c r="I438" i="13" s="1"/>
  <c r="H625" i="13"/>
  <c r="I625" i="13" s="1"/>
  <c r="H301" i="13"/>
  <c r="I301" i="13" s="1"/>
  <c r="H481" i="13"/>
  <c r="I481" i="13" s="1"/>
  <c r="H1070" i="13"/>
  <c r="I1070" i="13" s="1"/>
  <c r="H922" i="13"/>
  <c r="I922" i="13" s="1"/>
  <c r="I1242" i="13"/>
  <c r="H119" i="13"/>
  <c r="I119" i="13" s="1"/>
  <c r="H1208" i="13"/>
  <c r="I1208" i="13" s="1"/>
  <c r="H521" i="13"/>
  <c r="I521" i="13" s="1"/>
  <c r="H428" i="13"/>
  <c r="I428" i="13" s="1"/>
  <c r="H27" i="13"/>
  <c r="I27" i="13" s="1"/>
  <c r="H234" i="13"/>
  <c r="I234" i="13" s="1"/>
  <c r="H546" i="13"/>
  <c r="I546" i="13" s="1"/>
  <c r="H416" i="13"/>
  <c r="I416" i="13" s="1"/>
  <c r="H897" i="13"/>
  <c r="I897" i="13" s="1"/>
  <c r="I399" i="13"/>
  <c r="H1269" i="13"/>
  <c r="I1269" i="13" s="1"/>
  <c r="H1205" i="13"/>
  <c r="I1205" i="13" s="1"/>
  <c r="H866" i="13"/>
  <c r="I866" i="13" s="1"/>
  <c r="H675" i="13"/>
  <c r="I675" i="13" s="1"/>
  <c r="H1137" i="13"/>
  <c r="I1137" i="13" s="1"/>
  <c r="I252" i="13"/>
  <c r="H393" i="13"/>
  <c r="I393" i="13" s="1"/>
  <c r="I1227" i="13"/>
  <c r="H235" i="13"/>
  <c r="I235" i="13" s="1"/>
  <c r="H1021" i="13"/>
  <c r="I1021" i="13" s="1"/>
  <c r="H401" i="13"/>
  <c r="I401" i="13" s="1"/>
  <c r="I128" i="13"/>
  <c r="H1082" i="13"/>
  <c r="I1082" i="13" s="1"/>
  <c r="H212" i="13"/>
  <c r="I212" i="13" s="1"/>
  <c r="H125" i="13"/>
  <c r="I125" i="13" s="1"/>
  <c r="J124" i="13" s="1" a="1"/>
  <c r="J124" i="13" s="1"/>
  <c r="H854" i="13"/>
  <c r="I854" i="13" s="1"/>
  <c r="H825" i="13"/>
  <c r="I825" i="13" s="1"/>
  <c r="H900" i="13"/>
  <c r="I900" i="13" s="1"/>
  <c r="H454" i="13"/>
  <c r="I454" i="13" s="1"/>
  <c r="I1196" i="13"/>
  <c r="I827" i="13"/>
  <c r="H453" i="13"/>
  <c r="I453" i="13" s="1"/>
  <c r="H894" i="13"/>
  <c r="I894" i="13" s="1"/>
  <c r="J894" i="13" s="1" a="1"/>
  <c r="J894" i="13" s="1"/>
  <c r="H1015" i="13"/>
  <c r="I1015" i="13" s="1"/>
  <c r="H556" i="13"/>
  <c r="I556" i="13" s="1"/>
  <c r="H256" i="13"/>
  <c r="I256" i="13" s="1"/>
  <c r="H501" i="13"/>
  <c r="I501" i="13" s="1"/>
  <c r="H151" i="13"/>
  <c r="I151" i="13" s="1"/>
  <c r="I446" i="13"/>
  <c r="I1101" i="13"/>
  <c r="H560" i="13"/>
  <c r="I560" i="13" s="1"/>
  <c r="I458" i="13"/>
  <c r="H1199" i="13"/>
  <c r="I1199" i="13" s="1"/>
  <c r="H978" i="13"/>
  <c r="I978" i="13" s="1"/>
  <c r="H220" i="13"/>
  <c r="I220" i="13" s="1"/>
  <c r="I743" i="13"/>
  <c r="H452" i="13"/>
  <c r="I452" i="13" s="1"/>
  <c r="H647" i="13"/>
  <c r="I647" i="13" s="1"/>
  <c r="H809" i="13"/>
  <c r="I809" i="13" s="1"/>
  <c r="H1210" i="13"/>
  <c r="I1210" i="13" s="1"/>
  <c r="H280" i="13"/>
  <c r="I280" i="13" s="1"/>
  <c r="H509" i="13"/>
  <c r="I509" i="13" s="1"/>
  <c r="H1183" i="13"/>
  <c r="I1183" i="13" s="1"/>
  <c r="I772" i="13"/>
  <c r="H41" i="13"/>
  <c r="I41" i="13" s="1"/>
  <c r="H437" i="13"/>
  <c r="I437" i="13" s="1"/>
  <c r="H1061" i="13"/>
  <c r="I1061" i="13" s="1"/>
  <c r="I876" i="13"/>
  <c r="H943" i="13"/>
  <c r="I943" i="13" s="1"/>
  <c r="H916" i="13"/>
  <c r="I916" i="13" s="1"/>
  <c r="I868" i="13"/>
  <c r="I607" i="13"/>
  <c r="H176" i="13"/>
  <c r="I176" i="13" s="1"/>
  <c r="H1123" i="13"/>
  <c r="I1123" i="13" s="1"/>
  <c r="H939" i="13"/>
  <c r="I939" i="13" s="1"/>
  <c r="I1036" i="13"/>
  <c r="H1125" i="13"/>
  <c r="I1125" i="13" s="1"/>
  <c r="I871" i="13"/>
  <c r="I807" i="13"/>
  <c r="H448" i="13"/>
  <c r="I448" i="13" s="1"/>
  <c r="H1073" i="13"/>
  <c r="I1073" i="13" s="1"/>
  <c r="H591" i="13"/>
  <c r="I591" i="13" s="1"/>
  <c r="J591" i="13" s="1" a="1"/>
  <c r="J591" i="13" s="1"/>
  <c r="I741" i="13"/>
  <c r="I1002" i="13"/>
  <c r="H816" i="13"/>
  <c r="I816" i="13" s="1"/>
  <c r="H821" i="13"/>
  <c r="I821" i="13" s="1"/>
  <c r="H972" i="13"/>
  <c r="I972" i="13" s="1"/>
  <c r="H957" i="13"/>
  <c r="I957" i="13" s="1"/>
  <c r="I427" i="13"/>
  <c r="H37" i="13"/>
  <c r="I37" i="13" s="1"/>
  <c r="H1162" i="13"/>
  <c r="I1162" i="13" s="1"/>
  <c r="I933" i="13"/>
  <c r="H353" i="13"/>
  <c r="I353" i="13" s="1"/>
  <c r="H941" i="13"/>
  <c r="I941" i="13" s="1"/>
  <c r="H693" i="13"/>
  <c r="I693" i="13" s="1"/>
  <c r="H1055" i="13"/>
  <c r="I1055" i="13" s="1"/>
  <c r="I1092" i="13"/>
  <c r="H340" i="13"/>
  <c r="I340" i="13" s="1"/>
  <c r="H727" i="13"/>
  <c r="I727" i="13" s="1"/>
  <c r="H1157" i="13"/>
  <c r="I1157" i="13" s="1"/>
  <c r="H623" i="13"/>
  <c r="I623" i="13" s="1"/>
  <c r="I755" i="13"/>
  <c r="H875" i="13"/>
  <c r="I875" i="13" s="1"/>
  <c r="H1159" i="13"/>
  <c r="I1159" i="13" s="1"/>
  <c r="H779" i="13"/>
  <c r="I779" i="13" s="1"/>
  <c r="H424" i="13"/>
  <c r="I424" i="13" s="1"/>
  <c r="H206" i="13"/>
  <c r="I206" i="13" s="1"/>
  <c r="I68" i="13"/>
  <c r="I1096" i="13"/>
  <c r="H135" i="13"/>
  <c r="I135" i="13" s="1"/>
  <c r="H306" i="13"/>
  <c r="I306" i="13" s="1"/>
  <c r="H123" i="13"/>
  <c r="I123" i="13" s="1"/>
  <c r="H689" i="13"/>
  <c r="I689" i="13" s="1"/>
  <c r="H296" i="13"/>
  <c r="I296" i="13" s="1"/>
  <c r="H395" i="13"/>
  <c r="I395" i="13" s="1"/>
  <c r="I1126" i="13"/>
  <c r="I563" i="13"/>
  <c r="H633" i="13"/>
  <c r="I633" i="13" s="1"/>
  <c r="H1062" i="13"/>
  <c r="I1062" i="13" s="1"/>
  <c r="H272" i="13"/>
  <c r="I272" i="13" s="1"/>
  <c r="H1231" i="13"/>
  <c r="I1231" i="13" s="1"/>
  <c r="H1042" i="13"/>
  <c r="I1042" i="13" s="1"/>
  <c r="H961" i="13"/>
  <c r="I961" i="13" s="1"/>
  <c r="H372" i="13"/>
  <c r="I372" i="13" s="1"/>
  <c r="I622" i="13"/>
  <c r="H732" i="13"/>
  <c r="I732" i="13" s="1"/>
  <c r="I303" i="13"/>
  <c r="H828" i="13"/>
  <c r="I828" i="13" s="1"/>
  <c r="I1040" i="13"/>
  <c r="H601" i="13"/>
  <c r="I601" i="13" s="1"/>
  <c r="J601" i="13" s="1" a="1"/>
  <c r="J601" i="13" s="1"/>
  <c r="H265" i="13"/>
  <c r="I265" i="13" s="1"/>
  <c r="I523" i="13"/>
  <c r="H758" i="13"/>
  <c r="I758" i="13" s="1"/>
  <c r="H459" i="13"/>
  <c r="I459" i="13" s="1"/>
  <c r="H349" i="13"/>
  <c r="I349" i="13" s="1"/>
  <c r="I243" i="13"/>
  <c r="H550" i="13"/>
  <c r="I550" i="13" s="1"/>
  <c r="H120" i="13"/>
  <c r="I120" i="13" s="1"/>
  <c r="J120" i="13" s="1" a="1"/>
  <c r="J120" i="13" s="1"/>
  <c r="H638" i="13"/>
  <c r="I638" i="13" s="1"/>
  <c r="H449" i="13"/>
  <c r="I449" i="13" s="1"/>
  <c r="H36" i="13"/>
  <c r="I36" i="13" s="1"/>
  <c r="H295" i="13"/>
  <c r="I295" i="13" s="1"/>
  <c r="H783" i="13"/>
  <c r="I783" i="13" s="1"/>
  <c r="H926" i="13"/>
  <c r="I926" i="13" s="1"/>
  <c r="H1220" i="13"/>
  <c r="I1220" i="13" s="1"/>
  <c r="H258" i="13"/>
  <c r="I258" i="13" s="1"/>
  <c r="H426" i="13"/>
  <c r="I426" i="13" s="1"/>
  <c r="H782" i="13"/>
  <c r="I782" i="13" s="1"/>
  <c r="I535" i="13"/>
  <c r="I1146" i="13"/>
  <c r="H1039" i="13"/>
  <c r="I1039" i="13" s="1"/>
  <c r="I1171" i="13"/>
  <c r="H991" i="13"/>
  <c r="I991" i="13" s="1"/>
  <c r="H494" i="13"/>
  <c r="I494" i="13" s="1"/>
  <c r="H1189" i="13"/>
  <c r="I1189" i="13" s="1"/>
  <c r="H1100" i="13"/>
  <c r="I1100" i="13" s="1"/>
  <c r="H554" i="13"/>
  <c r="I554" i="13" s="1"/>
  <c r="I292" i="13"/>
  <c r="H445" i="13"/>
  <c r="I445" i="13" s="1"/>
  <c r="I77" i="13"/>
  <c r="H683" i="13"/>
  <c r="I683" i="13" s="1"/>
  <c r="H902" i="13"/>
  <c r="I902" i="13" s="1"/>
  <c r="H677" i="13"/>
  <c r="I677" i="13" s="1"/>
  <c r="H54" i="13"/>
  <c r="I54" i="13" s="1"/>
  <c r="H19" i="13"/>
  <c r="I19" i="13" s="1"/>
  <c r="I562" i="13"/>
  <c r="I883" i="13"/>
  <c r="I460" i="13"/>
  <c r="H668" i="13"/>
  <c r="I668" i="13" s="1"/>
  <c r="I1177" i="13"/>
  <c r="H431" i="13"/>
  <c r="I431" i="13" s="1"/>
  <c r="I639" i="13"/>
  <c r="H161" i="13"/>
  <c r="I161" i="13" s="1"/>
  <c r="H67" i="13"/>
  <c r="I67" i="13" s="1"/>
  <c r="I680" i="13"/>
  <c r="I1134" i="13"/>
  <c r="H1140" i="13"/>
  <c r="I1140" i="13" s="1"/>
  <c r="H1026" i="13"/>
  <c r="I1026" i="13" s="1"/>
  <c r="H1191" i="13"/>
  <c r="I1191" i="13" s="1"/>
  <c r="H75" i="13"/>
  <c r="I75" i="13" s="1"/>
  <c r="H674" i="13"/>
  <c r="I674" i="13" s="1"/>
  <c r="H371" i="13"/>
  <c r="I371" i="13" s="1"/>
  <c r="H1278" i="13"/>
  <c r="I1278" i="13" s="1"/>
  <c r="H196" i="13"/>
  <c r="I196" i="13" s="1"/>
  <c r="H1139" i="13"/>
  <c r="I1139" i="13" s="1"/>
  <c r="H244" i="13"/>
  <c r="I244" i="13" s="1"/>
  <c r="I1174" i="13"/>
  <c r="I818" i="13"/>
  <c r="H155" i="13"/>
  <c r="I155" i="13" s="1"/>
  <c r="H907" i="13"/>
  <c r="I907" i="13" s="1"/>
  <c r="H412" i="13"/>
  <c r="I412" i="13" s="1"/>
  <c r="I707" i="13"/>
  <c r="H341" i="13"/>
  <c r="I341" i="13" s="1"/>
  <c r="H1114" i="13"/>
  <c r="I1114" i="13" s="1"/>
  <c r="H475" i="13"/>
  <c r="I475" i="13" s="1"/>
  <c r="H468" i="13"/>
  <c r="I468" i="13" s="1"/>
  <c r="H799" i="13"/>
  <c r="I799" i="13" s="1"/>
  <c r="H682" i="13"/>
  <c r="I682" i="13" s="1"/>
  <c r="H141" i="13"/>
  <c r="I141" i="13" s="1"/>
  <c r="H873" i="13"/>
  <c r="I873" i="13" s="1"/>
  <c r="H66" i="13"/>
  <c r="I66" i="13" s="1"/>
  <c r="H379" i="13"/>
  <c r="I379" i="13" s="1"/>
  <c r="H1038" i="13"/>
  <c r="I1038" i="13" s="1"/>
  <c r="H1118" i="13"/>
  <c r="I1118" i="13" s="1"/>
  <c r="H681" i="13"/>
  <c r="I681" i="13" s="1"/>
  <c r="H1169" i="13"/>
  <c r="I1169" i="13" s="1"/>
  <c r="I455" i="13"/>
  <c r="H974" i="13"/>
  <c r="I974" i="13" s="1"/>
  <c r="H997" i="13"/>
  <c r="I997" i="13" s="1"/>
  <c r="H403" i="13"/>
  <c r="I403" i="13" s="1"/>
  <c r="H55" i="13"/>
  <c r="I55" i="13" s="1"/>
  <c r="H619" i="13"/>
  <c r="I619" i="13" s="1"/>
  <c r="H143" i="13"/>
  <c r="I143" i="13" s="1"/>
  <c r="I1074" i="13"/>
  <c r="H378" i="13"/>
  <c r="I378" i="13" s="1"/>
  <c r="H439" i="13"/>
  <c r="I439" i="13" s="1"/>
  <c r="H402" i="13"/>
  <c r="I402" i="13" s="1"/>
  <c r="H1268" i="13"/>
  <c r="I1268" i="13" s="1"/>
  <c r="H532" i="13"/>
  <c r="I532" i="13" s="1"/>
  <c r="H634" i="13"/>
  <c r="I634" i="13" s="1"/>
  <c r="H989" i="13"/>
  <c r="I989" i="13" s="1"/>
  <c r="H543" i="13"/>
  <c r="I543" i="13" s="1"/>
  <c r="H710" i="13"/>
  <c r="I710" i="13" s="1"/>
  <c r="H34" i="13"/>
  <c r="I34" i="13" s="1"/>
  <c r="H1095" i="13"/>
  <c r="I1095" i="13" s="1"/>
  <c r="I526" i="13"/>
  <c r="H146" i="13"/>
  <c r="I146" i="13" s="1"/>
  <c r="I1019" i="13"/>
  <c r="H646" i="13"/>
  <c r="I646" i="13" s="1"/>
  <c r="I504" i="13"/>
  <c r="I568" i="13"/>
  <c r="H210" i="13"/>
  <c r="I210" i="13" s="1"/>
  <c r="H190" i="13"/>
  <c r="I190" i="13" s="1"/>
  <c r="I1253" i="13"/>
  <c r="H309" i="13"/>
  <c r="I309" i="13" s="1"/>
  <c r="H471" i="13"/>
  <c r="I471" i="13" s="1"/>
  <c r="H137" i="13"/>
  <c r="I137" i="13" s="1"/>
  <c r="H457" i="13"/>
  <c r="I457" i="13" s="1"/>
  <c r="I502" i="13"/>
  <c r="H231" i="13"/>
  <c r="I231" i="13" s="1"/>
  <c r="H495" i="13"/>
  <c r="I495" i="13" s="1"/>
  <c r="H751" i="13"/>
  <c r="I751" i="13" s="1"/>
  <c r="H626" i="13"/>
  <c r="I626" i="13" s="1"/>
  <c r="H404" i="13"/>
  <c r="I404" i="13" s="1"/>
  <c r="H208" i="13"/>
  <c r="I208" i="13" s="1"/>
  <c r="I949" i="13"/>
  <c r="I390" i="13"/>
  <c r="H1071" i="13"/>
  <c r="I1071" i="13" s="1"/>
  <c r="H630" i="13"/>
  <c r="I630" i="13" s="1"/>
  <c r="H478" i="13"/>
  <c r="I478" i="13" s="1"/>
  <c r="H631" i="13"/>
  <c r="I631" i="13" s="1"/>
  <c r="H269" i="13"/>
  <c r="I269" i="13" s="1"/>
  <c r="H925" i="13"/>
  <c r="I925" i="13" s="1"/>
  <c r="I318" i="13"/>
  <c r="I271" i="13"/>
  <c r="H485" i="13"/>
  <c r="I485" i="13" s="1"/>
  <c r="I749" i="13"/>
  <c r="H805" i="13"/>
  <c r="I805" i="13" s="1"/>
  <c r="H1028" i="13"/>
  <c r="I1028" i="13" s="1"/>
  <c r="H687" i="13"/>
  <c r="I687" i="13" s="1"/>
  <c r="H645" i="13"/>
  <c r="I645" i="13" s="1"/>
  <c r="I905" i="13"/>
  <c r="H108" i="13"/>
  <c r="I108" i="13" s="1"/>
  <c r="H320" i="13"/>
  <c r="I320" i="13" s="1"/>
  <c r="H387" i="13"/>
  <c r="I387" i="13" s="1"/>
  <c r="H84" i="13"/>
  <c r="I84" i="13" s="1"/>
  <c r="H358" i="13"/>
  <c r="I358" i="13" s="1"/>
  <c r="H405" i="13"/>
  <c r="I405" i="13" s="1"/>
  <c r="H14" i="13"/>
  <c r="I14" i="13" s="1"/>
  <c r="H461" i="13"/>
  <c r="I461" i="13" s="1"/>
  <c r="I720" i="13"/>
  <c r="H180" i="13"/>
  <c r="I180" i="13" s="1"/>
  <c r="H71" i="13"/>
  <c r="I71" i="13" s="1"/>
  <c r="H224" i="13"/>
  <c r="I224" i="13" s="1"/>
  <c r="H624" i="13"/>
  <c r="I624" i="13" s="1"/>
  <c r="H1064" i="13"/>
  <c r="I1064" i="13" s="1"/>
  <c r="H608" i="13"/>
  <c r="I608" i="13" s="1"/>
  <c r="H544" i="13"/>
  <c r="I544" i="13" s="1"/>
  <c r="H385" i="13"/>
  <c r="I385" i="13" s="1"/>
  <c r="H870" i="13"/>
  <c r="I870" i="13" s="1"/>
  <c r="H278" i="13"/>
  <c r="I278" i="13" s="1"/>
  <c r="H615" i="13"/>
  <c r="I615" i="13" s="1"/>
  <c r="H82" i="13"/>
  <c r="I82" i="13" s="1"/>
  <c r="I473" i="13"/>
  <c r="I734" i="13"/>
  <c r="H776" i="13"/>
  <c r="I776" i="13" s="1"/>
  <c r="I69" i="13"/>
  <c r="H813" i="13"/>
  <c r="I813" i="13" s="1"/>
  <c r="I512" i="13"/>
  <c r="H1274" i="13"/>
  <c r="I1274" i="13" s="1"/>
  <c r="I484" i="13"/>
  <c r="H419" i="13"/>
  <c r="I419" i="13" s="1"/>
  <c r="H370" i="13"/>
  <c r="I370" i="13" s="1"/>
  <c r="I383" i="13"/>
  <c r="H739" i="13"/>
  <c r="I739" i="13" s="1"/>
  <c r="I860" i="13"/>
  <c r="I555" i="13"/>
  <c r="I1050" i="13"/>
  <c r="H436" i="13"/>
  <c r="I436" i="13" s="1"/>
  <c r="H264" i="13"/>
  <c r="I264" i="13" s="1"/>
  <c r="H1214" i="13"/>
  <c r="I1214" i="13" s="1"/>
  <c r="I1063" i="13"/>
  <c r="H305" i="13"/>
  <c r="I305" i="13" s="1"/>
  <c r="I794" i="13"/>
  <c r="I719" i="13"/>
  <c r="H996" i="13"/>
  <c r="I996" i="13" s="1"/>
  <c r="H932" i="13"/>
  <c r="I932" i="13" s="1"/>
  <c r="I45" i="13"/>
  <c r="H281" i="13"/>
  <c r="I281" i="13" s="1"/>
  <c r="I329" i="13"/>
  <c r="H1138" i="13"/>
  <c r="I1138" i="13" s="1"/>
  <c r="H315" i="13"/>
  <c r="I315" i="13" s="1"/>
  <c r="H671" i="13"/>
  <c r="I671" i="13" s="1"/>
  <c r="H731" i="13"/>
  <c r="I731" i="13" s="1"/>
  <c r="H466" i="13"/>
  <c r="I466" i="13" s="1"/>
  <c r="H885" i="13"/>
  <c r="I885" i="13" s="1"/>
  <c r="I156" i="13"/>
  <c r="H553" i="13"/>
  <c r="I553" i="13" s="1"/>
  <c r="H442" i="13"/>
  <c r="I442" i="13" s="1"/>
  <c r="I696" i="13"/>
  <c r="I381" i="13"/>
  <c r="H851" i="13"/>
  <c r="I851" i="13" s="1"/>
  <c r="H1175" i="13"/>
  <c r="I1175" i="13" s="1"/>
  <c r="I498" i="13"/>
  <c r="H253" i="13"/>
  <c r="I253" i="13" s="1"/>
  <c r="I322" i="13"/>
  <c r="I42" i="13"/>
  <c r="H887" i="13"/>
  <c r="I887" i="13" s="1"/>
  <c r="H72" i="13"/>
  <c r="I72" i="13" s="1"/>
  <c r="I166" i="13"/>
  <c r="H357" i="13"/>
  <c r="I357" i="13" s="1"/>
  <c r="H352" i="13"/>
  <c r="I352" i="13" s="1"/>
  <c r="H1016" i="13"/>
  <c r="I1016" i="13" s="1"/>
  <c r="H724" i="13"/>
  <c r="I724" i="13" s="1"/>
  <c r="H561" i="13"/>
  <c r="I561" i="13" s="1"/>
  <c r="H744" i="13"/>
  <c r="I744" i="13" s="1"/>
  <c r="H80" i="13"/>
  <c r="I80" i="13" s="1"/>
  <c r="I746" i="13"/>
  <c r="H762" i="13"/>
  <c r="I762" i="13" s="1"/>
  <c r="H476" i="13"/>
  <c r="I476" i="13" s="1"/>
  <c r="H293" i="13"/>
  <c r="I293" i="13" s="1"/>
  <c r="H882" i="13"/>
  <c r="I882" i="13" s="1"/>
  <c r="H470" i="13"/>
  <c r="I470" i="13" s="1"/>
  <c r="I590" i="13"/>
  <c r="I508" i="13"/>
  <c r="H1267" i="13"/>
  <c r="I1267" i="13" s="1"/>
  <c r="H1240" i="13"/>
  <c r="I1240" i="13" s="1"/>
  <c r="H477" i="13"/>
  <c r="I477" i="13" s="1"/>
  <c r="H23" i="13"/>
  <c r="I23" i="13" s="1"/>
  <c r="H87" i="13"/>
  <c r="I87" i="13" s="1"/>
  <c r="H57" i="13"/>
  <c r="I57" i="13" s="1"/>
  <c r="H472" i="13"/>
  <c r="I472" i="13" s="1"/>
  <c r="H784" i="13"/>
  <c r="I784" i="13" s="1"/>
  <c r="H326" i="13"/>
  <c r="I326" i="13" s="1"/>
  <c r="H1151" i="13"/>
  <c r="I1151" i="13" s="1"/>
  <c r="H676" i="13"/>
  <c r="I676" i="13" s="1"/>
  <c r="H620" i="13"/>
  <c r="I620" i="13" s="1"/>
  <c r="I259" i="13"/>
  <c r="H596" i="13"/>
  <c r="I596" i="13" s="1"/>
  <c r="H407" i="13"/>
  <c r="I407" i="13" s="1"/>
  <c r="I421" i="13"/>
  <c r="I910" i="13"/>
  <c r="J910" i="13" s="1" a="1"/>
  <c r="J910" i="13" s="1"/>
  <c r="H225" i="13"/>
  <c r="I225" i="13" s="1"/>
  <c r="I239" i="13"/>
  <c r="H43" i="13"/>
  <c r="I43" i="13" s="1"/>
  <c r="H364" i="13"/>
  <c r="I364" i="13" s="1"/>
  <c r="I711" i="13"/>
  <c r="H538" i="13"/>
  <c r="I538" i="13" s="1"/>
  <c r="H211" i="13"/>
  <c r="I211" i="13" s="1"/>
  <c r="H740" i="13"/>
  <c r="I740" i="13" s="1"/>
  <c r="H636" i="13"/>
  <c r="I636" i="13" s="1"/>
  <c r="H126" i="13"/>
  <c r="I126" i="13" s="1"/>
  <c r="I25" i="13"/>
  <c r="H129" i="13"/>
  <c r="I129" i="13" s="1"/>
  <c r="H770" i="13"/>
  <c r="I770" i="13" s="1"/>
  <c r="H1103" i="13"/>
  <c r="I1103" i="13" s="1"/>
  <c r="I766" i="13"/>
  <c r="J766" i="13" s="1" a="1"/>
  <c r="J766" i="13" s="1"/>
  <c r="H76" i="13"/>
  <c r="I76" i="13" s="1"/>
  <c r="H154" i="13"/>
  <c r="I154" i="13" s="1"/>
  <c r="H188" i="13"/>
  <c r="I188" i="13" s="1"/>
  <c r="H266" i="13"/>
  <c r="I266" i="13" s="1"/>
  <c r="I219" i="13"/>
  <c r="H339" i="13"/>
  <c r="I339" i="13" s="1"/>
  <c r="H648" i="13"/>
  <c r="I648" i="13" s="1"/>
  <c r="H336" i="13"/>
  <c r="I336" i="13" s="1"/>
  <c r="H47" i="13"/>
  <c r="I47" i="13" s="1"/>
  <c r="I670" i="13"/>
  <c r="H551" i="13"/>
  <c r="I551" i="13" s="1"/>
  <c r="H804" i="13"/>
  <c r="I804" i="13" s="1"/>
  <c r="H186" i="13"/>
  <c r="I186" i="13" s="1"/>
  <c r="I348" i="13"/>
  <c r="H85" i="13"/>
  <c r="I85" i="13" s="1"/>
  <c r="I604" i="13"/>
  <c r="H7" i="13"/>
  <c r="I7" i="13" s="1"/>
  <c r="H1258" i="13"/>
  <c r="I1258" i="13" s="1"/>
  <c r="I1225" i="13"/>
  <c r="H327" i="13"/>
  <c r="I327" i="13" s="1"/>
  <c r="H1255" i="13"/>
  <c r="I1255" i="13" s="1"/>
  <c r="H249" i="13"/>
  <c r="I249" i="13" s="1"/>
  <c r="H914" i="13"/>
  <c r="I914" i="13" s="1"/>
  <c r="H86" i="13"/>
  <c r="I86" i="13" s="1"/>
  <c r="I355" i="13"/>
  <c r="I823" i="13"/>
  <c r="H593" i="13"/>
  <c r="I593" i="13" s="1"/>
  <c r="H204" i="13"/>
  <c r="I204" i="13" s="1"/>
  <c r="H282" i="13"/>
  <c r="I282" i="13" s="1"/>
  <c r="H11" i="13"/>
  <c r="I11" i="13" s="1"/>
  <c r="H793" i="13"/>
  <c r="I793" i="13" s="1"/>
  <c r="H193" i="13"/>
  <c r="I193" i="13" s="1"/>
  <c r="J193" i="13" s="1" a="1"/>
  <c r="J193" i="13" s="1"/>
  <c r="H88" i="13"/>
  <c r="I88" i="13" s="1"/>
  <c r="H382" i="13"/>
  <c r="I382" i="13" s="1"/>
  <c r="I1035" i="13"/>
  <c r="H59" i="13"/>
  <c r="I59" i="13" s="1"/>
  <c r="H936" i="13"/>
  <c r="I936" i="13" s="1"/>
  <c r="H362" i="13"/>
  <c r="I362" i="13" s="1"/>
  <c r="H24" i="13"/>
  <c r="I24" i="13" s="1"/>
  <c r="H415" i="13"/>
  <c r="I415" i="13" s="1"/>
  <c r="J415" i="13" s="1" a="1"/>
  <c r="J415" i="13" s="1"/>
  <c r="H513" i="13"/>
  <c r="I513" i="13" s="1"/>
  <c r="H1111" i="13"/>
  <c r="I1111" i="13" s="1"/>
  <c r="I440" i="13"/>
  <c r="H347" i="13"/>
  <c r="I347" i="13" s="1"/>
  <c r="H394" i="13"/>
  <c r="I394" i="13" s="1"/>
  <c r="I889" i="13"/>
  <c r="H94" i="13"/>
  <c r="I94" i="13" s="1"/>
  <c r="H114" i="13"/>
  <c r="I114" i="13" s="1"/>
  <c r="H261" i="13"/>
  <c r="I261" i="13" s="1"/>
  <c r="H312" i="13"/>
  <c r="I312" i="13" s="1"/>
  <c r="I1147" i="13"/>
  <c r="H862" i="13"/>
  <c r="I862" i="13" s="1"/>
  <c r="H641" i="13"/>
  <c r="I641" i="13" s="1"/>
  <c r="H262" i="13"/>
  <c r="I262" i="13" s="1"/>
  <c r="H246" i="13"/>
  <c r="I246" i="13" s="1"/>
  <c r="I168" i="13"/>
  <c r="H1211" i="13"/>
  <c r="I1211" i="13" s="1"/>
  <c r="H48" i="13"/>
  <c r="I48" i="13" s="1"/>
  <c r="H1158" i="13"/>
  <c r="I1158" i="13" s="1"/>
  <c r="I118" i="13"/>
  <c r="H1099" i="13"/>
  <c r="I1099" i="13" s="1"/>
  <c r="H600" i="13"/>
  <c r="I600" i="13" s="1"/>
  <c r="I30" i="13"/>
  <c r="H56" i="13"/>
  <c r="I56" i="13" s="1"/>
  <c r="H304" i="13"/>
  <c r="I304" i="13" s="1"/>
  <c r="J304" i="13" s="1" a="1"/>
  <c r="J304" i="13" s="1"/>
  <c r="H192" i="13"/>
  <c r="I192" i="13" s="1"/>
  <c r="H50" i="13"/>
  <c r="I50" i="13" s="1"/>
  <c r="I1120" i="13"/>
  <c r="H1236" i="13"/>
  <c r="I1236" i="13" s="1"/>
  <c r="H1119" i="13"/>
  <c r="I1119" i="13" s="1"/>
  <c r="H79" i="13"/>
  <c r="I79" i="13" s="1"/>
  <c r="H52" i="13"/>
  <c r="I52" i="13" s="1"/>
  <c r="I247" i="13"/>
  <c r="H1150" i="13"/>
  <c r="I1150" i="13" s="1"/>
  <c r="I527" i="13"/>
  <c r="H313" i="13"/>
  <c r="I313" i="13" s="1"/>
  <c r="H260" i="13"/>
  <c r="I260" i="13" s="1"/>
  <c r="H540" i="13"/>
  <c r="I540" i="13" s="1"/>
  <c r="H434" i="13"/>
  <c r="I434" i="13" s="1"/>
  <c r="I935" i="13"/>
  <c r="H1217" i="13"/>
  <c r="I1217" i="13" s="1"/>
  <c r="I923" i="13"/>
  <c r="H346" i="13"/>
  <c r="I346" i="13" s="1"/>
  <c r="H150" i="13"/>
  <c r="I150" i="13" s="1"/>
  <c r="H954" i="13"/>
  <c r="I954" i="13" s="1"/>
  <c r="H1144" i="13"/>
  <c r="I1144" i="13" s="1"/>
  <c r="H1215" i="13"/>
  <c r="I1215" i="13" s="1"/>
  <c r="H351" i="13"/>
  <c r="I351" i="13" s="1"/>
  <c r="H356" i="13"/>
  <c r="I356" i="13" s="1"/>
  <c r="H409" i="13"/>
  <c r="I409" i="13" s="1"/>
  <c r="H1259" i="13"/>
  <c r="I1259" i="13" s="1"/>
  <c r="H267" i="13"/>
  <c r="I267" i="13" s="1"/>
  <c r="H22" i="13"/>
  <c r="I22" i="13" s="1"/>
  <c r="H1271" i="13"/>
  <c r="I1271" i="13" s="1"/>
  <c r="H1266" i="13"/>
  <c r="I1266" i="13" s="1"/>
  <c r="H40" i="13"/>
  <c r="I40" i="13" s="1"/>
  <c r="H1153" i="13"/>
  <c r="I1153" i="13" s="1"/>
  <c r="H589" i="13"/>
  <c r="I589" i="13" s="1"/>
  <c r="I1261" i="13"/>
  <c r="H1218" i="13"/>
  <c r="I1218" i="13" s="1"/>
  <c r="I194" i="13"/>
  <c r="H289" i="13"/>
  <c r="I289" i="13" s="1"/>
  <c r="I152" i="13"/>
  <c r="H503" i="13"/>
  <c r="I503" i="13" s="1"/>
  <c r="I310" i="13"/>
  <c r="J310" i="13" s="1" a="1"/>
  <c r="J310" i="13" s="1"/>
  <c r="H800" i="13"/>
  <c r="I800" i="13" s="1"/>
  <c r="H361" i="13"/>
  <c r="I361" i="13" s="1"/>
  <c r="H130" i="13"/>
  <c r="I130" i="13" s="1"/>
  <c r="H4" i="13"/>
  <c r="I4" i="13" s="1"/>
  <c r="H65" i="13"/>
  <c r="I65" i="13" s="1"/>
  <c r="H63" i="13"/>
  <c r="I63" i="13" s="1"/>
  <c r="H1143" i="13"/>
  <c r="I1143" i="13" s="1"/>
  <c r="H221" i="13"/>
  <c r="I221" i="13" s="1"/>
  <c r="I363" i="13"/>
  <c r="H136" i="13"/>
  <c r="I136" i="13" s="1"/>
  <c r="H202" i="13"/>
  <c r="I202" i="13" s="1"/>
  <c r="I90" i="13"/>
  <c r="I185" i="13"/>
  <c r="J184" i="13" s="1" a="1"/>
  <c r="J184" i="13" s="1"/>
  <c r="H73" i="13"/>
  <c r="I73" i="13" s="1"/>
  <c r="H342" i="13"/>
  <c r="I342" i="13" s="1"/>
  <c r="H12" i="13"/>
  <c r="I12" i="13" s="1"/>
  <c r="H64" i="13"/>
  <c r="I64" i="13" s="1"/>
  <c r="I61" i="13"/>
  <c r="H60" i="13"/>
  <c r="I60" i="13" s="1"/>
  <c r="I1254" i="13"/>
  <c r="H1277" i="13"/>
  <c r="I1277" i="13" s="1"/>
  <c r="H6" i="13"/>
  <c r="I6" i="13" s="1"/>
  <c r="H74" i="13"/>
  <c r="I74" i="13" s="1"/>
  <c r="H632" i="13"/>
  <c r="I632" i="13" s="1"/>
  <c r="H44" i="13"/>
  <c r="I44" i="13" s="1"/>
  <c r="I643" i="13"/>
  <c r="H179" i="13"/>
  <c r="I179" i="13" s="1"/>
  <c r="H335" i="13"/>
  <c r="I335" i="13" s="1"/>
  <c r="H433" i="13"/>
  <c r="I433" i="13" s="1"/>
  <c r="H15" i="13"/>
  <c r="I15" i="13" s="1"/>
  <c r="I285" i="13"/>
  <c r="H148" i="13"/>
  <c r="I148" i="13" s="1"/>
  <c r="J148" i="13" s="1" a="1"/>
  <c r="J148" i="13" s="1"/>
  <c r="H170" i="13"/>
  <c r="I170" i="13" s="1"/>
  <c r="H930" i="13"/>
  <c r="I930" i="13" s="1"/>
  <c r="H277" i="13"/>
  <c r="I277" i="13" s="1"/>
  <c r="H109" i="13"/>
  <c r="I109" i="13" s="1"/>
  <c r="H26" i="13"/>
  <c r="I26" i="13" s="1"/>
  <c r="H78" i="13"/>
  <c r="I78" i="13" s="1"/>
  <c r="H1237" i="13"/>
  <c r="I1237" i="13" s="1"/>
  <c r="I1239" i="13"/>
  <c r="H298" i="13"/>
  <c r="I298" i="13" s="1"/>
  <c r="H279" i="13"/>
  <c r="I279" i="13" s="1"/>
  <c r="I359" i="13"/>
  <c r="H236" i="13"/>
  <c r="I236" i="13" s="1"/>
  <c r="H200" i="13"/>
  <c r="I200" i="13" s="1"/>
  <c r="H1265" i="13"/>
  <c r="I1265" i="13" s="1"/>
  <c r="I384" i="13"/>
  <c r="H81" i="13"/>
  <c r="I81" i="13" s="1"/>
  <c r="H637" i="13"/>
  <c r="I637" i="13" s="1"/>
  <c r="H338" i="13"/>
  <c r="I338" i="13" s="1"/>
  <c r="H517" i="13"/>
  <c r="I517" i="13" s="1"/>
  <c r="H1221" i="13"/>
  <c r="I1221" i="13" s="1"/>
  <c r="I165" i="13"/>
  <c r="H792" i="13"/>
  <c r="I792" i="13" s="1"/>
  <c r="I1212" i="13"/>
  <c r="H122" i="13"/>
  <c r="I122" i="13" s="1"/>
  <c r="H934" i="13"/>
  <c r="I934" i="13" s="1"/>
  <c r="H500" i="13"/>
  <c r="I500" i="13" s="1"/>
  <c r="I771" i="13"/>
  <c r="H227" i="13"/>
  <c r="I227" i="13" s="1"/>
  <c r="H153" i="13"/>
  <c r="I153" i="13" s="1"/>
  <c r="H291" i="13"/>
  <c r="I291" i="13" s="1"/>
  <c r="H268" i="13"/>
  <c r="I268" i="13" s="1"/>
  <c r="H1115" i="13"/>
  <c r="I1115" i="13" s="1"/>
  <c r="H17" i="13"/>
  <c r="I17" i="13" s="1"/>
  <c r="H892" i="13"/>
  <c r="I892" i="13" s="1"/>
  <c r="I520" i="13"/>
  <c r="H117" i="13"/>
  <c r="I117" i="13" s="1"/>
  <c r="H205" i="13"/>
  <c r="I205" i="13" s="1"/>
  <c r="I233" i="13"/>
  <c r="H241" i="13"/>
  <c r="I241" i="13" s="1"/>
  <c r="H300" i="13"/>
  <c r="I300" i="13" s="1"/>
  <c r="H8" i="13"/>
  <c r="I8" i="13" s="1"/>
  <c r="H93" i="13"/>
  <c r="I93" i="13" s="1"/>
  <c r="I861" i="13"/>
  <c r="H1262" i="13"/>
  <c r="I1262" i="13" s="1"/>
  <c r="I1257" i="13"/>
  <c r="I1272" i="13"/>
  <c r="I228" i="13"/>
  <c r="H796" i="13"/>
  <c r="I796" i="13" s="1"/>
  <c r="I248" i="13"/>
  <c r="H386" i="13"/>
  <c r="I386" i="13" s="1"/>
  <c r="I31" i="13"/>
  <c r="I1110" i="13"/>
  <c r="H203" i="13"/>
  <c r="I203" i="13" s="1"/>
  <c r="I929" i="13"/>
  <c r="H496" i="13"/>
  <c r="I496" i="13" s="1"/>
  <c r="H284" i="13"/>
  <c r="I284" i="13" s="1"/>
  <c r="H927" i="13"/>
  <c r="I927" i="13" s="1"/>
  <c r="H1113" i="13"/>
  <c r="I1113" i="13" s="1"/>
  <c r="I1149" i="13"/>
  <c r="H240" i="13"/>
  <c r="I240" i="13" s="1"/>
  <c r="I171" i="13"/>
  <c r="J7" i="13" l="1" a="1"/>
  <c r="J7" i="13" s="1"/>
  <c r="J1208" i="13" a="1"/>
  <c r="J1208" i="13" s="1"/>
  <c r="J787" i="13" a="1"/>
  <c r="J787" i="13" s="1"/>
  <c r="J9" i="13" a="1"/>
  <c r="J9" i="13" s="1"/>
  <c r="J1193" i="13" a="1"/>
  <c r="J1193" i="13" s="1"/>
  <c r="J606" i="13" a="1"/>
  <c r="J606" i="13" s="1"/>
  <c r="J967" i="13" a="1"/>
  <c r="J967" i="13" s="1"/>
  <c r="J1156" i="13" a="1"/>
  <c r="J1156" i="13" s="1"/>
  <c r="J1097" i="13" a="1"/>
  <c r="J1097" i="13" s="1"/>
  <c r="J1114" i="13" a="1"/>
  <c r="J1114" i="13" s="1"/>
  <c r="J114" i="13" a="1"/>
  <c r="J114" i="13" s="1"/>
  <c r="J944" i="13" a="1"/>
  <c r="J944" i="13" s="1"/>
  <c r="J1203" i="13" a="1"/>
  <c r="J1203" i="13" s="1"/>
  <c r="J72" i="13" a="1"/>
  <c r="J72" i="13" s="1"/>
  <c r="J1092" i="13" a="1"/>
  <c r="J1092" i="13" s="1"/>
  <c r="J213" i="13" a="1"/>
  <c r="J213" i="13" s="1"/>
  <c r="J1161" i="13" a="1"/>
  <c r="J1161" i="13" s="1"/>
  <c r="J171" i="13" a="1"/>
  <c r="J171" i="13" s="1"/>
  <c r="J245" i="13" a="1"/>
  <c r="J245" i="13" s="1"/>
  <c r="J696" i="13" a="1"/>
  <c r="J696" i="13" s="1"/>
  <c r="J1171" i="13" a="1"/>
  <c r="J1171" i="13" s="1"/>
  <c r="J607" i="13" a="1"/>
  <c r="J607" i="13" s="1"/>
  <c r="J947" i="13" a="1"/>
  <c r="J947" i="13" s="1"/>
  <c r="J1188" i="13" a="1"/>
  <c r="J1188" i="13" s="1"/>
  <c r="J952" i="13" a="1"/>
  <c r="J952" i="13" s="1"/>
  <c r="J781" i="13" a="1"/>
  <c r="J781" i="13" s="1"/>
  <c r="J149" i="13" a="1"/>
  <c r="J149" i="13" s="1"/>
  <c r="J1160" i="13" a="1"/>
  <c r="J1160" i="13" s="1"/>
  <c r="J238" i="13" a="1"/>
  <c r="J238" i="13" s="1"/>
  <c r="J587" i="13" a="1"/>
  <c r="J587" i="13" s="1"/>
  <c r="J1054" i="13" a="1"/>
  <c r="J1054" i="13" s="1"/>
  <c r="J604" i="13" a="1"/>
  <c r="J604" i="13" s="1"/>
  <c r="J10" i="13" a="1"/>
  <c r="J10" i="13" s="1"/>
  <c r="J420" i="13" a="1"/>
  <c r="J420" i="13" s="1"/>
  <c r="J150" i="13" a="1"/>
  <c r="J150" i="13" s="1"/>
  <c r="J143" i="13" a="1"/>
  <c r="J143" i="13" s="1"/>
  <c r="J1199" i="13" a="1"/>
  <c r="J1199" i="13" s="1"/>
  <c r="J1205" i="13" a="1"/>
  <c r="J1205" i="13" s="1"/>
  <c r="J221" i="13" a="1"/>
  <c r="J221" i="13" s="1"/>
  <c r="J84" i="13" a="1"/>
  <c r="J84" i="13" s="1"/>
  <c r="J8" i="13" a="1"/>
  <c r="J8" i="13" s="1"/>
  <c r="J637" i="13" a="1"/>
  <c r="J637" i="13" s="1"/>
  <c r="J440" i="13" a="1"/>
  <c r="J440" i="13" s="1"/>
  <c r="J593" i="13" a="1"/>
  <c r="J593" i="13" s="1"/>
  <c r="J405" i="13" a="1"/>
  <c r="J405" i="13" s="1"/>
  <c r="J687" i="13" a="1"/>
  <c r="J687" i="13" s="1"/>
  <c r="J1019" i="13" a="1"/>
  <c r="J1019" i="13" s="1"/>
  <c r="J1118" i="13" a="1"/>
  <c r="J1118" i="13" s="1"/>
  <c r="J75" i="13" a="1"/>
  <c r="J75" i="13" s="1"/>
  <c r="J782" i="13" a="1"/>
  <c r="J782" i="13" s="1"/>
  <c r="J1126" i="13" a="1"/>
  <c r="J1126" i="13" s="1"/>
  <c r="J1157" i="13" a="1"/>
  <c r="J1157" i="13" s="1"/>
  <c r="J960" i="13" a="1"/>
  <c r="J960" i="13" s="1"/>
  <c r="J1100" i="13" a="1"/>
  <c r="J1100" i="13" s="1"/>
  <c r="J946" i="13" a="1"/>
  <c r="J946" i="13" s="1"/>
  <c r="J692" i="13" a="1"/>
  <c r="J692" i="13" s="1"/>
  <c r="J1050" i="13" a="1"/>
  <c r="J1050" i="13" s="1"/>
  <c r="J972" i="13" a="1"/>
  <c r="J972" i="13" s="1"/>
  <c r="J958" i="13" a="1"/>
  <c r="J958" i="13" s="1"/>
  <c r="J122" i="13" a="1"/>
  <c r="J122" i="13" s="1"/>
  <c r="J81" i="13" a="1"/>
  <c r="J81" i="13" s="1"/>
  <c r="J170" i="13" a="1"/>
  <c r="J170" i="13" s="1"/>
  <c r="J192" i="13" a="1"/>
  <c r="J192" i="13" s="1"/>
  <c r="J312" i="13" a="1"/>
  <c r="J312" i="13" s="1"/>
  <c r="J636" i="13" a="1"/>
  <c r="J636" i="13" s="1"/>
  <c r="J82" i="13" a="1"/>
  <c r="J82" i="13" s="1"/>
  <c r="J1028" i="13" a="1"/>
  <c r="J1028" i="13" s="1"/>
  <c r="J633" i="13" a="1"/>
  <c r="J633" i="13" s="1"/>
  <c r="J309" i="13" a="1"/>
  <c r="J309" i="13" s="1"/>
  <c r="J146" i="13" a="1"/>
  <c r="J146" i="13" s="1"/>
  <c r="J1191" i="13" a="1"/>
  <c r="J1191" i="13" s="1"/>
  <c r="J939" i="13" a="1"/>
  <c r="J939" i="13" s="1"/>
  <c r="J399" i="13" a="1"/>
  <c r="J399" i="13" s="1"/>
  <c r="J514" i="13" a="1"/>
  <c r="J514" i="13" s="1"/>
  <c r="J780" i="13" a="1"/>
  <c r="J780" i="13" s="1"/>
  <c r="J115" i="13" a="1"/>
  <c r="J115" i="13" s="1"/>
  <c r="J666" i="13" a="1"/>
  <c r="J666" i="13" s="1"/>
  <c r="J937" i="13" a="1"/>
  <c r="J937" i="13" s="1"/>
  <c r="J569" i="13" a="1"/>
  <c r="J569" i="13" s="1"/>
  <c r="J1165" i="13" a="1"/>
  <c r="J1165" i="13" s="1"/>
  <c r="J1184" i="13" a="1"/>
  <c r="J1184" i="13" s="1"/>
  <c r="J1175" i="13" a="1"/>
  <c r="J1175" i="13" s="1"/>
  <c r="J1182" i="13" a="1"/>
  <c r="J1182" i="13" s="1"/>
  <c r="J1177" i="13" a="1"/>
  <c r="J1177" i="13" s="1"/>
  <c r="J439" i="13" a="1"/>
  <c r="J439" i="13" s="1"/>
  <c r="J437" i="13" a="1"/>
  <c r="J437" i="13" s="1"/>
  <c r="J449" i="13" a="1"/>
  <c r="J449" i="13" s="1"/>
  <c r="J1116" i="13" a="1"/>
  <c r="J1116" i="13" s="1"/>
  <c r="J1115" i="13" a="1"/>
  <c r="J1115" i="13" s="1"/>
  <c r="J1101" i="13" a="1"/>
  <c r="J1101" i="13" s="1"/>
  <c r="J1120" i="13" a="1"/>
  <c r="J1120" i="13" s="1"/>
  <c r="J1104" i="13" a="1"/>
  <c r="J1104" i="13" s="1"/>
  <c r="J901" i="13" a="1"/>
  <c r="J901" i="13" s="1"/>
  <c r="J507" i="13" a="1"/>
  <c r="J507" i="13" s="1"/>
  <c r="J685" i="13" a="1"/>
  <c r="J685" i="13" s="1"/>
  <c r="J408" i="13" a="1"/>
  <c r="J408" i="13" s="1"/>
  <c r="J1113" i="13" a="1"/>
  <c r="J1113" i="13" s="1"/>
  <c r="J892" i="13" a="1"/>
  <c r="J892" i="13" s="1"/>
  <c r="J313" i="13" a="1"/>
  <c r="J313" i="13" s="1"/>
  <c r="J23" i="13" a="1"/>
  <c r="J23" i="13" s="1"/>
  <c r="J608" i="13" a="1"/>
  <c r="J608" i="13" s="1"/>
  <c r="J208" i="13" a="1"/>
  <c r="J208" i="13" s="1"/>
  <c r="J681" i="13" a="1"/>
  <c r="J681" i="13" s="1"/>
  <c r="J25" i="13" a="1"/>
  <c r="J25" i="13" s="1"/>
  <c r="J1096" i="13" a="1"/>
  <c r="J1096" i="13" s="1"/>
  <c r="J1125" i="13" a="1"/>
  <c r="J1125" i="13" s="1"/>
  <c r="J1020" i="13" a="1"/>
  <c r="J1020" i="13" s="1"/>
  <c r="J27" i="13" a="1"/>
  <c r="J27" i="13" s="1"/>
  <c r="J1049" i="13" a="1"/>
  <c r="J1049" i="13" s="1"/>
  <c r="J107" i="13" a="1"/>
  <c r="J107" i="13" s="1"/>
  <c r="J108" i="13" a="1"/>
  <c r="J108" i="13" s="1"/>
  <c r="J175" i="13" a="1"/>
  <c r="J175" i="13" s="1"/>
  <c r="J511" i="13" a="1"/>
  <c r="J511" i="13" s="1"/>
  <c r="J695" i="13" a="1"/>
  <c r="J695" i="13" s="1"/>
  <c r="J691" i="13" a="1"/>
  <c r="J691" i="13" s="1"/>
  <c r="J690" i="13" a="1"/>
  <c r="J690" i="13" s="1"/>
  <c r="J1098" i="13" a="1"/>
  <c r="J1098" i="13" s="1"/>
  <c r="J1024" i="13" a="1"/>
  <c r="J1024" i="13" s="1"/>
  <c r="J942" i="13" a="1"/>
  <c r="J942" i="13" s="1"/>
  <c r="J945" i="13" a="1"/>
  <c r="J945" i="13" s="1"/>
  <c r="J1051" i="13" a="1"/>
  <c r="J1051" i="13" s="1"/>
  <c r="J1124" i="13" a="1"/>
  <c r="J1124" i="13" s="1"/>
  <c r="J198" i="13" a="1"/>
  <c r="J198" i="13" s="1"/>
  <c r="J510" i="13" a="1"/>
  <c r="J510" i="13" s="1"/>
  <c r="J879" i="13" a="1"/>
  <c r="J879" i="13" s="1"/>
  <c r="J18" i="13" a="1"/>
  <c r="J18" i="13" s="1"/>
  <c r="J142" i="13" a="1"/>
  <c r="J142" i="13" s="1"/>
  <c r="J911" i="13" a="1"/>
  <c r="J911" i="13" s="1"/>
  <c r="J83" i="13" a="1"/>
  <c r="J83" i="13" s="1"/>
  <c r="J609" i="13" a="1"/>
  <c r="J609" i="13" s="1"/>
  <c r="J145" i="13" a="1"/>
  <c r="J145" i="13" s="1"/>
  <c r="J1030" i="13" a="1"/>
  <c r="J1030" i="13" s="1"/>
  <c r="J1009" i="13" a="1"/>
  <c r="J1009" i="13" s="1"/>
  <c r="J1170" i="13" a="1"/>
  <c r="J1170" i="13" s="1"/>
  <c r="J1202" i="13" a="1"/>
  <c r="J1202" i="13" s="1"/>
  <c r="J1032" i="13" a="1"/>
  <c r="J1032" i="13" s="1"/>
  <c r="J1027" i="13" a="1"/>
  <c r="J1027" i="13" s="1"/>
  <c r="J308" i="13" a="1"/>
  <c r="J308" i="13" s="1"/>
  <c r="J410" i="13" a="1"/>
  <c r="J410" i="13" s="1"/>
  <c r="J195" i="13" a="1"/>
  <c r="J195" i="13" s="1"/>
  <c r="J441" i="13" a="1"/>
  <c r="J441" i="13" s="1"/>
  <c r="J943" i="13" a="1"/>
  <c r="J943" i="13" s="1"/>
  <c r="J197" i="13" a="1"/>
  <c r="J197" i="13" s="1"/>
  <c r="J1197" i="13" a="1"/>
  <c r="J1197" i="13" s="1"/>
  <c r="J886" i="13" a="1"/>
  <c r="J886" i="13" s="1"/>
  <c r="J1105" i="13" a="1"/>
  <c r="J1105" i="13" s="1"/>
  <c r="J888" i="13" a="1"/>
  <c r="J888" i="13" s="1"/>
  <c r="J1015" i="13" a="1"/>
  <c r="J1015" i="13" s="1"/>
  <c r="J301" i="13" a="1"/>
  <c r="J301" i="13" s="1"/>
  <c r="J302" i="13" a="1"/>
  <c r="J302" i="13" s="1"/>
  <c r="J21" i="13" a="1"/>
  <c r="J21" i="13" s="1"/>
  <c r="J19" i="13" a="1"/>
  <c r="J19" i="13" s="1"/>
  <c r="J908" i="13" a="1"/>
  <c r="J908" i="13" s="1"/>
  <c r="J314" i="13" a="1"/>
  <c r="J314" i="13" s="1"/>
  <c r="J1008" i="13" a="1"/>
  <c r="J1008" i="13" s="1"/>
  <c r="J1018" i="13" a="1"/>
  <c r="J1018" i="13" s="1"/>
  <c r="J1007" i="13" a="1"/>
  <c r="J1007" i="13" s="1"/>
  <c r="J1016" i="13" a="1"/>
  <c r="J1016" i="13" s="1"/>
  <c r="J1014" i="13" a="1"/>
  <c r="J1014" i="13" s="1"/>
  <c r="J1010" i="13" a="1"/>
  <c r="J1010" i="13" s="1"/>
  <c r="J1012" i="13" a="1"/>
  <c r="J1012" i="13" s="1"/>
  <c r="J953" i="13" a="1"/>
  <c r="J953" i="13" s="1"/>
  <c r="J1011" i="13" a="1"/>
  <c r="J1011" i="13" s="1"/>
  <c r="J786" i="13" a="1"/>
  <c r="J786" i="13" s="1"/>
  <c r="J444" i="13" a="1"/>
  <c r="J444" i="13" s="1"/>
  <c r="J1181" i="13" a="1"/>
  <c r="J1181" i="13" s="1"/>
  <c r="J162" i="13" a="1"/>
  <c r="J162" i="13" s="1"/>
  <c r="J684" i="13" a="1"/>
  <c r="J684" i="13" s="1"/>
  <c r="J1013" i="13" a="1"/>
  <c r="J1013" i="13" s="1"/>
  <c r="J214" i="13" a="1"/>
  <c r="J214" i="13" s="1"/>
  <c r="J220" i="13" a="1"/>
  <c r="J220" i="13" s="1"/>
  <c r="J1192" i="13" a="1"/>
  <c r="J1192" i="13" s="1"/>
  <c r="J116" i="13" a="1"/>
  <c r="J116" i="13" s="1"/>
  <c r="J1158" i="13" a="1"/>
  <c r="J1158" i="13" s="1"/>
  <c r="J971" i="13" a="1"/>
  <c r="J971" i="13" s="1"/>
  <c r="J1168" i="13" a="1"/>
  <c r="J1168" i="13" s="1"/>
  <c r="J1187" i="13" a="1"/>
  <c r="J1187" i="13" s="1"/>
  <c r="J1204" i="13" a="1"/>
  <c r="J1204" i="13" s="1"/>
  <c r="J1121" i="13" a="1"/>
  <c r="J1121" i="13" s="1"/>
  <c r="J398" i="13" a="1"/>
  <c r="J398" i="13" s="1"/>
  <c r="J172" i="13" a="1"/>
  <c r="J172" i="13" s="1"/>
  <c r="J963" i="13" a="1"/>
  <c r="J963" i="13" s="1"/>
  <c r="J697" i="13" a="1"/>
  <c r="J697" i="13" s="1"/>
  <c r="J597" i="13" a="1"/>
  <c r="J597" i="13" s="1"/>
  <c r="J1127" i="13" a="1"/>
  <c r="J1127" i="13" s="1"/>
  <c r="J594" i="13" a="1"/>
  <c r="J594" i="13" s="1"/>
  <c r="J400" i="13" a="1"/>
  <c r="J400" i="13" s="1"/>
  <c r="J899" i="13" a="1"/>
  <c r="J899" i="13" s="1"/>
  <c r="J1173" i="13" a="1"/>
  <c r="J1173" i="13" s="1"/>
  <c r="J1106" i="13" a="1"/>
  <c r="J1106" i="13" s="1"/>
  <c r="J1133" i="13" a="1"/>
  <c r="J1133" i="13" s="1"/>
  <c r="J1180" i="13" a="1"/>
  <c r="J1180" i="13" s="1"/>
  <c r="J1107" i="13" a="1"/>
  <c r="J1107" i="13" s="1"/>
  <c r="J909" i="13" a="1"/>
  <c r="J909" i="13" s="1"/>
  <c r="J13" i="13" a="1"/>
  <c r="J13" i="13" s="1"/>
  <c r="J1112" i="13" a="1"/>
  <c r="J1112" i="13" s="1"/>
  <c r="J1117" i="13" a="1"/>
  <c r="J1117" i="13" s="1"/>
  <c r="J1052" i="13" a="1"/>
  <c r="J1052" i="13" s="1"/>
  <c r="J217" i="13" a="1"/>
  <c r="J217" i="13" s="1"/>
  <c r="J418" i="13" a="1"/>
  <c r="J418" i="13" s="1"/>
  <c r="J610" i="13" a="1"/>
  <c r="J610" i="13" s="1"/>
  <c r="J1201" i="13" a="1"/>
  <c r="J1201" i="13" s="1"/>
  <c r="J785" i="13" a="1"/>
  <c r="J785" i="13" s="1"/>
  <c r="J767" i="13" a="1"/>
  <c r="J767" i="13" s="1"/>
  <c r="J698" i="13" a="1"/>
  <c r="J698" i="13" s="1"/>
  <c r="J893" i="13" a="1"/>
  <c r="J893" i="13" s="1"/>
  <c r="J1089" i="13" a="1"/>
  <c r="J1089" i="13" s="1"/>
  <c r="J397" i="13" a="1"/>
  <c r="J397" i="13" s="1"/>
  <c r="J307" i="13" a="1"/>
  <c r="J307" i="13" s="1"/>
  <c r="J169" i="13" a="1"/>
  <c r="J169" i="13" s="1"/>
  <c r="J173" i="13" a="1"/>
  <c r="J173" i="13" s="1"/>
  <c r="J1166" i="13" a="1"/>
  <c r="J1166" i="13" s="1"/>
  <c r="J1172" i="13" a="1"/>
  <c r="J1172" i="13" s="1"/>
  <c r="J140" i="13" a="1"/>
  <c r="J140" i="13" s="1"/>
  <c r="J447" i="13" a="1"/>
  <c r="J447" i="13" s="1"/>
  <c r="J966" i="13" a="1"/>
  <c r="J966" i="13" s="1"/>
  <c r="J409" i="13" a="1"/>
  <c r="J409" i="13" s="1"/>
  <c r="J396" i="13" a="1"/>
  <c r="J396" i="13" s="1"/>
  <c r="J393" i="13" a="1"/>
  <c r="J393" i="13" s="1"/>
  <c r="J392" i="13" a="1"/>
  <c r="J392" i="13" s="1"/>
  <c r="J395" i="13" a="1"/>
  <c r="J395" i="13" s="1"/>
  <c r="J438" i="13" a="1"/>
  <c r="J438" i="13" s="1"/>
  <c r="J112" i="13" a="1"/>
  <c r="J112" i="13" s="1"/>
  <c r="J110" i="13" a="1"/>
  <c r="J110" i="13" s="1"/>
  <c r="J190" i="13" a="1"/>
  <c r="J190" i="13" s="1"/>
  <c r="J402" i="13" a="1"/>
  <c r="J402" i="13" s="1"/>
  <c r="J689" i="13" a="1"/>
  <c r="J689" i="13" s="1"/>
  <c r="J446" i="13" a="1"/>
  <c r="J446" i="13" s="1"/>
  <c r="J119" i="13" a="1"/>
  <c r="J119" i="13" s="1"/>
  <c r="J389" i="13" a="1"/>
  <c r="J389" i="13" s="1"/>
  <c r="J24" i="13" a="1"/>
  <c r="J24" i="13" s="1"/>
  <c r="J1103" i="13" a="1"/>
  <c r="J1103" i="13" s="1"/>
  <c r="J407" i="13" a="1"/>
  <c r="J407" i="13" s="1"/>
  <c r="J590" i="13" a="1"/>
  <c r="J590" i="13" s="1"/>
  <c r="J887" i="13" a="1"/>
  <c r="J887" i="13" s="1"/>
  <c r="J196" i="13" a="1"/>
  <c r="J196" i="13" s="1"/>
  <c r="J1134" i="13" a="1"/>
  <c r="J1134" i="13" s="1"/>
  <c r="J77" i="13" a="1"/>
  <c r="J77" i="13" s="1"/>
  <c r="J272" i="13" a="1"/>
  <c r="J272" i="13" s="1"/>
  <c r="J123" i="13" a="1"/>
  <c r="J123" i="13" s="1"/>
  <c r="J1162" i="13" a="1"/>
  <c r="J1162" i="13" s="1"/>
  <c r="J1159" i="13" a="1"/>
  <c r="J1159" i="13" s="1"/>
  <c r="J1055" i="13" a="1"/>
  <c r="J1055" i="13" s="1"/>
  <c r="J957" i="13" a="1"/>
  <c r="J957" i="13" s="1"/>
  <c r="J448" i="13" a="1"/>
  <c r="J448" i="13" s="1"/>
  <c r="J772" i="13" a="1"/>
  <c r="J772" i="13" s="1"/>
  <c r="J151" i="13" a="1"/>
  <c r="J151" i="13" s="1"/>
  <c r="J1137" i="13" a="1"/>
  <c r="J1137" i="13" s="1"/>
  <c r="J416" i="13" a="1"/>
  <c r="J416" i="13" s="1"/>
  <c r="J1088" i="13" a="1"/>
  <c r="J1088" i="13" s="1"/>
  <c r="J962" i="13" a="1"/>
  <c r="J962" i="13" s="1"/>
  <c r="J1164" i="13" a="1"/>
  <c r="J1164" i="13" s="1"/>
  <c r="J1179" i="13" a="1"/>
  <c r="J1179" i="13" s="1"/>
  <c r="J585" i="13" a="1"/>
  <c r="J585" i="13" s="1"/>
  <c r="J113" i="13" a="1"/>
  <c r="J113" i="13" s="1"/>
  <c r="J118" i="13" a="1"/>
  <c r="J118" i="13" s="1"/>
  <c r="J777" i="13" a="1"/>
  <c r="J777" i="13" s="1"/>
  <c r="J778" i="13" a="1"/>
  <c r="J778" i="13" s="1"/>
  <c r="J765" i="13" a="1"/>
  <c r="J765" i="13" s="1"/>
  <c r="J769" i="13" a="1"/>
  <c r="J769" i="13" s="1"/>
  <c r="J768" i="13" a="1"/>
  <c r="J768" i="13" s="1"/>
  <c r="J775" i="13" a="1"/>
  <c r="J775" i="13" s="1"/>
  <c r="J764" i="13" a="1"/>
  <c r="J764" i="13" s="1"/>
  <c r="J774" i="13" a="1"/>
  <c r="J774" i="13" s="1"/>
  <c r="J686" i="13" a="1"/>
  <c r="J686" i="13" s="1"/>
  <c r="J218" i="13" a="1"/>
  <c r="J218" i="13" s="1"/>
  <c r="J311" i="13" a="1"/>
  <c r="J311" i="13" s="1"/>
  <c r="J1200" i="13" a="1"/>
  <c r="J1200" i="13" s="1"/>
  <c r="J1185" i="13" a="1"/>
  <c r="J1185" i="13" s="1"/>
  <c r="J443" i="13" a="1"/>
  <c r="J443" i="13" s="1"/>
  <c r="J121" i="13" a="1"/>
  <c r="J121" i="13" s="1"/>
  <c r="J1132" i="13" a="1"/>
  <c r="J1132" i="13" s="1"/>
  <c r="J1022" i="13" a="1"/>
  <c r="J1022" i="13" s="1"/>
  <c r="J679" i="13" a="1"/>
  <c r="J679" i="13" s="1"/>
  <c r="J968" i="13" a="1"/>
  <c r="J968" i="13" s="1"/>
  <c r="J1198" i="13" a="1"/>
  <c r="J1198" i="13" s="1"/>
  <c r="J1094" i="13" a="1"/>
  <c r="J1094" i="13" s="1"/>
  <c r="J216" i="13" a="1"/>
  <c r="J216" i="13" s="1"/>
  <c r="J76" i="13" a="1"/>
  <c r="J76" i="13" s="1"/>
  <c r="J403" i="13" a="1"/>
  <c r="J403" i="13" s="1"/>
  <c r="J902" i="13" a="1"/>
  <c r="J902" i="13" s="1"/>
  <c r="J258" i="13" a="1"/>
  <c r="J258" i="13" s="1"/>
  <c r="J1123" i="13" a="1"/>
  <c r="J1123" i="13" s="1"/>
  <c r="J1138" i="13" a="1"/>
  <c r="J1138" i="13" s="1"/>
  <c r="J1139" i="13" a="1"/>
  <c r="J1139" i="13" s="1"/>
  <c r="J105" i="13" a="1"/>
  <c r="J105" i="13" s="1"/>
  <c r="J106" i="13" a="1"/>
  <c r="J106" i="13" s="1"/>
  <c r="J1029" i="13" a="1"/>
  <c r="J1029" i="13" s="1"/>
  <c r="J784" i="13" a="1"/>
  <c r="J784" i="13" s="1"/>
  <c r="J80" i="13" a="1"/>
  <c r="J80" i="13" s="1"/>
  <c r="J1095" i="13" a="1"/>
  <c r="J1095" i="13" s="1"/>
  <c r="J683" i="13" a="1"/>
  <c r="J683" i="13" s="1"/>
  <c r="J779" i="13" a="1"/>
  <c r="J779" i="13" s="1"/>
  <c r="U779" i="13" s="1"/>
  <c r="J1135" i="13" a="1"/>
  <c r="J1135" i="13" s="1"/>
  <c r="J6" i="13" a="1"/>
  <c r="J6" i="13" s="1"/>
  <c r="J117" i="13" a="1"/>
  <c r="J117" i="13" s="1"/>
  <c r="J600" i="13" a="1"/>
  <c r="J600" i="13" s="1"/>
  <c r="J770" i="13" a="1"/>
  <c r="J770" i="13" s="1"/>
  <c r="J596" i="13" a="1"/>
  <c r="J596" i="13" s="1"/>
  <c r="J442" i="13" a="1"/>
  <c r="J442" i="13" s="1"/>
  <c r="J305" i="13" a="1"/>
  <c r="J305" i="13" s="1"/>
  <c r="T305" i="13" s="1"/>
  <c r="J390" i="13" a="1"/>
  <c r="J390" i="13" s="1"/>
  <c r="J141" i="13" a="1"/>
  <c r="J141" i="13" s="1"/>
  <c r="J147" i="13" a="1"/>
  <c r="J147" i="13" s="1"/>
  <c r="J412" i="13" a="1"/>
  <c r="J412" i="13" s="1"/>
  <c r="J680" i="13" a="1"/>
  <c r="J680" i="13" s="1"/>
  <c r="J688" i="13" a="1"/>
  <c r="J688" i="13" s="1"/>
  <c r="J882" i="13" a="1"/>
  <c r="J882" i="13" s="1"/>
  <c r="J883" i="13" a="1"/>
  <c r="J883" i="13" s="1"/>
  <c r="J881" i="13" a="1"/>
  <c r="J881" i="13" s="1"/>
  <c r="J885" i="13" a="1"/>
  <c r="J885" i="13" s="1"/>
  <c r="J445" i="13" a="1"/>
  <c r="J445" i="13" s="1"/>
  <c r="J783" i="13" a="1"/>
  <c r="J783" i="13" s="1"/>
  <c r="J303" i="13" a="1"/>
  <c r="J303" i="13" s="1"/>
  <c r="J306" i="13" a="1"/>
  <c r="J306" i="13" s="1"/>
  <c r="U306" i="13" s="1"/>
  <c r="J693" i="13" a="1"/>
  <c r="J693" i="13" s="1"/>
  <c r="J1183" i="13" a="1"/>
  <c r="J1183" i="13" s="1"/>
  <c r="J884" i="13" a="1"/>
  <c r="J884" i="13" s="1"/>
  <c r="J667" i="13" a="1"/>
  <c r="J667" i="13" s="1"/>
  <c r="J603" i="13" a="1"/>
  <c r="J603" i="13" s="1"/>
  <c r="J956" i="13" a="1"/>
  <c r="J956" i="13" s="1"/>
  <c r="J417" i="13" a="1"/>
  <c r="J417" i="13" s="1"/>
  <c r="J422" i="13" a="1"/>
  <c r="J422" i="13" s="1"/>
  <c r="J411" i="13" a="1"/>
  <c r="J411" i="13" s="1"/>
  <c r="J419" i="13" a="1"/>
  <c r="J419" i="13" s="1"/>
  <c r="J414" i="13" a="1"/>
  <c r="J414" i="13" s="1"/>
  <c r="J189" i="13" a="1"/>
  <c r="J189" i="13" s="1"/>
  <c r="J191" i="13" a="1"/>
  <c r="J191" i="13" s="1"/>
  <c r="J1048" i="13" a="1"/>
  <c r="J1048" i="13" s="1"/>
  <c r="J283" i="13" a="1"/>
  <c r="J283" i="13" s="1"/>
  <c r="J906" i="13" a="1"/>
  <c r="J906" i="13" s="1"/>
  <c r="J898" i="13" a="1"/>
  <c r="J898" i="13" s="1"/>
  <c r="J973" i="13" a="1"/>
  <c r="J973" i="13" s="1"/>
  <c r="J965" i="13" a="1"/>
  <c r="J965" i="13" s="1"/>
  <c r="J975" i="13" a="1"/>
  <c r="J975" i="13" s="1"/>
  <c r="J974" i="13" a="1"/>
  <c r="J974" i="13" s="1"/>
  <c r="J1194" i="13" a="1"/>
  <c r="J1194" i="13" s="1"/>
  <c r="J1190" i="13" a="1"/>
  <c r="J1190" i="13" s="1"/>
  <c r="J1209" i="13" a="1"/>
  <c r="J1209" i="13" s="1"/>
  <c r="J1189" i="13" a="1"/>
  <c r="J1189" i="13" s="1"/>
  <c r="J1196" i="13" a="1"/>
  <c r="J1196" i="13" s="1"/>
  <c r="J1093" i="13" a="1"/>
  <c r="J1093" i="13" s="1"/>
  <c r="J1084" i="13" a="1"/>
  <c r="J1084" i="13" s="1"/>
  <c r="J1083" i="13" a="1"/>
  <c r="J1083" i="13" s="1"/>
  <c r="J970" i="13" a="1"/>
  <c r="J970" i="13" s="1"/>
  <c r="J413" i="13" a="1"/>
  <c r="J413" i="13" s="1"/>
  <c r="J222" i="13" a="1"/>
  <c r="J222" i="13" s="1"/>
  <c r="J1131" i="13" a="1"/>
  <c r="J1131" i="13" s="1"/>
  <c r="J586" i="13" a="1"/>
  <c r="J586" i="13" s="1"/>
  <c r="J589" i="13" a="1"/>
  <c r="J589" i="13" s="1"/>
  <c r="J588" i="13" a="1"/>
  <c r="J588" i="13" s="1"/>
  <c r="J699" i="13" a="1"/>
  <c r="J699" i="13" s="1"/>
  <c r="J1023" i="13" a="1"/>
  <c r="J1023" i="13" s="1"/>
  <c r="J948" i="13" a="1"/>
  <c r="J948" i="13" s="1"/>
  <c r="J611" i="13" a="1"/>
  <c r="J611" i="13" s="1"/>
  <c r="J602" i="13" a="1"/>
  <c r="J602" i="13" s="1"/>
  <c r="J1025" i="13" a="1"/>
  <c r="J1025" i="13" s="1"/>
  <c r="J391" i="13" a="1"/>
  <c r="J391" i="13" s="1"/>
  <c r="J1130" i="13" a="1"/>
  <c r="J1130" i="13" s="1"/>
  <c r="J612" i="13" a="1"/>
  <c r="J612" i="13" s="1"/>
  <c r="J1090" i="13" a="1"/>
  <c r="J1090" i="13" s="1"/>
  <c r="J404" i="13" a="1"/>
  <c r="J404" i="13" s="1"/>
  <c r="J406" i="13" a="1"/>
  <c r="J406" i="13" s="1"/>
  <c r="J401" i="13" a="1"/>
  <c r="J401" i="13" s="1"/>
  <c r="J1174" i="13" a="1"/>
  <c r="J1174" i="13" s="1"/>
  <c r="J1026" i="13" a="1"/>
  <c r="J1026" i="13" s="1"/>
  <c r="J890" i="13" a="1"/>
  <c r="J890" i="13" s="1"/>
  <c r="J1128" i="13" a="1"/>
  <c r="J1128" i="13" s="1"/>
  <c r="J1102" i="13" a="1"/>
  <c r="J1102" i="13" s="1"/>
  <c r="J421" i="13" a="1"/>
  <c r="J421" i="13" s="1"/>
  <c r="J508" i="13" a="1"/>
  <c r="J508" i="13" s="1"/>
  <c r="J512" i="13" a="1"/>
  <c r="J512" i="13" s="1"/>
  <c r="J1140" i="13" a="1"/>
  <c r="J1140" i="13" s="1"/>
  <c r="J895" i="13" a="1"/>
  <c r="J895" i="13" s="1"/>
  <c r="J78" i="13" a="1"/>
  <c r="J78" i="13" s="1"/>
  <c r="J79" i="13" a="1"/>
  <c r="J79" i="13" s="1"/>
  <c r="J1110" i="13" a="1"/>
  <c r="J1110" i="13" s="1"/>
  <c r="J26" i="13" a="1"/>
  <c r="J26" i="13" s="1"/>
  <c r="J1119" i="13" a="1"/>
  <c r="J1119" i="13" s="1"/>
  <c r="J889" i="13" a="1"/>
  <c r="J889" i="13" s="1"/>
  <c r="J771" i="13" a="1"/>
  <c r="J771" i="13" s="1"/>
  <c r="J109" i="13" a="1"/>
  <c r="J109" i="13" s="1"/>
  <c r="J4" i="13" a="1"/>
  <c r="J4" i="13" s="1"/>
  <c r="J3" i="13" a="1"/>
  <c r="J3" i="13" s="1"/>
  <c r="I2" i="14" s="1"/>
  <c r="J5" i="13" a="1"/>
  <c r="J5" i="13" s="1"/>
  <c r="J194" i="13" a="1"/>
  <c r="J194" i="13" s="1"/>
  <c r="J22" i="13" a="1"/>
  <c r="J22" i="13" s="1"/>
  <c r="J954" i="13" a="1"/>
  <c r="J954" i="13" s="1"/>
  <c r="J1099" i="13" a="1"/>
  <c r="J1099" i="13" s="1"/>
  <c r="J394" i="13" a="1"/>
  <c r="J394" i="13" s="1"/>
  <c r="J219" i="13" a="1"/>
  <c r="J219" i="13" s="1"/>
  <c r="J776" i="13" a="1"/>
  <c r="J776" i="13" s="1"/>
  <c r="J905" i="13" a="1"/>
  <c r="J905" i="13" s="1"/>
  <c r="J949" i="13" a="1"/>
  <c r="J949" i="13" s="1"/>
  <c r="J1169" i="13" a="1"/>
  <c r="J1169" i="13" s="1"/>
  <c r="J682" i="13" a="1"/>
  <c r="J682" i="13" s="1"/>
  <c r="J907" i="13" a="1"/>
  <c r="J907" i="13" s="1"/>
  <c r="J135" i="13" a="1"/>
  <c r="J135" i="13" s="1"/>
  <c r="J941" i="13" a="1"/>
  <c r="J941" i="13" s="1"/>
  <c r="J509" i="13" a="1"/>
  <c r="J509" i="13" s="1"/>
  <c r="J234" i="13" a="1"/>
  <c r="J234" i="13" s="1"/>
  <c r="J513" i="13" a="1"/>
  <c r="J513" i="13" s="1"/>
  <c r="J506" i="13" a="1"/>
  <c r="J506" i="13" s="1"/>
  <c r="J950" i="13" a="1"/>
  <c r="J950" i="13" s="1"/>
  <c r="J964" i="13" a="1"/>
  <c r="J964" i="13" s="1"/>
  <c r="J961" i="13" a="1"/>
  <c r="J961" i="13" s="1"/>
  <c r="J959" i="13" a="1"/>
  <c r="J959" i="13" s="1"/>
  <c r="J694" i="13" a="1"/>
  <c r="J694" i="13" s="1"/>
  <c r="J1129" i="13" a="1"/>
  <c r="J1129" i="13" s="1"/>
  <c r="J1017" i="13" a="1"/>
  <c r="J1017" i="13" s="1"/>
  <c r="J1195" i="13" a="1"/>
  <c r="J1195" i="13" s="1"/>
  <c r="J903" i="13" a="1"/>
  <c r="J903" i="13" s="1"/>
  <c r="J1163" i="13" a="1"/>
  <c r="J1163" i="13" s="1"/>
  <c r="J1087" i="13" a="1"/>
  <c r="J1087" i="13" s="1"/>
  <c r="J515" i="13" a="1"/>
  <c r="J515" i="13" s="1"/>
  <c r="J605" i="13" a="1"/>
  <c r="J605" i="13" s="1"/>
  <c r="J598" i="13" a="1"/>
  <c r="J598" i="13" s="1"/>
  <c r="J599" i="13" a="1"/>
  <c r="J599" i="13" s="1"/>
  <c r="J595" i="13" a="1"/>
  <c r="J595" i="13" s="1"/>
  <c r="J773" i="13" a="1"/>
  <c r="J773" i="13" s="1"/>
  <c r="J1186" i="13" a="1"/>
  <c r="J1186" i="13" s="1"/>
  <c r="J1206" i="13" a="1"/>
  <c r="J1206" i="13" s="1"/>
  <c r="J1047" i="13" a="1"/>
  <c r="J1047" i="13" s="1"/>
  <c r="J1046" i="13" a="1"/>
  <c r="J1046" i="13" s="1"/>
  <c r="J592" i="13" a="1"/>
  <c r="J592" i="13" s="1"/>
  <c r="J1053" i="13" a="1"/>
  <c r="J1053" i="13" s="1"/>
  <c r="J951" i="13" a="1"/>
  <c r="J951" i="13" s="1"/>
  <c r="J904" i="13" a="1"/>
  <c r="J904" i="13" s="1"/>
  <c r="J1207" i="13" a="1"/>
  <c r="J1207" i="13" s="1"/>
  <c r="J1136" i="13" a="1"/>
  <c r="J1136" i="13" s="1"/>
  <c r="J1031" i="13" a="1"/>
  <c r="J1031" i="13" s="1"/>
  <c r="J1108" i="13" a="1"/>
  <c r="J1108" i="13" s="1"/>
  <c r="J955" i="13" a="1"/>
  <c r="J955" i="13" s="1"/>
  <c r="J20" i="13" a="1"/>
  <c r="J20" i="13" s="1"/>
  <c r="J1021" i="13" a="1"/>
  <c r="J1021" i="13" s="1"/>
  <c r="J212" i="13" a="1"/>
  <c r="J212" i="13" s="1"/>
  <c r="J678" i="13" a="1"/>
  <c r="J678" i="13" s="1"/>
  <c r="J1155" i="13" a="1"/>
  <c r="J1155" i="13" s="1"/>
  <c r="J505" i="13" a="1"/>
  <c r="J505" i="13" s="1"/>
  <c r="J1085" i="13" a="1"/>
  <c r="J1085" i="13" s="1"/>
  <c r="J1176" i="13" a="1"/>
  <c r="J1176" i="13" s="1"/>
  <c r="J1122" i="13" a="1"/>
  <c r="J1122" i="13" s="1"/>
  <c r="J144" i="13" a="1"/>
  <c r="J144" i="13" s="1"/>
  <c r="J938" i="13" a="1"/>
  <c r="J938" i="13" s="1"/>
  <c r="J900" i="13" a="1"/>
  <c r="J900" i="13" s="1"/>
  <c r="J1091" i="13" a="1"/>
  <c r="J1091" i="13" s="1"/>
  <c r="J215" i="13" a="1"/>
  <c r="J215" i="13" s="1"/>
  <c r="J891" i="13" a="1"/>
  <c r="J891" i="13" s="1"/>
  <c r="J1167" i="13" a="1"/>
  <c r="J1167" i="13" s="1"/>
  <c r="J880" i="13" a="1"/>
  <c r="J880" i="13" s="1"/>
  <c r="J896" i="13" a="1"/>
  <c r="J896" i="13" s="1"/>
  <c r="J940" i="13" a="1"/>
  <c r="J940" i="13" s="1"/>
  <c r="J1178" i="13" a="1"/>
  <c r="J1178" i="13" s="1"/>
  <c r="J1086" i="13" a="1"/>
  <c r="J1086" i="13" s="1"/>
  <c r="J897" i="13" a="1"/>
  <c r="J897" i="13" s="1"/>
  <c r="J878" i="13" a="1"/>
  <c r="J878" i="13" s="1"/>
  <c r="J977" i="13" a="1"/>
  <c r="J977" i="13" s="1"/>
  <c r="J472" i="13" a="1"/>
  <c r="J472" i="13" s="1"/>
  <c r="T221" i="13"/>
  <c r="U415" i="13"/>
  <c r="J177" i="13" a="1"/>
  <c r="J177" i="13" s="1"/>
  <c r="I31" i="18" s="1"/>
  <c r="O31" i="18" s="1"/>
  <c r="U8" i="13"/>
  <c r="J1004" i="13" a="1"/>
  <c r="J1004" i="13" s="1"/>
  <c r="J756" i="13" a="1"/>
  <c r="J756" i="13" s="1"/>
  <c r="U756" i="13" s="1"/>
  <c r="J178" i="13" a="1"/>
  <c r="J178" i="13" s="1"/>
  <c r="U178" i="13" s="1"/>
  <c r="T143" i="13"/>
  <c r="T409" i="13"/>
  <c r="J538" i="13" a="1"/>
  <c r="J538" i="13" s="1"/>
  <c r="U538" i="13" s="1"/>
  <c r="J1039" i="13" a="1"/>
  <c r="J1039" i="13" s="1"/>
  <c r="T1039" i="13" s="1"/>
  <c r="J573" i="13" a="1"/>
  <c r="J573" i="13" s="1"/>
  <c r="U573" i="13" s="1"/>
  <c r="T1050" i="13"/>
  <c r="J551" i="13" a="1"/>
  <c r="J551" i="13" s="1"/>
  <c r="J182" i="13" a="1"/>
  <c r="J182" i="13" s="1"/>
  <c r="T182" i="13" s="1"/>
  <c r="J996" i="13" a="1"/>
  <c r="J996" i="13" s="1"/>
  <c r="U996" i="13" s="1"/>
  <c r="J723" i="13" a="1"/>
  <c r="J723" i="13" s="1"/>
  <c r="T723" i="13" s="1"/>
  <c r="J129" i="13" a="1"/>
  <c r="J129" i="13" s="1"/>
  <c r="T129" i="13" s="1"/>
  <c r="U171" i="13"/>
  <c r="T784" i="13"/>
  <c r="J643" i="13" a="1"/>
  <c r="J643" i="13" s="1"/>
  <c r="U643" i="13" s="1"/>
  <c r="J467" i="13" a="1"/>
  <c r="J467" i="13" s="1"/>
  <c r="T467" i="13" s="1"/>
  <c r="J567" i="13" a="1"/>
  <c r="J567" i="13" s="1"/>
  <c r="J570" i="13" a="1"/>
  <c r="J570" i="13" s="1"/>
  <c r="U570" i="13" s="1"/>
  <c r="J572" i="13" a="1"/>
  <c r="J572" i="13" s="1"/>
  <c r="U572" i="13" s="1"/>
  <c r="J828" i="13" a="1"/>
  <c r="J828" i="13" s="1"/>
  <c r="T828" i="13" s="1"/>
  <c r="J31" i="13" a="1"/>
  <c r="J31" i="13" s="1"/>
  <c r="T31" i="13" s="1"/>
  <c r="J562" i="13" a="1"/>
  <c r="J562" i="13" s="1"/>
  <c r="T562" i="13" s="1"/>
  <c r="J130" i="13" a="1"/>
  <c r="J130" i="13" s="1"/>
  <c r="U130" i="13" s="1"/>
  <c r="J540" i="13" a="1"/>
  <c r="J540" i="13" s="1"/>
  <c r="U540" i="13" s="1"/>
  <c r="J267" i="13" a="1"/>
  <c r="J267" i="13" s="1"/>
  <c r="U267" i="13" s="1"/>
  <c r="J1071" i="13" a="1"/>
  <c r="J1071" i="13" s="1"/>
  <c r="U307" i="13"/>
  <c r="J762" i="13" a="1"/>
  <c r="J762" i="13" s="1"/>
  <c r="T762" i="13" s="1"/>
  <c r="J1074" i="13" a="1"/>
  <c r="J1074" i="13" s="1"/>
  <c r="T1074" i="13" s="1"/>
  <c r="J546" i="13" a="1"/>
  <c r="J546" i="13" s="1"/>
  <c r="U546" i="13" s="1"/>
  <c r="J1000" i="13" a="1"/>
  <c r="J1000" i="13" s="1"/>
  <c r="U1000" i="13" s="1"/>
  <c r="J126" i="13" a="1"/>
  <c r="J126" i="13" s="1"/>
  <c r="U126" i="13" s="1"/>
  <c r="J711" i="13" a="1"/>
  <c r="J711" i="13" s="1"/>
  <c r="T711" i="13" s="1"/>
  <c r="U170" i="13"/>
  <c r="J40" i="13" a="1"/>
  <c r="J40" i="13" s="1"/>
  <c r="U40" i="13" s="1"/>
  <c r="J1033" i="13" a="1"/>
  <c r="J1033" i="13" s="1"/>
  <c r="T1033" i="13" s="1"/>
  <c r="J720" i="13" a="1"/>
  <c r="J720" i="13" s="1"/>
  <c r="T720" i="13" s="1"/>
  <c r="U974" i="13"/>
  <c r="J704" i="13" a="1"/>
  <c r="J704" i="13" s="1"/>
  <c r="T704" i="13" s="1"/>
  <c r="T395" i="13"/>
  <c r="J153" i="13" a="1"/>
  <c r="J153" i="13" s="1"/>
  <c r="I30" i="18" s="1"/>
  <c r="O30" i="18" s="1"/>
  <c r="J740" i="13" a="1"/>
  <c r="J740" i="13" s="1"/>
  <c r="U740" i="13" s="1"/>
  <c r="J648" i="13" a="1"/>
  <c r="J648" i="13" s="1"/>
  <c r="U648" i="13" s="1"/>
  <c r="J65" i="13" a="1"/>
  <c r="J65" i="13" s="1"/>
  <c r="U65" i="13" s="1"/>
  <c r="T215" i="13"/>
  <c r="J543" i="13" a="1"/>
  <c r="J543" i="13" s="1"/>
  <c r="U543" i="13" s="1"/>
  <c r="J1002" i="13" a="1"/>
  <c r="J1002" i="13" s="1"/>
  <c r="T1002" i="13" s="1"/>
  <c r="T637" i="13"/>
  <c r="J64" i="13" a="1"/>
  <c r="J64" i="13" s="1"/>
  <c r="U64" i="13" s="1"/>
  <c r="J52" i="13" a="1"/>
  <c r="J52" i="13" s="1"/>
  <c r="U52" i="13" s="1"/>
  <c r="J796" i="13" a="1"/>
  <c r="J796" i="13" s="1"/>
  <c r="U796" i="13" s="1"/>
  <c r="J203" i="13" a="1"/>
  <c r="J203" i="13" s="1"/>
  <c r="U203" i="13" s="1"/>
  <c r="J93" i="13" a="1"/>
  <c r="J93" i="13" s="1"/>
  <c r="T93" i="13" s="1"/>
  <c r="J934" i="13" a="1"/>
  <c r="J934" i="13" s="1"/>
  <c r="U934" i="13" s="1"/>
  <c r="W41" i="19"/>
  <c r="AB41" i="19" s="1"/>
  <c r="J12" i="13" a="1"/>
  <c r="J12" i="13" s="1"/>
  <c r="U12" i="13" s="1"/>
  <c r="U310" i="13"/>
  <c r="U1158" i="13"/>
  <c r="J994" i="13" a="1"/>
  <c r="J994" i="13" s="1"/>
  <c r="U994" i="13" s="1"/>
  <c r="T302" i="13"/>
  <c r="T1055" i="13"/>
  <c r="J560" i="13" a="1"/>
  <c r="J560" i="13" s="1"/>
  <c r="T560" i="13" s="1"/>
  <c r="J929" i="13" a="1"/>
  <c r="J929" i="13" s="1"/>
  <c r="U929" i="13" s="1"/>
  <c r="J1149" i="13" a="1"/>
  <c r="J1149" i="13" s="1"/>
  <c r="U1149" i="13" s="1"/>
  <c r="J823" i="13" a="1"/>
  <c r="J823" i="13" s="1"/>
  <c r="U823" i="13" s="1"/>
  <c r="J526" i="13" a="1"/>
  <c r="J526" i="13" s="1"/>
  <c r="J981" i="13" a="1"/>
  <c r="J981" i="13" s="1"/>
  <c r="T981" i="13" s="1"/>
  <c r="J495" i="13" a="1"/>
  <c r="J495" i="13" s="1"/>
  <c r="J497" i="13" a="1"/>
  <c r="J497" i="13" s="1"/>
  <c r="J499" i="13" a="1"/>
  <c r="J499" i="13" s="1"/>
  <c r="J496" i="13" a="1"/>
  <c r="J496" i="13" s="1"/>
  <c r="J500" i="13" a="1"/>
  <c r="J500" i="13" s="1"/>
  <c r="J262" i="13" a="1"/>
  <c r="J262" i="13" s="1"/>
  <c r="J914" i="13" a="1"/>
  <c r="J914" i="13" s="1"/>
  <c r="J915" i="13" a="1"/>
  <c r="J915" i="13" s="1"/>
  <c r="J913" i="13" a="1"/>
  <c r="J913" i="13" s="1"/>
  <c r="J917" i="13" a="1"/>
  <c r="J917" i="13" s="1"/>
  <c r="J919" i="13" a="1"/>
  <c r="J919" i="13" s="1"/>
  <c r="J810" i="13" a="1"/>
  <c r="J810" i="13" s="1"/>
  <c r="J806" i="13" a="1"/>
  <c r="J806" i="13" s="1"/>
  <c r="J801" i="13" a="1"/>
  <c r="J801" i="13" s="1"/>
  <c r="J803" i="13" a="1"/>
  <c r="J803" i="13" s="1"/>
  <c r="J807" i="13" a="1"/>
  <c r="J807" i="13" s="1"/>
  <c r="J804" i="13" a="1"/>
  <c r="J804" i="13" s="1"/>
  <c r="J43" i="13" a="1"/>
  <c r="J43" i="13" s="1"/>
  <c r="J734" i="13" a="1"/>
  <c r="J734" i="13" s="1"/>
  <c r="J749" i="13" a="1"/>
  <c r="J749" i="13" s="1"/>
  <c r="J66" i="13" a="1"/>
  <c r="J66" i="13" s="1"/>
  <c r="J501" i="13" a="1"/>
  <c r="J501" i="13" s="1"/>
  <c r="J202" i="13" a="1"/>
  <c r="J202" i="13" s="1"/>
  <c r="J204" i="13" a="1"/>
  <c r="J204" i="13" s="1"/>
  <c r="J477" i="13" a="1"/>
  <c r="J477" i="13" s="1"/>
  <c r="J486" i="13" a="1"/>
  <c r="J486" i="13" s="1"/>
  <c r="J482" i="13" a="1"/>
  <c r="J482" i="13" s="1"/>
  <c r="J481" i="13" a="1"/>
  <c r="J481" i="13" s="1"/>
  <c r="J480" i="13" a="1"/>
  <c r="J480" i="13" s="1"/>
  <c r="J476" i="13" a="1"/>
  <c r="J476" i="13" s="1"/>
  <c r="J48" i="13" a="1"/>
  <c r="J48" i="13" s="1"/>
  <c r="J484" i="13" a="1"/>
  <c r="J484" i="13" s="1"/>
  <c r="J873" i="13" a="1"/>
  <c r="J873" i="13" s="1"/>
  <c r="J875" i="13" a="1"/>
  <c r="J875" i="13" s="1"/>
  <c r="J870" i="13" a="1"/>
  <c r="J870" i="13" s="1"/>
  <c r="J809" i="13" a="1"/>
  <c r="J809" i="13" s="1"/>
  <c r="J800" i="13" a="1"/>
  <c r="J800" i="13" s="1"/>
  <c r="U150" i="13"/>
  <c r="T150" i="13"/>
  <c r="J260" i="13" a="1"/>
  <c r="J260" i="13" s="1"/>
  <c r="J270" i="13" a="1"/>
  <c r="J270" i="13" s="1"/>
  <c r="T551" i="13"/>
  <c r="U551" i="13"/>
  <c r="T543" i="13"/>
  <c r="J861" i="13" a="1"/>
  <c r="J861" i="13" s="1"/>
  <c r="J862" i="13" a="1"/>
  <c r="J862" i="13" s="1"/>
  <c r="U122" i="13"/>
  <c r="T122" i="13"/>
  <c r="J206" i="13" a="1"/>
  <c r="J206" i="13" s="1"/>
  <c r="J199" i="13" a="1"/>
  <c r="J199" i="13" s="1"/>
  <c r="J200" i="13" a="1"/>
  <c r="J200" i="13" s="1"/>
  <c r="T12" i="13"/>
  <c r="U305" i="13"/>
  <c r="J261" i="13" a="1"/>
  <c r="J261" i="13" s="1"/>
  <c r="J936" i="13" a="1"/>
  <c r="J936" i="13" s="1"/>
  <c r="J266" i="13" a="1"/>
  <c r="J266" i="13" s="1"/>
  <c r="J727" i="13" a="1"/>
  <c r="J727" i="13" s="1"/>
  <c r="J735" i="13" a="1"/>
  <c r="J735" i="13" s="1"/>
  <c r="J731" i="13" a="1"/>
  <c r="J731" i="13" s="1"/>
  <c r="J45" i="13" a="1"/>
  <c r="J45" i="13" s="1"/>
  <c r="J614" i="13" a="1"/>
  <c r="J614" i="13" s="1"/>
  <c r="J622" i="13" a="1"/>
  <c r="J622" i="13" s="1"/>
  <c r="J617" i="13" a="1"/>
  <c r="J617" i="13" s="1"/>
  <c r="J627" i="13" a="1"/>
  <c r="J627" i="13" s="1"/>
  <c r="J615" i="13" a="1"/>
  <c r="J615" i="13" s="1"/>
  <c r="J621" i="13" a="1"/>
  <c r="J621" i="13" s="1"/>
  <c r="J619" i="13" a="1"/>
  <c r="J619" i="13" s="1"/>
  <c r="J71" i="13" a="1"/>
  <c r="J71" i="13" s="1"/>
  <c r="J70" i="13" a="1"/>
  <c r="J70" i="13" s="1"/>
  <c r="J923" i="13" a="1"/>
  <c r="J923" i="13" s="1"/>
  <c r="J17" i="13" a="1"/>
  <c r="J17" i="13" s="1"/>
  <c r="J638" i="13" a="1"/>
  <c r="J638" i="13" s="1"/>
  <c r="J503" i="13" a="1"/>
  <c r="J503" i="13" s="1"/>
  <c r="J924" i="13" a="1"/>
  <c r="J924" i="13" s="1"/>
  <c r="J55" i="13" a="1"/>
  <c r="J55" i="13" s="1"/>
  <c r="J47" i="13" a="1"/>
  <c r="J47" i="13" s="1"/>
  <c r="U472" i="13"/>
  <c r="T472" i="13"/>
  <c r="J925" i="13" a="1"/>
  <c r="J925" i="13" s="1"/>
  <c r="J674" i="13" a="1"/>
  <c r="J674" i="13" s="1"/>
  <c r="J672" i="13" a="1"/>
  <c r="J672" i="13" s="1"/>
  <c r="J671" i="13" a="1"/>
  <c r="J671" i="13" s="1"/>
  <c r="J673" i="13" a="1"/>
  <c r="J673" i="13" s="1"/>
  <c r="J668" i="13" a="1"/>
  <c r="J668" i="13" s="1"/>
  <c r="J670" i="13" a="1"/>
  <c r="J670" i="13" s="1"/>
  <c r="J677" i="13" a="1"/>
  <c r="J677" i="13" s="1"/>
  <c r="J732" i="13" a="1"/>
  <c r="J732" i="13" s="1"/>
  <c r="J127" i="13" a="1"/>
  <c r="J127" i="13" s="1"/>
  <c r="J133" i="13" a="1"/>
  <c r="J133" i="13" s="1"/>
  <c r="J134" i="13" a="1"/>
  <c r="J134" i="13" s="1"/>
  <c r="J132" i="13" a="1"/>
  <c r="J132" i="13" s="1"/>
  <c r="J131" i="13" a="1"/>
  <c r="J131" i="13" s="1"/>
  <c r="J125" i="13" a="1"/>
  <c r="J125" i="13" s="1"/>
  <c r="J795" i="13" a="1"/>
  <c r="J795" i="13" s="1"/>
  <c r="J205" i="13" a="1"/>
  <c r="J205" i="13" s="1"/>
  <c r="J794" i="13" a="1"/>
  <c r="J794" i="13" s="1"/>
  <c r="J797" i="13" a="1"/>
  <c r="J797" i="13" s="1"/>
  <c r="J791" i="13" a="1"/>
  <c r="J791" i="13" s="1"/>
  <c r="J789" i="13" a="1"/>
  <c r="J789" i="13" s="1"/>
  <c r="J792" i="13" a="1"/>
  <c r="J792" i="13" s="1"/>
  <c r="J930" i="13" a="1"/>
  <c r="J930" i="13" s="1"/>
  <c r="J60" i="13" a="1"/>
  <c r="J60" i="13" s="1"/>
  <c r="J73" i="13" a="1"/>
  <c r="J73" i="13" s="1"/>
  <c r="J161" i="13" a="1"/>
  <c r="J161" i="13" s="1"/>
  <c r="J1143" i="13" a="1"/>
  <c r="J1143" i="13" s="1"/>
  <c r="J59" i="13" a="1"/>
  <c r="J59" i="13" s="1"/>
  <c r="J793" i="13" a="1"/>
  <c r="J793" i="13" s="1"/>
  <c r="J88" i="13" a="1"/>
  <c r="J88" i="13" s="1"/>
  <c r="J85" i="13" a="1"/>
  <c r="J85" i="13" s="1"/>
  <c r="J90" i="13" a="1"/>
  <c r="J90" i="13" s="1"/>
  <c r="J94" i="13" a="1"/>
  <c r="J94" i="13" s="1"/>
  <c r="J1151" i="13" a="1"/>
  <c r="J1151" i="13" s="1"/>
  <c r="J739" i="13" a="1"/>
  <c r="J739" i="13" s="1"/>
  <c r="J744" i="13" a="1"/>
  <c r="J744" i="13" s="1"/>
  <c r="J745" i="13" a="1"/>
  <c r="J745" i="13" s="1"/>
  <c r="J748" i="13" a="1"/>
  <c r="J748" i="13" s="1"/>
  <c r="J269" i="13" a="1"/>
  <c r="J269" i="13" s="1"/>
  <c r="T1071" i="13"/>
  <c r="U1071" i="13"/>
  <c r="J634" i="13" a="1"/>
  <c r="J634" i="13" s="1"/>
  <c r="J632" i="13" a="1"/>
  <c r="J632" i="13" s="1"/>
  <c r="J799" i="13" a="1"/>
  <c r="J799" i="13" s="1"/>
  <c r="J263" i="13" a="1"/>
  <c r="J263" i="13" s="1"/>
  <c r="J1148" i="13" a="1"/>
  <c r="J1148" i="13" s="1"/>
  <c r="J62" i="13" a="1"/>
  <c r="J62" i="13" s="1"/>
  <c r="J74" i="13" a="1"/>
  <c r="J74" i="13" s="1"/>
  <c r="J61" i="13" a="1"/>
  <c r="J61" i="13" s="1"/>
  <c r="J935" i="13" a="1"/>
  <c r="J935" i="13" s="1"/>
  <c r="J1150" i="13" a="1"/>
  <c r="J1150" i="13" s="1"/>
  <c r="J154" i="13" a="1"/>
  <c r="J154" i="13" s="1"/>
  <c r="J57" i="13" a="1"/>
  <c r="J57" i="13" s="1"/>
  <c r="J56" i="13" a="1"/>
  <c r="J56" i="13" s="1"/>
  <c r="J58" i="13" a="1"/>
  <c r="J58" i="13" s="1"/>
  <c r="J268" i="13" a="1"/>
  <c r="J268" i="13" s="1"/>
  <c r="J50" i="13" a="1"/>
  <c r="J50" i="13" s="1"/>
  <c r="J11" i="13" a="1"/>
  <c r="J11" i="13" s="1"/>
  <c r="J15" i="13" a="1"/>
  <c r="J15" i="13" s="1"/>
  <c r="J86" i="13" a="1"/>
  <c r="J86" i="13" s="1"/>
  <c r="J87" i="13" a="1"/>
  <c r="J87" i="13" s="1"/>
  <c r="J264" i="13" a="1"/>
  <c r="J264" i="13" s="1"/>
  <c r="J926" i="13" a="1"/>
  <c r="J926" i="13" s="1"/>
  <c r="J821" i="13" a="1"/>
  <c r="J821" i="13" s="1"/>
  <c r="J819" i="13" a="1"/>
  <c r="J819" i="13" s="1"/>
  <c r="J1061" i="13" a="1"/>
  <c r="J1061" i="13" s="1"/>
  <c r="J1062" i="13" a="1"/>
  <c r="J1062" i="13" s="1"/>
  <c r="J44" i="13" a="1"/>
  <c r="J44" i="13" s="1"/>
  <c r="J542" i="13" a="1"/>
  <c r="J542" i="13" s="1"/>
  <c r="J547" i="13" a="1"/>
  <c r="J547" i="13" s="1"/>
  <c r="J539" i="13" a="1"/>
  <c r="J539" i="13" s="1"/>
  <c r="J549" i="13" a="1"/>
  <c r="J549" i="13" s="1"/>
  <c r="J498" i="13" a="1"/>
  <c r="J498" i="13" s="1"/>
  <c r="J724" i="13" a="1"/>
  <c r="J724" i="13" s="1"/>
  <c r="J555" i="13" a="1"/>
  <c r="J555" i="13" s="1"/>
  <c r="J69" i="13" a="1"/>
  <c r="J69" i="13" s="1"/>
  <c r="J38" i="13" a="1"/>
  <c r="J38" i="13" s="1"/>
  <c r="J630" i="13" a="1"/>
  <c r="J630" i="13" s="1"/>
  <c r="J478" i="13" a="1"/>
  <c r="J478" i="13" s="1"/>
  <c r="J646" i="13" a="1"/>
  <c r="J646" i="13" s="1"/>
  <c r="J709" i="13" a="1"/>
  <c r="J709" i="13" s="1"/>
  <c r="J265" i="13" a="1"/>
  <c r="J265" i="13" s="1"/>
  <c r="J1077" i="13" a="1"/>
  <c r="J1077" i="13" s="1"/>
  <c r="J1073" i="13" a="1"/>
  <c r="J1073" i="13" s="1"/>
  <c r="J1075" i="13" a="1"/>
  <c r="J1075" i="13" s="1"/>
  <c r="J876" i="13" a="1"/>
  <c r="J876" i="13" s="1"/>
  <c r="J53" i="13" a="1"/>
  <c r="J53" i="13" s="1"/>
  <c r="J827" i="13" a="1"/>
  <c r="J827" i="13" s="1"/>
  <c r="J825" i="13" a="1"/>
  <c r="J825" i="13" s="1"/>
  <c r="J1034" i="13" a="1"/>
  <c r="J1034" i="13" s="1"/>
  <c r="J1082" i="13" a="1"/>
  <c r="J1082" i="13" s="1"/>
  <c r="J35" i="13" a="1"/>
  <c r="J35" i="13" s="1"/>
  <c r="J706" i="13" a="1"/>
  <c r="J706" i="13" s="1"/>
  <c r="J856" i="13" a="1"/>
  <c r="J856" i="13" s="1"/>
  <c r="J857" i="13" a="1"/>
  <c r="J857" i="13" s="1"/>
  <c r="J918" i="13" a="1"/>
  <c r="J918" i="13" s="1"/>
  <c r="J675" i="13" a="1"/>
  <c r="J675" i="13" s="1"/>
  <c r="J201" i="13" a="1"/>
  <c r="J201" i="13" s="1"/>
  <c r="J207" i="13" a="1"/>
  <c r="J207" i="13" s="1"/>
  <c r="J635" i="13" a="1"/>
  <c r="J635" i="13" s="1"/>
  <c r="J1080" i="13" a="1"/>
  <c r="J1080" i="13" s="1"/>
  <c r="J984" i="13" a="1"/>
  <c r="J984" i="13" s="1"/>
  <c r="J1144" i="13" a="1"/>
  <c r="J1144" i="13" s="1"/>
  <c r="J641" i="13" a="1"/>
  <c r="J641" i="13" s="1"/>
  <c r="J620" i="13" a="1"/>
  <c r="J620" i="13" s="1"/>
  <c r="T178" i="13"/>
  <c r="J1063" i="13" a="1"/>
  <c r="J1063" i="13" s="1"/>
  <c r="J860" i="13" a="1"/>
  <c r="J860" i="13" s="1"/>
  <c r="J719" i="13" a="1"/>
  <c r="J719" i="13" s="1"/>
  <c r="J631" i="13" a="1"/>
  <c r="J631" i="13" s="1"/>
  <c r="J471" i="13" a="1"/>
  <c r="J471" i="13" s="1"/>
  <c r="J710" i="13" a="1"/>
  <c r="J710" i="13" s="1"/>
  <c r="J479" i="13" a="1"/>
  <c r="J479" i="13" s="1"/>
  <c r="J707" i="13" a="1"/>
  <c r="J707" i="13" s="1"/>
  <c r="J554" i="13" a="1"/>
  <c r="J554" i="13" s="1"/>
  <c r="J816" i="13" a="1"/>
  <c r="J816" i="13" s="1"/>
  <c r="J49" i="13" a="1"/>
  <c r="J49" i="13" s="1"/>
  <c r="J156" i="13" a="1"/>
  <c r="J156" i="13" s="1"/>
  <c r="J556" i="13" a="1"/>
  <c r="J556" i="13" s="1"/>
  <c r="J625" i="13" a="1"/>
  <c r="J625" i="13" s="1"/>
  <c r="J708" i="13" a="1"/>
  <c r="J708" i="13" s="1"/>
  <c r="J640" i="13" a="1"/>
  <c r="J640" i="13" s="1"/>
  <c r="J855" i="13" a="1"/>
  <c r="J855" i="13" s="1"/>
  <c r="J985" i="13" a="1"/>
  <c r="J985" i="13" s="1"/>
  <c r="J738" i="13" a="1"/>
  <c r="J738" i="13" s="1"/>
  <c r="J1059" i="13" a="1"/>
  <c r="J1059" i="13" s="1"/>
  <c r="J1065" i="13" a="1"/>
  <c r="J1065" i="13" s="1"/>
  <c r="J1060" i="13" a="1"/>
  <c r="J1060" i="13" s="1"/>
  <c r="J1057" i="13" a="1"/>
  <c r="J1057" i="13" s="1"/>
  <c r="J1056" i="13" a="1"/>
  <c r="J1056" i="13" s="1"/>
  <c r="J1068" i="13" a="1"/>
  <c r="J1068" i="13" s="1"/>
  <c r="J877" i="13" a="1"/>
  <c r="J877" i="13" s="1"/>
  <c r="J869" i="13" a="1"/>
  <c r="J869" i="13" s="1"/>
  <c r="J874" i="13" a="1"/>
  <c r="J874" i="13" s="1"/>
  <c r="J872" i="13" a="1"/>
  <c r="J872" i="13" s="1"/>
  <c r="J867" i="13" a="1"/>
  <c r="J867" i="13" s="1"/>
  <c r="J927" i="13" a="1"/>
  <c r="J927" i="13" s="1"/>
  <c r="J30" i="13" a="1"/>
  <c r="J30" i="13" s="1"/>
  <c r="J39" i="13" a="1"/>
  <c r="J39" i="13" s="1"/>
  <c r="J158" i="13" a="1"/>
  <c r="J158" i="13" s="1"/>
  <c r="J626" i="13" a="1"/>
  <c r="J626" i="13" s="1"/>
  <c r="J531" i="13" a="1"/>
  <c r="J531" i="13" s="1"/>
  <c r="J933" i="13" a="1"/>
  <c r="J933" i="13" s="1"/>
  <c r="J181" i="13" a="1"/>
  <c r="J181" i="13" s="1"/>
  <c r="J713" i="13" a="1"/>
  <c r="J713" i="13" s="1"/>
  <c r="J743" i="13" a="1"/>
  <c r="J743" i="13" s="1"/>
  <c r="J152" i="13" a="1"/>
  <c r="J152" i="13" s="1"/>
  <c r="J28" i="13" a="1"/>
  <c r="J28" i="13" s="1"/>
  <c r="J1070" i="13" a="1"/>
  <c r="J1070" i="13" s="1"/>
  <c r="J1044" i="13" a="1"/>
  <c r="J1044" i="13" s="1"/>
  <c r="J651" i="13" a="1"/>
  <c r="J651" i="13" s="1"/>
  <c r="J157" i="13" a="1"/>
  <c r="J157" i="13" s="1"/>
  <c r="J160" i="13" a="1"/>
  <c r="J160" i="13" s="1"/>
  <c r="J564" i="13" a="1"/>
  <c r="J564" i="13" s="1"/>
  <c r="J737" i="13" a="1"/>
  <c r="J737" i="13" s="1"/>
  <c r="J491" i="13" a="1"/>
  <c r="J491" i="13" s="1"/>
  <c r="J492" i="13" a="1"/>
  <c r="J492" i="13" s="1"/>
  <c r="J760" i="13" a="1"/>
  <c r="J760" i="13" s="1"/>
  <c r="J763" i="13" a="1"/>
  <c r="J763" i="13" s="1"/>
  <c r="J752" i="13" a="1"/>
  <c r="J752" i="13" s="1"/>
  <c r="J757" i="13" a="1"/>
  <c r="J757" i="13" s="1"/>
  <c r="J754" i="13" a="1"/>
  <c r="J754" i="13" s="1"/>
  <c r="J1154" i="13" a="1"/>
  <c r="J1154" i="13" s="1"/>
  <c r="J1145" i="13" a="1"/>
  <c r="J1145" i="13" s="1"/>
  <c r="J1141" i="13" a="1"/>
  <c r="J1141" i="13" s="1"/>
  <c r="J1146" i="13" a="1"/>
  <c r="J1146" i="13" s="1"/>
  <c r="J1142" i="13" a="1"/>
  <c r="J1142" i="13" s="1"/>
  <c r="J676" i="13" a="1"/>
  <c r="J676" i="13" s="1"/>
  <c r="J864" i="13" a="1"/>
  <c r="J864" i="13" s="1"/>
  <c r="J850" i="13" a="1"/>
  <c r="J850" i="13" s="1"/>
  <c r="J853" i="13" a="1"/>
  <c r="J853" i="13" s="1"/>
  <c r="J848" i="13" a="1"/>
  <c r="J848" i="13" s="1"/>
  <c r="J858" i="13" a="1"/>
  <c r="J858" i="13" s="1"/>
  <c r="J852" i="13" a="1"/>
  <c r="J852" i="13" s="1"/>
  <c r="J470" i="13" a="1"/>
  <c r="J470" i="13" s="1"/>
  <c r="J624" i="13" a="1"/>
  <c r="J624" i="13" s="1"/>
  <c r="J851" i="13" a="1"/>
  <c r="J851" i="13" s="1"/>
  <c r="J805" i="13" a="1"/>
  <c r="J805" i="13" s="1"/>
  <c r="J822" i="13" a="1"/>
  <c r="J822" i="13" s="1"/>
  <c r="J830" i="13" a="1"/>
  <c r="J830" i="13" s="1"/>
  <c r="J813" i="13" a="1"/>
  <c r="J813" i="13" s="1"/>
  <c r="J814" i="13" a="1"/>
  <c r="J814" i="13" s="1"/>
  <c r="J811" i="13" a="1"/>
  <c r="J811" i="13" s="1"/>
  <c r="J829" i="13" a="1"/>
  <c r="J829" i="13" s="1"/>
  <c r="J817" i="13" a="1"/>
  <c r="J817" i="13" s="1"/>
  <c r="J831" i="13" a="1"/>
  <c r="J831" i="13" s="1"/>
  <c r="J833" i="13" a="1"/>
  <c r="J833" i="13" s="1"/>
  <c r="J34" i="13" a="1"/>
  <c r="J34" i="13" s="1"/>
  <c r="J532" i="13" a="1"/>
  <c r="J532" i="13" s="1"/>
  <c r="J550" i="13" a="1"/>
  <c r="J550" i="13" s="1"/>
  <c r="J989" i="13" a="1"/>
  <c r="J989" i="13" s="1"/>
  <c r="J863" i="13" a="1"/>
  <c r="J863" i="13" s="1"/>
  <c r="J741" i="13" a="1"/>
  <c r="J741" i="13" s="1"/>
  <c r="J1036" i="13" a="1"/>
  <c r="J1036" i="13" s="1"/>
  <c r="J128" i="13" a="1"/>
  <c r="J128" i="13" s="1"/>
  <c r="J866" i="13" a="1"/>
  <c r="J866" i="13" s="1"/>
  <c r="J798" i="13" a="1"/>
  <c r="J798" i="13" s="1"/>
  <c r="J790" i="13" a="1"/>
  <c r="J790" i="13" s="1"/>
  <c r="J920" i="13" a="1"/>
  <c r="J920" i="13" s="1"/>
  <c r="J802" i="13" a="1"/>
  <c r="J802" i="13" s="1"/>
  <c r="J750" i="13" a="1"/>
  <c r="J750" i="13" s="1"/>
  <c r="J742" i="13" a="1"/>
  <c r="J742" i="13" s="1"/>
  <c r="J747" i="13" a="1"/>
  <c r="J747" i="13" s="1"/>
  <c r="J736" i="13" a="1"/>
  <c r="J736" i="13" s="1"/>
  <c r="J726" i="13" a="1"/>
  <c r="J726" i="13" s="1"/>
  <c r="J728" i="13" a="1"/>
  <c r="J728" i="13" s="1"/>
  <c r="J733" i="13" a="1"/>
  <c r="J733" i="13" s="1"/>
  <c r="J16" i="13" a="1"/>
  <c r="J16" i="13" s="1"/>
  <c r="J808" i="13" a="1"/>
  <c r="J808" i="13" s="1"/>
  <c r="J921" i="13" a="1"/>
  <c r="J921" i="13" s="1"/>
  <c r="J1076" i="13" a="1"/>
  <c r="J1076" i="13" s="1"/>
  <c r="J628" i="13" a="1"/>
  <c r="J628" i="13" s="1"/>
  <c r="J534" i="13" a="1"/>
  <c r="J534" i="13" s="1"/>
  <c r="J1153" i="13" a="1"/>
  <c r="J1153" i="13" s="1"/>
  <c r="J563" i="13" a="1"/>
  <c r="J563" i="13" s="1"/>
  <c r="J553" i="13" a="1"/>
  <c r="J553" i="13" s="1"/>
  <c r="J466" i="13" a="1"/>
  <c r="J466" i="13" s="1"/>
  <c r="J932" i="13" a="1"/>
  <c r="J932" i="13" s="1"/>
  <c r="J865" i="13" a="1"/>
  <c r="J865" i="13" s="1"/>
  <c r="J14" i="13" a="1"/>
  <c r="J14" i="13" s="1"/>
  <c r="J91" i="13" a="1"/>
  <c r="J91" i="13" s="1"/>
  <c r="J92" i="13" a="1"/>
  <c r="J92" i="13" s="1"/>
  <c r="J751" i="13" a="1"/>
  <c r="J751" i="13" s="1"/>
  <c r="J502" i="13" a="1"/>
  <c r="J502" i="13" s="1"/>
  <c r="T526" i="13"/>
  <c r="U526" i="13"/>
  <c r="J997" i="13" a="1"/>
  <c r="J997" i="13" s="1"/>
  <c r="J468" i="13" a="1"/>
  <c r="J468" i="13" s="1"/>
  <c r="J155" i="13" a="1"/>
  <c r="J155" i="13" s="1"/>
  <c r="J54" i="13" a="1"/>
  <c r="J54" i="13" s="1"/>
  <c r="J36" i="13" a="1"/>
  <c r="J36" i="13" s="1"/>
  <c r="J758" i="13" a="1"/>
  <c r="J758" i="13" s="1"/>
  <c r="J1040" i="13" a="1"/>
  <c r="J1040" i="13" s="1"/>
  <c r="J89" i="13" a="1"/>
  <c r="J89" i="13" s="1"/>
  <c r="J623" i="13" a="1"/>
  <c r="J623" i="13" s="1"/>
  <c r="J871" i="13" a="1"/>
  <c r="J871" i="13" s="1"/>
  <c r="J868" i="13" a="1"/>
  <c r="J868" i="13" s="1"/>
  <c r="T977" i="13"/>
  <c r="U977" i="13"/>
  <c r="J176" i="13" a="1"/>
  <c r="J176" i="13" s="1"/>
  <c r="J37" i="13" a="1"/>
  <c r="J37" i="13" s="1"/>
  <c r="J753" i="13" a="1"/>
  <c r="J753" i="13" s="1"/>
  <c r="J618" i="13" a="1"/>
  <c r="J618" i="13" s="1"/>
  <c r="J183" i="13" a="1"/>
  <c r="J183" i="13" s="1"/>
  <c r="J812" i="13" a="1"/>
  <c r="J812" i="13" s="1"/>
  <c r="J46" i="13" a="1"/>
  <c r="J46" i="13" s="1"/>
  <c r="J669" i="13" a="1"/>
  <c r="J669" i="13" s="1"/>
  <c r="J998" i="13" a="1"/>
  <c r="J998" i="13" s="1"/>
  <c r="J1005" i="13" a="1"/>
  <c r="J1005" i="13" s="1"/>
  <c r="J999" i="13" a="1"/>
  <c r="J999" i="13" s="1"/>
  <c r="J1006" i="13" a="1"/>
  <c r="J1006" i="13" s="1"/>
  <c r="J1001" i="13" a="1"/>
  <c r="J1001" i="13" s="1"/>
  <c r="J548" i="13" a="1"/>
  <c r="J548" i="13" s="1"/>
  <c r="J179" i="13" a="1"/>
  <c r="J179" i="13" s="1"/>
  <c r="T572" i="13"/>
  <c r="J259" i="13" a="1"/>
  <c r="J259" i="13" s="1"/>
  <c r="J1064" i="13" a="1"/>
  <c r="J1064" i="13" s="1"/>
  <c r="J180" i="13" a="1"/>
  <c r="J180" i="13" s="1"/>
  <c r="J645" i="13" a="1"/>
  <c r="J645" i="13" s="1"/>
  <c r="J485" i="13" a="1"/>
  <c r="J485" i="13" s="1"/>
  <c r="J541" i="13" a="1"/>
  <c r="J541" i="13" s="1"/>
  <c r="J818" i="13" a="1"/>
  <c r="J818" i="13" s="1"/>
  <c r="J67" i="13" a="1"/>
  <c r="J67" i="13" s="1"/>
  <c r="J68" i="13" a="1"/>
  <c r="J68" i="13" s="1"/>
  <c r="J916" i="13" a="1"/>
  <c r="J916" i="13" s="1"/>
  <c r="J718" i="13" a="1"/>
  <c r="J718" i="13" s="1"/>
  <c r="J721" i="13" a="1"/>
  <c r="J721" i="13" s="1"/>
  <c r="J716" i="13" a="1"/>
  <c r="J716" i="13" s="1"/>
  <c r="J725" i="13" a="1"/>
  <c r="J725" i="13" s="1"/>
  <c r="J717" i="13" a="1"/>
  <c r="J717" i="13" s="1"/>
  <c r="J712" i="13" a="1"/>
  <c r="J712" i="13" s="1"/>
  <c r="J469" i="13" a="1"/>
  <c r="J469" i="13" s="1"/>
  <c r="J729" i="13" a="1"/>
  <c r="J729" i="13" s="1"/>
  <c r="J1043" i="13" a="1"/>
  <c r="J1043" i="13" s="1"/>
  <c r="J730" i="13" a="1"/>
  <c r="J730" i="13" s="1"/>
  <c r="J1041" i="13" a="1"/>
  <c r="J1041" i="13" s="1"/>
  <c r="J616" i="13" a="1"/>
  <c r="J616" i="13" s="1"/>
  <c r="J493" i="13" a="1"/>
  <c r="J493" i="13" s="1"/>
  <c r="J527" i="13" a="1"/>
  <c r="J527" i="13" s="1"/>
  <c r="J1035" i="13" a="1"/>
  <c r="J1035" i="13" s="1"/>
  <c r="U567" i="13"/>
  <c r="T567" i="13"/>
  <c r="J746" i="13" a="1"/>
  <c r="J746" i="13" s="1"/>
  <c r="J42" i="13" a="1"/>
  <c r="J42" i="13" s="1"/>
  <c r="J473" i="13" a="1"/>
  <c r="J473" i="13" s="1"/>
  <c r="J271" i="13" a="1"/>
  <c r="J271" i="13" s="1"/>
  <c r="J568" i="13" a="1"/>
  <c r="J568" i="13" s="1"/>
  <c r="J571" i="13" a="1"/>
  <c r="J571" i="13" s="1"/>
  <c r="J566" i="13" a="1"/>
  <c r="J566" i="13" s="1"/>
  <c r="J565" i="13" a="1"/>
  <c r="J565" i="13" s="1"/>
  <c r="J990" i="13" a="1"/>
  <c r="J990" i="13" s="1"/>
  <c r="J986" i="13" a="1"/>
  <c r="J986" i="13" s="1"/>
  <c r="J993" i="13" a="1"/>
  <c r="J993" i="13" s="1"/>
  <c r="J992" i="13" a="1"/>
  <c r="J992" i="13" s="1"/>
  <c r="J987" i="13" a="1"/>
  <c r="J987" i="13" s="1"/>
  <c r="J995" i="13" a="1"/>
  <c r="J995" i="13" s="1"/>
  <c r="J988" i="13" a="1"/>
  <c r="J988" i="13" s="1"/>
  <c r="J494" i="13" a="1"/>
  <c r="J494" i="13" s="1"/>
  <c r="J991" i="13" a="1"/>
  <c r="J991" i="13" s="1"/>
  <c r="J1042" i="13" a="1"/>
  <c r="J1042" i="13" s="1"/>
  <c r="J854" i="13" a="1"/>
  <c r="J854" i="13" s="1"/>
  <c r="J557" i="13" a="1"/>
  <c r="J557" i="13" s="1"/>
  <c r="J826" i="13" a="1"/>
  <c r="J826" i="13" s="1"/>
  <c r="J1058" i="13" a="1"/>
  <c r="J1058" i="13" s="1"/>
  <c r="J629" i="13" a="1"/>
  <c r="J629" i="13" s="1"/>
  <c r="J1066" i="13" a="1"/>
  <c r="J1066" i="13" s="1"/>
  <c r="J715" i="13" a="1"/>
  <c r="J715" i="13" s="1"/>
  <c r="J761" i="13" a="1"/>
  <c r="J761" i="13" s="1"/>
  <c r="J1003" i="13" a="1"/>
  <c r="J1003" i="13" s="1"/>
  <c r="J1069" i="13" a="1"/>
  <c r="J1069" i="13" s="1"/>
  <c r="J1067" i="13" a="1"/>
  <c r="J1067" i="13" s="1"/>
  <c r="J525" i="13" a="1"/>
  <c r="J525" i="13" s="1"/>
  <c r="J533" i="13" a="1"/>
  <c r="J533" i="13" s="1"/>
  <c r="J530" i="13" a="1"/>
  <c r="J530" i="13" s="1"/>
  <c r="J528" i="13" a="1"/>
  <c r="J528" i="13" s="1"/>
  <c r="J529" i="13" a="1"/>
  <c r="J529" i="13" s="1"/>
  <c r="J536" i="13" a="1"/>
  <c r="J536" i="13" s="1"/>
  <c r="J537" i="13" a="1"/>
  <c r="J537" i="13" s="1"/>
  <c r="J849" i="13" a="1"/>
  <c r="J849" i="13" s="1"/>
  <c r="J859" i="13" a="1"/>
  <c r="J859" i="13" s="1"/>
  <c r="J759" i="13" a="1"/>
  <c r="J759" i="13" s="1"/>
  <c r="J652" i="13" a="1"/>
  <c r="J652" i="13" s="1"/>
  <c r="J644" i="13" a="1"/>
  <c r="J644" i="13" s="1"/>
  <c r="J63" i="13" a="1"/>
  <c r="J63" i="13" s="1"/>
  <c r="J1147" i="13" a="1"/>
  <c r="J1147" i="13" s="1"/>
  <c r="J1152" i="13" a="1"/>
  <c r="J1152" i="13" s="1"/>
  <c r="J561" i="13" a="1"/>
  <c r="J561" i="13" s="1"/>
  <c r="J544" i="13" a="1"/>
  <c r="J544" i="13" s="1"/>
  <c r="J29" i="13" a="1"/>
  <c r="J29" i="13" s="1"/>
  <c r="U35" i="27" s="1"/>
  <c r="AB35" i="27" s="1"/>
  <c r="J504" i="13" a="1"/>
  <c r="J504" i="13" s="1"/>
  <c r="J1038" i="13" a="1"/>
  <c r="J1038" i="13" s="1"/>
  <c r="J639" i="13" a="1"/>
  <c r="J639" i="13" s="1"/>
  <c r="J535" i="13" a="1"/>
  <c r="J535" i="13" s="1"/>
  <c r="J755" i="13" a="1"/>
  <c r="J755" i="13" s="1"/>
  <c r="J51" i="13" a="1"/>
  <c r="J51" i="13" s="1"/>
  <c r="J41" i="13" a="1"/>
  <c r="J41" i="13" s="1"/>
  <c r="J647" i="13" a="1"/>
  <c r="J647" i="13" s="1"/>
  <c r="J978" i="13" a="1"/>
  <c r="J978" i="13" s="1"/>
  <c r="J976" i="13" a="1"/>
  <c r="J976" i="13" s="1"/>
  <c r="J159" i="13" a="1"/>
  <c r="J159" i="13" s="1"/>
  <c r="J33" i="13" a="1"/>
  <c r="J33" i="13" s="1"/>
  <c r="J32" i="13" a="1"/>
  <c r="J32" i="13" s="1"/>
  <c r="J931" i="13" a="1"/>
  <c r="J931" i="13" s="1"/>
  <c r="J922" i="13" a="1"/>
  <c r="J922" i="13" s="1"/>
  <c r="J928" i="13" a="1"/>
  <c r="J928" i="13" s="1"/>
  <c r="T1004" i="13"/>
  <c r="U1004" i="13"/>
  <c r="J722" i="13" a="1"/>
  <c r="J722" i="13" s="1"/>
  <c r="J463" i="13" a="1"/>
  <c r="J463" i="13" s="1"/>
  <c r="J464" i="13" a="1"/>
  <c r="J464" i="13" s="1"/>
  <c r="J465" i="13" a="1"/>
  <c r="J465" i="13" s="1"/>
  <c r="J462" i="13" a="1"/>
  <c r="J462" i="13" s="1"/>
  <c r="J714" i="13" a="1"/>
  <c r="J714" i="13" s="1"/>
  <c r="J700" i="13" a="1"/>
  <c r="J700" i="13" s="1"/>
  <c r="J649" i="13" a="1"/>
  <c r="J649" i="13" s="1"/>
  <c r="J642" i="13" a="1"/>
  <c r="J642" i="13" s="1"/>
  <c r="J832" i="13" a="1"/>
  <c r="J832" i="13" s="1"/>
  <c r="J980" i="13" a="1"/>
  <c r="J980" i="13" s="1"/>
  <c r="J552" i="13" a="1"/>
  <c r="J552" i="13" s="1"/>
  <c r="J788" i="13" a="1"/>
  <c r="J788" i="13" s="1"/>
  <c r="J815" i="13" a="1"/>
  <c r="J815" i="13" s="1"/>
  <c r="J820" i="13" a="1"/>
  <c r="J820" i="13" s="1"/>
  <c r="J475" i="13" a="1"/>
  <c r="J475" i="13" s="1"/>
  <c r="J702" i="13" a="1"/>
  <c r="J702" i="13" s="1"/>
  <c r="J824" i="13" a="1"/>
  <c r="J824" i="13" s="1"/>
  <c r="J1037" i="13" a="1"/>
  <c r="J1037" i="13" s="1"/>
  <c r="J703" i="13" a="1"/>
  <c r="J703" i="13" s="1"/>
  <c r="J613" i="13" a="1"/>
  <c r="J613" i="13" s="1"/>
  <c r="J558" i="13" a="1"/>
  <c r="J558" i="13" s="1"/>
  <c r="J701" i="13" a="1"/>
  <c r="J701" i="13" s="1"/>
  <c r="J705" i="13" a="1"/>
  <c r="J705" i="13" s="1"/>
  <c r="J1081" i="13" a="1"/>
  <c r="J1081" i="13" s="1"/>
  <c r="J559" i="13" a="1"/>
  <c r="J559" i="13" s="1"/>
  <c r="J982" i="13" a="1"/>
  <c r="J982" i="13" s="1"/>
  <c r="J1078" i="13" a="1"/>
  <c r="J1078" i="13" s="1"/>
  <c r="J483" i="13" a="1"/>
  <c r="J483" i="13" s="1"/>
  <c r="J1045" i="13" a="1"/>
  <c r="J1045" i="13" s="1"/>
  <c r="J474" i="13" a="1"/>
  <c r="J474" i="13" s="1"/>
  <c r="J979" i="13" a="1"/>
  <c r="J979" i="13" s="1"/>
  <c r="J983" i="13" a="1"/>
  <c r="J983" i="13" s="1"/>
  <c r="J650" i="13" a="1"/>
  <c r="J650" i="13" s="1"/>
  <c r="J1079" i="13" a="1"/>
  <c r="J1079" i="13" s="1"/>
  <c r="J912" i="13" a="1"/>
  <c r="J912" i="13" s="1"/>
  <c r="J545" i="13" a="1"/>
  <c r="J545" i="13" s="1"/>
  <c r="J1072" i="13" a="1"/>
  <c r="J1072" i="13" s="1"/>
  <c r="J2" i="14" l="1"/>
  <c r="E2" i="14"/>
  <c r="E36" i="27"/>
  <c r="U1121" i="13"/>
  <c r="T1121" i="13"/>
  <c r="U704" i="13"/>
  <c r="U177" i="13"/>
  <c r="U1039" i="13"/>
  <c r="T177" i="13"/>
  <c r="U1050" i="13"/>
  <c r="T796" i="13"/>
  <c r="U409" i="13"/>
  <c r="U1033" i="13"/>
  <c r="T310" i="13"/>
  <c r="T740" i="13"/>
  <c r="T779" i="13"/>
  <c r="U221" i="13"/>
  <c r="U1074" i="13"/>
  <c r="T415" i="13"/>
  <c r="T130" i="13"/>
  <c r="T306" i="13"/>
  <c r="T153" i="13"/>
  <c r="U153" i="13"/>
  <c r="I43" i="19"/>
  <c r="O43" i="19" s="1"/>
  <c r="U143" i="13"/>
  <c r="U762" i="13"/>
  <c r="U182" i="13"/>
  <c r="U720" i="13"/>
  <c r="U562" i="13"/>
  <c r="U395" i="13"/>
  <c r="T570" i="13"/>
  <c r="U711" i="13"/>
  <c r="T203" i="13"/>
  <c r="T171" i="13"/>
  <c r="U215" i="13"/>
  <c r="U1055" i="13"/>
  <c r="T170" i="13"/>
  <c r="U637" i="13"/>
  <c r="T996" i="13"/>
  <c r="T643" i="13"/>
  <c r="T540" i="13"/>
  <c r="T974" i="13"/>
  <c r="U784" i="13"/>
  <c r="T929" i="13"/>
  <c r="U981" i="13"/>
  <c r="T8" i="13"/>
  <c r="T538" i="13"/>
  <c r="T994" i="13"/>
  <c r="T1149" i="13"/>
  <c r="U93" i="13"/>
  <c r="T823" i="13"/>
  <c r="U302" i="13"/>
  <c r="T648" i="13"/>
  <c r="T756" i="13"/>
  <c r="U1002" i="13"/>
  <c r="T307" i="13"/>
  <c r="T126" i="13"/>
  <c r="U31" i="13"/>
  <c r="T1158" i="13"/>
  <c r="U129" i="13"/>
  <c r="W31" i="18"/>
  <c r="AB31" i="18" s="1"/>
  <c r="T64" i="13"/>
  <c r="T52" i="13"/>
  <c r="U34" i="31"/>
  <c r="AB34" i="31" s="1"/>
  <c r="T40" i="13"/>
  <c r="U828" i="13"/>
  <c r="U560" i="13"/>
  <c r="I41" i="19"/>
  <c r="O41" i="19" s="1"/>
  <c r="U467" i="13"/>
  <c r="T1000" i="13"/>
  <c r="T546" i="13"/>
  <c r="T65" i="13"/>
  <c r="U109" i="13"/>
  <c r="T267" i="13"/>
  <c r="T109" i="13"/>
  <c r="T934" i="13"/>
  <c r="U723" i="13"/>
  <c r="T573" i="13"/>
  <c r="E50" i="15"/>
  <c r="J50" i="15"/>
  <c r="S50" i="15"/>
  <c r="Z50" i="15" s="1"/>
  <c r="U1045" i="13"/>
  <c r="T1045" i="13"/>
  <c r="U701" i="13"/>
  <c r="T701" i="13"/>
  <c r="U613" i="13"/>
  <c r="T613" i="13"/>
  <c r="J5" i="28"/>
  <c r="P5" i="28" s="1"/>
  <c r="S5" i="28"/>
  <c r="Z5" i="28" s="1"/>
  <c r="E5" i="28"/>
  <c r="U475" i="13"/>
  <c r="T475" i="13"/>
  <c r="U785" i="13"/>
  <c r="T785" i="13"/>
  <c r="U2" i="34"/>
  <c r="AA2" i="34" s="1"/>
  <c r="U463" i="13"/>
  <c r="T463" i="13"/>
  <c r="U544" i="13"/>
  <c r="T544" i="13"/>
  <c r="T759" i="13"/>
  <c r="U759" i="13"/>
  <c r="U533" i="13"/>
  <c r="T533" i="13"/>
  <c r="T715" i="13"/>
  <c r="U715" i="13"/>
  <c r="U1058" i="13"/>
  <c r="T1058" i="13"/>
  <c r="T557" i="13"/>
  <c r="U557" i="13"/>
  <c r="T991" i="13"/>
  <c r="U991" i="13"/>
  <c r="T986" i="13"/>
  <c r="U986" i="13"/>
  <c r="J6" i="36"/>
  <c r="S6" i="36"/>
  <c r="Z6" i="36" s="1"/>
  <c r="E6" i="36"/>
  <c r="T970" i="13"/>
  <c r="U970" i="13"/>
  <c r="U1172" i="13"/>
  <c r="T1172" i="13"/>
  <c r="U5" i="28"/>
  <c r="AA5" i="28" s="1"/>
  <c r="U616" i="13"/>
  <c r="T616" i="13"/>
  <c r="U729" i="13"/>
  <c r="T729" i="13"/>
  <c r="U718" i="13"/>
  <c r="T718" i="13"/>
  <c r="T146" i="13"/>
  <c r="U146" i="13"/>
  <c r="U411" i="13"/>
  <c r="T411" i="13"/>
  <c r="S34" i="31"/>
  <c r="Z34" i="31" s="1"/>
  <c r="J34" i="31"/>
  <c r="E34" i="31"/>
  <c r="U623" i="13"/>
  <c r="T623" i="13"/>
  <c r="U36" i="13"/>
  <c r="T36" i="13"/>
  <c r="T997" i="13"/>
  <c r="U997" i="13"/>
  <c r="T751" i="13"/>
  <c r="U751" i="13"/>
  <c r="T969" i="13"/>
  <c r="U969" i="13"/>
  <c r="U808" i="13"/>
  <c r="T808" i="13"/>
  <c r="U728" i="13"/>
  <c r="T728" i="13"/>
  <c r="U833" i="13"/>
  <c r="T833" i="13"/>
  <c r="U822" i="13"/>
  <c r="T822" i="13"/>
  <c r="U312" i="13"/>
  <c r="T312" i="13"/>
  <c r="U492" i="13"/>
  <c r="T492" i="13"/>
  <c r="T393" i="13"/>
  <c r="U393" i="13"/>
  <c r="T713" i="13"/>
  <c r="U713" i="13"/>
  <c r="U531" i="13"/>
  <c r="T531" i="13"/>
  <c r="U158" i="13"/>
  <c r="T158" i="13"/>
  <c r="U973" i="13"/>
  <c r="T973" i="13"/>
  <c r="U778" i="13"/>
  <c r="T778" i="13"/>
  <c r="T855" i="13"/>
  <c r="U855" i="13"/>
  <c r="T975" i="13"/>
  <c r="U975" i="13"/>
  <c r="U399" i="13"/>
  <c r="T399" i="13"/>
  <c r="U783" i="13"/>
  <c r="T783" i="13"/>
  <c r="U710" i="13"/>
  <c r="T710" i="13"/>
  <c r="U984" i="13"/>
  <c r="T984" i="13"/>
  <c r="T21" i="13"/>
  <c r="U21" i="13"/>
  <c r="I40" i="19"/>
  <c r="O40" i="19" s="1"/>
  <c r="W40" i="19"/>
  <c r="AB40" i="19" s="1"/>
  <c r="T308" i="13"/>
  <c r="U308" i="13"/>
  <c r="U827" i="13"/>
  <c r="T827" i="13"/>
  <c r="T1077" i="13"/>
  <c r="U1077" i="13"/>
  <c r="T646" i="13"/>
  <c r="U646" i="13"/>
  <c r="U38" i="13"/>
  <c r="T38" i="13"/>
  <c r="U539" i="13"/>
  <c r="T539" i="13"/>
  <c r="J3" i="34"/>
  <c r="S3" i="34"/>
  <c r="Z3" i="34" s="1"/>
  <c r="E3" i="34"/>
  <c r="T1062" i="13"/>
  <c r="U1062" i="13"/>
  <c r="T10" i="13"/>
  <c r="U10" i="13"/>
  <c r="T114" i="13"/>
  <c r="U114" i="13"/>
  <c r="U27" i="13"/>
  <c r="T27" i="13"/>
  <c r="J35" i="27"/>
  <c r="E35" i="27"/>
  <c r="S35" i="27"/>
  <c r="Z35" i="27" s="1"/>
  <c r="T74" i="13"/>
  <c r="U74" i="13"/>
  <c r="T117" i="13"/>
  <c r="U117" i="13"/>
  <c r="T269" i="13"/>
  <c r="U269" i="13"/>
  <c r="T94" i="13"/>
  <c r="U94" i="13"/>
  <c r="U8" i="37"/>
  <c r="AA8" i="37" s="1"/>
  <c r="T1143" i="13"/>
  <c r="U1143" i="13"/>
  <c r="U732" i="13"/>
  <c r="T732" i="13"/>
  <c r="T672" i="13"/>
  <c r="U672" i="13"/>
  <c r="U5" i="36"/>
  <c r="AA5" i="36" s="1"/>
  <c r="U925" i="13"/>
  <c r="T925" i="13"/>
  <c r="T7" i="13"/>
  <c r="U7" i="13"/>
  <c r="U17" i="13"/>
  <c r="T17" i="13"/>
  <c r="U5" i="33"/>
  <c r="AA5" i="33" s="1"/>
  <c r="T633" i="13"/>
  <c r="U633" i="13"/>
  <c r="T615" i="13"/>
  <c r="U615" i="13"/>
  <c r="U727" i="13"/>
  <c r="T727" i="13"/>
  <c r="U199" i="13"/>
  <c r="T199" i="13"/>
  <c r="U900" i="13"/>
  <c r="T900" i="13"/>
  <c r="T1169" i="13"/>
  <c r="U1169" i="13"/>
  <c r="T484" i="13"/>
  <c r="U484" i="13"/>
  <c r="T204" i="13"/>
  <c r="U204" i="13"/>
  <c r="W32" i="18"/>
  <c r="AB32" i="18" s="1"/>
  <c r="I32" i="18"/>
  <c r="O32" i="18" s="1"/>
  <c r="U202" i="13"/>
  <c r="T202" i="13"/>
  <c r="U7" i="33"/>
  <c r="AA7" i="33" s="1"/>
  <c r="U110" i="13"/>
  <c r="T110" i="13"/>
  <c r="U801" i="13"/>
  <c r="T801" i="13"/>
  <c r="J7" i="35"/>
  <c r="S7" i="35"/>
  <c r="Z7" i="35" s="1"/>
  <c r="E7" i="35"/>
  <c r="T262" i="13"/>
  <c r="U262" i="13"/>
  <c r="T1072" i="13"/>
  <c r="U1072" i="13"/>
  <c r="S7" i="37"/>
  <c r="Z7" i="37" s="1"/>
  <c r="E7" i="37"/>
  <c r="J7" i="37"/>
  <c r="U6" i="34"/>
  <c r="AA6" i="34" s="1"/>
  <c r="T968" i="13"/>
  <c r="U968" i="13"/>
  <c r="U483" i="13"/>
  <c r="T483" i="13"/>
  <c r="T144" i="13"/>
  <c r="U144" i="13"/>
  <c r="U552" i="13"/>
  <c r="T552" i="13"/>
  <c r="E4" i="35"/>
  <c r="J4" i="35"/>
  <c r="S4" i="35"/>
  <c r="Z4" i="35" s="1"/>
  <c r="U1054" i="13"/>
  <c r="T1054" i="13"/>
  <c r="T722" i="13"/>
  <c r="U722" i="13"/>
  <c r="U214" i="13"/>
  <c r="T214" i="13"/>
  <c r="I46" i="19"/>
  <c r="O46" i="19" s="1"/>
  <c r="W46" i="19"/>
  <c r="AB46" i="19" s="1"/>
  <c r="T41" i="13"/>
  <c r="U41" i="13"/>
  <c r="U1038" i="13"/>
  <c r="T1038" i="13"/>
  <c r="U1147" i="13"/>
  <c r="T1147" i="13"/>
  <c r="U859" i="13"/>
  <c r="T859" i="13"/>
  <c r="T525" i="13"/>
  <c r="U525" i="13"/>
  <c r="S4" i="28"/>
  <c r="Z4" i="28" s="1"/>
  <c r="J4" i="28"/>
  <c r="E4" i="28"/>
  <c r="U1003" i="13"/>
  <c r="T1003" i="13"/>
  <c r="U1066" i="13"/>
  <c r="T1066" i="13"/>
  <c r="T826" i="13"/>
  <c r="U826" i="13"/>
  <c r="U3" i="38"/>
  <c r="AA3" i="38" s="1"/>
  <c r="T494" i="13"/>
  <c r="U494" i="13"/>
  <c r="T990" i="13"/>
  <c r="U990" i="13"/>
  <c r="U1155" i="13"/>
  <c r="T1155" i="13"/>
  <c r="E8" i="36"/>
  <c r="S8" i="36"/>
  <c r="Z8" i="36" s="1"/>
  <c r="J8" i="36"/>
  <c r="T469" i="13"/>
  <c r="U469" i="13"/>
  <c r="U916" i="13"/>
  <c r="T916" i="13"/>
  <c r="U67" i="13"/>
  <c r="T67" i="13"/>
  <c r="E26" i="18"/>
  <c r="S26" i="18"/>
  <c r="X26" i="18" s="1"/>
  <c r="J26" i="18"/>
  <c r="U84" i="13"/>
  <c r="T84" i="13"/>
  <c r="J27" i="18"/>
  <c r="E27" i="18"/>
  <c r="S27" i="18"/>
  <c r="X27" i="18" s="1"/>
  <c r="T259" i="13"/>
  <c r="U259" i="13"/>
  <c r="T548" i="13"/>
  <c r="U548" i="13"/>
  <c r="T418" i="13"/>
  <c r="U418" i="13"/>
  <c r="T220" i="13"/>
  <c r="U220" i="13"/>
  <c r="U77" i="13"/>
  <c r="T77" i="13"/>
  <c r="U92" i="13"/>
  <c r="T92" i="13"/>
  <c r="U466" i="13"/>
  <c r="T466" i="13"/>
  <c r="U534" i="13"/>
  <c r="T534" i="13"/>
  <c r="T786" i="13"/>
  <c r="U786" i="13"/>
  <c r="U726" i="13"/>
  <c r="T726" i="13"/>
  <c r="S6" i="35"/>
  <c r="Z6" i="35" s="1"/>
  <c r="E6" i="35"/>
  <c r="J6" i="35"/>
  <c r="T907" i="13"/>
  <c r="U907" i="13"/>
  <c r="T831" i="13"/>
  <c r="U831" i="13"/>
  <c r="U852" i="13"/>
  <c r="T852" i="13"/>
  <c r="U1142" i="13"/>
  <c r="T1142" i="13"/>
  <c r="T491" i="13"/>
  <c r="U491" i="13"/>
  <c r="S3" i="38"/>
  <c r="Z3" i="38" s="1"/>
  <c r="J3" i="38"/>
  <c r="E3" i="38"/>
  <c r="U152" i="13"/>
  <c r="T152" i="13"/>
  <c r="T181" i="13"/>
  <c r="U181" i="13"/>
  <c r="U412" i="13"/>
  <c r="T412" i="13"/>
  <c r="T867" i="13"/>
  <c r="U867" i="13"/>
  <c r="E9" i="33"/>
  <c r="J9" i="33"/>
  <c r="S9" i="33"/>
  <c r="Z9" i="33" s="1"/>
  <c r="U1068" i="13"/>
  <c r="T1068" i="13"/>
  <c r="U965" i="13"/>
  <c r="T965" i="13"/>
  <c r="J6" i="34"/>
  <c r="E6" i="34"/>
  <c r="S6" i="34"/>
  <c r="Z6" i="34" s="1"/>
  <c r="U640" i="13"/>
  <c r="T640" i="13"/>
  <c r="U554" i="13"/>
  <c r="T554" i="13"/>
  <c r="U719" i="13"/>
  <c r="T719" i="13"/>
  <c r="T219" i="13"/>
  <c r="U219" i="13"/>
  <c r="U706" i="13"/>
  <c r="T706" i="13"/>
  <c r="U20" i="13"/>
  <c r="T20" i="13"/>
  <c r="U265" i="13"/>
  <c r="T265" i="13"/>
  <c r="T69" i="13"/>
  <c r="U69" i="13"/>
  <c r="U3" i="34"/>
  <c r="AA3" i="34" s="1"/>
  <c r="T547" i="13"/>
  <c r="U547" i="13"/>
  <c r="T1061" i="13"/>
  <c r="U1061" i="13"/>
  <c r="U926" i="13"/>
  <c r="T926" i="13"/>
  <c r="W27" i="18"/>
  <c r="AB27" i="18" s="1"/>
  <c r="U87" i="13"/>
  <c r="T87" i="13"/>
  <c r="U11" i="13"/>
  <c r="T11" i="13"/>
  <c r="U50" i="13"/>
  <c r="T50" i="13"/>
  <c r="T268" i="13"/>
  <c r="U268" i="13"/>
  <c r="T1150" i="13"/>
  <c r="U1150" i="13"/>
  <c r="U1148" i="13"/>
  <c r="T1148" i="13"/>
  <c r="U263" i="13"/>
  <c r="T263" i="13"/>
  <c r="T748" i="13"/>
  <c r="U748" i="13"/>
  <c r="U90" i="13"/>
  <c r="T90" i="13"/>
  <c r="T73" i="13"/>
  <c r="U73" i="13"/>
  <c r="U792" i="13"/>
  <c r="T792" i="13"/>
  <c r="T795" i="13"/>
  <c r="U795" i="13"/>
  <c r="T674" i="13"/>
  <c r="U674" i="13"/>
  <c r="U4" i="13"/>
  <c r="T4" i="13"/>
  <c r="T627" i="13"/>
  <c r="U627" i="13"/>
  <c r="T206" i="13"/>
  <c r="U206" i="13"/>
  <c r="U173" i="13"/>
  <c r="T173" i="13"/>
  <c r="U908" i="13"/>
  <c r="T908" i="13"/>
  <c r="U48" i="13"/>
  <c r="T48" i="13"/>
  <c r="T197" i="13"/>
  <c r="U197" i="13"/>
  <c r="U123" i="13"/>
  <c r="T123" i="13"/>
  <c r="T806" i="13"/>
  <c r="U806" i="13"/>
  <c r="T545" i="13"/>
  <c r="U545" i="13"/>
  <c r="U983" i="13"/>
  <c r="T983" i="13"/>
  <c r="T911" i="13"/>
  <c r="U911" i="13"/>
  <c r="U897" i="13"/>
  <c r="T897" i="13"/>
  <c r="U151" i="13"/>
  <c r="T151" i="13"/>
  <c r="E30" i="18"/>
  <c r="S30" i="18"/>
  <c r="X30" i="18" s="1"/>
  <c r="J30" i="18"/>
  <c r="T700" i="13"/>
  <c r="U700" i="13"/>
  <c r="U6" i="33"/>
  <c r="AA6" i="33" s="1"/>
  <c r="U714" i="13"/>
  <c r="T714" i="13"/>
  <c r="U301" i="13"/>
  <c r="T301" i="13"/>
  <c r="U213" i="13"/>
  <c r="T213" i="13"/>
  <c r="U51" i="13"/>
  <c r="T51" i="13"/>
  <c r="T303" i="13"/>
  <c r="U303" i="13"/>
  <c r="U195" i="13"/>
  <c r="T195" i="13"/>
  <c r="T419" i="13"/>
  <c r="U419" i="13"/>
  <c r="U149" i="13"/>
  <c r="T149" i="13"/>
  <c r="T849" i="13"/>
  <c r="U849" i="13"/>
  <c r="U761" i="13"/>
  <c r="T761" i="13"/>
  <c r="T311" i="13"/>
  <c r="U311" i="13"/>
  <c r="T565" i="13"/>
  <c r="U565" i="13"/>
  <c r="T271" i="13"/>
  <c r="U271" i="13"/>
  <c r="U7" i="34"/>
  <c r="AA7" i="34" s="1"/>
  <c r="T1035" i="13"/>
  <c r="U1035" i="13"/>
  <c r="U1170" i="13"/>
  <c r="T1170" i="13"/>
  <c r="U818" i="13"/>
  <c r="T818" i="13"/>
  <c r="U485" i="13"/>
  <c r="T485" i="13"/>
  <c r="T24" i="13"/>
  <c r="U24" i="13"/>
  <c r="U414" i="13"/>
  <c r="T414" i="13"/>
  <c r="T618" i="13"/>
  <c r="U618" i="13"/>
  <c r="U89" i="13"/>
  <c r="T89" i="13"/>
  <c r="T54" i="13"/>
  <c r="U54" i="13"/>
  <c r="T91" i="13"/>
  <c r="U91" i="13"/>
  <c r="U553" i="13"/>
  <c r="T553" i="13"/>
  <c r="U18" i="13"/>
  <c r="T18" i="13"/>
  <c r="U417" i="13"/>
  <c r="T417" i="13"/>
  <c r="U866" i="13"/>
  <c r="T866" i="13"/>
  <c r="U989" i="13"/>
  <c r="T989" i="13"/>
  <c r="T817" i="13"/>
  <c r="U817" i="13"/>
  <c r="T858" i="13"/>
  <c r="U858" i="13"/>
  <c r="U1146" i="13"/>
  <c r="T1146" i="13"/>
  <c r="U124" i="13"/>
  <c r="T124" i="13"/>
  <c r="E29" i="18"/>
  <c r="W29" i="18"/>
  <c r="AB29" i="18" s="1"/>
  <c r="S29" i="18"/>
  <c r="X29" i="18" s="1"/>
  <c r="J29" i="18"/>
  <c r="U737" i="13"/>
  <c r="T737" i="13"/>
  <c r="U651" i="13"/>
  <c r="T651" i="13"/>
  <c r="T743" i="13"/>
  <c r="U743" i="13"/>
  <c r="T304" i="13"/>
  <c r="U304" i="13"/>
  <c r="T872" i="13"/>
  <c r="U872" i="13"/>
  <c r="U1056" i="13"/>
  <c r="T1056" i="13"/>
  <c r="J7" i="36"/>
  <c r="S7" i="36"/>
  <c r="Z7" i="36" s="1"/>
  <c r="E7" i="36"/>
  <c r="T471" i="13"/>
  <c r="U471" i="13"/>
  <c r="U860" i="13"/>
  <c r="T860" i="13"/>
  <c r="T80" i="13"/>
  <c r="U80" i="13"/>
  <c r="U1080" i="13"/>
  <c r="T1080" i="13"/>
  <c r="T675" i="13"/>
  <c r="U675" i="13"/>
  <c r="T857" i="13"/>
  <c r="U857" i="13"/>
  <c r="U35" i="13"/>
  <c r="T35" i="13"/>
  <c r="T390" i="13"/>
  <c r="U390" i="13"/>
  <c r="T542" i="13"/>
  <c r="U542" i="13"/>
  <c r="U819" i="13"/>
  <c r="T819" i="13"/>
  <c r="U154" i="13"/>
  <c r="T154" i="13"/>
  <c r="W30" i="18"/>
  <c r="AB30" i="18" s="1"/>
  <c r="U935" i="13"/>
  <c r="T935" i="13"/>
  <c r="T745" i="13"/>
  <c r="U745" i="13"/>
  <c r="U85" i="13"/>
  <c r="T85" i="13"/>
  <c r="T60" i="13"/>
  <c r="U60" i="13"/>
  <c r="U789" i="13"/>
  <c r="T789" i="13"/>
  <c r="T125" i="13"/>
  <c r="U125" i="13"/>
  <c r="W2" i="14"/>
  <c r="AB2" i="14" s="1"/>
  <c r="O2" i="14"/>
  <c r="T3" i="13"/>
  <c r="U3" i="13"/>
  <c r="U617" i="13"/>
  <c r="T617" i="13"/>
  <c r="U862" i="13"/>
  <c r="T862" i="13"/>
  <c r="U118" i="13"/>
  <c r="T118" i="13"/>
  <c r="W44" i="19"/>
  <c r="AB44" i="19" s="1"/>
  <c r="I44" i="19"/>
  <c r="O44" i="19" s="1"/>
  <c r="U172" i="13"/>
  <c r="T172" i="13"/>
  <c r="T809" i="13"/>
  <c r="U809" i="13"/>
  <c r="U476" i="13"/>
  <c r="T476" i="13"/>
  <c r="U192" i="13"/>
  <c r="T192" i="13"/>
  <c r="I45" i="19"/>
  <c r="O45" i="19" s="1"/>
  <c r="W45" i="19"/>
  <c r="AB45" i="19" s="1"/>
  <c r="U734" i="13"/>
  <c r="T734" i="13"/>
  <c r="T810" i="13"/>
  <c r="U810" i="13"/>
  <c r="U982" i="13"/>
  <c r="T982" i="13"/>
  <c r="U1081" i="13"/>
  <c r="T1081" i="13"/>
  <c r="T145" i="13"/>
  <c r="U145" i="13"/>
  <c r="T966" i="13"/>
  <c r="U966" i="13"/>
  <c r="U904" i="13"/>
  <c r="T904" i="13"/>
  <c r="T980" i="13"/>
  <c r="U980" i="13"/>
  <c r="T832" i="13"/>
  <c r="U832" i="13"/>
  <c r="T1051" i="13"/>
  <c r="U1051" i="13"/>
  <c r="U928" i="13"/>
  <c r="T928" i="13"/>
  <c r="U535" i="13"/>
  <c r="T535" i="13"/>
  <c r="T504" i="13"/>
  <c r="U504" i="13"/>
  <c r="U561" i="13"/>
  <c r="T561" i="13"/>
  <c r="T537" i="13"/>
  <c r="U537" i="13"/>
  <c r="U391" i="13"/>
  <c r="T391" i="13"/>
  <c r="U175" i="13"/>
  <c r="T175" i="13"/>
  <c r="S31" i="18"/>
  <c r="X31" i="18" s="1"/>
  <c r="J31" i="18"/>
  <c r="E31" i="18"/>
  <c r="U854" i="13"/>
  <c r="T854" i="13"/>
  <c r="U6" i="36"/>
  <c r="AA6" i="36" s="1"/>
  <c r="T988" i="13"/>
  <c r="U988" i="13"/>
  <c r="U3" i="37"/>
  <c r="AA3" i="37" s="1"/>
  <c r="U566" i="13"/>
  <c r="T566" i="13"/>
  <c r="T1168" i="13"/>
  <c r="U1168" i="13"/>
  <c r="T1041" i="13"/>
  <c r="U1041" i="13"/>
  <c r="T712" i="13"/>
  <c r="U712" i="13"/>
  <c r="E6" i="33"/>
  <c r="S6" i="33"/>
  <c r="Z6" i="33" s="1"/>
  <c r="J6" i="33"/>
  <c r="T787" i="13"/>
  <c r="U787" i="13"/>
  <c r="U972" i="13"/>
  <c r="T972" i="13"/>
  <c r="U645" i="13"/>
  <c r="T645" i="13"/>
  <c r="U194" i="13"/>
  <c r="T194" i="13"/>
  <c r="T1001" i="13"/>
  <c r="U1001" i="13"/>
  <c r="U413" i="13"/>
  <c r="T413" i="13"/>
  <c r="T420" i="13"/>
  <c r="U420" i="13"/>
  <c r="U7" i="37"/>
  <c r="AA7" i="37" s="1"/>
  <c r="T14" i="13"/>
  <c r="U14" i="13"/>
  <c r="T563" i="13"/>
  <c r="U563" i="13"/>
  <c r="T142" i="13"/>
  <c r="U142" i="13"/>
  <c r="U408" i="13"/>
  <c r="T408" i="13"/>
  <c r="U16" i="13"/>
  <c r="T16" i="13"/>
  <c r="U736" i="13"/>
  <c r="T736" i="13"/>
  <c r="S4" i="37"/>
  <c r="Z4" i="37" s="1"/>
  <c r="J4" i="37"/>
  <c r="E4" i="37"/>
  <c r="U7" i="35"/>
  <c r="AA7" i="35" s="1"/>
  <c r="U802" i="13"/>
  <c r="T802" i="13"/>
  <c r="U128" i="13"/>
  <c r="T128" i="13"/>
  <c r="U1036" i="13"/>
  <c r="T1036" i="13"/>
  <c r="U829" i="13"/>
  <c r="T829" i="13"/>
  <c r="U805" i="13"/>
  <c r="T805" i="13"/>
  <c r="T848" i="13"/>
  <c r="U848" i="13"/>
  <c r="J8" i="33"/>
  <c r="S8" i="33"/>
  <c r="Z8" i="33" s="1"/>
  <c r="E8" i="33"/>
  <c r="T23" i="13"/>
  <c r="U23" i="13"/>
  <c r="T1141" i="13"/>
  <c r="U1141" i="13"/>
  <c r="J8" i="37"/>
  <c r="S8" i="37"/>
  <c r="Z8" i="37" s="1"/>
  <c r="E8" i="37"/>
  <c r="T754" i="13"/>
  <c r="U754" i="13"/>
  <c r="U564" i="13"/>
  <c r="T564" i="13"/>
  <c r="E3" i="37"/>
  <c r="S3" i="37"/>
  <c r="Z3" i="37" s="1"/>
  <c r="J3" i="37"/>
  <c r="U141" i="13"/>
  <c r="T141" i="13"/>
  <c r="U39" i="13"/>
  <c r="T39" i="13"/>
  <c r="T874" i="13"/>
  <c r="U874" i="13"/>
  <c r="U1057" i="13"/>
  <c r="T1057" i="13"/>
  <c r="T985" i="13"/>
  <c r="U985" i="13"/>
  <c r="U667" i="13"/>
  <c r="T667" i="13"/>
  <c r="T631" i="13"/>
  <c r="U631" i="13"/>
  <c r="T1063" i="13"/>
  <c r="U1063" i="13"/>
  <c r="T217" i="13"/>
  <c r="U217" i="13"/>
  <c r="U635" i="13"/>
  <c r="T635" i="13"/>
  <c r="U666" i="13"/>
  <c r="T666" i="13"/>
  <c r="E4" i="33"/>
  <c r="S4" i="33"/>
  <c r="Z4" i="33" s="1"/>
  <c r="J4" i="33"/>
  <c r="U1053" i="13"/>
  <c r="T1053" i="13"/>
  <c r="T1082" i="13"/>
  <c r="U1082" i="13"/>
  <c r="U147" i="13"/>
  <c r="T147" i="13"/>
  <c r="U3" i="35"/>
  <c r="AA3" i="35" s="1"/>
  <c r="U478" i="13"/>
  <c r="T478" i="13"/>
  <c r="U4" i="35"/>
  <c r="AA4" i="35" s="1"/>
  <c r="T555" i="13"/>
  <c r="U555" i="13"/>
  <c r="U44" i="13"/>
  <c r="T44" i="13"/>
  <c r="U821" i="13"/>
  <c r="T821" i="13"/>
  <c r="U75" i="13"/>
  <c r="T75" i="13"/>
  <c r="J39" i="19"/>
  <c r="S39" i="19"/>
  <c r="X39" i="19" s="1"/>
  <c r="E39" i="19"/>
  <c r="T744" i="13"/>
  <c r="U744" i="13"/>
  <c r="U88" i="13"/>
  <c r="T88" i="13"/>
  <c r="U4" i="34"/>
  <c r="AA4" i="34" s="1"/>
  <c r="T791" i="13"/>
  <c r="U791" i="13"/>
  <c r="T131" i="13"/>
  <c r="U131" i="13"/>
  <c r="U677" i="13"/>
  <c r="T677" i="13"/>
  <c r="T55" i="13"/>
  <c r="U55" i="13"/>
  <c r="J35" i="31"/>
  <c r="S35" i="31"/>
  <c r="Z35" i="31" s="1"/>
  <c r="E35" i="31"/>
  <c r="U638" i="13"/>
  <c r="T638" i="13"/>
  <c r="T622" i="13"/>
  <c r="U622" i="13"/>
  <c r="T266" i="13"/>
  <c r="U266" i="13"/>
  <c r="U861" i="13"/>
  <c r="T861" i="13"/>
  <c r="T270" i="13"/>
  <c r="U270" i="13"/>
  <c r="U174" i="13"/>
  <c r="T174" i="13"/>
  <c r="T870" i="13"/>
  <c r="U870" i="13"/>
  <c r="U480" i="13"/>
  <c r="T480" i="13"/>
  <c r="U81" i="13"/>
  <c r="T81" i="13"/>
  <c r="U66" i="13"/>
  <c r="T66" i="13"/>
  <c r="U43" i="13"/>
  <c r="T43" i="13"/>
  <c r="T919" i="13"/>
  <c r="U919" i="13"/>
  <c r="T500" i="13"/>
  <c r="U500" i="13"/>
  <c r="U1078" i="13"/>
  <c r="T1078" i="13"/>
  <c r="U113" i="13"/>
  <c r="T113" i="13"/>
  <c r="J42" i="19"/>
  <c r="E42" i="19"/>
  <c r="S42" i="19"/>
  <c r="X42" i="19" s="1"/>
  <c r="T896" i="13"/>
  <c r="U896" i="13"/>
  <c r="J5" i="34"/>
  <c r="S5" i="34"/>
  <c r="Z5" i="34" s="1"/>
  <c r="E5" i="34"/>
  <c r="U10" i="35"/>
  <c r="AA10" i="35" s="1"/>
  <c r="U1048" i="13"/>
  <c r="T1048" i="13"/>
  <c r="U820" i="13"/>
  <c r="T820" i="13"/>
  <c r="T642" i="13"/>
  <c r="U642" i="13"/>
  <c r="E5" i="35"/>
  <c r="J5" i="35"/>
  <c r="S5" i="35"/>
  <c r="Z5" i="35" s="1"/>
  <c r="T922" i="13"/>
  <c r="U922" i="13"/>
  <c r="S5" i="36"/>
  <c r="Z5" i="36" s="1"/>
  <c r="J5" i="36"/>
  <c r="E5" i="36"/>
  <c r="T159" i="13"/>
  <c r="U159" i="13"/>
  <c r="T639" i="13"/>
  <c r="U639" i="13"/>
  <c r="U1152" i="13"/>
  <c r="T1152" i="13"/>
  <c r="T63" i="13"/>
  <c r="U63" i="13"/>
  <c r="U536" i="13"/>
  <c r="T536" i="13"/>
  <c r="U36" i="27"/>
  <c r="AB36" i="27" s="1"/>
  <c r="U392" i="13"/>
  <c r="T392" i="13"/>
  <c r="U995" i="13"/>
  <c r="T995" i="13"/>
  <c r="U569" i="13"/>
  <c r="T569" i="13"/>
  <c r="T473" i="13"/>
  <c r="U473" i="13"/>
  <c r="U1160" i="13"/>
  <c r="T1160" i="13"/>
  <c r="T780" i="13"/>
  <c r="U780" i="13"/>
  <c r="U717" i="13"/>
  <c r="T717" i="13"/>
  <c r="U541" i="13"/>
  <c r="T541" i="13"/>
  <c r="T180" i="13"/>
  <c r="U180" i="13"/>
  <c r="U1006" i="13"/>
  <c r="T1006" i="13"/>
  <c r="T183" i="13"/>
  <c r="U183" i="13"/>
  <c r="U753" i="13"/>
  <c r="T753" i="13"/>
  <c r="T865" i="13"/>
  <c r="U865" i="13"/>
  <c r="U400" i="13"/>
  <c r="T400" i="13"/>
  <c r="E49" i="15"/>
  <c r="J49" i="15"/>
  <c r="S49" i="15"/>
  <c r="Z49" i="15" s="1"/>
  <c r="T9" i="13"/>
  <c r="U9" i="13"/>
  <c r="S38" i="19"/>
  <c r="X38" i="19" s="1"/>
  <c r="E38" i="19"/>
  <c r="J38" i="19"/>
  <c r="U747" i="13"/>
  <c r="T747" i="13"/>
  <c r="T781" i="13"/>
  <c r="U781" i="13"/>
  <c r="T532" i="13"/>
  <c r="U532" i="13"/>
  <c r="T811" i="13"/>
  <c r="U811" i="13"/>
  <c r="S4" i="36"/>
  <c r="Z4" i="36" s="1"/>
  <c r="J4" i="36"/>
  <c r="E4" i="36"/>
  <c r="T905" i="13"/>
  <c r="U905" i="13"/>
  <c r="U853" i="13"/>
  <c r="T853" i="13"/>
  <c r="T676" i="13"/>
  <c r="U676" i="13"/>
  <c r="U1145" i="13"/>
  <c r="T1145" i="13"/>
  <c r="U757" i="13"/>
  <c r="T757" i="13"/>
  <c r="T160" i="13"/>
  <c r="U160" i="13"/>
  <c r="T933" i="13"/>
  <c r="U933" i="13"/>
  <c r="U190" i="13"/>
  <c r="T190" i="13"/>
  <c r="T193" i="13"/>
  <c r="U193" i="13"/>
  <c r="U313" i="13"/>
  <c r="T313" i="13"/>
  <c r="T869" i="13"/>
  <c r="U869" i="13"/>
  <c r="U1060" i="13"/>
  <c r="T1060" i="13"/>
  <c r="T191" i="13"/>
  <c r="U191" i="13"/>
  <c r="U708" i="13"/>
  <c r="T708" i="13"/>
  <c r="T556" i="13"/>
  <c r="U556" i="13"/>
  <c r="T816" i="13"/>
  <c r="U816" i="13"/>
  <c r="U218" i="13"/>
  <c r="T218" i="13"/>
  <c r="U1144" i="13"/>
  <c r="T1144" i="13"/>
  <c r="U207" i="13"/>
  <c r="T207" i="13"/>
  <c r="T918" i="13"/>
  <c r="U918" i="13"/>
  <c r="T189" i="13"/>
  <c r="U189" i="13"/>
  <c r="S45" i="19"/>
  <c r="X45" i="19" s="1"/>
  <c r="E45" i="19"/>
  <c r="J45" i="19"/>
  <c r="T1049" i="13"/>
  <c r="U1049" i="13"/>
  <c r="T1034" i="13"/>
  <c r="U1034" i="13"/>
  <c r="E7" i="34"/>
  <c r="S7" i="34"/>
  <c r="Z7" i="34" s="1"/>
  <c r="J7" i="34"/>
  <c r="T53" i="13"/>
  <c r="U53" i="13"/>
  <c r="U709" i="13"/>
  <c r="T709" i="13"/>
  <c r="U630" i="13"/>
  <c r="T630" i="13"/>
  <c r="T421" i="13"/>
  <c r="U421" i="13"/>
  <c r="U1156" i="13"/>
  <c r="T1156" i="13"/>
  <c r="T196" i="13"/>
  <c r="U196" i="13"/>
  <c r="U72" i="13"/>
  <c r="T72" i="13"/>
  <c r="T62" i="13"/>
  <c r="U62" i="13"/>
  <c r="T632" i="13"/>
  <c r="U632" i="13"/>
  <c r="T739" i="13"/>
  <c r="U739" i="13"/>
  <c r="T793" i="13"/>
  <c r="U793" i="13"/>
  <c r="T797" i="13"/>
  <c r="U797" i="13"/>
  <c r="T132" i="13"/>
  <c r="U132" i="13"/>
  <c r="T670" i="13"/>
  <c r="U670" i="13"/>
  <c r="T923" i="13"/>
  <c r="U923" i="13"/>
  <c r="W26" i="18"/>
  <c r="AB26" i="18" s="1"/>
  <c r="T70" i="13"/>
  <c r="U70" i="13"/>
  <c r="U614" i="13"/>
  <c r="T614" i="13"/>
  <c r="W43" i="19"/>
  <c r="AB43" i="19" s="1"/>
  <c r="U260" i="13"/>
  <c r="T260" i="13"/>
  <c r="U59" i="15"/>
  <c r="AA59" i="15" s="1"/>
  <c r="I59" i="15"/>
  <c r="T169" i="13"/>
  <c r="U169" i="13"/>
  <c r="S44" i="19"/>
  <c r="X44" i="19" s="1"/>
  <c r="E44" i="19"/>
  <c r="J44" i="19"/>
  <c r="U875" i="13"/>
  <c r="T875" i="13"/>
  <c r="T481" i="13"/>
  <c r="U481" i="13"/>
  <c r="U79" i="13"/>
  <c r="T79" i="13"/>
  <c r="T119" i="13"/>
  <c r="U119" i="13"/>
  <c r="T917" i="13"/>
  <c r="U917" i="13"/>
  <c r="T496" i="13"/>
  <c r="U496" i="13"/>
  <c r="U912" i="13"/>
  <c r="T912" i="13"/>
  <c r="J8" i="35"/>
  <c r="P8" i="35" s="1"/>
  <c r="S8" i="35"/>
  <c r="Z8" i="35" s="1"/>
  <c r="E8" i="35"/>
  <c r="T140" i="13"/>
  <c r="U140" i="13"/>
  <c r="E43" i="19"/>
  <c r="J43" i="19"/>
  <c r="S43" i="19"/>
  <c r="X43" i="19" s="1"/>
  <c r="U1046" i="13"/>
  <c r="T1046" i="13"/>
  <c r="J10" i="35"/>
  <c r="E10" i="35"/>
  <c r="S10" i="35"/>
  <c r="Z10" i="35" s="1"/>
  <c r="U703" i="13"/>
  <c r="T703" i="13"/>
  <c r="T824" i="13"/>
  <c r="U824" i="13"/>
  <c r="T1047" i="13"/>
  <c r="U1047" i="13"/>
  <c r="T462" i="13"/>
  <c r="U462" i="13"/>
  <c r="E2" i="34"/>
  <c r="S2" i="34"/>
  <c r="Z2" i="34" s="1"/>
  <c r="J2" i="34"/>
  <c r="U931" i="13"/>
  <c r="T931" i="13"/>
  <c r="T976" i="13"/>
  <c r="U976" i="13"/>
  <c r="S9" i="35"/>
  <c r="Z9" i="35" s="1"/>
  <c r="J9" i="35"/>
  <c r="E9" i="35"/>
  <c r="U755" i="13"/>
  <c r="T755" i="13"/>
  <c r="T29" i="13"/>
  <c r="U29" i="13"/>
  <c r="U5" i="35"/>
  <c r="AA5" i="35" s="1"/>
  <c r="T644" i="13"/>
  <c r="U644" i="13"/>
  <c r="U529" i="13"/>
  <c r="T529" i="13"/>
  <c r="U389" i="13"/>
  <c r="T389" i="13"/>
  <c r="S36" i="27"/>
  <c r="Z36" i="27" s="1"/>
  <c r="J36" i="27"/>
  <c r="T987" i="13"/>
  <c r="U987" i="13"/>
  <c r="T571" i="13"/>
  <c r="U571" i="13"/>
  <c r="T42" i="13"/>
  <c r="U42" i="13"/>
  <c r="U4" i="28"/>
  <c r="AA4" i="28" s="1"/>
  <c r="T527" i="13"/>
  <c r="U527" i="13"/>
  <c r="T1165" i="13"/>
  <c r="U1165" i="13"/>
  <c r="U493" i="13"/>
  <c r="T493" i="13"/>
  <c r="T1163" i="13"/>
  <c r="U1163" i="13"/>
  <c r="U6" i="35"/>
  <c r="AA6" i="35" s="1"/>
  <c r="U730" i="13"/>
  <c r="T730" i="13"/>
  <c r="U725" i="13"/>
  <c r="T725" i="13"/>
  <c r="U68" i="13"/>
  <c r="T68" i="13"/>
  <c r="T1064" i="13"/>
  <c r="U1064" i="13"/>
  <c r="T999" i="13"/>
  <c r="U999" i="13"/>
  <c r="U669" i="13"/>
  <c r="T669" i="13"/>
  <c r="U112" i="13"/>
  <c r="T112" i="13"/>
  <c r="U37" i="13"/>
  <c r="T37" i="13"/>
  <c r="T155" i="13"/>
  <c r="U155" i="13"/>
  <c r="U1153" i="13"/>
  <c r="T1153" i="13"/>
  <c r="U628" i="13"/>
  <c r="T628" i="13"/>
  <c r="T13" i="13"/>
  <c r="U13" i="13"/>
  <c r="W38" i="19"/>
  <c r="AB38" i="19" s="1"/>
  <c r="I38" i="19"/>
  <c r="O38" i="19" s="1"/>
  <c r="U742" i="13"/>
  <c r="T742" i="13"/>
  <c r="T920" i="13"/>
  <c r="U920" i="13"/>
  <c r="U741" i="13"/>
  <c r="T741" i="13"/>
  <c r="U550" i="13"/>
  <c r="T550" i="13"/>
  <c r="T34" i="13"/>
  <c r="U34" i="13"/>
  <c r="U814" i="13"/>
  <c r="T814" i="13"/>
  <c r="T851" i="13"/>
  <c r="U851" i="13"/>
  <c r="U8" i="33"/>
  <c r="AA8" i="33" s="1"/>
  <c r="T850" i="13"/>
  <c r="U850" i="13"/>
  <c r="T1154" i="13"/>
  <c r="U1154" i="13"/>
  <c r="E6" i="38"/>
  <c r="T752" i="13"/>
  <c r="U752" i="13"/>
  <c r="U2" i="13"/>
  <c r="T2" i="13"/>
  <c r="S2" i="14"/>
  <c r="X2" i="14" s="1"/>
  <c r="U1044" i="13"/>
  <c r="T1044" i="13"/>
  <c r="U1159" i="13"/>
  <c r="T1159" i="13"/>
  <c r="U626" i="13"/>
  <c r="T626" i="13"/>
  <c r="U927" i="13"/>
  <c r="T927" i="13"/>
  <c r="T877" i="13"/>
  <c r="U877" i="13"/>
  <c r="T1065" i="13"/>
  <c r="U1065" i="13"/>
  <c r="U156" i="13"/>
  <c r="T156" i="13"/>
  <c r="U620" i="13"/>
  <c r="T620" i="13"/>
  <c r="T216" i="13"/>
  <c r="U216" i="13"/>
  <c r="T198" i="13"/>
  <c r="U198" i="13"/>
  <c r="E32" i="18"/>
  <c r="J32" i="18"/>
  <c r="S32" i="18"/>
  <c r="X32" i="18" s="1"/>
  <c r="T856" i="13"/>
  <c r="U856" i="13"/>
  <c r="T106" i="13"/>
  <c r="U106" i="13"/>
  <c r="U876" i="13"/>
  <c r="T876" i="13"/>
  <c r="T724" i="13"/>
  <c r="U724" i="13"/>
  <c r="U394" i="13"/>
  <c r="T394" i="13"/>
  <c r="U1167" i="13"/>
  <c r="T1167" i="13"/>
  <c r="U35" i="31"/>
  <c r="AB35" i="31" s="1"/>
  <c r="T58" i="13"/>
  <c r="U58" i="13"/>
  <c r="U19" i="13"/>
  <c r="T19" i="13"/>
  <c r="S40" i="19"/>
  <c r="X40" i="19" s="1"/>
  <c r="E40" i="19"/>
  <c r="J40" i="19"/>
  <c r="T634" i="13"/>
  <c r="U634" i="13"/>
  <c r="T1151" i="13"/>
  <c r="U1151" i="13"/>
  <c r="T59" i="13"/>
  <c r="U59" i="13"/>
  <c r="T161" i="13"/>
  <c r="U161" i="13"/>
  <c r="U930" i="13"/>
  <c r="T930" i="13"/>
  <c r="T794" i="13"/>
  <c r="U794" i="13"/>
  <c r="I29" i="18"/>
  <c r="O29" i="18" s="1"/>
  <c r="T134" i="13"/>
  <c r="U134" i="13"/>
  <c r="U4" i="33"/>
  <c r="AA4" i="33" s="1"/>
  <c r="U668" i="13"/>
  <c r="T668" i="13"/>
  <c r="T410" i="13"/>
  <c r="U410" i="13"/>
  <c r="U71" i="13"/>
  <c r="T71" i="13"/>
  <c r="U45" i="13"/>
  <c r="T45" i="13"/>
  <c r="U910" i="13"/>
  <c r="T910" i="13"/>
  <c r="T873" i="13"/>
  <c r="U873" i="13"/>
  <c r="U482" i="13"/>
  <c r="T482" i="13"/>
  <c r="T501" i="13"/>
  <c r="U501" i="13"/>
  <c r="U804" i="13"/>
  <c r="T804" i="13"/>
  <c r="U8" i="35"/>
  <c r="AA8" i="35" s="1"/>
  <c r="T913" i="13"/>
  <c r="U913" i="13"/>
  <c r="T22" i="13"/>
  <c r="U22" i="13"/>
  <c r="U499" i="13"/>
  <c r="T499" i="13"/>
  <c r="T1079" i="13"/>
  <c r="U1079" i="13"/>
  <c r="U979" i="13"/>
  <c r="T979" i="13"/>
  <c r="U909" i="13"/>
  <c r="T909" i="13"/>
  <c r="T1161" i="13"/>
  <c r="U1161" i="13"/>
  <c r="U1037" i="13"/>
  <c r="T1037" i="13"/>
  <c r="T702" i="13"/>
  <c r="U702" i="13"/>
  <c r="U815" i="13"/>
  <c r="T815" i="13"/>
  <c r="U1052" i="13"/>
  <c r="T1052" i="13"/>
  <c r="T649" i="13"/>
  <c r="U649" i="13"/>
  <c r="U465" i="13"/>
  <c r="T465" i="13"/>
  <c r="T32" i="13"/>
  <c r="U32" i="13"/>
  <c r="U9" i="35"/>
  <c r="AA9" i="35" s="1"/>
  <c r="T978" i="13"/>
  <c r="U978" i="13"/>
  <c r="T83" i="13"/>
  <c r="U83" i="13"/>
  <c r="U405" i="13"/>
  <c r="T405" i="13"/>
  <c r="U652" i="13"/>
  <c r="T652" i="13"/>
  <c r="U528" i="13"/>
  <c r="T528" i="13"/>
  <c r="U1067" i="13"/>
  <c r="T1067" i="13"/>
  <c r="T398" i="13"/>
  <c r="U398" i="13"/>
  <c r="T992" i="13"/>
  <c r="U992" i="13"/>
  <c r="U568" i="13"/>
  <c r="T568" i="13"/>
  <c r="U746" i="13"/>
  <c r="T746" i="13"/>
  <c r="T1166" i="13"/>
  <c r="U1166" i="13"/>
  <c r="U5" i="34"/>
  <c r="AA5" i="34" s="1"/>
  <c r="U898" i="13"/>
  <c r="T898" i="13"/>
  <c r="T903" i="13"/>
  <c r="U903" i="13"/>
  <c r="T716" i="13"/>
  <c r="U716" i="13"/>
  <c r="U179" i="13"/>
  <c r="T179" i="13"/>
  <c r="U1005" i="13"/>
  <c r="T1005" i="13"/>
  <c r="T46" i="13"/>
  <c r="U46" i="13"/>
  <c r="U176" i="13"/>
  <c r="T176" i="13"/>
  <c r="U9" i="33"/>
  <c r="AA9" i="33" s="1"/>
  <c r="U868" i="13"/>
  <c r="T868" i="13"/>
  <c r="U1040" i="13"/>
  <c r="T1040" i="13"/>
  <c r="T932" i="13"/>
  <c r="U932" i="13"/>
  <c r="U1076" i="13"/>
  <c r="T1076" i="13"/>
  <c r="T1164" i="13"/>
  <c r="U1164" i="13"/>
  <c r="U750" i="13"/>
  <c r="T750" i="13"/>
  <c r="U790" i="13"/>
  <c r="T790" i="13"/>
  <c r="U1162" i="13"/>
  <c r="T1162" i="13"/>
  <c r="T309" i="13"/>
  <c r="U309" i="13"/>
  <c r="U4" i="36"/>
  <c r="AA4" i="36" s="1"/>
  <c r="U813" i="13"/>
  <c r="T813" i="13"/>
  <c r="U624" i="13"/>
  <c r="T624" i="13"/>
  <c r="T864" i="13"/>
  <c r="U864" i="13"/>
  <c r="T422" i="13"/>
  <c r="U422" i="13"/>
  <c r="T763" i="13"/>
  <c r="U763" i="13"/>
  <c r="T901" i="13"/>
  <c r="U901" i="13"/>
  <c r="U1070" i="13"/>
  <c r="T1070" i="13"/>
  <c r="U30" i="13"/>
  <c r="T30" i="13"/>
  <c r="U7" i="36"/>
  <c r="AA7" i="36" s="1"/>
  <c r="T1059" i="13"/>
  <c r="U1059" i="13"/>
  <c r="T906" i="13"/>
  <c r="U906" i="13"/>
  <c r="U625" i="13"/>
  <c r="T625" i="13"/>
  <c r="T49" i="13"/>
  <c r="U49" i="13"/>
  <c r="U707" i="13"/>
  <c r="T707" i="13"/>
  <c r="T407" i="13"/>
  <c r="U407" i="13"/>
  <c r="U641" i="13"/>
  <c r="T641" i="13"/>
  <c r="U201" i="13"/>
  <c r="T201" i="13"/>
  <c r="U107" i="13"/>
  <c r="T107" i="13"/>
  <c r="T212" i="13"/>
  <c r="U212" i="13"/>
  <c r="E46" i="19"/>
  <c r="J46" i="19"/>
  <c r="S46" i="19"/>
  <c r="X46" i="19" s="1"/>
  <c r="U1075" i="13"/>
  <c r="T1075" i="13"/>
  <c r="U498" i="13"/>
  <c r="T498" i="13"/>
  <c r="T111" i="13"/>
  <c r="U111" i="13"/>
  <c r="U8" i="36"/>
  <c r="AA8" i="36" s="1"/>
  <c r="T1157" i="13"/>
  <c r="U1157" i="13"/>
  <c r="U264" i="13"/>
  <c r="T264" i="13"/>
  <c r="T86" i="13"/>
  <c r="U86" i="13"/>
  <c r="T116" i="13"/>
  <c r="U116" i="13"/>
  <c r="W42" i="19"/>
  <c r="AB42" i="19" s="1"/>
  <c r="I42" i="19"/>
  <c r="O42" i="19" s="1"/>
  <c r="T56" i="13"/>
  <c r="U56" i="13"/>
  <c r="U799" i="13"/>
  <c r="T799" i="13"/>
  <c r="U6" i="13"/>
  <c r="T6" i="13"/>
  <c r="T205" i="13"/>
  <c r="U205" i="13"/>
  <c r="T133" i="13"/>
  <c r="U133" i="13"/>
  <c r="U673" i="13"/>
  <c r="T673" i="13"/>
  <c r="T403" i="13"/>
  <c r="U403" i="13"/>
  <c r="T924" i="13"/>
  <c r="U924" i="13"/>
  <c r="U619" i="13"/>
  <c r="T619" i="13"/>
  <c r="U731" i="13"/>
  <c r="T731" i="13"/>
  <c r="U936" i="13"/>
  <c r="T936" i="13"/>
  <c r="T899" i="13"/>
  <c r="U899" i="13"/>
  <c r="U486" i="13"/>
  <c r="T486" i="13"/>
  <c r="U749" i="13"/>
  <c r="T749" i="13"/>
  <c r="T807" i="13"/>
  <c r="U807" i="13"/>
  <c r="U915" i="13"/>
  <c r="T915" i="13"/>
  <c r="T26" i="13"/>
  <c r="U26" i="13"/>
  <c r="T497" i="13"/>
  <c r="U497" i="13"/>
  <c r="T650" i="13"/>
  <c r="U650" i="13"/>
  <c r="U474" i="13"/>
  <c r="T474" i="13"/>
  <c r="S3" i="35"/>
  <c r="Z3" i="35" s="1"/>
  <c r="E3" i="35"/>
  <c r="J3" i="35"/>
  <c r="T559" i="13"/>
  <c r="U559" i="13"/>
  <c r="U705" i="13"/>
  <c r="T705" i="13"/>
  <c r="U558" i="13"/>
  <c r="T558" i="13"/>
  <c r="U788" i="13"/>
  <c r="T788" i="13"/>
  <c r="E4" i="34"/>
  <c r="S4" i="34"/>
  <c r="Z4" i="34" s="1"/>
  <c r="J4" i="34"/>
  <c r="U777" i="13"/>
  <c r="T777" i="13"/>
  <c r="E7" i="33"/>
  <c r="J7" i="33"/>
  <c r="S7" i="33"/>
  <c r="Z7" i="33" s="1"/>
  <c r="T464" i="13"/>
  <c r="U464" i="13"/>
  <c r="U33" i="13"/>
  <c r="T33" i="13"/>
  <c r="T647" i="13"/>
  <c r="U647" i="13"/>
  <c r="U397" i="13"/>
  <c r="T397" i="13"/>
  <c r="T530" i="13"/>
  <c r="U530" i="13"/>
  <c r="T1069" i="13"/>
  <c r="U1069" i="13"/>
  <c r="T396" i="13"/>
  <c r="U396" i="13"/>
  <c r="U629" i="13"/>
  <c r="T629" i="13"/>
  <c r="S5" i="33"/>
  <c r="Z5" i="33" s="1"/>
  <c r="J5" i="33"/>
  <c r="E5" i="33"/>
  <c r="T1042" i="13"/>
  <c r="U1042" i="13"/>
  <c r="U993" i="13"/>
  <c r="T993" i="13"/>
  <c r="U1171" i="13"/>
  <c r="T1171" i="13"/>
  <c r="T5" i="13"/>
  <c r="U5" i="13"/>
  <c r="U1043" i="13"/>
  <c r="T1043" i="13"/>
  <c r="U721" i="13"/>
  <c r="T721" i="13"/>
  <c r="T148" i="13"/>
  <c r="U148" i="13"/>
  <c r="U998" i="13"/>
  <c r="T998" i="13"/>
  <c r="S6" i="37"/>
  <c r="Z6" i="37" s="1"/>
  <c r="J6" i="37"/>
  <c r="E6" i="37"/>
  <c r="U812" i="13"/>
  <c r="T812" i="13"/>
  <c r="T401" i="13"/>
  <c r="U401" i="13"/>
  <c r="U49" i="15"/>
  <c r="AA49" i="15" s="1"/>
  <c r="I49" i="15"/>
  <c r="O51" i="15" s="1"/>
  <c r="T871" i="13"/>
  <c r="U871" i="13"/>
  <c r="U758" i="13"/>
  <c r="T758" i="13"/>
  <c r="U468" i="13"/>
  <c r="T468" i="13"/>
  <c r="T502" i="13"/>
  <c r="U502" i="13"/>
  <c r="T25" i="13"/>
  <c r="U25" i="13"/>
  <c r="T921" i="13"/>
  <c r="U921" i="13"/>
  <c r="T733" i="13"/>
  <c r="U733" i="13"/>
  <c r="T971" i="13"/>
  <c r="U971" i="13"/>
  <c r="U798" i="13"/>
  <c r="T798" i="13"/>
  <c r="T863" i="13"/>
  <c r="U863" i="13"/>
  <c r="U830" i="13"/>
  <c r="T830" i="13"/>
  <c r="U470" i="13"/>
  <c r="T470" i="13"/>
  <c r="T76" i="13"/>
  <c r="U76" i="13"/>
  <c r="U760" i="13"/>
  <c r="T760" i="13"/>
  <c r="U157" i="13"/>
  <c r="T157" i="13"/>
  <c r="U28" i="13"/>
  <c r="T28" i="13"/>
  <c r="T258" i="13"/>
  <c r="U258" i="13"/>
  <c r="E59" i="15"/>
  <c r="S59" i="15"/>
  <c r="Z59" i="15" s="1"/>
  <c r="J59" i="15"/>
  <c r="U636" i="13"/>
  <c r="T636" i="13"/>
  <c r="U967" i="13"/>
  <c r="T967" i="13"/>
  <c r="U4" i="37"/>
  <c r="AA4" i="37" s="1"/>
  <c r="T738" i="13"/>
  <c r="U738" i="13"/>
  <c r="U115" i="13"/>
  <c r="T115" i="13"/>
  <c r="T416" i="13"/>
  <c r="U416" i="13"/>
  <c r="U120" i="13"/>
  <c r="T120" i="13"/>
  <c r="U479" i="13"/>
  <c r="T479" i="13"/>
  <c r="T105" i="13"/>
  <c r="U105" i="13"/>
  <c r="J41" i="19"/>
  <c r="S41" i="19"/>
  <c r="X41" i="19" s="1"/>
  <c r="E41" i="19"/>
  <c r="T825" i="13"/>
  <c r="U825" i="13"/>
  <c r="T1073" i="13"/>
  <c r="U1073" i="13"/>
  <c r="U782" i="13"/>
  <c r="T782" i="13"/>
  <c r="T402" i="13"/>
  <c r="U402" i="13"/>
  <c r="T549" i="13"/>
  <c r="U549" i="13"/>
  <c r="U15" i="13"/>
  <c r="T15" i="13"/>
  <c r="T121" i="13"/>
  <c r="U121" i="13"/>
  <c r="U57" i="13"/>
  <c r="T57" i="13"/>
  <c r="U61" i="13"/>
  <c r="T61" i="13"/>
  <c r="U78" i="13"/>
  <c r="T78" i="13"/>
  <c r="I39" i="19"/>
  <c r="O39" i="19" s="1"/>
  <c r="W39" i="19"/>
  <c r="AB39" i="19" s="1"/>
  <c r="T406" i="13"/>
  <c r="U406" i="13"/>
  <c r="T127" i="13"/>
  <c r="U127" i="13"/>
  <c r="U671" i="13"/>
  <c r="T671" i="13"/>
  <c r="U404" i="13"/>
  <c r="T404" i="13"/>
  <c r="T47" i="13"/>
  <c r="U47" i="13"/>
  <c r="T503" i="13"/>
  <c r="U503" i="13"/>
  <c r="U621" i="13"/>
  <c r="T621" i="13"/>
  <c r="U735" i="13"/>
  <c r="T735" i="13"/>
  <c r="T261" i="13"/>
  <c r="U261" i="13"/>
  <c r="T200" i="13"/>
  <c r="U200" i="13"/>
  <c r="U82" i="13"/>
  <c r="T82" i="13"/>
  <c r="T800" i="13"/>
  <c r="U800" i="13"/>
  <c r="U902" i="13"/>
  <c r="T902" i="13"/>
  <c r="T477" i="13"/>
  <c r="U477" i="13"/>
  <c r="T108" i="13"/>
  <c r="U108" i="13"/>
  <c r="T803" i="13"/>
  <c r="U803" i="13"/>
  <c r="U914" i="13"/>
  <c r="T914" i="13"/>
  <c r="U495" i="13"/>
  <c r="T495" i="13"/>
  <c r="F29" i="18" l="1"/>
  <c r="P50" i="15"/>
  <c r="F50" i="15"/>
  <c r="L50" i="15" s="1"/>
  <c r="V50" i="15"/>
  <c r="F41" i="19"/>
  <c r="L41" i="19" s="1"/>
  <c r="F7" i="34"/>
  <c r="L7" i="34" s="1"/>
  <c r="F6" i="37"/>
  <c r="L6" i="37" s="1"/>
  <c r="F32" i="18"/>
  <c r="L32" i="18" s="1"/>
  <c r="V10" i="35"/>
  <c r="AB10" i="35" s="1"/>
  <c r="F4" i="36"/>
  <c r="L4" i="36" s="1"/>
  <c r="V6" i="37"/>
  <c r="AC6" i="37" s="1"/>
  <c r="V44" i="19"/>
  <c r="AA44" i="19" s="1"/>
  <c r="AC44" i="19" s="1"/>
  <c r="AD44" i="19" s="1"/>
  <c r="F44" i="19"/>
  <c r="L44" i="19" s="1"/>
  <c r="F7" i="33"/>
  <c r="L7" i="33" s="1"/>
  <c r="V7" i="34"/>
  <c r="AC7" i="34" s="1"/>
  <c r="F5" i="35"/>
  <c r="L5" i="35" s="1"/>
  <c r="P7" i="36"/>
  <c r="V6" i="34"/>
  <c r="P8" i="36"/>
  <c r="V4" i="28"/>
  <c r="P7" i="37"/>
  <c r="F6" i="36"/>
  <c r="L6" i="36" s="1"/>
  <c r="P35" i="31"/>
  <c r="P39" i="19"/>
  <c r="F31" i="18"/>
  <c r="L31" i="18" s="1"/>
  <c r="F7" i="36"/>
  <c r="L7" i="36" s="1"/>
  <c r="L29" i="18"/>
  <c r="F30" i="18"/>
  <c r="L30" i="18" s="1"/>
  <c r="F26" i="18"/>
  <c r="L26" i="18" s="1"/>
  <c r="F4" i="28"/>
  <c r="L4" i="28" s="1"/>
  <c r="P7" i="35"/>
  <c r="F5" i="28"/>
  <c r="L5" i="28" s="1"/>
  <c r="P5" i="36"/>
  <c r="P42" i="19"/>
  <c r="V35" i="31"/>
  <c r="F39" i="19"/>
  <c r="L39" i="19" s="1"/>
  <c r="F4" i="33"/>
  <c r="L4" i="33" s="1"/>
  <c r="V31" i="18"/>
  <c r="AA31" i="18" s="1"/>
  <c r="AC31" i="18" s="1"/>
  <c r="AD31" i="18" s="1"/>
  <c r="V7" i="36"/>
  <c r="V29" i="18"/>
  <c r="AA29" i="18" s="1"/>
  <c r="AC29" i="18" s="1"/>
  <c r="AD29" i="18" s="1"/>
  <c r="V30" i="18"/>
  <c r="AA30" i="18" s="1"/>
  <c r="AC30" i="18" s="1"/>
  <c r="AD30" i="18" s="1"/>
  <c r="V26" i="18"/>
  <c r="AA26" i="18" s="1"/>
  <c r="AC26" i="18" s="1"/>
  <c r="AD26" i="18" s="1"/>
  <c r="P4" i="35"/>
  <c r="F7" i="35"/>
  <c r="L7" i="35" s="1"/>
  <c r="P34" i="31"/>
  <c r="V5" i="28"/>
  <c r="V59" i="15"/>
  <c r="P5" i="33"/>
  <c r="V7" i="33"/>
  <c r="F2" i="34"/>
  <c r="L2" i="34" s="1"/>
  <c r="P38" i="19"/>
  <c r="F42" i="19"/>
  <c r="L42" i="19" s="1"/>
  <c r="F35" i="31"/>
  <c r="L35" i="31" s="1"/>
  <c r="V39" i="19"/>
  <c r="AA39" i="19" s="1"/>
  <c r="AC39" i="19" s="1"/>
  <c r="AD39" i="19" s="1"/>
  <c r="V4" i="33"/>
  <c r="P3" i="37"/>
  <c r="P8" i="33"/>
  <c r="P6" i="33"/>
  <c r="P6" i="35"/>
  <c r="P27" i="18"/>
  <c r="F8" i="36"/>
  <c r="L8" i="36" s="1"/>
  <c r="V7" i="37"/>
  <c r="V7" i="35"/>
  <c r="P49" i="15"/>
  <c r="V5" i="36"/>
  <c r="P5" i="34"/>
  <c r="V42" i="19"/>
  <c r="AA42" i="19" s="1"/>
  <c r="AC42" i="19" s="1"/>
  <c r="AD42" i="19" s="1"/>
  <c r="P8" i="37"/>
  <c r="V8" i="33"/>
  <c r="P4" i="37"/>
  <c r="P9" i="33"/>
  <c r="P3" i="38"/>
  <c r="F27" i="18"/>
  <c r="L27" i="18" s="1"/>
  <c r="V8" i="36"/>
  <c r="F4" i="35"/>
  <c r="L4" i="35" s="1"/>
  <c r="F7" i="37"/>
  <c r="L7" i="37" s="1"/>
  <c r="P35" i="27"/>
  <c r="F34" i="31"/>
  <c r="L34" i="31" s="1"/>
  <c r="V41" i="19"/>
  <c r="AA41" i="19" s="1"/>
  <c r="AC41" i="19" s="1"/>
  <c r="AD41" i="19" s="1"/>
  <c r="P59" i="15"/>
  <c r="P7" i="33"/>
  <c r="V36" i="27"/>
  <c r="V8" i="35"/>
  <c r="P45" i="19"/>
  <c r="F4" i="34"/>
  <c r="L4" i="34" s="1"/>
  <c r="P40" i="19"/>
  <c r="V9" i="35"/>
  <c r="P43" i="19"/>
  <c r="P7" i="34"/>
  <c r="V4" i="34"/>
  <c r="P3" i="35"/>
  <c r="P46" i="19"/>
  <c r="P2" i="14"/>
  <c r="F9" i="35"/>
  <c r="L9" i="35" s="1"/>
  <c r="V2" i="34"/>
  <c r="F59" i="15"/>
  <c r="L59" i="15" s="1"/>
  <c r="V46" i="19"/>
  <c r="AA46" i="19" s="1"/>
  <c r="AC46" i="19" s="1"/>
  <c r="AD46" i="19" s="1"/>
  <c r="P32" i="18"/>
  <c r="F2" i="14"/>
  <c r="L2" i="14" s="1"/>
  <c r="V43" i="19"/>
  <c r="AA43" i="19" s="1"/>
  <c r="AC43" i="19" s="1"/>
  <c r="AD43" i="19" s="1"/>
  <c r="V45" i="19"/>
  <c r="AA45" i="19" s="1"/>
  <c r="AC45" i="19" s="1"/>
  <c r="AD45" i="19" s="1"/>
  <c r="P4" i="36"/>
  <c r="V38" i="19"/>
  <c r="AA38" i="19" s="1"/>
  <c r="AC38" i="19" s="1"/>
  <c r="AD38" i="19" s="1"/>
  <c r="F5" i="36"/>
  <c r="L5" i="36" s="1"/>
  <c r="P5" i="35"/>
  <c r="V5" i="34"/>
  <c r="V8" i="37"/>
  <c r="F8" i="33"/>
  <c r="L8" i="33" s="1"/>
  <c r="P29" i="18"/>
  <c r="V27" i="18"/>
  <c r="AA27" i="18" s="1"/>
  <c r="AC27" i="18" s="1"/>
  <c r="AD27" i="18" s="1"/>
  <c r="V4" i="35"/>
  <c r="F35" i="27"/>
  <c r="L35" i="27" s="1"/>
  <c r="P3" i="34"/>
  <c r="V34" i="31"/>
  <c r="AC34" i="31" s="1"/>
  <c r="P41" i="19"/>
  <c r="F36" i="27"/>
  <c r="L36" i="27" s="1"/>
  <c r="P9" i="35"/>
  <c r="P2" i="34"/>
  <c r="F8" i="35"/>
  <c r="L8" i="35" s="1"/>
  <c r="P44" i="19"/>
  <c r="P6" i="37"/>
  <c r="F5" i="33"/>
  <c r="L5" i="33" s="1"/>
  <c r="F3" i="35"/>
  <c r="L3" i="35" s="1"/>
  <c r="F46" i="19"/>
  <c r="L46" i="19" s="1"/>
  <c r="F40" i="19"/>
  <c r="L40" i="19" s="1"/>
  <c r="V2" i="14"/>
  <c r="AA2" i="14" s="1"/>
  <c r="AC2" i="14" s="1"/>
  <c r="AD2" i="14" s="1"/>
  <c r="P36" i="27"/>
  <c r="P10" i="35"/>
  <c r="F43" i="19"/>
  <c r="L43" i="19" s="1"/>
  <c r="F45" i="19"/>
  <c r="L45" i="19" s="1"/>
  <c r="V5" i="33"/>
  <c r="P4" i="34"/>
  <c r="V3" i="35"/>
  <c r="V40" i="19"/>
  <c r="AA40" i="19" s="1"/>
  <c r="AC40" i="19" s="1"/>
  <c r="AD40" i="19" s="1"/>
  <c r="V32" i="18"/>
  <c r="AA32" i="18" s="1"/>
  <c r="AC32" i="18" s="1"/>
  <c r="AD32" i="18" s="1"/>
  <c r="F10" i="35"/>
  <c r="L10" i="35" s="1"/>
  <c r="O49" i="15"/>
  <c r="O52" i="15"/>
  <c r="V4" i="36"/>
  <c r="F38" i="19"/>
  <c r="L38" i="19" s="1"/>
  <c r="F49" i="15"/>
  <c r="L49" i="15" s="1"/>
  <c r="F5" i="34"/>
  <c r="L5" i="34" s="1"/>
  <c r="F3" i="37"/>
  <c r="L3" i="37" s="1"/>
  <c r="F8" i="37"/>
  <c r="L8" i="37" s="1"/>
  <c r="F4" i="37"/>
  <c r="L4" i="37" s="1"/>
  <c r="V6" i="33"/>
  <c r="P30" i="18"/>
  <c r="P6" i="34"/>
  <c r="V9" i="33"/>
  <c r="V3" i="38"/>
  <c r="F6" i="35"/>
  <c r="L6" i="35" s="1"/>
  <c r="P26" i="18"/>
  <c r="P4" i="28"/>
  <c r="V35" i="27"/>
  <c r="F3" i="34"/>
  <c r="L3" i="34" s="1"/>
  <c r="P6" i="36"/>
  <c r="V49" i="15"/>
  <c r="V5" i="35"/>
  <c r="P4" i="33"/>
  <c r="V3" i="37"/>
  <c r="V4" i="37"/>
  <c r="F6" i="33"/>
  <c r="L6" i="33" s="1"/>
  <c r="P31" i="18"/>
  <c r="F6" i="34"/>
  <c r="L6" i="34" s="1"/>
  <c r="F9" i="33"/>
  <c r="L9" i="33" s="1"/>
  <c r="F3" i="38"/>
  <c r="L3" i="38" s="1"/>
  <c r="V6" i="35"/>
  <c r="V3" i="34"/>
  <c r="V6" i="36"/>
  <c r="AB49" i="15" l="1"/>
  <c r="AC49" i="15"/>
  <c r="AC10" i="35"/>
  <c r="AB6" i="37"/>
  <c r="AB50" i="15"/>
  <c r="AC50" i="15"/>
  <c r="AB7" i="34"/>
  <c r="AC4" i="36"/>
  <c r="AB4" i="36"/>
  <c r="AC3" i="35"/>
  <c r="AB3" i="35"/>
  <c r="AC6" i="34"/>
  <c r="AB6" i="34"/>
  <c r="AC9" i="33"/>
  <c r="AB9" i="33"/>
  <c r="AB5" i="34"/>
  <c r="AC5" i="34"/>
  <c r="AC36" i="27"/>
  <c r="AD36" i="27"/>
  <c r="AB8" i="33"/>
  <c r="AC8" i="33"/>
  <c r="AD34" i="31"/>
  <c r="AB5" i="36"/>
  <c r="AC5" i="36"/>
  <c r="AC59" i="15"/>
  <c r="AB59" i="15"/>
  <c r="AC4" i="28"/>
  <c r="AB4" i="28"/>
  <c r="AC6" i="33"/>
  <c r="AB6" i="33"/>
  <c r="AB5" i="33"/>
  <c r="AC5" i="33"/>
  <c r="AB9" i="35"/>
  <c r="AC9" i="35"/>
  <c r="AC6" i="36"/>
  <c r="AB6" i="36"/>
  <c r="AB8" i="37"/>
  <c r="AC8" i="37"/>
  <c r="AC2" i="34"/>
  <c r="AB2" i="34"/>
  <c r="AB7" i="33"/>
  <c r="AC7" i="33"/>
  <c r="AC6" i="35"/>
  <c r="AB6" i="35"/>
  <c r="AB4" i="37"/>
  <c r="AC4" i="37"/>
  <c r="AB3" i="37"/>
  <c r="AC3" i="37"/>
  <c r="AB3" i="34"/>
  <c r="AC3" i="34"/>
  <c r="AD35" i="27"/>
  <c r="AC35" i="27"/>
  <c r="AC3" i="38"/>
  <c r="AB3" i="38"/>
  <c r="AC8" i="35"/>
  <c r="AB8" i="35"/>
  <c r="AB7" i="35"/>
  <c r="AC7" i="35"/>
  <c r="AB4" i="33"/>
  <c r="AC4" i="33"/>
  <c r="AC5" i="28"/>
  <c r="AB5" i="28"/>
  <c r="AC5" i="35"/>
  <c r="AB5" i="35"/>
  <c r="AC4" i="35"/>
  <c r="AB4" i="35"/>
  <c r="AC7" i="37"/>
  <c r="AB7" i="37"/>
  <c r="AC7" i="36"/>
  <c r="AB7" i="36"/>
  <c r="AD35" i="31"/>
  <c r="AC35" i="31"/>
  <c r="AC4" i="34"/>
  <c r="AB4" i="34"/>
  <c r="AC8" i="36"/>
  <c r="AB8" i="36"/>
  <c r="J458" i="13" l="1" a="1"/>
  <c r="J458" i="13" s="1"/>
  <c r="J343" i="13" l="1" a="1"/>
  <c r="J343" i="13" s="1"/>
  <c r="T343" i="13" s="1"/>
  <c r="U605" i="13"/>
  <c r="J453" i="13" a="1"/>
  <c r="J453" i="13" s="1"/>
  <c r="U453" i="13" s="1"/>
  <c r="J277" i="13" a="1"/>
  <c r="J277" i="13" s="1"/>
  <c r="J330" i="13" a="1"/>
  <c r="J330" i="13" s="1"/>
  <c r="T330" i="13" s="1"/>
  <c r="U683" i="13"/>
  <c r="U458" i="13"/>
  <c r="T458" i="13"/>
  <c r="J431" i="13" a="1"/>
  <c r="J431" i="13" s="1"/>
  <c r="J385" i="13" a="1"/>
  <c r="J385" i="13" s="1"/>
  <c r="E51" i="15"/>
  <c r="J51" i="15"/>
  <c r="S51" i="15"/>
  <c r="Z51" i="15" s="1"/>
  <c r="U437" i="13"/>
  <c r="T437" i="13"/>
  <c r="J388" i="13" a="1"/>
  <c r="J388" i="13" s="1"/>
  <c r="J243" i="13" a="1"/>
  <c r="J243" i="13" s="1"/>
  <c r="J516" i="13" a="1"/>
  <c r="J516" i="13" s="1"/>
  <c r="J436" i="13" a="1"/>
  <c r="J436" i="13" s="1"/>
  <c r="J344" i="13" a="1"/>
  <c r="J344" i="13" s="1"/>
  <c r="J423" i="13" a="1"/>
  <c r="J423" i="13" s="1"/>
  <c r="J280" i="13" a="1"/>
  <c r="J280" i="13" s="1"/>
  <c r="J429" i="13" a="1"/>
  <c r="J429" i="13" s="1"/>
  <c r="J320" i="13" a="1"/>
  <c r="J320" i="13" s="1"/>
  <c r="J163" i="13" a="1"/>
  <c r="J163" i="13" s="1"/>
  <c r="T446" i="13"/>
  <c r="U446" i="13"/>
  <c r="J374" i="13" a="1"/>
  <c r="J374" i="13" s="1"/>
  <c r="J257" i="13" a="1"/>
  <c r="J257" i="13" s="1"/>
  <c r="J318" i="13" a="1"/>
  <c r="J318" i="13" s="1"/>
  <c r="J324" i="13" a="1"/>
  <c r="J324" i="13" s="1"/>
  <c r="J164" i="13" a="1"/>
  <c r="J164" i="13" s="1"/>
  <c r="U591" i="13"/>
  <c r="T591" i="13"/>
  <c r="U693" i="13"/>
  <c r="T693" i="13"/>
  <c r="T277" i="13"/>
  <c r="U277" i="13"/>
  <c r="U330" i="13"/>
  <c r="J226" i="13" a="1"/>
  <c r="J226" i="13" s="1"/>
  <c r="U440" i="13"/>
  <c r="T440" i="13"/>
  <c r="J223" i="13" a="1"/>
  <c r="J223" i="13" s="1"/>
  <c r="J210" i="13" a="1"/>
  <c r="J210" i="13" s="1"/>
  <c r="J137" i="13" a="1"/>
  <c r="J137" i="13" s="1"/>
  <c r="J274" i="13" a="1"/>
  <c r="J274" i="13" s="1"/>
  <c r="J185" i="13" a="1"/>
  <c r="J185" i="13" s="1"/>
  <c r="J351" i="13" a="1"/>
  <c r="J351" i="13" s="1"/>
  <c r="J424" i="13" a="1"/>
  <c r="J424" i="13" s="1"/>
  <c r="J242" i="13" a="1"/>
  <c r="J242" i="13" s="1"/>
  <c r="J379" i="13" a="1"/>
  <c r="J379" i="13" s="1"/>
  <c r="J254" i="13" a="1"/>
  <c r="J254" i="13" s="1"/>
  <c r="J246" i="13" a="1"/>
  <c r="J246" i="13" s="1"/>
  <c r="J378" i="13" a="1"/>
  <c r="J378" i="13" s="1"/>
  <c r="J387" i="13" a="1"/>
  <c r="J387" i="13" s="1"/>
  <c r="J333" i="13" a="1"/>
  <c r="J333" i="13" s="1"/>
  <c r="J211" i="13" a="1"/>
  <c r="J211" i="13" s="1"/>
  <c r="J520" i="13" a="1"/>
  <c r="J520" i="13" s="1"/>
  <c r="J284" i="13" a="1"/>
  <c r="J284" i="13" s="1"/>
  <c r="J167" i="13" a="1"/>
  <c r="J167" i="13" s="1"/>
  <c r="J460" i="13" a="1"/>
  <c r="J460" i="13" s="1"/>
  <c r="J461" i="13" a="1"/>
  <c r="J461" i="13" s="1"/>
  <c r="J371" i="13" a="1"/>
  <c r="J371" i="13" s="1"/>
  <c r="J256" i="13" a="1"/>
  <c r="J256" i="13" s="1"/>
  <c r="J524" i="13" a="1"/>
  <c r="J524" i="13" s="1"/>
  <c r="J339" i="13" a="1"/>
  <c r="J339" i="13" s="1"/>
  <c r="J230" i="13" a="1"/>
  <c r="J230" i="13" s="1"/>
  <c r="J292" i="13" a="1"/>
  <c r="J292" i="13" s="1"/>
  <c r="J348" i="13" a="1"/>
  <c r="J348" i="13" s="1"/>
  <c r="T443" i="13"/>
  <c r="U443" i="13"/>
  <c r="J186" i="13" a="1"/>
  <c r="J186" i="13" s="1"/>
  <c r="J136" i="13" a="1"/>
  <c r="J136" i="13" s="1"/>
  <c r="J383" i="13" a="1"/>
  <c r="J383" i="13" s="1"/>
  <c r="J316" i="13" a="1"/>
  <c r="J316" i="13" s="1"/>
  <c r="J364" i="13" a="1"/>
  <c r="J364" i="13" s="1"/>
  <c r="J352" i="13" a="1"/>
  <c r="J352" i="13" s="1"/>
  <c r="J359" i="13" a="1"/>
  <c r="J359" i="13" s="1"/>
  <c r="J231" i="13" a="1"/>
  <c r="J231" i="13" s="1"/>
  <c r="J332" i="13" a="1"/>
  <c r="J332" i="13" s="1"/>
  <c r="J523" i="13" a="1"/>
  <c r="J523" i="13" s="1"/>
  <c r="J251" i="13" a="1"/>
  <c r="J251" i="13" s="1"/>
  <c r="J373" i="13" a="1"/>
  <c r="J373" i="13" s="1"/>
  <c r="J434" i="13" a="1"/>
  <c r="J434" i="13" s="1"/>
  <c r="T448" i="13"/>
  <c r="U448" i="13"/>
  <c r="J321" i="13" a="1"/>
  <c r="J321" i="13" s="1"/>
  <c r="J319" i="13" a="1"/>
  <c r="J319" i="13" s="1"/>
  <c r="J521" i="13" a="1"/>
  <c r="J521" i="13" s="1"/>
  <c r="J233" i="13" a="1"/>
  <c r="J233" i="13" s="1"/>
  <c r="J340" i="13" a="1"/>
  <c r="J340" i="13" s="1"/>
  <c r="J451" i="13" a="1"/>
  <c r="J451" i="13" s="1"/>
  <c r="J454" i="13" a="1"/>
  <c r="J454" i="13" s="1"/>
  <c r="J290" i="13" a="1"/>
  <c r="J290" i="13" s="1"/>
  <c r="J237" i="13" a="1"/>
  <c r="J237" i="13" s="1"/>
  <c r="J366" i="13" a="1"/>
  <c r="J366" i="13" s="1"/>
  <c r="U444" i="13"/>
  <c r="T444" i="13"/>
  <c r="J346" i="13" a="1"/>
  <c r="J346" i="13" s="1"/>
  <c r="J362" i="13" a="1"/>
  <c r="J362" i="13" s="1"/>
  <c r="J225" i="13" a="1"/>
  <c r="J225" i="13" s="1"/>
  <c r="J288" i="13" a="1"/>
  <c r="J288" i="13" s="1"/>
  <c r="J376" i="13" a="1"/>
  <c r="J376" i="13" s="1"/>
  <c r="J293" i="13" a="1"/>
  <c r="J293" i="13" s="1"/>
  <c r="J286" i="13" a="1"/>
  <c r="J286" i="13" s="1"/>
  <c r="J353" i="13" a="1"/>
  <c r="J353" i="13" s="1"/>
  <c r="J276" i="13" a="1"/>
  <c r="J276" i="13" s="1"/>
  <c r="J354" i="13" a="1"/>
  <c r="J354" i="13" s="1"/>
  <c r="J329" i="13" a="1"/>
  <c r="J329" i="13" s="1"/>
  <c r="J386" i="13" a="1"/>
  <c r="J386" i="13" s="1"/>
  <c r="U449" i="13"/>
  <c r="T449" i="13"/>
  <c r="J358" i="13" a="1"/>
  <c r="J358" i="13" s="1"/>
  <c r="J166" i="13" a="1"/>
  <c r="J166" i="13" s="1"/>
  <c r="J522" i="13" a="1"/>
  <c r="J522" i="13" s="1"/>
  <c r="J347" i="13" a="1"/>
  <c r="J347" i="13" s="1"/>
  <c r="J278" i="13" a="1"/>
  <c r="J278" i="13" s="1"/>
  <c r="J363" i="13" a="1"/>
  <c r="J363" i="13" s="1"/>
  <c r="J356" i="13" a="1"/>
  <c r="J356" i="13" s="1"/>
  <c r="J336" i="13" a="1"/>
  <c r="J336" i="13" s="1"/>
  <c r="J349" i="13" a="1"/>
  <c r="J349" i="13" s="1"/>
  <c r="J452" i="13" a="1"/>
  <c r="J452" i="13" s="1"/>
  <c r="J455" i="13" a="1"/>
  <c r="J455" i="13" s="1"/>
  <c r="J335" i="13" a="1"/>
  <c r="J335" i="13" s="1"/>
  <c r="J224" i="13" a="1"/>
  <c r="J224" i="13" s="1"/>
  <c r="J291" i="13" a="1"/>
  <c r="J291" i="13" s="1"/>
  <c r="J289" i="13" a="1"/>
  <c r="J289" i="13" s="1"/>
  <c r="J382" i="13" a="1"/>
  <c r="J382" i="13" s="1"/>
  <c r="U51" i="15"/>
  <c r="AA51" i="15" s="1"/>
  <c r="T439" i="13"/>
  <c r="U439" i="13"/>
  <c r="I51" i="15"/>
  <c r="O53" i="15" s="1"/>
  <c r="J323" i="13" a="1"/>
  <c r="J323" i="13" s="1"/>
  <c r="J188" i="13" a="1"/>
  <c r="J188" i="13" s="1"/>
  <c r="J427" i="13" a="1"/>
  <c r="J427" i="13" s="1"/>
  <c r="J299" i="13" a="1"/>
  <c r="J299" i="13" s="1"/>
  <c r="J517" i="13" a="1"/>
  <c r="J517" i="13" s="1"/>
  <c r="J244" i="13" a="1"/>
  <c r="J244" i="13" s="1"/>
  <c r="U441" i="13"/>
  <c r="T441" i="13"/>
  <c r="J518" i="13" a="1"/>
  <c r="J518" i="13" s="1"/>
  <c r="J295" i="13" a="1"/>
  <c r="J295" i="13" s="1"/>
  <c r="U447" i="13"/>
  <c r="T447" i="13"/>
  <c r="J228" i="13" a="1"/>
  <c r="J228" i="13" s="1"/>
  <c r="J338" i="13" a="1"/>
  <c r="J338" i="13" s="1"/>
  <c r="J426" i="13" a="1"/>
  <c r="J426" i="13" s="1"/>
  <c r="J240" i="13" a="1"/>
  <c r="J240" i="13" s="1"/>
  <c r="J334" i="13" a="1"/>
  <c r="J334" i="13" s="1"/>
  <c r="J255" i="13" a="1"/>
  <c r="J255" i="13" s="1"/>
  <c r="J456" i="13" a="1"/>
  <c r="J456" i="13" s="1"/>
  <c r="J457" i="13" a="1"/>
  <c r="J457" i="13" s="1"/>
  <c r="J372" i="13" a="1"/>
  <c r="J372" i="13" s="1"/>
  <c r="J425" i="13" a="1"/>
  <c r="J425" i="13" s="1"/>
  <c r="J369" i="13" a="1"/>
  <c r="J369" i="13" s="1"/>
  <c r="J281" i="13" a="1"/>
  <c r="J281" i="13" s="1"/>
  <c r="J235" i="13" a="1"/>
  <c r="J235" i="13" s="1"/>
  <c r="J253" i="13" a="1"/>
  <c r="J253" i="13" s="1"/>
  <c r="J342" i="13" a="1"/>
  <c r="J342" i="13" s="1"/>
  <c r="J168" i="13" a="1"/>
  <c r="J168" i="13" s="1"/>
  <c r="J377" i="13" a="1"/>
  <c r="J377" i="13" s="1"/>
  <c r="U445" i="13"/>
  <c r="T445" i="13"/>
  <c r="J355" i="13" a="1"/>
  <c r="J355" i="13" s="1"/>
  <c r="J209" i="13" a="1"/>
  <c r="J209" i="13" s="1"/>
  <c r="J430" i="13" a="1"/>
  <c r="J430" i="13" s="1"/>
  <c r="J361" i="13" a="1"/>
  <c r="J361" i="13" s="1"/>
  <c r="J519" i="13" a="1"/>
  <c r="J519" i="13" s="1"/>
  <c r="J275" i="13" a="1"/>
  <c r="J275" i="13" s="1"/>
  <c r="J247" i="13" a="1"/>
  <c r="J247" i="13" s="1"/>
  <c r="J229" i="13" a="1"/>
  <c r="J229" i="13" s="1"/>
  <c r="J357" i="13" a="1"/>
  <c r="J357" i="13" s="1"/>
  <c r="J227" i="13" a="1"/>
  <c r="J227" i="13" s="1"/>
  <c r="J315" i="13" a="1"/>
  <c r="J315" i="13" s="1"/>
  <c r="J327" i="13" a="1"/>
  <c r="J327" i="13" s="1"/>
  <c r="U442" i="13"/>
  <c r="T442" i="13"/>
  <c r="J248" i="13" a="1"/>
  <c r="J248" i="13" s="1"/>
  <c r="J279" i="13" a="1"/>
  <c r="J279" i="13" s="1"/>
  <c r="J450" i="13" a="1"/>
  <c r="J450" i="13" s="1"/>
  <c r="J298" i="13" a="1"/>
  <c r="J298" i="13" s="1"/>
  <c r="J165" i="13" a="1"/>
  <c r="J165" i="13" s="1"/>
  <c r="J384" i="13" a="1"/>
  <c r="J384" i="13" s="1"/>
  <c r="J285" i="13" a="1"/>
  <c r="J285" i="13" s="1"/>
  <c r="J287" i="13" a="1"/>
  <c r="J287" i="13" s="1"/>
  <c r="J370" i="13" a="1"/>
  <c r="J370" i="13" s="1"/>
  <c r="J432" i="13" a="1"/>
  <c r="J432" i="13" s="1"/>
  <c r="J360" i="13" a="1"/>
  <c r="J360" i="13" s="1"/>
  <c r="J381" i="13" a="1"/>
  <c r="J381" i="13" s="1"/>
  <c r="J138" i="13" a="1"/>
  <c r="J138" i="13" s="1"/>
  <c r="J317" i="13" a="1"/>
  <c r="J317" i="13" s="1"/>
  <c r="J337" i="13" a="1"/>
  <c r="J337" i="13" s="1"/>
  <c r="J252" i="13" a="1"/>
  <c r="J252" i="13" s="1"/>
  <c r="J380" i="13" a="1"/>
  <c r="J380" i="13" s="1"/>
  <c r="J365" i="13" a="1"/>
  <c r="J365" i="13" s="1"/>
  <c r="J250" i="13" a="1"/>
  <c r="J250" i="13" s="1"/>
  <c r="J435" i="13" a="1"/>
  <c r="J435" i="13" s="1"/>
  <c r="J428" i="13" a="1"/>
  <c r="J428" i="13" s="1"/>
  <c r="J236" i="13" a="1"/>
  <c r="J236" i="13" s="1"/>
  <c r="J341" i="13" a="1"/>
  <c r="J341" i="13" s="1"/>
  <c r="J294" i="13" a="1"/>
  <c r="J294" i="13" s="1"/>
  <c r="J326" i="13" a="1"/>
  <c r="J326" i="13" s="1"/>
  <c r="J249" i="13" a="1"/>
  <c r="J249" i="13" s="1"/>
  <c r="J459" i="13" a="1"/>
  <c r="J459" i="13" s="1"/>
  <c r="J296" i="13" a="1"/>
  <c r="J296" i="13" s="1"/>
  <c r="J273" i="13" a="1"/>
  <c r="J273" i="13" s="1"/>
  <c r="J368" i="13" a="1"/>
  <c r="J368" i="13" s="1"/>
  <c r="J232" i="13" a="1"/>
  <c r="J232" i="13" s="1"/>
  <c r="J241" i="13" a="1"/>
  <c r="J241" i="13" s="1"/>
  <c r="J282" i="13" a="1"/>
  <c r="J282" i="13" s="1"/>
  <c r="J139" i="13" a="1"/>
  <c r="J139" i="13" s="1"/>
  <c r="J367" i="13" a="1"/>
  <c r="J367" i="13" s="1"/>
  <c r="J345" i="13" a="1"/>
  <c r="J345" i="13" s="1"/>
  <c r="J297" i="13" a="1"/>
  <c r="J297" i="13" s="1"/>
  <c r="J328" i="13" a="1"/>
  <c r="J328" i="13" s="1"/>
  <c r="J322" i="13" a="1"/>
  <c r="J322" i="13" s="1"/>
  <c r="J239" i="13" a="1"/>
  <c r="J239" i="13" s="1"/>
  <c r="J331" i="13" a="1"/>
  <c r="J331" i="13" s="1"/>
  <c r="T438" i="13"/>
  <c r="U438" i="13"/>
  <c r="J350" i="13" a="1"/>
  <c r="J350" i="13" s="1"/>
  <c r="J187" i="13" a="1"/>
  <c r="J187" i="13" s="1"/>
  <c r="J325" i="13" a="1"/>
  <c r="J325" i="13" s="1"/>
  <c r="J433" i="13" a="1"/>
  <c r="J433" i="13" s="1"/>
  <c r="J300" i="13" a="1"/>
  <c r="J300" i="13" s="1"/>
  <c r="G53" i="15" l="1" a="1"/>
  <c r="G53" i="15" s="1"/>
  <c r="G6" i="38" a="1"/>
  <c r="G6" i="38" s="1"/>
  <c r="K4" i="38" a="1"/>
  <c r="K4" i="38" s="1"/>
  <c r="G4" i="38" a="1"/>
  <c r="G4" i="38" s="1"/>
  <c r="K6" i="38" a="1"/>
  <c r="K6" i="38" s="1"/>
  <c r="G30" i="18" a="1"/>
  <c r="G30" i="18" s="1"/>
  <c r="G38" i="31" a="1"/>
  <c r="G38" i="31" s="1"/>
  <c r="G57" i="15" a="1"/>
  <c r="G57" i="15" s="1"/>
  <c r="G29" i="18" a="1"/>
  <c r="G29" i="18" s="1"/>
  <c r="G36" i="31" a="1"/>
  <c r="G36" i="31" s="1"/>
  <c r="G55" i="15" a="1"/>
  <c r="G55" i="15" s="1"/>
  <c r="G49" i="15" a="1"/>
  <c r="G49" i="15" s="1"/>
  <c r="G34" i="31" a="1"/>
  <c r="G34" i="31" s="1"/>
  <c r="G36" i="27" a="1"/>
  <c r="G36" i="27" s="1"/>
  <c r="G35" i="27" a="1"/>
  <c r="G35" i="27" s="1"/>
  <c r="T35" i="27" s="1"/>
  <c r="G38" i="27" a="1"/>
  <c r="G38" i="27" s="1"/>
  <c r="G37" i="27" a="1"/>
  <c r="G37" i="27" s="1"/>
  <c r="G2" i="14" a="1"/>
  <c r="G2" i="14" s="1"/>
  <c r="G2" i="16" a="1"/>
  <c r="G2" i="16" s="1"/>
  <c r="G31" i="18" a="1"/>
  <c r="G31" i="18" s="1"/>
  <c r="G33" i="18" a="1"/>
  <c r="G33" i="18" s="1"/>
  <c r="G26" i="18" a="1"/>
  <c r="G26" i="18" s="1"/>
  <c r="G52" i="15" a="1"/>
  <c r="G52" i="15" s="1"/>
  <c r="G37" i="31" a="1"/>
  <c r="G37" i="31" s="1"/>
  <c r="G35" i="31" a="1"/>
  <c r="G35" i="31" s="1"/>
  <c r="G50" i="15" a="1"/>
  <c r="G50" i="15" s="1"/>
  <c r="G54" i="15" a="1"/>
  <c r="G54" i="15" s="1"/>
  <c r="G34" i="18" a="1"/>
  <c r="G34" i="18" s="1"/>
  <c r="G58" i="15" a="1"/>
  <c r="G58" i="15" s="1"/>
  <c r="G56" i="15" a="1"/>
  <c r="G56" i="15" s="1"/>
  <c r="G32" i="18" a="1"/>
  <c r="G32" i="18" s="1"/>
  <c r="G59" i="15" a="1"/>
  <c r="G59" i="15" s="1"/>
  <c r="G27" i="18" a="1"/>
  <c r="G27" i="18" s="1"/>
  <c r="G51" i="15" a="1"/>
  <c r="G51" i="15" s="1"/>
  <c r="T453" i="13"/>
  <c r="T605" i="13"/>
  <c r="U343" i="13"/>
  <c r="T683" i="13"/>
  <c r="U3" i="33"/>
  <c r="AA3" i="33" s="1"/>
  <c r="J2" i="35"/>
  <c r="P2" i="35" s="1"/>
  <c r="E2" i="35"/>
  <c r="S2" i="33"/>
  <c r="Z2" i="33" s="1"/>
  <c r="J2" i="33"/>
  <c r="P2" i="33" s="1"/>
  <c r="F51" i="15"/>
  <c r="L51" i="15" s="1"/>
  <c r="E2" i="33"/>
  <c r="V51" i="15"/>
  <c r="AB51" i="15" s="1"/>
  <c r="T232" i="13"/>
  <c r="U232" i="13"/>
  <c r="T326" i="13"/>
  <c r="U326" i="13"/>
  <c r="T428" i="13"/>
  <c r="U428" i="13"/>
  <c r="U380" i="13"/>
  <c r="E2" i="38"/>
  <c r="T380" i="13"/>
  <c r="S2" i="38"/>
  <c r="Z2" i="38" s="1"/>
  <c r="J2" i="38"/>
  <c r="T135" i="13"/>
  <c r="U135" i="13"/>
  <c r="S2" i="17"/>
  <c r="X2" i="17" s="1"/>
  <c r="E2" i="17"/>
  <c r="J2" i="17"/>
  <c r="T287" i="13"/>
  <c r="U287" i="13"/>
  <c r="T592" i="13"/>
  <c r="U592" i="13"/>
  <c r="T227" i="13"/>
  <c r="U227" i="13"/>
  <c r="U514" i="13"/>
  <c r="T514" i="13"/>
  <c r="T596" i="13"/>
  <c r="U52" i="15"/>
  <c r="AA52" i="15" s="1"/>
  <c r="I52" i="15"/>
  <c r="O54" i="15" s="1"/>
  <c r="U596" i="13"/>
  <c r="U510" i="13"/>
  <c r="T510" i="13"/>
  <c r="U334" i="13"/>
  <c r="T334" i="13"/>
  <c r="S52" i="15"/>
  <c r="Z52" i="15" s="1"/>
  <c r="J52" i="15"/>
  <c r="E52" i="15"/>
  <c r="U595" i="13"/>
  <c r="T595" i="13"/>
  <c r="U681" i="13"/>
  <c r="T681" i="13"/>
  <c r="U224" i="13"/>
  <c r="T224" i="13"/>
  <c r="I33" i="18"/>
  <c r="O33" i="18" s="1"/>
  <c r="W33" i="18"/>
  <c r="AB33" i="18" s="1"/>
  <c r="T335" i="13"/>
  <c r="U335" i="13"/>
  <c r="J6" i="17"/>
  <c r="U234" i="13"/>
  <c r="T234" i="13"/>
  <c r="E6" i="17"/>
  <c r="S6" i="17"/>
  <c r="X6" i="17" s="1"/>
  <c r="T329" i="13"/>
  <c r="U329" i="13"/>
  <c r="U697" i="13"/>
  <c r="T697" i="13"/>
  <c r="T290" i="13"/>
  <c r="U290" i="13"/>
  <c r="T506" i="13"/>
  <c r="U506" i="13"/>
  <c r="U383" i="13"/>
  <c r="T383" i="13"/>
  <c r="U222" i="13"/>
  <c r="T222" i="13"/>
  <c r="E33" i="18"/>
  <c r="S33" i="18"/>
  <c r="X33" i="18" s="1"/>
  <c r="J33" i="18"/>
  <c r="U38" i="31"/>
  <c r="AB38" i="31" s="1"/>
  <c r="T765" i="13"/>
  <c r="U765" i="13"/>
  <c r="T520" i="13"/>
  <c r="U520" i="13"/>
  <c r="T246" i="13"/>
  <c r="U246" i="13"/>
  <c r="U2" i="29"/>
  <c r="AA2" i="29" s="1"/>
  <c r="U185" i="13"/>
  <c r="T185" i="13"/>
  <c r="T280" i="13"/>
  <c r="U280" i="13"/>
  <c r="U385" i="13"/>
  <c r="T385" i="13"/>
  <c r="J4" i="17"/>
  <c r="U184" i="13"/>
  <c r="T184" i="13"/>
  <c r="E4" i="17"/>
  <c r="S4" i="17"/>
  <c r="X4" i="17" s="1"/>
  <c r="T688" i="13"/>
  <c r="U688" i="13"/>
  <c r="U367" i="13"/>
  <c r="T367" i="13"/>
  <c r="U368" i="13"/>
  <c r="T368" i="13"/>
  <c r="U2" i="37"/>
  <c r="AA2" i="37" s="1"/>
  <c r="U294" i="13"/>
  <c r="T294" i="13"/>
  <c r="U589" i="13"/>
  <c r="T589" i="13"/>
  <c r="U37" i="27"/>
  <c r="AB37" i="27" s="1"/>
  <c r="T507" i="13"/>
  <c r="U507" i="13"/>
  <c r="T381" i="13"/>
  <c r="U2" i="38"/>
  <c r="AA2" i="38" s="1"/>
  <c r="U381" i="13"/>
  <c r="T768" i="13"/>
  <c r="U768" i="13"/>
  <c r="I7" i="17"/>
  <c r="O7" i="17" s="1"/>
  <c r="T298" i="13"/>
  <c r="U298" i="13"/>
  <c r="W7" i="17"/>
  <c r="AB7" i="17" s="1"/>
  <c r="U2" i="36"/>
  <c r="AA2" i="36" s="1"/>
  <c r="U357" i="13"/>
  <c r="T357" i="13"/>
  <c r="U690" i="13"/>
  <c r="T690" i="13"/>
  <c r="S37" i="31"/>
  <c r="Z37" i="31" s="1"/>
  <c r="U37" i="31"/>
  <c r="AB37" i="31" s="1"/>
  <c r="E37" i="31"/>
  <c r="J37" i="31"/>
  <c r="U698" i="13"/>
  <c r="T698" i="13"/>
  <c r="T425" i="13"/>
  <c r="U425" i="13"/>
  <c r="T240" i="13"/>
  <c r="U240" i="13"/>
  <c r="I2" i="16"/>
  <c r="O2" i="16" s="1"/>
  <c r="T513" i="13"/>
  <c r="U513" i="13"/>
  <c r="E5" i="17"/>
  <c r="S5" i="17"/>
  <c r="X5" i="17" s="1"/>
  <c r="U208" i="13"/>
  <c r="T208" i="13"/>
  <c r="J5" i="17"/>
  <c r="U455" i="13"/>
  <c r="T455" i="13"/>
  <c r="U590" i="13"/>
  <c r="T590" i="13"/>
  <c r="E38" i="31"/>
  <c r="T764" i="13"/>
  <c r="U764" i="13"/>
  <c r="S38" i="31"/>
  <c r="Z38" i="31" s="1"/>
  <c r="J38" i="31"/>
  <c r="T286" i="13"/>
  <c r="I34" i="18"/>
  <c r="O34" i="18" s="1"/>
  <c r="W34" i="18"/>
  <c r="AB34" i="18" s="1"/>
  <c r="U286" i="13"/>
  <c r="T454" i="13"/>
  <c r="U454" i="13"/>
  <c r="U233" i="13"/>
  <c r="T233" i="13"/>
  <c r="U332" i="13"/>
  <c r="T332" i="13"/>
  <c r="U136" i="13"/>
  <c r="I2" i="17"/>
  <c r="O2" i="17" s="1"/>
  <c r="W2" i="17"/>
  <c r="AB2" i="17" s="1"/>
  <c r="T136" i="13"/>
  <c r="U348" i="13"/>
  <c r="T348" i="13"/>
  <c r="U692" i="13"/>
  <c r="T692" i="13"/>
  <c r="U167" i="13"/>
  <c r="T167" i="13"/>
  <c r="T211" i="13"/>
  <c r="U211" i="13"/>
  <c r="U512" i="13"/>
  <c r="T512" i="13"/>
  <c r="U274" i="13"/>
  <c r="T274" i="13"/>
  <c r="U685" i="13"/>
  <c r="T685" i="13"/>
  <c r="U320" i="13"/>
  <c r="T320" i="13"/>
  <c r="T423" i="13"/>
  <c r="U423" i="13"/>
  <c r="E3" i="28"/>
  <c r="S3" i="28"/>
  <c r="Z3" i="28" s="1"/>
  <c r="J3" i="28"/>
  <c r="U325" i="13"/>
  <c r="T325" i="13"/>
  <c r="T322" i="13"/>
  <c r="U322" i="13"/>
  <c r="U10" i="28"/>
  <c r="AA10" i="28" s="1"/>
  <c r="T273" i="13"/>
  <c r="U273" i="13"/>
  <c r="T341" i="13"/>
  <c r="U341" i="13"/>
  <c r="T435" i="13"/>
  <c r="U435" i="13"/>
  <c r="S3" i="17"/>
  <c r="X3" i="17" s="1"/>
  <c r="J3" i="17"/>
  <c r="U162" i="13"/>
  <c r="E3" i="17"/>
  <c r="T162" i="13"/>
  <c r="U245" i="13"/>
  <c r="T245" i="13"/>
  <c r="J2" i="29"/>
  <c r="S2" i="29"/>
  <c r="Z2" i="29" s="1"/>
  <c r="E2" i="29"/>
  <c r="T327" i="13"/>
  <c r="U327" i="13"/>
  <c r="T229" i="13"/>
  <c r="U229" i="13"/>
  <c r="U519" i="13"/>
  <c r="T519" i="13"/>
  <c r="U355" i="13"/>
  <c r="T355" i="13"/>
  <c r="U608" i="13"/>
  <c r="T608" i="13"/>
  <c r="T372" i="13"/>
  <c r="U372" i="13"/>
  <c r="U426" i="13"/>
  <c r="T426" i="13"/>
  <c r="U244" i="13"/>
  <c r="T244" i="13"/>
  <c r="U610" i="13"/>
  <c r="T610" i="13"/>
  <c r="U382" i="13"/>
  <c r="T382" i="13"/>
  <c r="T776" i="13"/>
  <c r="U776" i="13"/>
  <c r="U452" i="13"/>
  <c r="T452" i="13"/>
  <c r="U278" i="13"/>
  <c r="T278" i="13"/>
  <c r="U358" i="13"/>
  <c r="T358" i="13"/>
  <c r="T354" i="13"/>
  <c r="U354" i="13"/>
  <c r="E2" i="36"/>
  <c r="S2" i="36"/>
  <c r="Z2" i="36" s="1"/>
  <c r="J2" i="36"/>
  <c r="U293" i="13"/>
  <c r="T293" i="13"/>
  <c r="T451" i="13"/>
  <c r="U451" i="13"/>
  <c r="U521" i="13"/>
  <c r="T521" i="13"/>
  <c r="T434" i="13"/>
  <c r="U434" i="13"/>
  <c r="U231" i="13"/>
  <c r="T231" i="13"/>
  <c r="T186" i="13"/>
  <c r="U186" i="13"/>
  <c r="T292" i="13"/>
  <c r="U292" i="13"/>
  <c r="T256" i="13"/>
  <c r="U256" i="13"/>
  <c r="T511" i="13"/>
  <c r="U511" i="13"/>
  <c r="U254" i="13"/>
  <c r="T254" i="13"/>
  <c r="U137" i="13"/>
  <c r="T137" i="13"/>
  <c r="U226" i="13"/>
  <c r="T226" i="13"/>
  <c r="T770" i="13"/>
  <c r="U770" i="13"/>
  <c r="U374" i="13"/>
  <c r="T374" i="13"/>
  <c r="T772" i="13"/>
  <c r="U772" i="13"/>
  <c r="T344" i="13"/>
  <c r="U344" i="13"/>
  <c r="T388" i="13"/>
  <c r="U388" i="13"/>
  <c r="U431" i="13"/>
  <c r="T431" i="13"/>
  <c r="T300" i="13"/>
  <c r="U300" i="13"/>
  <c r="T587" i="13"/>
  <c r="U587" i="13"/>
  <c r="T328" i="13"/>
  <c r="U328" i="13"/>
  <c r="U139" i="13"/>
  <c r="T139" i="13"/>
  <c r="U250" i="13"/>
  <c r="T250" i="13"/>
  <c r="U252" i="13"/>
  <c r="T252" i="13"/>
  <c r="U769" i="13"/>
  <c r="T769" i="13"/>
  <c r="U699" i="13"/>
  <c r="T699" i="13"/>
  <c r="U450" i="13"/>
  <c r="T450" i="13"/>
  <c r="E3" i="33"/>
  <c r="J3" i="33"/>
  <c r="P3" i="33" s="1"/>
  <c r="S3" i="33"/>
  <c r="Z3" i="33" s="1"/>
  <c r="T247" i="13"/>
  <c r="U247" i="13"/>
  <c r="T361" i="13"/>
  <c r="U361" i="13"/>
  <c r="U680" i="13"/>
  <c r="T680" i="13"/>
  <c r="T457" i="13"/>
  <c r="U457" i="13"/>
  <c r="S7" i="17"/>
  <c r="X7" i="17" s="1"/>
  <c r="J7" i="17"/>
  <c r="E7" i="17"/>
  <c r="U295" i="13"/>
  <c r="T295" i="13"/>
  <c r="U517" i="13"/>
  <c r="T517" i="13"/>
  <c r="T323" i="13"/>
  <c r="U323" i="13"/>
  <c r="T349" i="13"/>
  <c r="U349" i="13"/>
  <c r="U679" i="13"/>
  <c r="T679" i="13"/>
  <c r="U276" i="13"/>
  <c r="T276" i="13"/>
  <c r="T376" i="13"/>
  <c r="U376" i="13"/>
  <c r="T319" i="13"/>
  <c r="U319" i="13"/>
  <c r="U373" i="13"/>
  <c r="T373" i="13"/>
  <c r="T359" i="13"/>
  <c r="U359" i="13"/>
  <c r="U230" i="13"/>
  <c r="T230" i="13"/>
  <c r="T371" i="13"/>
  <c r="U371" i="13"/>
  <c r="U2" i="33"/>
  <c r="AA2" i="33" s="1"/>
  <c r="U333" i="13"/>
  <c r="T333" i="13"/>
  <c r="T379" i="13"/>
  <c r="U379" i="13"/>
  <c r="T509" i="13"/>
  <c r="U509" i="13"/>
  <c r="U682" i="13"/>
  <c r="T682" i="13"/>
  <c r="U603" i="13"/>
  <c r="T603" i="13"/>
  <c r="T684" i="13"/>
  <c r="U684" i="13"/>
  <c r="T598" i="13"/>
  <c r="U598" i="13"/>
  <c r="T436" i="13"/>
  <c r="U436" i="13"/>
  <c r="T594" i="13"/>
  <c r="U594" i="13"/>
  <c r="T187" i="13"/>
  <c r="I4" i="17"/>
  <c r="O4" i="17" s="1"/>
  <c r="U187" i="13"/>
  <c r="W4" i="17"/>
  <c r="AB4" i="17" s="1"/>
  <c r="T331" i="13"/>
  <c r="U331" i="13"/>
  <c r="U296" i="13"/>
  <c r="T296" i="13"/>
  <c r="T687" i="13"/>
  <c r="U687" i="13"/>
  <c r="U337" i="13"/>
  <c r="T337" i="13"/>
  <c r="U360" i="13"/>
  <c r="T360" i="13"/>
  <c r="U285" i="13"/>
  <c r="T285" i="13"/>
  <c r="U279" i="13"/>
  <c r="T279" i="13"/>
  <c r="T315" i="13"/>
  <c r="U315" i="13"/>
  <c r="T515" i="13"/>
  <c r="U515" i="13"/>
  <c r="U612" i="13"/>
  <c r="T612" i="13"/>
  <c r="T253" i="13"/>
  <c r="U253" i="13"/>
  <c r="U456" i="13"/>
  <c r="T456" i="13"/>
  <c r="T775" i="13"/>
  <c r="U775" i="13"/>
  <c r="U696" i="13"/>
  <c r="T696" i="13"/>
  <c r="T695" i="13"/>
  <c r="U695" i="13"/>
  <c r="T689" i="13"/>
  <c r="U689" i="13"/>
  <c r="U336" i="13"/>
  <c r="T336" i="13"/>
  <c r="U586" i="13"/>
  <c r="T586" i="13"/>
  <c r="U600" i="13"/>
  <c r="T600" i="13"/>
  <c r="T288" i="13"/>
  <c r="U288" i="13"/>
  <c r="U272" i="13"/>
  <c r="T272" i="13"/>
  <c r="J10" i="28"/>
  <c r="S10" i="28"/>
  <c r="Z10" i="28" s="1"/>
  <c r="E10" i="28"/>
  <c r="U339" i="13"/>
  <c r="T339" i="13"/>
  <c r="U461" i="13"/>
  <c r="T461" i="13"/>
  <c r="T505" i="13"/>
  <c r="U505" i="13"/>
  <c r="S37" i="27"/>
  <c r="Z37" i="27" s="1"/>
  <c r="J37" i="27"/>
  <c r="E37" i="27"/>
  <c r="J53" i="15"/>
  <c r="I53" i="15"/>
  <c r="O55" i="15" s="1"/>
  <c r="U678" i="13"/>
  <c r="T678" i="13"/>
  <c r="U53" i="15"/>
  <c r="AA53" i="15" s="1"/>
  <c r="S53" i="15"/>
  <c r="Z53" i="15" s="1"/>
  <c r="U210" i="13"/>
  <c r="T210" i="13"/>
  <c r="I5" i="17"/>
  <c r="O5" i="17" s="1"/>
  <c r="W5" i="17"/>
  <c r="AB5" i="17" s="1"/>
  <c r="T686" i="13"/>
  <c r="U686" i="13"/>
  <c r="U429" i="13"/>
  <c r="T429" i="13"/>
  <c r="T694" i="13"/>
  <c r="U694" i="13"/>
  <c r="U239" i="13"/>
  <c r="T239" i="13"/>
  <c r="T297" i="13"/>
  <c r="U297" i="13"/>
  <c r="T282" i="13"/>
  <c r="U282" i="13"/>
  <c r="T459" i="13"/>
  <c r="U459" i="13"/>
  <c r="W6" i="17"/>
  <c r="AB6" i="17" s="1"/>
  <c r="I6" i="17"/>
  <c r="O6" i="17" s="1"/>
  <c r="U236" i="13"/>
  <c r="T236" i="13"/>
  <c r="T365" i="13"/>
  <c r="U365" i="13"/>
  <c r="J2" i="37"/>
  <c r="S2" i="37"/>
  <c r="Z2" i="37" s="1"/>
  <c r="E2" i="37"/>
  <c r="T317" i="13"/>
  <c r="U317" i="13"/>
  <c r="U384" i="13"/>
  <c r="T384" i="13"/>
  <c r="U248" i="13"/>
  <c r="T248" i="13"/>
  <c r="U767" i="13"/>
  <c r="T767" i="13"/>
  <c r="U430" i="13"/>
  <c r="T430" i="13"/>
  <c r="U377" i="13"/>
  <c r="T377" i="13"/>
  <c r="T235" i="13"/>
  <c r="U235" i="13"/>
  <c r="T338" i="13"/>
  <c r="U338" i="13"/>
  <c r="T283" i="13"/>
  <c r="U283" i="13"/>
  <c r="J34" i="18"/>
  <c r="S34" i="18"/>
  <c r="X34" i="18" s="1"/>
  <c r="E34" i="18"/>
  <c r="T299" i="13"/>
  <c r="U299" i="13"/>
  <c r="U289" i="13"/>
  <c r="T289" i="13"/>
  <c r="U774" i="13"/>
  <c r="T774" i="13"/>
  <c r="T356" i="13"/>
  <c r="U356" i="13"/>
  <c r="T347" i="13"/>
  <c r="U347" i="13"/>
  <c r="U225" i="13"/>
  <c r="T225" i="13"/>
  <c r="T366" i="13"/>
  <c r="U366" i="13"/>
  <c r="T352" i="13"/>
  <c r="U352" i="13"/>
  <c r="T602" i="13"/>
  <c r="U602" i="13"/>
  <c r="U460" i="13"/>
  <c r="T460" i="13"/>
  <c r="U314" i="13"/>
  <c r="T314" i="13"/>
  <c r="E2" i="28"/>
  <c r="S2" i="28"/>
  <c r="Z2" i="28" s="1"/>
  <c r="J2" i="28"/>
  <c r="T242" i="13"/>
  <c r="U242" i="13"/>
  <c r="W3" i="17"/>
  <c r="AB3" i="17" s="1"/>
  <c r="U164" i="13"/>
  <c r="T164" i="13"/>
  <c r="I3" i="17"/>
  <c r="O3" i="17" s="1"/>
  <c r="U2" i="28"/>
  <c r="AA2" i="28" s="1"/>
  <c r="U318" i="13"/>
  <c r="T318" i="13"/>
  <c r="U433" i="13"/>
  <c r="T433" i="13"/>
  <c r="T350" i="13"/>
  <c r="U350" i="13"/>
  <c r="U345" i="13"/>
  <c r="T345" i="13"/>
  <c r="U241" i="13"/>
  <c r="W2" i="16"/>
  <c r="AB2" i="16" s="1"/>
  <c r="T241" i="13"/>
  <c r="U249" i="13"/>
  <c r="T249" i="13"/>
  <c r="T585" i="13"/>
  <c r="S38" i="27"/>
  <c r="Z38" i="27" s="1"/>
  <c r="E38" i="27"/>
  <c r="J38" i="27"/>
  <c r="U585" i="13"/>
  <c r="T138" i="13"/>
  <c r="U138" i="13"/>
  <c r="U432" i="13"/>
  <c r="T432" i="13"/>
  <c r="T209" i="13"/>
  <c r="U209" i="13"/>
  <c r="T168" i="13"/>
  <c r="U168" i="13"/>
  <c r="U281" i="13"/>
  <c r="T281" i="13"/>
  <c r="U228" i="13"/>
  <c r="T228" i="13"/>
  <c r="U518" i="13"/>
  <c r="T518" i="13"/>
  <c r="U3" i="28"/>
  <c r="AA3" i="28" s="1"/>
  <c r="U427" i="13"/>
  <c r="T427" i="13"/>
  <c r="U601" i="13"/>
  <c r="T601" i="13"/>
  <c r="U597" i="13"/>
  <c r="T597" i="13"/>
  <c r="U522" i="13"/>
  <c r="T522" i="13"/>
  <c r="U36" i="31"/>
  <c r="AB36" i="31" s="1"/>
  <c r="U362" i="13"/>
  <c r="T362" i="13"/>
  <c r="T340" i="13"/>
  <c r="U340" i="13"/>
  <c r="U251" i="13"/>
  <c r="T251" i="13"/>
  <c r="T364" i="13"/>
  <c r="U364" i="13"/>
  <c r="U524" i="13"/>
  <c r="T524" i="13"/>
  <c r="T771" i="13"/>
  <c r="U771" i="13"/>
  <c r="U387" i="13"/>
  <c r="T387" i="13"/>
  <c r="T424" i="13"/>
  <c r="U424" i="13"/>
  <c r="T223" i="13"/>
  <c r="U223" i="13"/>
  <c r="U611" i="13"/>
  <c r="T611" i="13"/>
  <c r="U604" i="13"/>
  <c r="T604" i="13"/>
  <c r="U607" i="13"/>
  <c r="T607" i="13"/>
  <c r="J36" i="31"/>
  <c r="E36" i="31"/>
  <c r="T516" i="13"/>
  <c r="U516" i="13"/>
  <c r="S36" i="31"/>
  <c r="Z36" i="31" s="1"/>
  <c r="P51" i="15"/>
  <c r="U38" i="27"/>
  <c r="AB38" i="27" s="1"/>
  <c r="U588" i="13"/>
  <c r="T588" i="13"/>
  <c r="U609" i="13"/>
  <c r="T609" i="13"/>
  <c r="U593" i="13"/>
  <c r="T593" i="13"/>
  <c r="U606" i="13"/>
  <c r="T606" i="13"/>
  <c r="T508" i="13"/>
  <c r="U508" i="13"/>
  <c r="T773" i="13"/>
  <c r="U773" i="13"/>
  <c r="T370" i="13"/>
  <c r="U370" i="13"/>
  <c r="T165" i="13"/>
  <c r="U165" i="13"/>
  <c r="T238" i="13"/>
  <c r="S2" i="16"/>
  <c r="X2" i="16" s="1"/>
  <c r="J2" i="16"/>
  <c r="E2" i="16"/>
  <c r="U238" i="13"/>
  <c r="U275" i="13"/>
  <c r="T275" i="13"/>
  <c r="U342" i="13"/>
  <c r="T342" i="13"/>
  <c r="U369" i="13"/>
  <c r="T369" i="13"/>
  <c r="U255" i="13"/>
  <c r="T255" i="13"/>
  <c r="T188" i="13"/>
  <c r="U188" i="13"/>
  <c r="U291" i="13"/>
  <c r="T291" i="13"/>
  <c r="T363" i="13"/>
  <c r="U363" i="13"/>
  <c r="U166" i="13"/>
  <c r="T166" i="13"/>
  <c r="T386" i="13"/>
  <c r="U386" i="13"/>
  <c r="T353" i="13"/>
  <c r="U353" i="13"/>
  <c r="U2" i="35"/>
  <c r="AA2" i="35" s="1"/>
  <c r="T346" i="13"/>
  <c r="U346" i="13"/>
  <c r="T237" i="13"/>
  <c r="U237" i="13"/>
  <c r="U691" i="13"/>
  <c r="T691" i="13"/>
  <c r="U321" i="13"/>
  <c r="T321" i="13"/>
  <c r="T523" i="13"/>
  <c r="U523" i="13"/>
  <c r="T316" i="13"/>
  <c r="U316" i="13"/>
  <c r="T766" i="13"/>
  <c r="U766" i="13"/>
  <c r="T599" i="13"/>
  <c r="U599" i="13"/>
  <c r="U284" i="13"/>
  <c r="T284" i="13"/>
  <c r="U378" i="13"/>
  <c r="T378" i="13"/>
  <c r="U351" i="13"/>
  <c r="T351" i="13"/>
  <c r="T324" i="13"/>
  <c r="U324" i="13"/>
  <c r="U257" i="13"/>
  <c r="T257" i="13"/>
  <c r="T163" i="13"/>
  <c r="U163" i="13"/>
  <c r="U243" i="13"/>
  <c r="T243" i="13"/>
  <c r="S2" i="35"/>
  <c r="Z2" i="35" s="1"/>
  <c r="M4" i="38" l="1"/>
  <c r="Q4" i="38" s="1"/>
  <c r="R4" i="38" s="1"/>
  <c r="T4" i="38"/>
  <c r="AD4" i="38" s="1"/>
  <c r="AE4" i="38" s="1"/>
  <c r="M6" i="38"/>
  <c r="Q6" i="38" s="1"/>
  <c r="R6" i="38" s="1"/>
  <c r="T6" i="38"/>
  <c r="AD6" i="38" s="1"/>
  <c r="AE6" i="38" s="1"/>
  <c r="AC51" i="15"/>
  <c r="F38" i="27"/>
  <c r="L38" i="27" s="1"/>
  <c r="V2" i="37"/>
  <c r="AC2" i="37" s="1"/>
  <c r="V2" i="35"/>
  <c r="AB2" i="35" s="1"/>
  <c r="F38" i="31"/>
  <c r="L38" i="31" s="1"/>
  <c r="V2" i="33"/>
  <c r="AB2" i="33" s="1"/>
  <c r="F2" i="33"/>
  <c r="L2" i="33" s="1"/>
  <c r="F3" i="28"/>
  <c r="L3" i="28" s="1"/>
  <c r="F2" i="35"/>
  <c r="L2" i="35" s="1"/>
  <c r="F2" i="37"/>
  <c r="L2" i="37" s="1"/>
  <c r="V3" i="33"/>
  <c r="AC3" i="33" s="1"/>
  <c r="F2" i="38"/>
  <c r="L2" i="38" s="1"/>
  <c r="F37" i="27"/>
  <c r="L37" i="27" s="1"/>
  <c r="F2" i="28"/>
  <c r="L2" i="28" s="1"/>
  <c r="F10" i="28"/>
  <c r="L10" i="28" s="1"/>
  <c r="V2" i="36"/>
  <c r="AC2" i="36" s="1"/>
  <c r="F3" i="33"/>
  <c r="L3" i="33" s="1"/>
  <c r="V38" i="27"/>
  <c r="AD38" i="27" s="1"/>
  <c r="V2" i="28"/>
  <c r="AC2" i="28" s="1"/>
  <c r="V10" i="28"/>
  <c r="AB10" i="28" s="1"/>
  <c r="F2" i="36"/>
  <c r="L2" i="36" s="1"/>
  <c r="F2" i="29"/>
  <c r="L2" i="29" s="1"/>
  <c r="V2" i="38"/>
  <c r="AB2" i="38" s="1"/>
  <c r="F33" i="18"/>
  <c r="L33" i="18" s="1"/>
  <c r="V37" i="27"/>
  <c r="AD37" i="27" s="1"/>
  <c r="V2" i="29"/>
  <c r="AC2" i="29" s="1"/>
  <c r="V34" i="18"/>
  <c r="AA34" i="18" s="1"/>
  <c r="AC34" i="18" s="1"/>
  <c r="AD34" i="18" s="1"/>
  <c r="F53" i="15"/>
  <c r="L53" i="15" s="1"/>
  <c r="F37" i="31"/>
  <c r="L37" i="31" s="1"/>
  <c r="V33" i="18"/>
  <c r="AA33" i="18" s="1"/>
  <c r="AC33" i="18" s="1"/>
  <c r="AD33" i="18" s="1"/>
  <c r="F34" i="18"/>
  <c r="L34" i="18" s="1"/>
  <c r="V53" i="15"/>
  <c r="AB53" i="15" s="1"/>
  <c r="V3" i="28"/>
  <c r="AC3" i="28" s="1"/>
  <c r="V38" i="31"/>
  <c r="AC38" i="31" s="1"/>
  <c r="V37" i="31"/>
  <c r="AD37" i="31" s="1"/>
  <c r="V2" i="16"/>
  <c r="AA2" i="16" s="1"/>
  <c r="AC2" i="16" s="1"/>
  <c r="AD2" i="16" s="1"/>
  <c r="F2" i="16"/>
  <c r="L2" i="16" s="1"/>
  <c r="P53" i="15"/>
  <c r="P10" i="28"/>
  <c r="V3" i="17"/>
  <c r="AA3" i="17" s="1"/>
  <c r="AC3" i="17" s="1"/>
  <c r="AD3" i="17" s="1"/>
  <c r="F3" i="17"/>
  <c r="L3" i="17" s="1"/>
  <c r="F5" i="17"/>
  <c r="L5" i="17" s="1"/>
  <c r="V5" i="17"/>
  <c r="AA5" i="17" s="1"/>
  <c r="AC5" i="17" s="1"/>
  <c r="AD5" i="17" s="1"/>
  <c r="P37" i="31"/>
  <c r="P4" i="17"/>
  <c r="P6" i="17"/>
  <c r="V36" i="31"/>
  <c r="P38" i="27"/>
  <c r="F7" i="17"/>
  <c r="L7" i="17" s="1"/>
  <c r="V7" i="17"/>
  <c r="AA7" i="17" s="1"/>
  <c r="AC7" i="17" s="1"/>
  <c r="AD7" i="17" s="1"/>
  <c r="P2" i="29"/>
  <c r="P3" i="17"/>
  <c r="P33" i="18"/>
  <c r="F36" i="31"/>
  <c r="L36" i="31" s="1"/>
  <c r="P3" i="28"/>
  <c r="P2" i="17"/>
  <c r="P2" i="16"/>
  <c r="P34" i="18"/>
  <c r="P7" i="17"/>
  <c r="P38" i="31"/>
  <c r="F52" i="15"/>
  <c r="L52" i="15" s="1"/>
  <c r="P36" i="31"/>
  <c r="P37" i="27"/>
  <c r="V52" i="15"/>
  <c r="P2" i="28"/>
  <c r="P2" i="37"/>
  <c r="F2" i="17"/>
  <c r="L2" i="17" s="1"/>
  <c r="V2" i="17"/>
  <c r="AA2" i="17" s="1"/>
  <c r="AC2" i="17" s="1"/>
  <c r="AD2" i="17" s="1"/>
  <c r="P2" i="36"/>
  <c r="P5" i="17"/>
  <c r="P52" i="15"/>
  <c r="F4" i="17"/>
  <c r="L4" i="17" s="1"/>
  <c r="V4" i="17"/>
  <c r="AA4" i="17" s="1"/>
  <c r="AC4" i="17" s="1"/>
  <c r="AD4" i="17" s="1"/>
  <c r="F6" i="17"/>
  <c r="L6" i="17" s="1"/>
  <c r="V6" i="17"/>
  <c r="AA6" i="17" s="1"/>
  <c r="AC6" i="17" s="1"/>
  <c r="AD6" i="17" s="1"/>
  <c r="P2" i="38"/>
  <c r="AB2" i="37" l="1"/>
  <c r="AB3" i="33"/>
  <c r="AB2" i="28"/>
  <c r="AC10" i="28"/>
  <c r="AC38" i="27"/>
  <c r="AB2" i="29"/>
  <c r="AD38" i="31"/>
  <c r="AB3" i="28"/>
  <c r="AC37" i="27"/>
  <c r="AC53" i="15"/>
  <c r="AC37" i="31"/>
  <c r="AB2" i="36"/>
  <c r="AC2" i="38"/>
  <c r="AC2" i="35"/>
  <c r="AC2" i="33"/>
  <c r="AC52" i="15"/>
  <c r="AB52" i="15"/>
  <c r="AD36" i="31"/>
  <c r="AC36" i="31"/>
  <c r="J1225" i="13" a="1"/>
  <c r="J1225" i="13" s="1"/>
  <c r="J1213" i="13" a="1"/>
  <c r="J1213" i="13" s="1"/>
  <c r="J1232" i="13" a="1"/>
  <c r="J1232" i="13" s="1"/>
  <c r="J1231" i="13" a="1"/>
  <c r="J1231" i="13" s="1"/>
  <c r="J1280" i="13" a="1"/>
  <c r="J1280" i="13" s="1"/>
  <c r="J1268" i="13" a="1"/>
  <c r="J1268" i="13" s="1"/>
  <c r="J1240" i="13" a="1"/>
  <c r="J1240" i="13" s="1"/>
  <c r="J1223" i="13" a="1"/>
  <c r="J1223" i="13" s="1"/>
  <c r="J1236" i="13" a="1"/>
  <c r="J1236" i="13" s="1"/>
  <c r="T1236" i="13" s="1"/>
  <c r="J1221" i="13" a="1"/>
  <c r="J1221" i="13" s="1"/>
  <c r="U1139" i="13"/>
  <c r="J1262" i="13" a="1"/>
  <c r="J1262" i="13" s="1"/>
  <c r="U1262" i="13" s="1"/>
  <c r="J1266" i="13" a="1"/>
  <c r="J1266" i="13" s="1"/>
  <c r="U1115" i="13"/>
  <c r="U1099" i="13"/>
  <c r="T891" i="13"/>
  <c r="U891" i="13"/>
  <c r="U879" i="13"/>
  <c r="T879" i="13"/>
  <c r="T1183" i="13"/>
  <c r="U1183" i="13"/>
  <c r="T1116" i="13"/>
  <c r="U1116" i="13"/>
  <c r="T1024" i="13"/>
  <c r="U1024" i="13"/>
  <c r="T1188" i="13"/>
  <c r="U1085" i="13"/>
  <c r="J1238" i="13" a="1"/>
  <c r="J1238" i="13" s="1"/>
  <c r="J1215" i="13" a="1"/>
  <c r="J1215" i="13" s="1"/>
  <c r="T888" i="13"/>
  <c r="J1261" i="13" a="1"/>
  <c r="J1261" i="13" s="1"/>
  <c r="T943" i="13"/>
  <c r="U1008" i="13"/>
  <c r="T1008" i="13"/>
  <c r="U1032" i="13"/>
  <c r="J1242" i="13" a="1"/>
  <c r="J1242" i="13" s="1"/>
  <c r="J1260" i="13" a="1"/>
  <c r="J1260" i="13" s="1"/>
  <c r="T1260" i="13" s="1"/>
  <c r="U1195" i="13"/>
  <c r="T1195" i="13"/>
  <c r="T884" i="13"/>
  <c r="T955" i="13"/>
  <c r="J1217" i="13" a="1"/>
  <c r="J1217" i="13" s="1"/>
  <c r="J1230" i="13" a="1"/>
  <c r="J1230" i="13" s="1"/>
  <c r="T1123" i="13"/>
  <c r="J1222" i="13" a="1"/>
  <c r="J1222" i="13" s="1"/>
  <c r="U1222" i="13" s="1"/>
  <c r="T1029" i="13"/>
  <c r="U953" i="13"/>
  <c r="T1102" i="13"/>
  <c r="J1237" i="13" a="1"/>
  <c r="J1237" i="13" s="1"/>
  <c r="T1237" i="13" s="1"/>
  <c r="T1093" i="13"/>
  <c r="J1274" i="13" a="1"/>
  <c r="J1274" i="13" s="1"/>
  <c r="U1274" i="13" s="1"/>
  <c r="T940" i="13"/>
  <c r="U945" i="13"/>
  <c r="T945" i="13"/>
  <c r="U962" i="13"/>
  <c r="T962" i="13"/>
  <c r="U1181" i="13"/>
  <c r="T1112" i="13"/>
  <c r="J1275" i="13" a="1"/>
  <c r="J1275" i="13" s="1"/>
  <c r="T1275" i="13" s="1"/>
  <c r="J1264" i="13" a="1"/>
  <c r="J1264" i="13" s="1"/>
  <c r="U1264" i="13" s="1"/>
  <c r="U6" i="28"/>
  <c r="AA6" i="28" s="1"/>
  <c r="J1263" i="13" a="1"/>
  <c r="J1263" i="13" s="1"/>
  <c r="T1103" i="13"/>
  <c r="J1257" i="13" a="1"/>
  <c r="J1257" i="13" s="1"/>
  <c r="U1257" i="13" s="1"/>
  <c r="U1179" i="13"/>
  <c r="T1031" i="13"/>
  <c r="J1241" i="13" a="1"/>
  <c r="J1241" i="13" s="1"/>
  <c r="T1241" i="13" s="1"/>
  <c r="J1224" i="13" a="1"/>
  <c r="J1224" i="13" s="1"/>
  <c r="U1135" i="13"/>
  <c r="J1277" i="13" a="1"/>
  <c r="J1277" i="13" s="1"/>
  <c r="U1091" i="13"/>
  <c r="T1134" i="13"/>
  <c r="U1134" i="13"/>
  <c r="T941" i="13"/>
  <c r="J1273" i="13" a="1"/>
  <c r="J1273" i="13" s="1"/>
  <c r="T1273" i="13" s="1"/>
  <c r="T1110" i="13"/>
  <c r="T1125" i="13"/>
  <c r="J1279" i="13" a="1"/>
  <c r="J1279" i="13" s="1"/>
  <c r="T1174" i="13"/>
  <c r="U1174" i="13"/>
  <c r="T1201" i="13"/>
  <c r="T1022" i="13"/>
  <c r="T1019" i="13"/>
  <c r="U1019" i="13"/>
  <c r="T1092" i="13"/>
  <c r="U1092" i="13"/>
  <c r="J1276" i="13" a="1"/>
  <c r="J1276" i="13" s="1"/>
  <c r="T1276" i="13" s="1"/>
  <c r="J1218" i="13" a="1"/>
  <c r="J1218" i="13" s="1"/>
  <c r="U1106" i="13"/>
  <c r="T1106" i="13"/>
  <c r="T1113" i="13"/>
  <c r="J1233" i="13" a="1"/>
  <c r="J1233" i="13" s="1"/>
  <c r="U961" i="13"/>
  <c r="U1100" i="13"/>
  <c r="T1100" i="13"/>
  <c r="J1267" i="13"/>
  <c r="T1267" i="13" s="1"/>
  <c r="J1267" i="13" a="1"/>
  <c r="U1191" i="13"/>
  <c r="T1191" i="13"/>
  <c r="U1140" i="13"/>
  <c r="T1140" i="13"/>
  <c r="J1212" i="13" a="1"/>
  <c r="J1212" i="13" s="1"/>
  <c r="T1212" i="13" s="1"/>
  <c r="U1105" i="13"/>
  <c r="T1105" i="13"/>
  <c r="T1178" i="13"/>
  <c r="T1095" i="13"/>
  <c r="U1095" i="13"/>
  <c r="J1227" i="13" a="1"/>
  <c r="J1227" i="13" s="1"/>
  <c r="U1227" i="13" s="1"/>
  <c r="J1219" i="13" a="1"/>
  <c r="J1219" i="13" s="1"/>
  <c r="U1219" i="13" s="1"/>
  <c r="J1239" i="13" a="1"/>
  <c r="J1239" i="13" s="1"/>
  <c r="U1239" i="13" s="1"/>
  <c r="T1098" i="13"/>
  <c r="U1098" i="13"/>
  <c r="J1211" i="13" a="1"/>
  <c r="J1211" i="13" s="1"/>
  <c r="T1086" i="13"/>
  <c r="U1086" i="13"/>
  <c r="T963" i="13"/>
  <c r="J1265" i="13" a="1"/>
  <c r="J1265" i="13" s="1"/>
  <c r="J1278" i="13" a="1"/>
  <c r="J1278" i="13" s="1"/>
  <c r="T1278" i="13" s="1"/>
  <c r="T948" i="13"/>
  <c r="J1254" i="13" a="1"/>
  <c r="J1254" i="13" s="1"/>
  <c r="U1254" i="13" s="1"/>
  <c r="U1127" i="13"/>
  <c r="T1127" i="13"/>
  <c r="U1198" i="13"/>
  <c r="J1256" i="13" a="1"/>
  <c r="J1256" i="13" s="1"/>
  <c r="U951" i="13"/>
  <c r="T951" i="13"/>
  <c r="T1025" i="13"/>
  <c r="U1025" i="13"/>
  <c r="J1272" i="13" a="1"/>
  <c r="J1272" i="13" s="1"/>
  <c r="J1216" i="13" a="1"/>
  <c r="J1216" i="13" s="1"/>
  <c r="U1084" i="13"/>
  <c r="U887" i="13"/>
  <c r="J1228" i="13" a="1"/>
  <c r="J1228" i="13" s="1"/>
  <c r="T1228" i="13" s="1"/>
  <c r="T1194" i="13"/>
  <c r="J8" i="28"/>
  <c r="U937" i="13"/>
  <c r="U1028" i="13"/>
  <c r="T1028" i="13"/>
  <c r="T1128" i="13"/>
  <c r="T1207" i="13"/>
  <c r="J1234" i="13" a="1"/>
  <c r="J1234" i="13" s="1"/>
  <c r="J1229" i="13" a="1"/>
  <c r="J1229" i="13" s="1"/>
  <c r="J1258" i="13" a="1"/>
  <c r="J1258" i="13" s="1"/>
  <c r="J1259" i="13" a="1"/>
  <c r="J1259" i="13" s="1"/>
  <c r="U1259" i="13" s="1"/>
  <c r="T1204" i="13"/>
  <c r="U1118" i="13"/>
  <c r="U1193" i="13"/>
  <c r="J1255" i="13" a="1"/>
  <c r="J1255" i="13" s="1"/>
  <c r="J1271" i="13" a="1"/>
  <c r="J1271" i="13" s="1"/>
  <c r="J1226" i="13" a="1"/>
  <c r="J1226" i="13" s="1"/>
  <c r="T1226" i="13" s="1"/>
  <c r="J1253" i="13" a="1"/>
  <c r="J1253" i="13" s="1"/>
  <c r="T1253" i="13" s="1"/>
  <c r="J1210" i="13" a="1"/>
  <c r="J1210" i="13" s="1"/>
  <c r="J1235" i="13" a="1"/>
  <c r="J1235" i="13" s="1"/>
  <c r="T1235" i="13" s="1"/>
  <c r="J1270" i="13" a="1"/>
  <c r="J1270" i="13" s="1"/>
  <c r="J1269" i="13" a="1"/>
  <c r="J1269" i="13" s="1"/>
  <c r="J1214" i="13" a="1"/>
  <c r="J1214" i="13" s="1"/>
  <c r="U1214" i="13" s="1"/>
  <c r="U885" i="13"/>
  <c r="T1209" i="13"/>
  <c r="U1209" i="13"/>
  <c r="T1131" i="13"/>
  <c r="T964" i="13"/>
  <c r="U964" i="13"/>
  <c r="T1023" i="13"/>
  <c r="J1220" i="13"/>
  <c r="T1220" i="13" s="1"/>
  <c r="J1220" i="13" a="1"/>
  <c r="U1279" i="13" l="1"/>
  <c r="T1279" i="13"/>
  <c r="U1267" i="13"/>
  <c r="U1220" i="13"/>
  <c r="U1253" i="13"/>
  <c r="T1242" i="13"/>
  <c r="U1242" i="13"/>
  <c r="U1265" i="13"/>
  <c r="T1265" i="13"/>
  <c r="T1233" i="13"/>
  <c r="U1233" i="13"/>
  <c r="U1261" i="13"/>
  <c r="T1261" i="13"/>
  <c r="T1263" i="13"/>
  <c r="U1263" i="13"/>
  <c r="U1271" i="13"/>
  <c r="T1271" i="13"/>
  <c r="T1218" i="13"/>
  <c r="U1218" i="13"/>
  <c r="U1215" i="13"/>
  <c r="T1215" i="13"/>
  <c r="K2" i="34" a="1"/>
  <c r="K2" i="34" s="1"/>
  <c r="U1210" i="13"/>
  <c r="G46" i="27" a="1"/>
  <c r="G46" i="27" s="1"/>
  <c r="G58" i="27" a="1"/>
  <c r="G58" i="27" s="1"/>
  <c r="M2" i="14"/>
  <c r="G41" i="19" a="1"/>
  <c r="G41" i="19" s="1"/>
  <c r="M41" i="19" s="1"/>
  <c r="Q41" i="19" s="1"/>
  <c r="R41" i="19" s="1"/>
  <c r="G42" i="19" a="1"/>
  <c r="G42" i="19" s="1"/>
  <c r="M42" i="19" s="1"/>
  <c r="Q42" i="19" s="1"/>
  <c r="R42" i="19" s="1"/>
  <c r="G43" i="19" a="1"/>
  <c r="G43" i="19" s="1"/>
  <c r="M43" i="19" s="1"/>
  <c r="Q43" i="19" s="1"/>
  <c r="R43" i="19" s="1"/>
  <c r="M2" i="16"/>
  <c r="Q2" i="16" s="1"/>
  <c r="R2" i="16" s="1"/>
  <c r="G39" i="19" a="1"/>
  <c r="G39" i="19" s="1"/>
  <c r="M39" i="19" s="1"/>
  <c r="Q39" i="19" s="1"/>
  <c r="R39" i="19" s="1"/>
  <c r="G38" i="19" a="1"/>
  <c r="G38" i="19" s="1"/>
  <c r="M38" i="19" s="1"/>
  <c r="Q38" i="19" s="1"/>
  <c r="R38" i="19" s="1"/>
  <c r="G40" i="19" a="1"/>
  <c r="G40" i="19" s="1"/>
  <c r="M40" i="19" s="1"/>
  <c r="Q40" i="19" s="1"/>
  <c r="R40" i="19" s="1"/>
  <c r="G44" i="19" a="1"/>
  <c r="G44" i="19" s="1"/>
  <c r="M44" i="19" s="1"/>
  <c r="Q44" i="19" s="1"/>
  <c r="R44" i="19" s="1"/>
  <c r="G46" i="19" a="1"/>
  <c r="G46" i="19" s="1"/>
  <c r="M46" i="19" s="1"/>
  <c r="Q46" i="19" s="1"/>
  <c r="R46" i="19" s="1"/>
  <c r="G2" i="33" a="1"/>
  <c r="G2" i="33" s="1"/>
  <c r="T2" i="33" s="1"/>
  <c r="AD2" i="33" s="1"/>
  <c r="AE2" i="33" s="1"/>
  <c r="G45" i="19" a="1"/>
  <c r="G45" i="19" s="1"/>
  <c r="M45" i="19" s="1"/>
  <c r="Q45" i="19" s="1"/>
  <c r="R45" i="19" s="1"/>
  <c r="K37" i="27" a="1"/>
  <c r="K37" i="27" s="1"/>
  <c r="T1222" i="13"/>
  <c r="U9" i="28"/>
  <c r="AA9" i="28" s="1"/>
  <c r="E9" i="36"/>
  <c r="U1237" i="13"/>
  <c r="T1214" i="13"/>
  <c r="T1270" i="13"/>
  <c r="G9" i="37" a="1"/>
  <c r="G9" i="37" s="1"/>
  <c r="E9" i="37"/>
  <c r="U1270" i="13"/>
  <c r="G5" i="37" a="1"/>
  <c r="G5" i="37" s="1"/>
  <c r="S10" i="33"/>
  <c r="Z10" i="33" s="1"/>
  <c r="E10" i="33"/>
  <c r="T1173" i="13"/>
  <c r="U1173" i="13"/>
  <c r="K41" i="19" a="1"/>
  <c r="K41" i="19" s="1"/>
  <c r="K5" i="36" a="1"/>
  <c r="K5" i="36" s="1"/>
  <c r="K8" i="33" a="1"/>
  <c r="K8" i="33" s="1"/>
  <c r="K4" i="36" a="1"/>
  <c r="K4" i="36" s="1"/>
  <c r="K38" i="27" a="1"/>
  <c r="K38" i="27" s="1"/>
  <c r="K4" i="34" a="1"/>
  <c r="K4" i="34" s="1"/>
  <c r="K11" i="35" a="1"/>
  <c r="K11" i="35" s="1"/>
  <c r="K38" i="31" a="1"/>
  <c r="K38" i="31" s="1"/>
  <c r="T1200" i="13"/>
  <c r="U1200" i="13"/>
  <c r="T1229" i="13"/>
  <c r="U1229" i="13"/>
  <c r="U9" i="34"/>
  <c r="AA9" i="34" s="1"/>
  <c r="P8" i="28"/>
  <c r="K8" i="28" a="1"/>
  <c r="K8" i="28" s="1"/>
  <c r="S6" i="28"/>
  <c r="Z6" i="28" s="1"/>
  <c r="U1087" i="13"/>
  <c r="T1087" i="13"/>
  <c r="U1130" i="13"/>
  <c r="T1130" i="13"/>
  <c r="K3" i="28" a="1"/>
  <c r="K3" i="28" s="1"/>
  <c r="K37" i="31" a="1"/>
  <c r="K37" i="31" s="1"/>
  <c r="G3" i="29" a="1"/>
  <c r="G3" i="29" s="1"/>
  <c r="K7" i="34" a="1"/>
  <c r="K7" i="34" s="1"/>
  <c r="K6" i="17" a="1"/>
  <c r="K6" i="17" s="1"/>
  <c r="K3" i="35" a="1"/>
  <c r="K3" i="35" s="1"/>
  <c r="T958" i="13"/>
  <c r="U958" i="13"/>
  <c r="T1216" i="13"/>
  <c r="U1216" i="13"/>
  <c r="T1206" i="13"/>
  <c r="U1206" i="13"/>
  <c r="T1138" i="13"/>
  <c r="U1138" i="13"/>
  <c r="K27" i="18" a="1"/>
  <c r="K27" i="18" s="1"/>
  <c r="K10" i="35" a="1"/>
  <c r="K10" i="35" s="1"/>
  <c r="K29" i="18" a="1"/>
  <c r="K29" i="18" s="1"/>
  <c r="K26" i="18" a="1"/>
  <c r="K26" i="18" s="1"/>
  <c r="K2" i="36" a="1"/>
  <c r="K2" i="36" s="1"/>
  <c r="K4" i="33" a="1"/>
  <c r="K4" i="33" s="1"/>
  <c r="K4" i="28" a="1"/>
  <c r="K4" i="28" s="1"/>
  <c r="K2" i="29" a="1"/>
  <c r="K2" i="29" s="1"/>
  <c r="T949" i="13"/>
  <c r="U949" i="13"/>
  <c r="T1234" i="13"/>
  <c r="U1234" i="13"/>
  <c r="J56" i="15"/>
  <c r="U1272" i="13"/>
  <c r="T1272" i="13"/>
  <c r="T1256" i="13"/>
  <c r="U1256" i="13"/>
  <c r="T1189" i="13"/>
  <c r="U1189" i="13"/>
  <c r="T1107" i="13"/>
  <c r="U1107" i="13"/>
  <c r="K6" i="36" a="1"/>
  <c r="K6" i="36" s="1"/>
  <c r="K6" i="37" a="1"/>
  <c r="K6" i="37" s="1"/>
  <c r="K43" i="19" a="1"/>
  <c r="K43" i="19" s="1"/>
  <c r="K4" i="35" a="1"/>
  <c r="K4" i="35" s="1"/>
  <c r="U1020" i="13"/>
  <c r="J7" i="28"/>
  <c r="T1020" i="13"/>
  <c r="E7" i="28"/>
  <c r="S7" i="28"/>
  <c r="Z7" i="28" s="1"/>
  <c r="U57" i="15"/>
  <c r="AA57" i="15" s="1"/>
  <c r="U1090" i="13"/>
  <c r="T1090" i="13"/>
  <c r="E6" i="28"/>
  <c r="U8" i="28"/>
  <c r="AA8" i="28" s="1"/>
  <c r="U1114" i="13"/>
  <c r="T1114" i="13"/>
  <c r="U1196" i="13"/>
  <c r="T1196" i="13"/>
  <c r="T1129" i="13"/>
  <c r="U1129" i="13"/>
  <c r="G3" i="34" a="1"/>
  <c r="G3" i="34" s="1"/>
  <c r="U1023" i="13"/>
  <c r="U1131" i="13"/>
  <c r="T885" i="13"/>
  <c r="U1269" i="13"/>
  <c r="J9" i="37"/>
  <c r="T1269" i="13"/>
  <c r="S9" i="37"/>
  <c r="Z9" i="37" s="1"/>
  <c r="K2" i="16" a="1"/>
  <c r="K2" i="16" s="1"/>
  <c r="K7" i="17" a="1"/>
  <c r="K7" i="17" s="1"/>
  <c r="K46" i="19" a="1"/>
  <c r="K46" i="19" s="1"/>
  <c r="K35" i="31" a="1"/>
  <c r="K35" i="31" s="1"/>
  <c r="K2" i="17" a="1"/>
  <c r="K2" i="17" s="1"/>
  <c r="K2" i="28" a="1"/>
  <c r="K2" i="28" s="1"/>
  <c r="U1258" i="13"/>
  <c r="T1258" i="13"/>
  <c r="T1177" i="13"/>
  <c r="U1177" i="13"/>
  <c r="E55" i="15"/>
  <c r="T939" i="13"/>
  <c r="U939" i="13"/>
  <c r="U1197" i="13"/>
  <c r="T1197" i="13"/>
  <c r="G3" i="28" a="1"/>
  <c r="G3" i="28" s="1"/>
  <c r="U1235" i="13"/>
  <c r="T1210" i="13"/>
  <c r="S9" i="28"/>
  <c r="Z9" i="28" s="1"/>
  <c r="J9" i="28"/>
  <c r="E9" i="28"/>
  <c r="J10" i="33"/>
  <c r="K39" i="19" a="1"/>
  <c r="K39" i="19" s="1"/>
  <c r="K6" i="33" a="1"/>
  <c r="K6" i="33" s="1"/>
  <c r="K9" i="33" a="1"/>
  <c r="K9" i="33" s="1"/>
  <c r="T1255" i="13"/>
  <c r="U1255" i="13"/>
  <c r="U1203" i="13"/>
  <c r="T1203" i="13"/>
  <c r="E8" i="34"/>
  <c r="U959" i="13"/>
  <c r="T959" i="13"/>
  <c r="E58" i="15"/>
  <c r="T1027" i="13"/>
  <c r="U1027" i="13"/>
  <c r="K5" i="17" a="1"/>
  <c r="K5" i="17" s="1"/>
  <c r="K5" i="35" a="1"/>
  <c r="K5" i="35" s="1"/>
  <c r="K31" i="18" a="1"/>
  <c r="K31" i="18" s="1"/>
  <c r="K2" i="33" a="1"/>
  <c r="K2" i="33" s="1"/>
  <c r="K51" i="15" a="1"/>
  <c r="K51" i="15" s="1"/>
  <c r="K34" i="31" a="1"/>
  <c r="K34" i="31" s="1"/>
  <c r="K2" i="14" a="1"/>
  <c r="K2" i="14" s="1"/>
  <c r="E9" i="34"/>
  <c r="T1014" i="13"/>
  <c r="U1014" i="13"/>
  <c r="T1018" i="13"/>
  <c r="U1018" i="13"/>
  <c r="U1205" i="13"/>
  <c r="T1205" i="13"/>
  <c r="T1120" i="13"/>
  <c r="U1120" i="13"/>
  <c r="T881" i="13"/>
  <c r="U881" i="13"/>
  <c r="U1211" i="13"/>
  <c r="T1211" i="13"/>
  <c r="K52" i="15" a="1"/>
  <c r="K52" i="15" s="1"/>
  <c r="G2" i="28" a="1"/>
  <c r="G2" i="28" s="1"/>
  <c r="G2" i="17" a="1"/>
  <c r="G2" i="17" s="1"/>
  <c r="M2" i="17" s="1"/>
  <c r="Q2" i="17" s="1"/>
  <c r="R2" i="17" s="1"/>
  <c r="G3" i="35" a="1"/>
  <c r="G3" i="35" s="1"/>
  <c r="G2" i="35" a="1"/>
  <c r="G2" i="35" s="1"/>
  <c r="G6" i="36" a="1"/>
  <c r="G6" i="36" s="1"/>
  <c r="G7" i="34" a="1"/>
  <c r="G7" i="34" s="1"/>
  <c r="G7" i="28" a="1"/>
  <c r="G7" i="28" s="1"/>
  <c r="I54" i="15"/>
  <c r="O56" i="15" s="1"/>
  <c r="G10" i="33" a="1"/>
  <c r="G10" i="33" s="1"/>
  <c r="M35" i="18"/>
  <c r="M27" i="18"/>
  <c r="Q27" i="18" s="1"/>
  <c r="R27" i="18" s="1"/>
  <c r="S54" i="15"/>
  <c r="Z54" i="15" s="1"/>
  <c r="G9" i="35" a="1"/>
  <c r="G9" i="35" s="1"/>
  <c r="G6" i="28" a="1"/>
  <c r="G6" i="28" s="1"/>
  <c r="G10" i="28" a="1"/>
  <c r="G10" i="28" s="1"/>
  <c r="M32" i="18"/>
  <c r="Q32" i="18" s="1"/>
  <c r="R32" i="18" s="1"/>
  <c r="G4" i="17" a="1"/>
  <c r="G4" i="17" s="1"/>
  <c r="M4" i="17" s="1"/>
  <c r="Q4" i="17" s="1"/>
  <c r="R4" i="17" s="1"/>
  <c r="U878" i="13"/>
  <c r="G6" i="37" a="1"/>
  <c r="G6" i="37" s="1"/>
  <c r="G5" i="17" a="1"/>
  <c r="G5" i="17" s="1"/>
  <c r="M5" i="17" s="1"/>
  <c r="Q5" i="17" s="1"/>
  <c r="R5" i="17" s="1"/>
  <c r="M29" i="18"/>
  <c r="Q29" i="18" s="1"/>
  <c r="R29" i="18" s="1"/>
  <c r="G9" i="34" a="1"/>
  <c r="G9" i="34" s="1"/>
  <c r="Q2" i="14"/>
  <c r="R2" i="14" s="1"/>
  <c r="M31" i="18"/>
  <c r="Q31" i="18" s="1"/>
  <c r="R31" i="18" s="1"/>
  <c r="G7" i="17" a="1"/>
  <c r="G7" i="17" s="1"/>
  <c r="M7" i="17" s="1"/>
  <c r="Q7" i="17" s="1"/>
  <c r="R7" i="17" s="1"/>
  <c r="G5" i="34" a="1"/>
  <c r="G5" i="34" s="1"/>
  <c r="G3" i="17" a="1"/>
  <c r="G3" i="17" s="1"/>
  <c r="M3" i="17" s="1"/>
  <c r="Q3" i="17" s="1"/>
  <c r="R3" i="17" s="1"/>
  <c r="M34" i="18"/>
  <c r="Q34" i="18" s="1"/>
  <c r="R34" i="18" s="1"/>
  <c r="U54" i="15"/>
  <c r="AA54" i="15" s="1"/>
  <c r="G5" i="33" a="1"/>
  <c r="G5" i="33" s="1"/>
  <c r="G8" i="37" a="1"/>
  <c r="G8" i="37" s="1"/>
  <c r="G6" i="17" a="1"/>
  <c r="G6" i="17" s="1"/>
  <c r="M6" i="17" s="1"/>
  <c r="Q6" i="17" s="1"/>
  <c r="R6" i="17" s="1"/>
  <c r="G6" i="35" a="1"/>
  <c r="G6" i="35" s="1"/>
  <c r="G9" i="28" a="1"/>
  <c r="G9" i="28" s="1"/>
  <c r="G5" i="35" a="1"/>
  <c r="G5" i="35" s="1"/>
  <c r="T878" i="13"/>
  <c r="M26" i="18"/>
  <c r="Q26" i="18" s="1"/>
  <c r="R26" i="18" s="1"/>
  <c r="G4" i="35" a="1"/>
  <c r="G4" i="35" s="1"/>
  <c r="M30" i="18"/>
  <c r="Q30" i="18" s="1"/>
  <c r="R30" i="18" s="1"/>
  <c r="M33" i="18"/>
  <c r="Q33" i="18" s="1"/>
  <c r="R33" i="18" s="1"/>
  <c r="J54" i="15"/>
  <c r="G8" i="28" a="1"/>
  <c r="G8" i="28" s="1"/>
  <c r="G10" i="35" a="1"/>
  <c r="G10" i="35" s="1"/>
  <c r="G11" i="35" a="1"/>
  <c r="G11" i="35" s="1"/>
  <c r="G4" i="36" a="1"/>
  <c r="G4" i="36" s="1"/>
  <c r="G7" i="37" a="1"/>
  <c r="G7" i="37" s="1"/>
  <c r="G6" i="34" a="1"/>
  <c r="G6" i="34" s="1"/>
  <c r="K45" i="19" a="1"/>
  <c r="K45" i="19" s="1"/>
  <c r="K3" i="37" a="1"/>
  <c r="K3" i="37" s="1"/>
  <c r="K35" i="27" a="1"/>
  <c r="K35" i="27" s="1"/>
  <c r="K38" i="19" a="1"/>
  <c r="K38" i="19" s="1"/>
  <c r="K3" i="34" a="1"/>
  <c r="K3" i="34" s="1"/>
  <c r="K7" i="37" a="1"/>
  <c r="K7" i="37" s="1"/>
  <c r="K10" i="28" a="1"/>
  <c r="K10" i="28" s="1"/>
  <c r="G8" i="33" a="1"/>
  <c r="G8" i="33" s="1"/>
  <c r="G6" i="33" a="1"/>
  <c r="G6" i="33" s="1"/>
  <c r="G5" i="28" a="1"/>
  <c r="G5" i="28" s="1"/>
  <c r="K50" i="15" a="1"/>
  <c r="K50" i="15" s="1"/>
  <c r="K36" i="31" a="1"/>
  <c r="K36" i="31" s="1"/>
  <c r="K36" i="27" a="1"/>
  <c r="K36" i="27" s="1"/>
  <c r="G3" i="38" a="1"/>
  <c r="G3" i="38" s="1"/>
  <c r="G8" i="35" a="1"/>
  <c r="G8" i="35" s="1"/>
  <c r="G3" i="33" a="1"/>
  <c r="G3" i="33" s="1"/>
  <c r="K7" i="36" a="1"/>
  <c r="K7" i="36" s="1"/>
  <c r="K49" i="15" a="1"/>
  <c r="K49" i="15" s="1"/>
  <c r="K53" i="15" a="1"/>
  <c r="K53" i="15" s="1"/>
  <c r="K8" i="36" a="1"/>
  <c r="K8" i="36" s="1"/>
  <c r="K2" i="38" a="1"/>
  <c r="K2" i="38" s="1"/>
  <c r="K7" i="35" a="1"/>
  <c r="K7" i="35" s="1"/>
  <c r="G9" i="33" a="1"/>
  <c r="G9" i="33" s="1"/>
  <c r="G3" i="37" a="1"/>
  <c r="G3" i="37" s="1"/>
  <c r="G5" i="36" a="1"/>
  <c r="G5" i="36" s="1"/>
  <c r="K5" i="33" a="1"/>
  <c r="K5" i="33" s="1"/>
  <c r="K3" i="17" a="1"/>
  <c r="K3" i="17" s="1"/>
  <c r="K32" i="18" a="1"/>
  <c r="K32" i="18" s="1"/>
  <c r="K40" i="19" a="1"/>
  <c r="K40" i="19" s="1"/>
  <c r="K4" i="17" a="1"/>
  <c r="K4" i="17" s="1"/>
  <c r="K9" i="35" a="1"/>
  <c r="K9" i="35" s="1"/>
  <c r="K2" i="37" a="1"/>
  <c r="K2" i="37" s="1"/>
  <c r="K7" i="33" a="1"/>
  <c r="K7" i="33" s="1"/>
  <c r="K3" i="38" a="1"/>
  <c r="K3" i="38" s="1"/>
  <c r="G2" i="36" a="1"/>
  <c r="G2" i="36" s="1"/>
  <c r="G4" i="28" a="1"/>
  <c r="G4" i="28" s="1"/>
  <c r="G4" i="34" a="1"/>
  <c r="G4" i="34" s="1"/>
  <c r="K6" i="35" a="1"/>
  <c r="K6" i="35" s="1"/>
  <c r="K4" i="37" a="1"/>
  <c r="K4" i="37" s="1"/>
  <c r="K44" i="19" a="1"/>
  <c r="K44" i="19" s="1"/>
  <c r="K42" i="19" a="1"/>
  <c r="K42" i="19" s="1"/>
  <c r="K2" i="35" a="1"/>
  <c r="K2" i="35" s="1"/>
  <c r="K8" i="37" a="1"/>
  <c r="K8" i="37" s="1"/>
  <c r="G2" i="29" a="1"/>
  <c r="G2" i="29" s="1"/>
  <c r="G7" i="33" a="1"/>
  <c r="G7" i="33" s="1"/>
  <c r="G2" i="38" a="1"/>
  <c r="G2" i="38" s="1"/>
  <c r="G4" i="37" a="1"/>
  <c r="G4" i="37" s="1"/>
  <c r="G4" i="33" a="1"/>
  <c r="G4" i="33" s="1"/>
  <c r="K59" i="15" a="1"/>
  <c r="K59" i="15" s="1"/>
  <c r="K5" i="37" a="1"/>
  <c r="K5" i="37" s="1"/>
  <c r="K6" i="34" a="1"/>
  <c r="K6" i="34" s="1"/>
  <c r="G2" i="37" a="1"/>
  <c r="G2" i="37" s="1"/>
  <c r="G2" i="34" a="1"/>
  <c r="G2" i="34" s="1"/>
  <c r="G8" i="34" a="1"/>
  <c r="G8" i="34" s="1"/>
  <c r="G8" i="36" a="1"/>
  <c r="G8" i="36" s="1"/>
  <c r="G7" i="35" a="1"/>
  <c r="G7" i="35" s="1"/>
  <c r="K5" i="34" a="1"/>
  <c r="K5" i="34" s="1"/>
  <c r="K30" i="18" a="1"/>
  <c r="K30" i="18" s="1"/>
  <c r="K33" i="18" a="1"/>
  <c r="K33" i="18" s="1"/>
  <c r="K34" i="18" a="1"/>
  <c r="K34" i="18" s="1"/>
  <c r="G7" i="36" a="1"/>
  <c r="G7" i="36" s="1"/>
  <c r="T880" i="13"/>
  <c r="U880" i="13"/>
  <c r="U882" i="13"/>
  <c r="T882" i="13"/>
  <c r="U1030" i="13"/>
  <c r="T1030" i="13"/>
  <c r="T1094" i="13"/>
  <c r="U1094" i="13"/>
  <c r="U1010" i="13"/>
  <c r="T1010" i="13"/>
  <c r="E56" i="15"/>
  <c r="U1207" i="13"/>
  <c r="U1128" i="13"/>
  <c r="I57" i="15"/>
  <c r="T950" i="13"/>
  <c r="U1101" i="13"/>
  <c r="U1276" i="13"/>
  <c r="U1022" i="13"/>
  <c r="U7" i="28"/>
  <c r="AA7" i="28" s="1"/>
  <c r="T1132" i="13"/>
  <c r="U1132" i="13"/>
  <c r="U1224" i="13"/>
  <c r="T1224" i="13"/>
  <c r="T1198" i="13"/>
  <c r="T1254" i="13"/>
  <c r="U948" i="13"/>
  <c r="T1219" i="13"/>
  <c r="U1178" i="13"/>
  <c r="T946" i="13"/>
  <c r="U946" i="13"/>
  <c r="T961" i="13"/>
  <c r="U8" i="34"/>
  <c r="AA8" i="34" s="1"/>
  <c r="U1125" i="13"/>
  <c r="U1228" i="13"/>
  <c r="T887" i="13"/>
  <c r="T954" i="13"/>
  <c r="T1084" i="13"/>
  <c r="U1122" i="13"/>
  <c r="U1187" i="13"/>
  <c r="T1227" i="13"/>
  <c r="U58" i="15"/>
  <c r="AA58" i="15" s="1"/>
  <c r="U1190" i="13"/>
  <c r="T1190" i="13"/>
  <c r="I58" i="15"/>
  <c r="U9" i="37"/>
  <c r="AA9" i="37" s="1"/>
  <c r="U1273" i="13"/>
  <c r="U1277" i="13"/>
  <c r="T1277" i="13"/>
  <c r="U1104" i="13"/>
  <c r="T1104" i="13"/>
  <c r="T1193" i="13"/>
  <c r="T1118" i="13"/>
  <c r="U1204" i="13"/>
  <c r="T1259" i="13"/>
  <c r="J55" i="15"/>
  <c r="T937" i="13"/>
  <c r="S55" i="15"/>
  <c r="Z55" i="15" s="1"/>
  <c r="U1201" i="13"/>
  <c r="U56" i="15"/>
  <c r="AA56" i="15" s="1"/>
  <c r="U1009" i="13"/>
  <c r="T1009" i="13"/>
  <c r="I56" i="15"/>
  <c r="O58" i="15" s="1"/>
  <c r="J9" i="34"/>
  <c r="U1194" i="13"/>
  <c r="J58" i="15"/>
  <c r="T1187" i="13"/>
  <c r="U1278" i="13"/>
  <c r="T1239" i="13"/>
  <c r="U1113" i="13"/>
  <c r="U1182" i="13"/>
  <c r="T1182" i="13"/>
  <c r="T956" i="13"/>
  <c r="U956" i="13"/>
  <c r="U954" i="13"/>
  <c r="S58" i="15"/>
  <c r="Z58" i="15" s="1"/>
  <c r="T1111" i="13"/>
  <c r="U1111" i="13"/>
  <c r="U1136" i="13"/>
  <c r="T1136" i="13"/>
  <c r="T1021" i="13"/>
  <c r="U1021" i="13"/>
  <c r="T1119" i="13"/>
  <c r="U1119" i="13"/>
  <c r="S9" i="34"/>
  <c r="Z9" i="34" s="1"/>
  <c r="J6" i="28"/>
  <c r="U950" i="13"/>
  <c r="U1226" i="13"/>
  <c r="U963" i="13"/>
  <c r="U893" i="13"/>
  <c r="T893" i="13"/>
  <c r="T1137" i="13"/>
  <c r="U1137" i="13"/>
  <c r="J8" i="34"/>
  <c r="T1122" i="13"/>
  <c r="S8" i="34"/>
  <c r="Z8" i="34" s="1"/>
  <c r="T1101" i="13"/>
  <c r="E8" i="28"/>
  <c r="S8" i="28"/>
  <c r="Z8" i="28" s="1"/>
  <c r="U1007" i="13"/>
  <c r="T1007" i="13"/>
  <c r="S56" i="15"/>
  <c r="Z56" i="15" s="1"/>
  <c r="E57" i="15"/>
  <c r="U1212" i="13"/>
  <c r="T1096" i="13"/>
  <c r="U1096" i="13"/>
  <c r="U1199" i="13"/>
  <c r="T1199" i="13"/>
  <c r="U1117" i="13"/>
  <c r="T1117" i="13"/>
  <c r="T1180" i="13"/>
  <c r="U1180" i="13"/>
  <c r="U941" i="13"/>
  <c r="U1012" i="13"/>
  <c r="T1012" i="13"/>
  <c r="T1126" i="13"/>
  <c r="U1126" i="13"/>
  <c r="U1031" i="13"/>
  <c r="T1179" i="13"/>
  <c r="U1103" i="13"/>
  <c r="T952" i="13"/>
  <c r="T947" i="13"/>
  <c r="U947" i="13"/>
  <c r="U1185" i="13"/>
  <c r="T1185" i="13"/>
  <c r="U889" i="13"/>
  <c r="T889" i="13"/>
  <c r="U1266" i="13"/>
  <c r="T1266" i="13"/>
  <c r="U1017" i="13"/>
  <c r="T1017" i="13"/>
  <c r="T894" i="13"/>
  <c r="U894" i="13"/>
  <c r="U1110" i="13"/>
  <c r="T1091" i="13"/>
  <c r="T1135" i="13"/>
  <c r="T1015" i="13"/>
  <c r="U1015" i="13"/>
  <c r="T1108" i="13"/>
  <c r="U1108" i="13"/>
  <c r="T1184" i="13"/>
  <c r="U1184" i="13"/>
  <c r="T1013" i="13"/>
  <c r="U1013" i="13"/>
  <c r="T944" i="13"/>
  <c r="U944" i="13"/>
  <c r="U952" i="13"/>
  <c r="U1275" i="13"/>
  <c r="T1274" i="13"/>
  <c r="T953" i="13"/>
  <c r="U1192" i="13"/>
  <c r="T1192" i="13"/>
  <c r="U1175" i="13"/>
  <c r="T1175" i="13"/>
  <c r="U10" i="33"/>
  <c r="AA10" i="33" s="1"/>
  <c r="U1208" i="13"/>
  <c r="T1208" i="13"/>
  <c r="U1011" i="13"/>
  <c r="T1011" i="13"/>
  <c r="U942" i="13"/>
  <c r="T942" i="13"/>
  <c r="T886" i="13"/>
  <c r="U886" i="13"/>
  <c r="J57" i="15"/>
  <c r="U1083" i="13"/>
  <c r="U892" i="13"/>
  <c r="T892" i="13"/>
  <c r="T1217" i="13"/>
  <c r="U1217" i="13"/>
  <c r="T1026" i="13"/>
  <c r="U1026" i="13"/>
  <c r="U1176" i="13"/>
  <c r="T1176" i="13"/>
  <c r="U1223" i="13"/>
  <c r="T1223" i="13"/>
  <c r="T957" i="13"/>
  <c r="U957" i="13"/>
  <c r="T883" i="13"/>
  <c r="U883" i="13"/>
  <c r="U1241" i="13"/>
  <c r="T1083" i="13"/>
  <c r="T1257" i="13"/>
  <c r="U938" i="13"/>
  <c r="U55" i="15"/>
  <c r="AA55" i="15" s="1"/>
  <c r="T938" i="13"/>
  <c r="T1230" i="13"/>
  <c r="U1230" i="13"/>
  <c r="U1238" i="13"/>
  <c r="T1238" i="13"/>
  <c r="U1186" i="13"/>
  <c r="T1186" i="13"/>
  <c r="U895" i="13"/>
  <c r="T895" i="13"/>
  <c r="U1231" i="13"/>
  <c r="T1231" i="13"/>
  <c r="S57" i="15"/>
  <c r="Z57" i="15" s="1"/>
  <c r="I55" i="15"/>
  <c r="O57" i="15" s="1"/>
  <c r="U1016" i="13"/>
  <c r="T1016" i="13"/>
  <c r="U1097" i="13"/>
  <c r="T1097" i="13"/>
  <c r="U1089" i="13"/>
  <c r="T1089" i="13"/>
  <c r="T1133" i="13"/>
  <c r="U1133" i="13"/>
  <c r="U1124" i="13"/>
  <c r="T1124" i="13"/>
  <c r="U1232" i="13"/>
  <c r="T1232" i="13"/>
  <c r="T960" i="13"/>
  <c r="U960" i="13"/>
  <c r="U1221" i="13"/>
  <c r="T1221" i="13"/>
  <c r="U1240" i="13"/>
  <c r="T1240" i="13"/>
  <c r="T1088" i="13"/>
  <c r="U1088" i="13"/>
  <c r="U1213" i="13"/>
  <c r="T1213" i="13"/>
  <c r="T1264" i="13"/>
  <c r="U1202" i="13"/>
  <c r="T1202" i="13"/>
  <c r="T890" i="13"/>
  <c r="U890" i="13"/>
  <c r="U1268" i="13"/>
  <c r="T1268" i="13"/>
  <c r="U1280" i="13"/>
  <c r="T1280" i="13"/>
  <c r="U1225" i="13"/>
  <c r="T1225" i="13"/>
  <c r="T1181" i="13"/>
  <c r="U940" i="13"/>
  <c r="U1093" i="13"/>
  <c r="U1102" i="13"/>
  <c r="U1029" i="13"/>
  <c r="U1123" i="13"/>
  <c r="T1085" i="13"/>
  <c r="U1188" i="13"/>
  <c r="T1099" i="13"/>
  <c r="T1115" i="13"/>
  <c r="T1262" i="13"/>
  <c r="T1139" i="13"/>
  <c r="U1236" i="13"/>
  <c r="U1112" i="13"/>
  <c r="U955" i="13"/>
  <c r="U884" i="13"/>
  <c r="U1260" i="13"/>
  <c r="T1032" i="13"/>
  <c r="U943" i="13"/>
  <c r="U888" i="13"/>
  <c r="V6" i="28" l="1"/>
  <c r="AC6" i="28" s="1"/>
  <c r="V57" i="15"/>
  <c r="AC57" i="15" s="1"/>
  <c r="V55" i="15"/>
  <c r="F9" i="36"/>
  <c r="V9" i="28"/>
  <c r="AC9" i="28" s="1"/>
  <c r="F9" i="34"/>
  <c r="L9" i="34" s="1"/>
  <c r="M2" i="34"/>
  <c r="Q2" i="34" s="1"/>
  <c r="R2" i="34" s="1"/>
  <c r="T2" i="34"/>
  <c r="AD2" i="34" s="1"/>
  <c r="F57" i="15"/>
  <c r="L57" i="15" s="1"/>
  <c r="AB57" i="15"/>
  <c r="L56" i="15"/>
  <c r="T9" i="33"/>
  <c r="AD9" i="33" s="1"/>
  <c r="AE9" i="33" s="1"/>
  <c r="M9" i="33"/>
  <c r="Q9" i="33" s="1"/>
  <c r="R9" i="33" s="1"/>
  <c r="T4" i="28"/>
  <c r="M4" i="28"/>
  <c r="Q4" i="28" s="1"/>
  <c r="R4" i="28" s="1"/>
  <c r="F58" i="15"/>
  <c r="L58" i="15" s="1"/>
  <c r="K58" i="15" a="1"/>
  <c r="K58" i="15" s="1"/>
  <c r="P58" i="15"/>
  <c r="T7" i="35"/>
  <c r="AD7" i="35" s="1"/>
  <c r="AE7" i="35" s="1"/>
  <c r="M7" i="35"/>
  <c r="Q7" i="35" s="1"/>
  <c r="R7" i="35" s="1"/>
  <c r="T36" i="31"/>
  <c r="AA36" i="31" s="1"/>
  <c r="M36" i="31"/>
  <c r="Q36" i="31" s="1"/>
  <c r="R36" i="31" s="1"/>
  <c r="M11" i="35"/>
  <c r="Q11" i="35" s="1"/>
  <c r="R11" i="35" s="1"/>
  <c r="T11" i="35"/>
  <c r="AD11" i="35" s="1"/>
  <c r="AE11" i="35" s="1"/>
  <c r="F54" i="15"/>
  <c r="L54" i="15" s="1"/>
  <c r="V54" i="15"/>
  <c r="T9" i="35"/>
  <c r="AD9" i="35" s="1"/>
  <c r="AE9" i="35" s="1"/>
  <c r="M9" i="35"/>
  <c r="Q9" i="35" s="1"/>
  <c r="R9" i="35" s="1"/>
  <c r="M10" i="33"/>
  <c r="T10" i="33"/>
  <c r="T36" i="27"/>
  <c r="AA36" i="27" s="1"/>
  <c r="M36" i="27"/>
  <c r="Q36" i="27" s="1"/>
  <c r="R36" i="27" s="1"/>
  <c r="K10" i="33" a="1"/>
  <c r="K10" i="33" s="1"/>
  <c r="P10" i="33"/>
  <c r="K9" i="37" a="1"/>
  <c r="K9" i="37" s="1"/>
  <c r="P9" i="37"/>
  <c r="M5" i="37"/>
  <c r="Q5" i="37" s="1"/>
  <c r="R5" i="37" s="1"/>
  <c r="T5" i="37"/>
  <c r="AD5" i="37" s="1"/>
  <c r="AE5" i="37" s="1"/>
  <c r="K8" i="34" a="1"/>
  <c r="K8" i="34" s="1"/>
  <c r="P8" i="34"/>
  <c r="K6" i="28" a="1"/>
  <c r="K6" i="28" s="1"/>
  <c r="P6" i="28"/>
  <c r="T7" i="36"/>
  <c r="AD7" i="36" s="1"/>
  <c r="AE7" i="36" s="1"/>
  <c r="M7" i="36"/>
  <c r="Q7" i="36" s="1"/>
  <c r="R7" i="36" s="1"/>
  <c r="M2" i="33"/>
  <c r="Q2" i="33" s="1"/>
  <c r="R2" i="33" s="1"/>
  <c r="T4" i="33"/>
  <c r="AD4" i="33" s="1"/>
  <c r="AE4" i="33" s="1"/>
  <c r="M4" i="33"/>
  <c r="Q4" i="33" s="1"/>
  <c r="R4" i="33" s="1"/>
  <c r="M10" i="35"/>
  <c r="Q10" i="35" s="1"/>
  <c r="R10" i="35" s="1"/>
  <c r="T10" i="35"/>
  <c r="AD10" i="35" s="1"/>
  <c r="AE10" i="35" s="1"/>
  <c r="M5" i="35"/>
  <c r="Q5" i="35" s="1"/>
  <c r="R5" i="35" s="1"/>
  <c r="T5" i="35"/>
  <c r="AD5" i="35" s="1"/>
  <c r="AE5" i="35" s="1"/>
  <c r="T9" i="34"/>
  <c r="M9" i="34"/>
  <c r="T3" i="35"/>
  <c r="AD3" i="35" s="1"/>
  <c r="AE3" i="35" s="1"/>
  <c r="M3" i="35"/>
  <c r="Q3" i="35" s="1"/>
  <c r="R3" i="35" s="1"/>
  <c r="V9" i="37"/>
  <c r="M35" i="31"/>
  <c r="Q35" i="31" s="1"/>
  <c r="R35" i="31" s="1"/>
  <c r="T35" i="31"/>
  <c r="AA35" i="31" s="1"/>
  <c r="AB55" i="15"/>
  <c r="AC55" i="15"/>
  <c r="F8" i="34"/>
  <c r="L8" i="34" s="1"/>
  <c r="AB6" i="28"/>
  <c r="V8" i="34"/>
  <c r="M49" i="15"/>
  <c r="Q49" i="15" s="1"/>
  <c r="R49" i="15" s="1"/>
  <c r="T49" i="15"/>
  <c r="AD49" i="15" s="1"/>
  <c r="F8" i="28"/>
  <c r="L8" i="28" s="1"/>
  <c r="F55" i="15"/>
  <c r="L55" i="15" s="1"/>
  <c r="V8" i="28"/>
  <c r="V9" i="34"/>
  <c r="K9" i="34" a="1"/>
  <c r="K9" i="34" s="1"/>
  <c r="P9" i="34"/>
  <c r="K55" i="15" a="1"/>
  <c r="K55" i="15" s="1"/>
  <c r="P55" i="15"/>
  <c r="V58" i="15"/>
  <c r="F6" i="28"/>
  <c r="L6" i="28" s="1"/>
  <c r="T8" i="36"/>
  <c r="AD8" i="36" s="1"/>
  <c r="AE8" i="36" s="1"/>
  <c r="M8" i="36"/>
  <c r="Q8" i="36" s="1"/>
  <c r="R8" i="36" s="1"/>
  <c r="T4" i="37"/>
  <c r="AD4" i="37" s="1"/>
  <c r="AE4" i="37" s="1"/>
  <c r="M4" i="37"/>
  <c r="Q4" i="37" s="1"/>
  <c r="R4" i="37" s="1"/>
  <c r="T5" i="28"/>
  <c r="M5" i="28"/>
  <c r="Q5" i="28" s="1"/>
  <c r="R5" i="28" s="1"/>
  <c r="M8" i="28"/>
  <c r="T8" i="28"/>
  <c r="T9" i="28"/>
  <c r="M9" i="28"/>
  <c r="M56" i="15"/>
  <c r="T56" i="15"/>
  <c r="K9" i="28" a="1"/>
  <c r="K9" i="28" s="1"/>
  <c r="P9" i="28"/>
  <c r="T8" i="34"/>
  <c r="M8" i="34"/>
  <c r="T2" i="38"/>
  <c r="M2" i="38"/>
  <c r="Q2" i="38" s="1"/>
  <c r="R2" i="38" s="1"/>
  <c r="T5" i="36"/>
  <c r="AD5" i="36" s="1"/>
  <c r="AE5" i="36" s="1"/>
  <c r="M5" i="36"/>
  <c r="Q5" i="36" s="1"/>
  <c r="R5" i="36" s="1"/>
  <c r="T6" i="33"/>
  <c r="AD6" i="33" s="1"/>
  <c r="AE6" i="33" s="1"/>
  <c r="M6" i="33"/>
  <c r="Q6" i="33" s="1"/>
  <c r="R6" i="33" s="1"/>
  <c r="K54" i="15" a="1"/>
  <c r="K54" i="15" s="1"/>
  <c r="P54" i="15"/>
  <c r="M6" i="35"/>
  <c r="Q6" i="35" s="1"/>
  <c r="R6" i="35" s="1"/>
  <c r="T6" i="35"/>
  <c r="AD6" i="35" s="1"/>
  <c r="AE6" i="35" s="1"/>
  <c r="M35" i="27"/>
  <c r="Q35" i="27" s="1"/>
  <c r="R35" i="27" s="1"/>
  <c r="M57" i="15"/>
  <c r="T57" i="15"/>
  <c r="M37" i="27"/>
  <c r="Q37" i="27" s="1"/>
  <c r="R37" i="27" s="1"/>
  <c r="T37" i="27"/>
  <c r="AA37" i="27" s="1"/>
  <c r="M2" i="28"/>
  <c r="Q2" i="28" s="1"/>
  <c r="R2" i="28" s="1"/>
  <c r="T2" i="28"/>
  <c r="F7" i="28"/>
  <c r="L7" i="28" s="1"/>
  <c r="M52" i="15"/>
  <c r="Q52" i="15" s="1"/>
  <c r="R52" i="15" s="1"/>
  <c r="T52" i="15"/>
  <c r="AD52" i="15" s="1"/>
  <c r="T7" i="33"/>
  <c r="AD7" i="33" s="1"/>
  <c r="AE7" i="33" s="1"/>
  <c r="M7" i="33"/>
  <c r="Q7" i="33" s="1"/>
  <c r="R7" i="33" s="1"/>
  <c r="M4" i="34"/>
  <c r="Q4" i="34" s="1"/>
  <c r="R4" i="34" s="1"/>
  <c r="T4" i="34"/>
  <c r="M3" i="37"/>
  <c r="Q3" i="37" s="1"/>
  <c r="R3" i="37" s="1"/>
  <c r="T3" i="37"/>
  <c r="AD3" i="37" s="1"/>
  <c r="AE3" i="37" s="1"/>
  <c r="M3" i="33"/>
  <c r="Q3" i="33" s="1"/>
  <c r="R3" i="33" s="1"/>
  <c r="T3" i="33"/>
  <c r="AD3" i="33" s="1"/>
  <c r="AE3" i="33" s="1"/>
  <c r="M8" i="33"/>
  <c r="Q8" i="33" s="1"/>
  <c r="R8" i="33" s="1"/>
  <c r="T8" i="33"/>
  <c r="AD8" i="33" s="1"/>
  <c r="AE8" i="33" s="1"/>
  <c r="M54" i="15"/>
  <c r="T54" i="15"/>
  <c r="M5" i="34"/>
  <c r="Q5" i="34" s="1"/>
  <c r="R5" i="34" s="1"/>
  <c r="T5" i="34"/>
  <c r="M50" i="15"/>
  <c r="Q50" i="15" s="1"/>
  <c r="R50" i="15" s="1"/>
  <c r="T50" i="15"/>
  <c r="AD50" i="15" s="1"/>
  <c r="M7" i="28"/>
  <c r="T7" i="28"/>
  <c r="M37" i="31"/>
  <c r="Q37" i="31" s="1"/>
  <c r="R37" i="31" s="1"/>
  <c r="T37" i="31"/>
  <c r="AA37" i="31" s="1"/>
  <c r="F9" i="28"/>
  <c r="L9" i="28" s="1"/>
  <c r="P7" i="28"/>
  <c r="K7" i="28" a="1"/>
  <c r="K7" i="28" s="1"/>
  <c r="V10" i="33"/>
  <c r="T2" i="37"/>
  <c r="M2" i="37"/>
  <c r="Q2" i="37" s="1"/>
  <c r="R2" i="37" s="1"/>
  <c r="M58" i="15"/>
  <c r="T58" i="15"/>
  <c r="T38" i="31"/>
  <c r="AA38" i="31" s="1"/>
  <c r="M38" i="31"/>
  <c r="Q38" i="31" s="1"/>
  <c r="R38" i="31" s="1"/>
  <c r="M6" i="34"/>
  <c r="Q6" i="34" s="1"/>
  <c r="R6" i="34" s="1"/>
  <c r="T6" i="34"/>
  <c r="T55" i="15"/>
  <c r="M55" i="15"/>
  <c r="M7" i="34"/>
  <c r="Q7" i="34" s="1"/>
  <c r="R7" i="34" s="1"/>
  <c r="T7" i="34"/>
  <c r="M3" i="34"/>
  <c r="Q3" i="34" s="1"/>
  <c r="R3" i="34" s="1"/>
  <c r="T3" i="34"/>
  <c r="V7" i="28"/>
  <c r="P56" i="15"/>
  <c r="K56" i="15" a="1"/>
  <c r="K56" i="15" s="1"/>
  <c r="F10" i="33"/>
  <c r="L10" i="33" s="1"/>
  <c r="Q10" i="33" s="1"/>
  <c r="R10" i="33" s="1"/>
  <c r="T9" i="37"/>
  <c r="M9" i="37"/>
  <c r="T8" i="35"/>
  <c r="AD8" i="35" s="1"/>
  <c r="AE8" i="35" s="1"/>
  <c r="M8" i="35"/>
  <c r="Q8" i="35" s="1"/>
  <c r="R8" i="35" s="1"/>
  <c r="P57" i="15"/>
  <c r="K57" i="15" a="1"/>
  <c r="K57" i="15" s="1"/>
  <c r="V56" i="15"/>
  <c r="T3" i="38"/>
  <c r="AD3" i="38" s="1"/>
  <c r="AE3" i="38" s="1"/>
  <c r="M3" i="38"/>
  <c r="Q3" i="38" s="1"/>
  <c r="R3" i="38" s="1"/>
  <c r="T59" i="15"/>
  <c r="M59" i="15"/>
  <c r="Q59" i="15" s="1"/>
  <c r="R59" i="15" s="1"/>
  <c r="M34" i="31"/>
  <c r="Q34" i="31" s="1"/>
  <c r="R34" i="31" s="1"/>
  <c r="T34" i="31"/>
  <c r="AA34" i="31" s="1"/>
  <c r="T7" i="37"/>
  <c r="AD7" i="37" s="1"/>
  <c r="AE7" i="37" s="1"/>
  <c r="M7" i="37"/>
  <c r="Q7" i="37" s="1"/>
  <c r="R7" i="37" s="1"/>
  <c r="M4" i="35"/>
  <c r="Q4" i="35" s="1"/>
  <c r="R4" i="35" s="1"/>
  <c r="T4" i="35"/>
  <c r="AD4" i="35" s="1"/>
  <c r="AE4" i="35" s="1"/>
  <c r="M8" i="37"/>
  <c r="Q8" i="37" s="1"/>
  <c r="R8" i="37" s="1"/>
  <c r="T8" i="37"/>
  <c r="AD8" i="37" s="1"/>
  <c r="AE8" i="37" s="1"/>
  <c r="T6" i="37"/>
  <c r="AD6" i="37" s="1"/>
  <c r="AE6" i="37" s="1"/>
  <c r="M6" i="37"/>
  <c r="Q6" i="37" s="1"/>
  <c r="R6" i="37" s="1"/>
  <c r="T10" i="28"/>
  <c r="AD10" i="28" s="1"/>
  <c r="M10" i="28"/>
  <c r="Q10" i="28" s="1"/>
  <c r="R10" i="28" s="1"/>
  <c r="M51" i="15"/>
  <c r="Q51" i="15" s="1"/>
  <c r="R51" i="15" s="1"/>
  <c r="T51" i="15"/>
  <c r="AD51" i="15" s="1"/>
  <c r="M6" i="36"/>
  <c r="Q6" i="36" s="1"/>
  <c r="R6" i="36" s="1"/>
  <c r="T6" i="36"/>
  <c r="AD6" i="36" s="1"/>
  <c r="AE6" i="36" s="1"/>
  <c r="M3" i="28"/>
  <c r="Q3" i="28" s="1"/>
  <c r="R3" i="28" s="1"/>
  <c r="T3" i="28"/>
  <c r="T2" i="29"/>
  <c r="M2" i="29"/>
  <c r="Q2" i="29" s="1"/>
  <c r="R2" i="29" s="1"/>
  <c r="T2" i="36"/>
  <c r="M2" i="36"/>
  <c r="Q2" i="36" s="1"/>
  <c r="R2" i="36" s="1"/>
  <c r="M38" i="27"/>
  <c r="Q38" i="27" s="1"/>
  <c r="R38" i="27" s="1"/>
  <c r="T38" i="27"/>
  <c r="AA38" i="27" s="1"/>
  <c r="T4" i="36"/>
  <c r="AD4" i="36" s="1"/>
  <c r="AE4" i="36" s="1"/>
  <c r="M4" i="36"/>
  <c r="Q4" i="36" s="1"/>
  <c r="R4" i="36" s="1"/>
  <c r="T5" i="33"/>
  <c r="AD5" i="33" s="1"/>
  <c r="AE5" i="33" s="1"/>
  <c r="M5" i="33"/>
  <c r="Q5" i="33" s="1"/>
  <c r="R5" i="33" s="1"/>
  <c r="T6" i="28"/>
  <c r="M6" i="28"/>
  <c r="T53" i="15"/>
  <c r="AD53" i="15" s="1"/>
  <c r="M53" i="15"/>
  <c r="Q53" i="15" s="1"/>
  <c r="R53" i="15" s="1"/>
  <c r="T2" i="35"/>
  <c r="M2" i="35"/>
  <c r="Q2" i="35" s="1"/>
  <c r="R2" i="35" s="1"/>
  <c r="F9" i="37"/>
  <c r="L9" i="37" s="1"/>
  <c r="AA35" i="27" l="1"/>
  <c r="AE35" i="27"/>
  <c r="AF35" i="27" s="1"/>
  <c r="AD2" i="38"/>
  <c r="AE2" i="38" s="1"/>
  <c r="AD2" i="37"/>
  <c r="AE2" i="37" s="1"/>
  <c r="AD2" i="36"/>
  <c r="AE2" i="36" s="1"/>
  <c r="AD2" i="35"/>
  <c r="AE2" i="35" s="1"/>
  <c r="AD2" i="29"/>
  <c r="AE2" i="29" s="1"/>
  <c r="AD4" i="28"/>
  <c r="AE4" i="28" s="1"/>
  <c r="AD57" i="15"/>
  <c r="AE57" i="15" s="1"/>
  <c r="AB9" i="28"/>
  <c r="AD9" i="28" s="1"/>
  <c r="AE9" i="28" s="1"/>
  <c r="Q9" i="34"/>
  <c r="R9" i="34" s="1"/>
  <c r="Q55" i="15"/>
  <c r="R55" i="15" s="1"/>
  <c r="AC7" i="28"/>
  <c r="AB7" i="28"/>
  <c r="AD6" i="28"/>
  <c r="AE6" i="28" s="1"/>
  <c r="AE50" i="15"/>
  <c r="AE52" i="15"/>
  <c r="Q6" i="28"/>
  <c r="R6" i="28" s="1"/>
  <c r="AB8" i="28"/>
  <c r="AC8" i="28"/>
  <c r="Q8" i="34"/>
  <c r="R8" i="34" s="1"/>
  <c r="AD59" i="15"/>
  <c r="AE59" i="15" s="1"/>
  <c r="AD3" i="34"/>
  <c r="AE3" i="34" s="1"/>
  <c r="Q9" i="37"/>
  <c r="R9" i="37" s="1"/>
  <c r="AE51" i="15"/>
  <c r="AE38" i="31"/>
  <c r="AF38" i="31" s="1"/>
  <c r="AD5" i="34"/>
  <c r="AE5" i="34" s="1"/>
  <c r="Q7" i="28"/>
  <c r="R7" i="28" s="1"/>
  <c r="Q8" i="28"/>
  <c r="R8" i="28" s="1"/>
  <c r="AE36" i="27"/>
  <c r="AF36" i="27" s="1"/>
  <c r="Q58" i="15"/>
  <c r="R58" i="15" s="1"/>
  <c r="AE53" i="15"/>
  <c r="AD3" i="28"/>
  <c r="AE3" i="28" s="1"/>
  <c r="AE34" i="31"/>
  <c r="AF34" i="31" s="1"/>
  <c r="AE38" i="27"/>
  <c r="AF38" i="27" s="1"/>
  <c r="AE49" i="15"/>
  <c r="AE35" i="31"/>
  <c r="AF35" i="31" s="1"/>
  <c r="AD6" i="34"/>
  <c r="AE6" i="34" s="1"/>
  <c r="AC10" i="33"/>
  <c r="AB10" i="33"/>
  <c r="AD5" i="28"/>
  <c r="AE5" i="28" s="1"/>
  <c r="AE37" i="31"/>
  <c r="AF37" i="31" s="1"/>
  <c r="AD4" i="34"/>
  <c r="AE4" i="34" s="1"/>
  <c r="AD2" i="28"/>
  <c r="AE2" i="28" s="1"/>
  <c r="AE36" i="31"/>
  <c r="AF36" i="31" s="1"/>
  <c r="Q57" i="15"/>
  <c r="R57" i="15" s="1"/>
  <c r="AB58" i="15"/>
  <c r="AC58" i="15"/>
  <c r="AD7" i="34"/>
  <c r="AE7" i="34" s="1"/>
  <c r="Q9" i="28"/>
  <c r="R9" i="28" s="1"/>
  <c r="AE10" i="28"/>
  <c r="AC56" i="15"/>
  <c r="AB56" i="15"/>
  <c r="AC8" i="34"/>
  <c r="AB8" i="34"/>
  <c r="AE2" i="34"/>
  <c r="AE37" i="27"/>
  <c r="AF37" i="27" s="1"/>
  <c r="AB9" i="34"/>
  <c r="AC9" i="34"/>
  <c r="AC9" i="37"/>
  <c r="AB9" i="37"/>
  <c r="AB54" i="15"/>
  <c r="AC54" i="15"/>
  <c r="AD55" i="15"/>
  <c r="AE55" i="15" s="1"/>
  <c r="Q54" i="15"/>
  <c r="R54" i="15" s="1"/>
  <c r="Q56" i="15"/>
  <c r="R56" i="15" s="1"/>
  <c r="AD7" i="28" l="1"/>
  <c r="AE7" i="28" s="1"/>
  <c r="AD9" i="34"/>
  <c r="AE9" i="34" s="1"/>
  <c r="AD9" i="37"/>
  <c r="AE9" i="37" s="1"/>
  <c r="AD8" i="28"/>
  <c r="AE8" i="28" s="1"/>
  <c r="AD10" i="33"/>
  <c r="AE10" i="33" s="1"/>
  <c r="AD56" i="15"/>
  <c r="AE56" i="15" s="1"/>
  <c r="AD58" i="15"/>
  <c r="AE58" i="15" s="1"/>
  <c r="AD54" i="15"/>
  <c r="AE54" i="15" s="1"/>
  <c r="AD8" i="34"/>
  <c r="AE8" i="3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<sst xmlns="http://schemas.openxmlformats.org/spreadsheetml/2006/main" count="35991" uniqueCount="3001">
  <si>
    <t>Sample Code</t>
  </si>
  <si>
    <t>Site</t>
  </si>
  <si>
    <t>ID Date</t>
  </si>
  <si>
    <t>Total Number</t>
  </si>
  <si>
    <t># in Sample</t>
  </si>
  <si>
    <t>FBI</t>
  </si>
  <si>
    <t>Total Taxa Richness</t>
  </si>
  <si>
    <t>EPT Taxa Richness</t>
  </si>
  <si>
    <t>% EPT Taxa Richness</t>
  </si>
  <si>
    <t>% Dominance</t>
  </si>
  <si>
    <t>Dominant Taxon</t>
  </si>
  <si>
    <t>FBI/
NJIS</t>
  </si>
  <si>
    <t># Families/
NJIS</t>
  </si>
  <si>
    <t># of EPT Families/
NJIS</t>
  </si>
  <si>
    <t>% EPT Individuals/
NJIS</t>
  </si>
  <si>
    <t>% Dominance/
NJIS</t>
  </si>
  <si>
    <t>NJIS Score</t>
  </si>
  <si>
    <t>NJIS
Water Quality
Rating</t>
  </si>
  <si>
    <t># of Genera</t>
  </si>
  <si>
    <t>EPT Genera</t>
  </si>
  <si>
    <t>% Ephemeroptera</t>
  </si>
  <si>
    <t>HBI</t>
  </si>
  <si>
    <t>% Clingers</t>
  </si>
  <si>
    <t>Number of genera/CMPI</t>
  </si>
  <si>
    <t>Number of EPT Genera/CMPI</t>
  </si>
  <si>
    <t>% Ephemeroptera/CMPI</t>
  </si>
  <si>
    <t>HBI/CMPI</t>
  </si>
  <si>
    <t>%Clinger CMPI</t>
  </si>
  <si>
    <t>CMPI</t>
  </si>
  <si>
    <t>AC5</t>
  </si>
  <si>
    <t>BB1</t>
  </si>
  <si>
    <t>Total number of genra</t>
  </si>
  <si>
    <t>%Non-Insect Taxa</t>
  </si>
  <si>
    <t>% Sensitive EPT</t>
  </si>
  <si>
    <t># Scraper genera</t>
  </si>
  <si>
    <t>Attribute 2 genera</t>
  </si>
  <si>
    <t>Attribute 3 genera</t>
  </si>
  <si>
    <t>Total Number of genera adjusted /HGMI</t>
  </si>
  <si>
    <t>% Genera Not Insects adjusted/ HGMI</t>
  </si>
  <si>
    <t>% Sensitve EPT/ HGMI</t>
  </si>
  <si>
    <t>HBI/HGMI</t>
  </si>
  <si>
    <t>HGMI (genus)</t>
  </si>
  <si>
    <t>HGMI Water Quality Score</t>
  </si>
  <si>
    <t>Number of EPT Families</t>
  </si>
  <si>
    <t>% Family not Insects</t>
  </si>
  <si>
    <t>Number of Scraper Families</t>
  </si>
  <si>
    <t>FBI/ HGMI</t>
  </si>
  <si>
    <t>% Sensative / HGMI</t>
  </si>
  <si>
    <t>HGMI (Family)</t>
  </si>
  <si>
    <t>BD3</t>
  </si>
  <si>
    <t>BD4</t>
  </si>
  <si>
    <t>BK1</t>
  </si>
  <si>
    <t>CB2</t>
  </si>
  <si>
    <t>COL1</t>
  </si>
  <si>
    <t>%Clinger/ CMPI</t>
  </si>
  <si>
    <t>RBA</t>
  </si>
  <si>
    <t>SB1</t>
  </si>
  <si>
    <t>SB2</t>
  </si>
  <si>
    <t>SB4</t>
  </si>
  <si>
    <t>SB5</t>
  </si>
  <si>
    <t>SBA</t>
  </si>
  <si>
    <t>SM1</t>
  </si>
  <si>
    <t>TM1</t>
  </si>
  <si>
    <t>SampleCode</t>
  </si>
  <si>
    <t>BugID</t>
  </si>
  <si>
    <t>Order</t>
  </si>
  <si>
    <t>Family</t>
  </si>
  <si>
    <t>GenusSpecies</t>
  </si>
  <si>
    <t>Amount</t>
  </si>
  <si>
    <t>Percentage</t>
  </si>
  <si>
    <t>Integer</t>
  </si>
  <si>
    <t>Difference</t>
  </si>
  <si>
    <t>100 Sample</t>
  </si>
  <si>
    <t>EPT?</t>
  </si>
  <si>
    <t>TYPE OF EPT</t>
  </si>
  <si>
    <t>FTV</t>
  </si>
  <si>
    <t>TOTAL VAL</t>
  </si>
  <si>
    <t>INSECT?</t>
  </si>
  <si>
    <t>SENSITIVE?</t>
  </si>
  <si>
    <t>CLINGER?</t>
  </si>
  <si>
    <t>TALU ATTRIBUTE</t>
  </si>
  <si>
    <t>PRODUCT FTV</t>
  </si>
  <si>
    <t>PRODUCT TOTAL VAL</t>
  </si>
  <si>
    <t>BB1_2014-03-15</t>
  </si>
  <si>
    <t>Asellidae</t>
  </si>
  <si>
    <t>Gammaridae</t>
  </si>
  <si>
    <t>c</t>
  </si>
  <si>
    <t>Planariidae</t>
  </si>
  <si>
    <t>Glossiphoniidae</t>
  </si>
  <si>
    <t>Hydropsychidae</t>
  </si>
  <si>
    <t>Chironomidae</t>
  </si>
  <si>
    <t>Pleuroceridae</t>
  </si>
  <si>
    <t>Corbiculidae</t>
  </si>
  <si>
    <t>Sphaeriidae</t>
  </si>
  <si>
    <t>Oligochaeta</t>
  </si>
  <si>
    <t>BD3_2014-03-22</t>
  </si>
  <si>
    <t>Baetidae</t>
  </si>
  <si>
    <t>Coenagrionidae</t>
  </si>
  <si>
    <t>Elmidae</t>
  </si>
  <si>
    <t>Hydrophilidae</t>
  </si>
  <si>
    <t>Psephenidae</t>
  </si>
  <si>
    <t>Simuliidae</t>
  </si>
  <si>
    <t>Physidae</t>
  </si>
  <si>
    <t>BD4_2014-03-22</t>
  </si>
  <si>
    <t>Nemouridae</t>
  </si>
  <si>
    <t>Perlidae</t>
  </si>
  <si>
    <t>Taeniopterygidae</t>
  </si>
  <si>
    <t>Philopotamidae</t>
  </si>
  <si>
    <t>Tipulidae</t>
  </si>
  <si>
    <t>Crangonyctidae</t>
  </si>
  <si>
    <t>BK1_2014-03-16</t>
  </si>
  <si>
    <t>Heptageniidae</t>
  </si>
  <si>
    <t>Calopterygidae</t>
  </si>
  <si>
    <t>Gomphidae</t>
  </si>
  <si>
    <t>Lepidostomatidae</t>
  </si>
  <si>
    <t>CB2_2014-03-15</t>
  </si>
  <si>
    <t>Ptilodactylidae</t>
  </si>
  <si>
    <t>BB1_2014-07-29</t>
  </si>
  <si>
    <t>CB2_2014-07-25</t>
  </si>
  <si>
    <t>Planaria</t>
  </si>
  <si>
    <t>Hydrobiidae</t>
  </si>
  <si>
    <t>Planorbidae</t>
  </si>
  <si>
    <t>BB1_2014-10-24</t>
  </si>
  <si>
    <t>CB2_2014-10-13</t>
  </si>
  <si>
    <t>Ceratopogonidae</t>
  </si>
  <si>
    <t>BB1_2015-03-28</t>
  </si>
  <si>
    <t>BloodRed Chironomidae</t>
  </si>
  <si>
    <t>Chironomus</t>
  </si>
  <si>
    <t>BB1_2015-07-24</t>
  </si>
  <si>
    <t>Psychomyiidae</t>
  </si>
  <si>
    <t>CB2_2015-07-19</t>
  </si>
  <si>
    <t>Empididae</t>
  </si>
  <si>
    <t>RBA_2015-10-17</t>
  </si>
  <si>
    <t>BB1_2016-04-02</t>
  </si>
  <si>
    <t>CB2_2016-04-08</t>
  </si>
  <si>
    <t>Viviparidae</t>
  </si>
  <si>
    <t>Unionidae</t>
  </si>
  <si>
    <t>RBA_2016-03-19</t>
  </si>
  <si>
    <t>BB1_2016-07-23</t>
  </si>
  <si>
    <t>CB2_2016-07-03</t>
  </si>
  <si>
    <t>RBA_2016-07-16</t>
  </si>
  <si>
    <t>BB1_2016-10-22</t>
  </si>
  <si>
    <t>CB2_2016-10-16</t>
  </si>
  <si>
    <t>RBA_2016-10-15</t>
  </si>
  <si>
    <t>BB1_2017-04-01</t>
  </si>
  <si>
    <t>CB2_2017-06-25</t>
  </si>
  <si>
    <t>Leptoceridae</t>
  </si>
  <si>
    <t>RBA_2017-06-17</t>
  </si>
  <si>
    <t>COL1_2021-11-15</t>
  </si>
  <si>
    <t>Helicopsychidae</t>
  </si>
  <si>
    <t>SBA_2021-10-22</t>
  </si>
  <si>
    <t>Ephemerellidae</t>
  </si>
  <si>
    <t>BD4_2021-10-09</t>
  </si>
  <si>
    <t>Perlodidae</t>
  </si>
  <si>
    <t>Caenidae</t>
  </si>
  <si>
    <t>SB1_2021-10-02</t>
  </si>
  <si>
    <t>Rhyacophilidae</t>
  </si>
  <si>
    <t>CB2_2021-12-05</t>
  </si>
  <si>
    <t>RBA_2021-11-21</t>
  </si>
  <si>
    <t>Veliidae</t>
  </si>
  <si>
    <t>AC5_2021-11-20</t>
  </si>
  <si>
    <t>BD4_2014-10-12</t>
  </si>
  <si>
    <t>Aeshnidae</t>
  </si>
  <si>
    <t>Polycentropodidae</t>
  </si>
  <si>
    <t>SB1_2014-03-15</t>
  </si>
  <si>
    <t>SB2_2014-03-22</t>
  </si>
  <si>
    <t>Ancylidae</t>
  </si>
  <si>
    <t>SB4_2014-03-16</t>
  </si>
  <si>
    <t>SB5_2014-03-14</t>
  </si>
  <si>
    <t>Cambaridae</t>
  </si>
  <si>
    <t>Chloroperlidae</t>
  </si>
  <si>
    <t>SM1_2014-03-27</t>
  </si>
  <si>
    <t>TM1_2014-03-29</t>
  </si>
  <si>
    <t>BD3_2014-07-22</t>
  </si>
  <si>
    <t>Pyralidae</t>
  </si>
  <si>
    <t>BD4_2014-07-17</t>
  </si>
  <si>
    <t>BK1_2014-07-20</t>
  </si>
  <si>
    <t>Glossosomatidae</t>
  </si>
  <si>
    <t>SB1_2014-07-13</t>
  </si>
  <si>
    <t>Brachycentridae</t>
  </si>
  <si>
    <t>BD4_2015-10-11</t>
  </si>
  <si>
    <t>Sialidae</t>
  </si>
  <si>
    <t>SB2_2014-07-13</t>
  </si>
  <si>
    <t>SITE CODE</t>
  </si>
  <si>
    <t>ORDER</t>
  </si>
  <si>
    <t>FAMILY</t>
  </si>
  <si>
    <t>COUNT</t>
  </si>
  <si>
    <t>PERCENTAGE</t>
  </si>
  <si>
    <t>INTEGER</t>
  </si>
  <si>
    <t>DIFFERENCE</t>
  </si>
  <si>
    <t>100 sample</t>
  </si>
  <si>
    <t xml:space="preserve">PRODUCT FTV </t>
  </si>
  <si>
    <t>SCRAPER?</t>
  </si>
  <si>
    <t>BB1_1997-07-26</t>
  </si>
  <si>
    <t>Diptera</t>
  </si>
  <si>
    <t>Odonata</t>
  </si>
  <si>
    <t>Libellulidae</t>
  </si>
  <si>
    <t>Plecoptera</t>
  </si>
  <si>
    <t>Trichoptera</t>
  </si>
  <si>
    <t>Ephemeroptera</t>
  </si>
  <si>
    <t>Coleoptera</t>
  </si>
  <si>
    <t>Amphipoda</t>
  </si>
  <si>
    <t>Decapoda</t>
  </si>
  <si>
    <t>Crayfish</t>
  </si>
  <si>
    <t>Isopoda</t>
  </si>
  <si>
    <t>Hirudinea</t>
  </si>
  <si>
    <t>Leech (Hirudinea)</t>
  </si>
  <si>
    <t>BB1_2000-10-21</t>
  </si>
  <si>
    <t>BB1_2001-07-21</t>
  </si>
  <si>
    <t>Chironomidae - White</t>
  </si>
  <si>
    <t>Clams</t>
  </si>
  <si>
    <t>Tricladia</t>
  </si>
  <si>
    <t>Hemiptera</t>
  </si>
  <si>
    <t>OrderClass</t>
  </si>
  <si>
    <t>Genus</t>
  </si>
  <si>
    <t>GenusID</t>
  </si>
  <si>
    <t>Adult</t>
  </si>
  <si>
    <t>EPT</t>
  </si>
  <si>
    <t>Tanytarsini</t>
  </si>
  <si>
    <t>Orthocladiinae</t>
  </si>
  <si>
    <t>Tanypodinae</t>
  </si>
  <si>
    <t>Insect</t>
  </si>
  <si>
    <t>Exclude</t>
  </si>
  <si>
    <t>FTVRef</t>
  </si>
  <si>
    <t>FFG</t>
  </si>
  <si>
    <t>FFGRef</t>
  </si>
  <si>
    <t>TolVal</t>
  </si>
  <si>
    <t>TolValRef</t>
  </si>
  <si>
    <t>NYTolVal</t>
  </si>
  <si>
    <t>Synonyms</t>
  </si>
  <si>
    <t>Habit</t>
  </si>
  <si>
    <t>TaluAttribute</t>
  </si>
  <si>
    <t>CommonName</t>
  </si>
  <si>
    <t>TSN</t>
  </si>
  <si>
    <t>Hide?</t>
  </si>
  <si>
    <t>BugUpdated</t>
  </si>
  <si>
    <t>Placobdella</t>
  </si>
  <si>
    <t>AMNET</t>
  </si>
  <si>
    <t>P</t>
  </si>
  <si>
    <t>EPA 5</t>
  </si>
  <si>
    <t/>
  </si>
  <si>
    <t>69363</t>
  </si>
  <si>
    <t>Placobdella hollensis</t>
  </si>
  <si>
    <t>Placobdella montifera</t>
  </si>
  <si>
    <t>Placobdella multilineata</t>
  </si>
  <si>
    <t>Placobdella ornata</t>
  </si>
  <si>
    <t>Placobdella papillifera</t>
  </si>
  <si>
    <t>EPA 7</t>
  </si>
  <si>
    <t>Placobdella parasitica</t>
  </si>
  <si>
    <t>Placobdella phalera</t>
  </si>
  <si>
    <t>bl</t>
  </si>
  <si>
    <t>Placobdella translucens</t>
  </si>
  <si>
    <t>Cladocera</t>
  </si>
  <si>
    <t>Macrothricidae</t>
  </si>
  <si>
    <t>Acantholeberis</t>
  </si>
  <si>
    <t>FC</t>
  </si>
  <si>
    <t>Acantholeberis curvirostris</t>
  </si>
  <si>
    <t>84151</t>
  </si>
  <si>
    <t>Daphniidae</t>
  </si>
  <si>
    <t>Ceriodaphnia</t>
  </si>
  <si>
    <t>Chydoridae</t>
  </si>
  <si>
    <t>Chydorus</t>
  </si>
  <si>
    <t>Daphnia</t>
  </si>
  <si>
    <t>Eurycercus</t>
  </si>
  <si>
    <t>Eurycercus lamellatus</t>
  </si>
  <si>
    <t>Ilyocryptus</t>
  </si>
  <si>
    <t>Ilyocryptus acutifrons</t>
  </si>
  <si>
    <t>84137</t>
  </si>
  <si>
    <t>Ilyocryptus sordidus</t>
  </si>
  <si>
    <t>Sididae</t>
  </si>
  <si>
    <t>Latona</t>
  </si>
  <si>
    <t>Latona setifera</t>
  </si>
  <si>
    <t>Latonopsis</t>
  </si>
  <si>
    <t>83869</t>
  </si>
  <si>
    <t>Ophryoxus</t>
  </si>
  <si>
    <t>684608</t>
  </si>
  <si>
    <t>Scapholeberis</t>
  </si>
  <si>
    <t>Sida</t>
  </si>
  <si>
    <t>Simocephalus</t>
  </si>
  <si>
    <t>Simocephalus exspinosus</t>
  </si>
  <si>
    <t>Simocephalus vetulus</t>
  </si>
  <si>
    <t>Copepoda</t>
  </si>
  <si>
    <t>Cyclopidae</t>
  </si>
  <si>
    <t>Cyclops</t>
  </si>
  <si>
    <t>Cyclops vernalis</t>
  </si>
  <si>
    <t>Cyclops viridis</t>
  </si>
  <si>
    <t>88681</t>
  </si>
  <si>
    <t>Diaptomidae</t>
  </si>
  <si>
    <t>Diaptomus</t>
  </si>
  <si>
    <t>Eucyclops</t>
  </si>
  <si>
    <t>88719</t>
  </si>
  <si>
    <t>Eucyclops agilis</t>
  </si>
  <si>
    <t>88720</t>
  </si>
  <si>
    <t>Macrocyclops</t>
  </si>
  <si>
    <t>88737</t>
  </si>
  <si>
    <t>Macrocyclops albidus</t>
  </si>
  <si>
    <t>Macrocyclops fuscus</t>
  </si>
  <si>
    <t>572734</t>
  </si>
  <si>
    <t>Mesocyclops</t>
  </si>
  <si>
    <t>88691</t>
  </si>
  <si>
    <t>Orthocyclops</t>
  </si>
  <si>
    <t>88755</t>
  </si>
  <si>
    <t>Orthocyclops modestus</t>
  </si>
  <si>
    <t>Paracyclops</t>
  </si>
  <si>
    <t>88731</t>
  </si>
  <si>
    <t>Ostracoda</t>
  </si>
  <si>
    <t>Cyprididae</t>
  </si>
  <si>
    <t>Candocypria</t>
  </si>
  <si>
    <t>181132</t>
  </si>
  <si>
    <t>Candona</t>
  </si>
  <si>
    <t>Cyclocypria</t>
  </si>
  <si>
    <t>84618</t>
  </si>
  <si>
    <t>Cypria</t>
  </si>
  <si>
    <t>84481</t>
  </si>
  <si>
    <t>Cypria maculata</t>
  </si>
  <si>
    <t>84494</t>
  </si>
  <si>
    <t>Cypricercus</t>
  </si>
  <si>
    <t>84462</t>
  </si>
  <si>
    <t>Cypridopsis</t>
  </si>
  <si>
    <t>85213</t>
  </si>
  <si>
    <t>Cyprinotus</t>
  </si>
  <si>
    <t>84568</t>
  </si>
  <si>
    <t>Eucypris</t>
  </si>
  <si>
    <t>Eucypris virens</t>
  </si>
  <si>
    <t>84476</t>
  </si>
  <si>
    <t>Herpetocypris</t>
  </si>
  <si>
    <t>84591</t>
  </si>
  <si>
    <t>Paracandona</t>
  </si>
  <si>
    <t>85208</t>
  </si>
  <si>
    <t>Physocypria</t>
  </si>
  <si>
    <t>84565</t>
  </si>
  <si>
    <t>RBP</t>
  </si>
  <si>
    <t>Asellus</t>
  </si>
  <si>
    <t>CG, SH</t>
  </si>
  <si>
    <t>EPA 3, 5;  1</t>
  </si>
  <si>
    <t>EPA 3</t>
  </si>
  <si>
    <t>f</t>
  </si>
  <si>
    <t>Asellus communis</t>
  </si>
  <si>
    <t>CG, P</t>
  </si>
  <si>
    <t>EPA 3, 5</t>
  </si>
  <si>
    <t>Asellus forbesi</t>
  </si>
  <si>
    <t>EPA 4</t>
  </si>
  <si>
    <t>Asellus nodulus</t>
  </si>
  <si>
    <t>h</t>
  </si>
  <si>
    <t>Asellus obtusus</t>
  </si>
  <si>
    <t>dz</t>
  </si>
  <si>
    <t>Asellus racovitzai racovitzai</t>
  </si>
  <si>
    <t>EPA 2</t>
  </si>
  <si>
    <t>g</t>
  </si>
  <si>
    <t>Caecidotea</t>
  </si>
  <si>
    <t>CG</t>
  </si>
  <si>
    <t>92686</t>
  </si>
  <si>
    <t>Caecidotea forbesi</t>
  </si>
  <si>
    <t>92701</t>
  </si>
  <si>
    <t>Caecidotea nodulus</t>
  </si>
  <si>
    <t>Caecidotea racovitzai</t>
  </si>
  <si>
    <t>Cylisticus</t>
  </si>
  <si>
    <t>Lirceus</t>
  </si>
  <si>
    <t>92666</t>
  </si>
  <si>
    <t>Lirceus brachyurus</t>
  </si>
  <si>
    <t>Lirceus fontinalis</t>
  </si>
  <si>
    <t>Lirceus lineatus</t>
  </si>
  <si>
    <t>Oniscidae</t>
  </si>
  <si>
    <t>93262</t>
  </si>
  <si>
    <t>Oniscus</t>
  </si>
  <si>
    <t>Oniscus asellus</t>
  </si>
  <si>
    <t>Porcellionides</t>
  </si>
  <si>
    <t>Crangonyx</t>
  </si>
  <si>
    <t>95081</t>
  </si>
  <si>
    <t>Crangonyx pseudogracilis</t>
  </si>
  <si>
    <t>Crangonyx richmondensis</t>
  </si>
  <si>
    <t>Crangonyx serratus</t>
  </si>
  <si>
    <t>MACS</t>
  </si>
  <si>
    <t>Crangonyx shoemakeri</t>
  </si>
  <si>
    <t>Gammarus</t>
  </si>
  <si>
    <t>93773</t>
  </si>
  <si>
    <t>Gammarus fasciatus</t>
  </si>
  <si>
    <t>93780</t>
  </si>
  <si>
    <t>Hyalellidae</t>
  </si>
  <si>
    <t>Hyalella</t>
  </si>
  <si>
    <t>SH</t>
  </si>
  <si>
    <t>EPA 1</t>
  </si>
  <si>
    <t>94025</t>
  </si>
  <si>
    <t>Hyalella azteca</t>
  </si>
  <si>
    <t>94026</t>
  </si>
  <si>
    <t>Synurella</t>
  </si>
  <si>
    <t>2</t>
  </si>
  <si>
    <t>Synurella chamberlaini</t>
  </si>
  <si>
    <t>RBP II</t>
  </si>
  <si>
    <t>97336</t>
  </si>
  <si>
    <t>Cambarus</t>
  </si>
  <si>
    <t>Cambarus bartonii</t>
  </si>
  <si>
    <t>i</t>
  </si>
  <si>
    <t>Cambarus bartonii bartonii</t>
  </si>
  <si>
    <t>Orconectes</t>
  </si>
  <si>
    <t>Orconectes limosus</t>
  </si>
  <si>
    <t>Orconectes menae</t>
  </si>
  <si>
    <t>97461</t>
  </si>
  <si>
    <t>Palaemonidae</t>
  </si>
  <si>
    <t>Palaemonetes</t>
  </si>
  <si>
    <t>Palaemonetes paludosus</t>
  </si>
  <si>
    <t>Procambarus</t>
  </si>
  <si>
    <t>Procambarus acutus</t>
  </si>
  <si>
    <t>be</t>
  </si>
  <si>
    <t>Procambarus acutus acutus</t>
  </si>
  <si>
    <t>Hydracarina</t>
  </si>
  <si>
    <t>Arrenuridae</t>
  </si>
  <si>
    <t>Arrenurus</t>
  </si>
  <si>
    <t>Hygrobatidae</t>
  </si>
  <si>
    <t>Atractides</t>
  </si>
  <si>
    <t>Axonopsidae</t>
  </si>
  <si>
    <t>Aturus</t>
  </si>
  <si>
    <t>Brachypoda</t>
  </si>
  <si>
    <t>Lebertiidae</t>
  </si>
  <si>
    <t>Frontipoda</t>
  </si>
  <si>
    <t>Frontipoda americana</t>
  </si>
  <si>
    <t>83241</t>
  </si>
  <si>
    <t>Pionidae</t>
  </si>
  <si>
    <t>Hydrochoreutes</t>
  </si>
  <si>
    <t>83342</t>
  </si>
  <si>
    <t>Hydrochoreutes ungulatus</t>
  </si>
  <si>
    <t>Hydryphantidae</t>
  </si>
  <si>
    <t>Hydryphantes</t>
  </si>
  <si>
    <t>Hygrobates</t>
  </si>
  <si>
    <t>Unionicolidae</t>
  </si>
  <si>
    <t>Koenikea</t>
  </si>
  <si>
    <t>Lebertia</t>
  </si>
  <si>
    <t>Limnesiidae</t>
  </si>
  <si>
    <t>Limnesia</t>
  </si>
  <si>
    <t>Neumania</t>
  </si>
  <si>
    <t>Piona</t>
  </si>
  <si>
    <t>Sperchonidae</t>
  </si>
  <si>
    <t>Sperchon</t>
  </si>
  <si>
    <t>Sperchonopsis</t>
  </si>
  <si>
    <t>Sperchonopsis verrucosa</t>
  </si>
  <si>
    <t>Tyrrellia</t>
  </si>
  <si>
    <t>Unionicola</t>
  </si>
  <si>
    <t>Wandesia</t>
  </si>
  <si>
    <t>Diplopoda</t>
  </si>
  <si>
    <t>Cambala</t>
  </si>
  <si>
    <t>569169</t>
  </si>
  <si>
    <t>Cambala annulata</t>
  </si>
  <si>
    <t>569929</t>
  </si>
  <si>
    <t>Collembola</t>
  </si>
  <si>
    <t>Isotomidae</t>
  </si>
  <si>
    <t>Archisotoma</t>
  </si>
  <si>
    <t>EPA 6</t>
  </si>
  <si>
    <t>sk</t>
  </si>
  <si>
    <t>Poduridae</t>
  </si>
  <si>
    <t>Anurida</t>
  </si>
  <si>
    <t>sp</t>
  </si>
  <si>
    <t>100181</t>
  </si>
  <si>
    <t>Entomobryidae</t>
  </si>
  <si>
    <t>Cyphoderus</t>
  </si>
  <si>
    <t>Entomobrya</t>
  </si>
  <si>
    <t>Folsomia</t>
  </si>
  <si>
    <t>99395</t>
  </si>
  <si>
    <t>Hypogastruridae</t>
  </si>
  <si>
    <t>Hoffia</t>
  </si>
  <si>
    <t>bz</t>
  </si>
  <si>
    <t>Hypogastrura</t>
  </si>
  <si>
    <t>99918</t>
  </si>
  <si>
    <t>99917</t>
  </si>
  <si>
    <t>Isotoma</t>
  </si>
  <si>
    <t>Isotomurus</t>
  </si>
  <si>
    <t>Isotomurus palustris</t>
  </si>
  <si>
    <t>Neanura</t>
  </si>
  <si>
    <t>Onychiuridae</t>
  </si>
  <si>
    <t>99546</t>
  </si>
  <si>
    <t>Onychiurus</t>
  </si>
  <si>
    <t>Podura</t>
  </si>
  <si>
    <t>Podura aquatica</t>
  </si>
  <si>
    <t>Tafallia</t>
  </si>
  <si>
    <t>100109</t>
  </si>
  <si>
    <t>Tomocerus</t>
  </si>
  <si>
    <t>cg</t>
  </si>
  <si>
    <t>Tullbergia</t>
  </si>
  <si>
    <t>Xenylla</t>
  </si>
  <si>
    <t>100077</t>
  </si>
  <si>
    <t>Acroneuria</t>
  </si>
  <si>
    <t>*</t>
  </si>
  <si>
    <t>EPA 1, 3, 5</t>
  </si>
  <si>
    <t>cn</t>
  </si>
  <si>
    <t>3</t>
  </si>
  <si>
    <t>102917</t>
  </si>
  <si>
    <t>Acroneuria abnormis</t>
  </si>
  <si>
    <t>102919</t>
  </si>
  <si>
    <t>Acroneuria carolinensis</t>
  </si>
  <si>
    <t>102922</t>
  </si>
  <si>
    <t>Acroneuria lycorias</t>
  </si>
  <si>
    <t>Acroneuria perplexa</t>
  </si>
  <si>
    <t>Acroneuria xanthenes</t>
  </si>
  <si>
    <t>ag</t>
  </si>
  <si>
    <t>Agnetina</t>
  </si>
  <si>
    <t>102975</t>
  </si>
  <si>
    <t>Agnetina capitata</t>
  </si>
  <si>
    <t>b</t>
  </si>
  <si>
    <t>102979</t>
  </si>
  <si>
    <t>Capniidae</t>
  </si>
  <si>
    <t>Allocapnia</t>
  </si>
  <si>
    <t>102644</t>
  </si>
  <si>
    <t>Alloperla</t>
  </si>
  <si>
    <t>EPA 1, 3</t>
  </si>
  <si>
    <t>103203</t>
  </si>
  <si>
    <t>Amphinemura</t>
  </si>
  <si>
    <t>102540</t>
  </si>
  <si>
    <t>Amphinemura delosa</t>
  </si>
  <si>
    <t>102541</t>
  </si>
  <si>
    <t>Brachyptera</t>
  </si>
  <si>
    <t>Capnia</t>
  </si>
  <si>
    <t>sp, cn</t>
  </si>
  <si>
    <t>102643</t>
  </si>
  <si>
    <t>Eccoptura</t>
  </si>
  <si>
    <t>Eccoptura xanthenes</t>
  </si>
  <si>
    <t>102940</t>
  </si>
  <si>
    <t>Haploperla</t>
  </si>
  <si>
    <t>SC</t>
  </si>
  <si>
    <t>ap</t>
  </si>
  <si>
    <t>Haploperla brevis</t>
  </si>
  <si>
    <t>ao</t>
  </si>
  <si>
    <t>103263</t>
  </si>
  <si>
    <t>Isogenus</t>
  </si>
  <si>
    <t>Isoperla</t>
  </si>
  <si>
    <t>EPA 3, 4</t>
  </si>
  <si>
    <t>cn, sp</t>
  </si>
  <si>
    <t>102995</t>
  </si>
  <si>
    <t>Isoperla holochlora</t>
  </si>
  <si>
    <t>Isoperla marlynia</t>
  </si>
  <si>
    <t>Isoperla similis</t>
  </si>
  <si>
    <t>Isoperla transmarina</t>
  </si>
  <si>
    <t>Leuctridae</t>
  </si>
  <si>
    <t>Leuctra</t>
  </si>
  <si>
    <t>102844</t>
  </si>
  <si>
    <t>Leuctra tenuis</t>
  </si>
  <si>
    <t>Leuctra truncata</t>
  </si>
  <si>
    <t>Coelenterata</t>
  </si>
  <si>
    <t>Hydridae</t>
  </si>
  <si>
    <t>Cordylophora</t>
  </si>
  <si>
    <t>48892</t>
  </si>
  <si>
    <t>Cordylophora lacustris</t>
  </si>
  <si>
    <t>Hydra</t>
  </si>
  <si>
    <t>50845</t>
  </si>
  <si>
    <t>Turbellaria</t>
  </si>
  <si>
    <t>Cura</t>
  </si>
  <si>
    <t>Cura foremanii</t>
  </si>
  <si>
    <t>54554</t>
  </si>
  <si>
    <t>Dendrocoelidae</t>
  </si>
  <si>
    <t>54469</t>
  </si>
  <si>
    <t>Dugesia</t>
  </si>
  <si>
    <t>54503</t>
  </si>
  <si>
    <t>Dugesia tigrina</t>
  </si>
  <si>
    <t>54504</t>
  </si>
  <si>
    <t>Prorhynchidae</t>
  </si>
  <si>
    <t>Geocentrophora</t>
  </si>
  <si>
    <t>54276</t>
  </si>
  <si>
    <t>Geocentrophora baltica</t>
  </si>
  <si>
    <t>Plagiostomidae</t>
  </si>
  <si>
    <t>Hydrolimax</t>
  </si>
  <si>
    <t>54464</t>
  </si>
  <si>
    <t>Hydrolimax grisea</t>
  </si>
  <si>
    <t>54465</t>
  </si>
  <si>
    <t>Hymanella</t>
  </si>
  <si>
    <t>Hymanella retenuova</t>
  </si>
  <si>
    <t>54534</t>
  </si>
  <si>
    <t>Macrostomidae</t>
  </si>
  <si>
    <t>54000</t>
  </si>
  <si>
    <t>Macrostomum</t>
  </si>
  <si>
    <t>54001</t>
  </si>
  <si>
    <t>Typhloplanoidae</t>
  </si>
  <si>
    <t>Mesostoma</t>
  </si>
  <si>
    <t>54308</t>
  </si>
  <si>
    <t>Phagocata</t>
  </si>
  <si>
    <t>54535</t>
  </si>
  <si>
    <t>Phagocata gracilis</t>
  </si>
  <si>
    <t>Phagocata morgani</t>
  </si>
  <si>
    <t>NABS</t>
  </si>
  <si>
    <t>Phagocata morgani morgani</t>
  </si>
  <si>
    <t>Phagocata velata</t>
  </si>
  <si>
    <t>Phagocata woodworthi</t>
  </si>
  <si>
    <t>54463</t>
  </si>
  <si>
    <t>Planaria dactyligera</t>
  </si>
  <si>
    <t>54529</t>
  </si>
  <si>
    <t>54502</t>
  </si>
  <si>
    <t>Procotyla</t>
  </si>
  <si>
    <t>Procotyla fluviatilis</t>
  </si>
  <si>
    <t>Nemertea</t>
  </si>
  <si>
    <t>Tetrastemmatidae</t>
  </si>
  <si>
    <t>Prostoma</t>
  </si>
  <si>
    <t>57577</t>
  </si>
  <si>
    <t>Prostoma graecense</t>
  </si>
  <si>
    <t>br</t>
  </si>
  <si>
    <t>57578</t>
  </si>
  <si>
    <t>Prostoma rubrum</t>
  </si>
  <si>
    <t>dk</t>
  </si>
  <si>
    <t>Nematoda</t>
  </si>
  <si>
    <t>59490</t>
  </si>
  <si>
    <t>Aeolosomatidae</t>
  </si>
  <si>
    <t>Aeolosoma</t>
  </si>
  <si>
    <t>Aeolosoma headleyi</t>
  </si>
  <si>
    <t>Aeolosoma tenebrarum</t>
  </si>
  <si>
    <t>Naididae</t>
  </si>
  <si>
    <t>Arcteonais</t>
  </si>
  <si>
    <t>Arcteonais lomondi</t>
  </si>
  <si>
    <t>Tubificidae</t>
  </si>
  <si>
    <t>Aulodrilus</t>
  </si>
  <si>
    <t>68679</t>
  </si>
  <si>
    <t>Aulodrilus pigueti</t>
  </si>
  <si>
    <t>Aulodrilus pluriseta</t>
  </si>
  <si>
    <t>68684</t>
  </si>
  <si>
    <t>Branchiobdellidae</t>
  </si>
  <si>
    <t>Branchiobdellida</t>
  </si>
  <si>
    <t>Branchiura</t>
  </si>
  <si>
    <t>Branchiura sowerbyi</t>
  </si>
  <si>
    <t>68621</t>
  </si>
  <si>
    <t>Cambarincola</t>
  </si>
  <si>
    <t>Cambarincola macrodontus</t>
  </si>
  <si>
    <t>69260</t>
  </si>
  <si>
    <t>Chaetogaster</t>
  </si>
  <si>
    <t>68934</t>
  </si>
  <si>
    <t>Chaetogaster cristallinus</t>
  </si>
  <si>
    <t>s</t>
  </si>
  <si>
    <t>Chaetogaster diaphanus</t>
  </si>
  <si>
    <t>Chaetogaster diastrophus</t>
  </si>
  <si>
    <t>Chaetogaster limnaei</t>
  </si>
  <si>
    <t>Dero</t>
  </si>
  <si>
    <t>EPA 3, 7</t>
  </si>
  <si>
    <t>68898</t>
  </si>
  <si>
    <t>Dero flabelliger</t>
  </si>
  <si>
    <t>Dero furcata</t>
  </si>
  <si>
    <t>Dero nivea</t>
  </si>
  <si>
    <t>Dero obtusa</t>
  </si>
  <si>
    <t>ae</t>
  </si>
  <si>
    <t>Dero vaga</t>
  </si>
  <si>
    <t>Lumbriculidae</t>
  </si>
  <si>
    <t>Eclipidrilus</t>
  </si>
  <si>
    <t>Fol</t>
  </si>
  <si>
    <t>68473</t>
  </si>
  <si>
    <t>Enchytraeidae</t>
  </si>
  <si>
    <t>68510</t>
  </si>
  <si>
    <t>Haplotaxidae</t>
  </si>
  <si>
    <t>Haplotaxis</t>
  </si>
  <si>
    <t>68505</t>
  </si>
  <si>
    <t>Haplotaxis gordioides</t>
  </si>
  <si>
    <t>Limnodrilus</t>
  </si>
  <si>
    <t>68638</t>
  </si>
  <si>
    <t>Limnodrilus claparedianus</t>
  </si>
  <si>
    <t>Limnodrilus hoffmeisteri</t>
  </si>
  <si>
    <t>Limnodrilus udekemianus</t>
  </si>
  <si>
    <t>Lumbricidae</t>
  </si>
  <si>
    <t>69165</t>
  </si>
  <si>
    <t>Lumbricillus</t>
  </si>
  <si>
    <t>68511</t>
  </si>
  <si>
    <t>68840</t>
  </si>
  <si>
    <t>Lumbriculus</t>
  </si>
  <si>
    <t>68441</t>
  </si>
  <si>
    <t>Lumbriculus variegatus</t>
  </si>
  <si>
    <t>68444</t>
  </si>
  <si>
    <t>Monopylephorus</t>
  </si>
  <si>
    <t>Monopylephorus helobius</t>
  </si>
  <si>
    <t>68854</t>
  </si>
  <si>
    <t>Nais</t>
  </si>
  <si>
    <t>68946</t>
  </si>
  <si>
    <t>Nais behningi</t>
  </si>
  <si>
    <t>Nais bretscheri</t>
  </si>
  <si>
    <t>Nais communis</t>
  </si>
  <si>
    <t>68950</t>
  </si>
  <si>
    <t>Nais elinguis</t>
  </si>
  <si>
    <t>Nais pardalis</t>
  </si>
  <si>
    <t>Nais pseudobtusa</t>
  </si>
  <si>
    <t>Nais simplex</t>
  </si>
  <si>
    <t>68957</t>
  </si>
  <si>
    <t>Nais variabilis</t>
  </si>
  <si>
    <t>Ophidonais</t>
  </si>
  <si>
    <t>Ophidonais serpentina</t>
  </si>
  <si>
    <t>68996</t>
  </si>
  <si>
    <t>Peloscolex</t>
  </si>
  <si>
    <t>Peloscolex ferox</t>
  </si>
  <si>
    <t>bh</t>
  </si>
  <si>
    <t>68609</t>
  </si>
  <si>
    <t>Pristina</t>
  </si>
  <si>
    <t>68876</t>
  </si>
  <si>
    <t>Pristina breviseta</t>
  </si>
  <si>
    <t>Pristina foreli</t>
  </si>
  <si>
    <t>bp</t>
  </si>
  <si>
    <t>Pristina schmiederi</t>
  </si>
  <si>
    <t>Quistradrilus</t>
  </si>
  <si>
    <t>Quistradrilus multisetosus</t>
  </si>
  <si>
    <t>68794</t>
  </si>
  <si>
    <t>Rhyacodrilus</t>
  </si>
  <si>
    <t>Slavina</t>
  </si>
  <si>
    <t>Slavina appendiculata</t>
  </si>
  <si>
    <t>68856</t>
  </si>
  <si>
    <t>Specaria</t>
  </si>
  <si>
    <t>Specaria josinae</t>
  </si>
  <si>
    <t>Spirosperma</t>
  </si>
  <si>
    <t>Spirosperma beetoni</t>
  </si>
  <si>
    <t>68783</t>
  </si>
  <si>
    <t>Spirosperma ferox</t>
  </si>
  <si>
    <t>Spirosperma nikolskyi</t>
  </si>
  <si>
    <t>Stylaria</t>
  </si>
  <si>
    <t>68871</t>
  </si>
  <si>
    <t>Stylaria fossularis</t>
  </si>
  <si>
    <t>bx</t>
  </si>
  <si>
    <t>Stylaria lacustris</t>
  </si>
  <si>
    <t>68872</t>
  </si>
  <si>
    <t>Telmatodrilus</t>
  </si>
  <si>
    <t>Telmatodrilus vejdovskyi</t>
  </si>
  <si>
    <t>Tubifex</t>
  </si>
  <si>
    <t>EPA 3,5</t>
  </si>
  <si>
    <t>68622</t>
  </si>
  <si>
    <t>Tubifex tubifex</t>
  </si>
  <si>
    <t>68623</t>
  </si>
  <si>
    <t>68585</t>
  </si>
  <si>
    <t>Vejdovskyella</t>
  </si>
  <si>
    <t>Vejdovskyella comata</t>
  </si>
  <si>
    <t>Actinobdella</t>
  </si>
  <si>
    <t>Alboglossiphonia</t>
  </si>
  <si>
    <t>Alboglossiphonia heteroclita</t>
  </si>
  <si>
    <t>Batracobdella</t>
  </si>
  <si>
    <t>Batracobdella paludosa</t>
  </si>
  <si>
    <t>Batracobdella phalera</t>
  </si>
  <si>
    <t>Batracobdella picta</t>
  </si>
  <si>
    <t>Erpobdellidae</t>
  </si>
  <si>
    <t>Dina</t>
  </si>
  <si>
    <t>Dina anoculata</t>
  </si>
  <si>
    <t>Erpobdella</t>
  </si>
  <si>
    <t>Erpobdella punctata</t>
  </si>
  <si>
    <t>69438</t>
  </si>
  <si>
    <t>Glossiphonia</t>
  </si>
  <si>
    <t>Hirudinidae</t>
  </si>
  <si>
    <t>Haemopis</t>
  </si>
  <si>
    <t>Haemopis marmorata</t>
  </si>
  <si>
    <t>Helobdella</t>
  </si>
  <si>
    <t>69396</t>
  </si>
  <si>
    <t>Helobdella fusca</t>
  </si>
  <si>
    <t>Helobdella stagnalis</t>
  </si>
  <si>
    <t>69398</t>
  </si>
  <si>
    <t>Helobdella triserialis</t>
  </si>
  <si>
    <t>Marvinmeyeria</t>
  </si>
  <si>
    <t>69382</t>
  </si>
  <si>
    <t>Mooreobdella</t>
  </si>
  <si>
    <t>69449</t>
  </si>
  <si>
    <t>Mooreobdella fervida</t>
  </si>
  <si>
    <t>Mooreobdella melanostoma</t>
  </si>
  <si>
    <t>Mooreobdella microstoma</t>
  </si>
  <si>
    <t>Mooreobdella tetragon</t>
  </si>
  <si>
    <t>Piscicolidae</t>
  </si>
  <si>
    <t>Myzobdella</t>
  </si>
  <si>
    <t>Myzobdella lugubris</t>
  </si>
  <si>
    <t>Nephelopsis</t>
  </si>
  <si>
    <t>Nephelopsis obscura</t>
  </si>
  <si>
    <t>Oligobdella</t>
  </si>
  <si>
    <t>Oligobdella biannulata</t>
  </si>
  <si>
    <t>Piscicola</t>
  </si>
  <si>
    <t>Piscicola punctata</t>
  </si>
  <si>
    <t>69296</t>
  </si>
  <si>
    <t>Nemoura</t>
  </si>
  <si>
    <t>102526</t>
  </si>
  <si>
    <t>Nemoura rotunda</t>
  </si>
  <si>
    <t>Nemoura trispinosa</t>
  </si>
  <si>
    <t>102517</t>
  </si>
  <si>
    <t>Neoperla</t>
  </si>
  <si>
    <t>EPA 6, 3</t>
  </si>
  <si>
    <t>Neoperla clymene</t>
  </si>
  <si>
    <t>Oemopteryx</t>
  </si>
  <si>
    <t>102830</t>
  </si>
  <si>
    <t>Oemopteryx glacialis</t>
  </si>
  <si>
    <t>bb</t>
  </si>
  <si>
    <t>102831</t>
  </si>
  <si>
    <t>Ostrocerca</t>
  </si>
  <si>
    <t>102622</t>
  </si>
  <si>
    <t>Ostrocerca truncata</t>
  </si>
  <si>
    <t>bg</t>
  </si>
  <si>
    <t>Paracapnia</t>
  </si>
  <si>
    <t>Paracapnia angulata</t>
  </si>
  <si>
    <t>Paracapnia opis</t>
  </si>
  <si>
    <t>Paragnetina</t>
  </si>
  <si>
    <t>Paragnetina immarginata</t>
  </si>
  <si>
    <t>102966</t>
  </si>
  <si>
    <t>Paragnetina media</t>
  </si>
  <si>
    <t>102968</t>
  </si>
  <si>
    <t>Paraleuctra</t>
  </si>
  <si>
    <t>Paraleuctra sara</t>
  </si>
  <si>
    <t>Peltoperlidae</t>
  </si>
  <si>
    <t>Peltoperla</t>
  </si>
  <si>
    <t>102489</t>
  </si>
  <si>
    <t>Perlesta</t>
  </si>
  <si>
    <t>103251</t>
  </si>
  <si>
    <t>Perlesta placida</t>
  </si>
  <si>
    <t>103253</t>
  </si>
  <si>
    <t>102488</t>
  </si>
  <si>
    <t>Perlinella</t>
  </si>
  <si>
    <t>103244</t>
  </si>
  <si>
    <t>Perlinella drymo</t>
  </si>
  <si>
    <t>Perlinella ephyre</t>
  </si>
  <si>
    <t>102994</t>
  </si>
  <si>
    <t>Phasganophora</t>
  </si>
  <si>
    <t>102978</t>
  </si>
  <si>
    <t>Phasganophora capitata</t>
  </si>
  <si>
    <t>Prostoia</t>
  </si>
  <si>
    <t>Prostoia similis</t>
  </si>
  <si>
    <t>bq</t>
  </si>
  <si>
    <t>Pteronarcyidae</t>
  </si>
  <si>
    <t>Pteronarcys</t>
  </si>
  <si>
    <t>102471</t>
  </si>
  <si>
    <t>Strophopteryx</t>
  </si>
  <si>
    <t>Strophopteryx fasciata</t>
  </si>
  <si>
    <t>bw</t>
  </si>
  <si>
    <t>102809</t>
  </si>
  <si>
    <t>Taenionema</t>
  </si>
  <si>
    <t>Taeniopteryx</t>
  </si>
  <si>
    <t>EPA 6, 3, 5</t>
  </si>
  <si>
    <t>102789</t>
  </si>
  <si>
    <t>Taeniopteryx burksi</t>
  </si>
  <si>
    <t>102791</t>
  </si>
  <si>
    <t>Taeniopteryx nivalis</t>
  </si>
  <si>
    <t>102798</t>
  </si>
  <si>
    <t>Taeniopteryx parvula</t>
  </si>
  <si>
    <t>Plauditus</t>
  </si>
  <si>
    <t>Tallaperla</t>
  </si>
  <si>
    <t>102500</t>
  </si>
  <si>
    <t>Acentrella</t>
  </si>
  <si>
    <t>CG, SC</t>
  </si>
  <si>
    <t>EPA 1;  3, 5</t>
  </si>
  <si>
    <t>sw</t>
  </si>
  <si>
    <t>100801</t>
  </si>
  <si>
    <t>Acentrella carolina</t>
  </si>
  <si>
    <t>cm</t>
  </si>
  <si>
    <t>Ameletidae</t>
  </si>
  <si>
    <t>Ameletus</t>
  </si>
  <si>
    <t>sw, cn</t>
  </si>
  <si>
    <t>100996</t>
  </si>
  <si>
    <t>Potamanthidae</t>
  </si>
  <si>
    <t>Anthopotamus</t>
  </si>
  <si>
    <t>Arthroplea</t>
  </si>
  <si>
    <t>Attenella</t>
  </si>
  <si>
    <t>101338</t>
  </si>
  <si>
    <t>Attenella attenuata</t>
  </si>
  <si>
    <t>EPA 1;  3</t>
  </si>
  <si>
    <t>sw, cb, cn</t>
  </si>
  <si>
    <t>100755</t>
  </si>
  <si>
    <t>Baetis</t>
  </si>
  <si>
    <t>100800</t>
  </si>
  <si>
    <t>Baetis armillatus</t>
  </si>
  <si>
    <t>Baetis brunneicolor</t>
  </si>
  <si>
    <t>Baetis cinctutus</t>
  </si>
  <si>
    <t>cq</t>
  </si>
  <si>
    <t>Baetis dubius</t>
  </si>
  <si>
    <t>ch</t>
  </si>
  <si>
    <t>Baetis flavistriga</t>
  </si>
  <si>
    <t>Baetis hageni</t>
  </si>
  <si>
    <t>Baetis intercalaris</t>
  </si>
  <si>
    <t>Baetis propinquus</t>
  </si>
  <si>
    <t>Baetis punctiventris</t>
  </si>
  <si>
    <t>Baetis pygmaeus</t>
  </si>
  <si>
    <t>Baetis tricaudatus</t>
  </si>
  <si>
    <t>Baetis vagans</t>
  </si>
  <si>
    <t>Baetiscidae</t>
  </si>
  <si>
    <t>Baetisca</t>
  </si>
  <si>
    <t>Baetisca carolina</t>
  </si>
  <si>
    <t>Baetisca obesa</t>
  </si>
  <si>
    <t>101493</t>
  </si>
  <si>
    <t>Brachycercus</t>
  </si>
  <si>
    <t>Caenis</t>
  </si>
  <si>
    <t>101478</t>
  </si>
  <si>
    <t>Callibaetis</t>
  </si>
  <si>
    <t>sw, cb</t>
  </si>
  <si>
    <t>Centroptilum</t>
  </si>
  <si>
    <t>100873</t>
  </si>
  <si>
    <t>Leptophlebiidae</t>
  </si>
  <si>
    <t>Choroterpes</t>
  </si>
  <si>
    <t>Cinygmula</t>
  </si>
  <si>
    <t>100557</t>
  </si>
  <si>
    <t>Cloeon</t>
  </si>
  <si>
    <t>w</t>
  </si>
  <si>
    <t>Dannella</t>
  </si>
  <si>
    <t>EPA 3;  1</t>
  </si>
  <si>
    <t>Dannella lita</t>
  </si>
  <si>
    <t>di</t>
  </si>
  <si>
    <t>Dannella simplex</t>
  </si>
  <si>
    <t>EPA 2, 3</t>
  </si>
  <si>
    <t>dj</t>
  </si>
  <si>
    <t>Drunella</t>
  </si>
  <si>
    <t>101365</t>
  </si>
  <si>
    <t>Drunella cornuta</t>
  </si>
  <si>
    <t>af</t>
  </si>
  <si>
    <t>609595</t>
  </si>
  <si>
    <t>Drunella cornutella</t>
  </si>
  <si>
    <t>101366</t>
  </si>
  <si>
    <t>Drunella lata</t>
  </si>
  <si>
    <t>ah</t>
  </si>
  <si>
    <t>Drunella walkeri</t>
  </si>
  <si>
    <t>al</t>
  </si>
  <si>
    <t>Epeorus</t>
  </si>
  <si>
    <t>EPA 1, 5;  3</t>
  </si>
  <si>
    <t>100626</t>
  </si>
  <si>
    <t>Ephemeridae</t>
  </si>
  <si>
    <t>Ephemera</t>
  </si>
  <si>
    <t>EPA 1, 5</t>
  </si>
  <si>
    <t>101526</t>
  </si>
  <si>
    <t>Ephemerella</t>
  </si>
  <si>
    <t>cn, sw</t>
  </si>
  <si>
    <t>Ephemerella aurivillii</t>
  </si>
  <si>
    <t>Ephemerella deficiens</t>
  </si>
  <si>
    <t>bv</t>
  </si>
  <si>
    <t>Ephemerella dorothea</t>
  </si>
  <si>
    <t>101272</t>
  </si>
  <si>
    <t>Ephemerella invaria</t>
  </si>
  <si>
    <t>101282</t>
  </si>
  <si>
    <t>Ephemerella lata</t>
  </si>
  <si>
    <t>Ephemerella needhami</t>
  </si>
  <si>
    <t>Ephemerella rotunda</t>
  </si>
  <si>
    <t>101296</t>
  </si>
  <si>
    <t>Ephemerella septentrionalis</t>
  </si>
  <si>
    <t>Ephemerella serrata</t>
  </si>
  <si>
    <t>ai</t>
  </si>
  <si>
    <t>Ephemerella serratoides</t>
  </si>
  <si>
    <t>aj</t>
  </si>
  <si>
    <t>Ephemerella spiculosa</t>
  </si>
  <si>
    <t>ak</t>
  </si>
  <si>
    <t>Ephemerella subvaria</t>
  </si>
  <si>
    <t>101241</t>
  </si>
  <si>
    <t>Ephemerella walkeri</t>
  </si>
  <si>
    <t>cn, sw, sp</t>
  </si>
  <si>
    <t>101232</t>
  </si>
  <si>
    <t>Polymitarcyidae</t>
  </si>
  <si>
    <t>Ephoron</t>
  </si>
  <si>
    <t>EPA 6, 5</t>
  </si>
  <si>
    <t>Eurylophella</t>
  </si>
  <si>
    <t>101324</t>
  </si>
  <si>
    <t>Eurylophella bicolor</t>
  </si>
  <si>
    <t>101334</t>
  </si>
  <si>
    <t>Eurylophella funeralis</t>
  </si>
  <si>
    <t>Eurylophella temporalis</t>
  </si>
  <si>
    <t>an</t>
  </si>
  <si>
    <t>101326</t>
  </si>
  <si>
    <t>Habrophlebia</t>
  </si>
  <si>
    <t>101183</t>
  </si>
  <si>
    <t>Habrophlebia vibrans</t>
  </si>
  <si>
    <t>Habrophlebiodes</t>
  </si>
  <si>
    <t>sw, cn, sp</t>
  </si>
  <si>
    <t>Habrophlebiodes americana</t>
  </si>
  <si>
    <t>Heptagenia</t>
  </si>
  <si>
    <t>100602</t>
  </si>
  <si>
    <t>Heptagenia lucidipennis</t>
  </si>
  <si>
    <t>100504</t>
  </si>
  <si>
    <t>Heterocloeon</t>
  </si>
  <si>
    <t>100794</t>
  </si>
  <si>
    <t>Hexagenia</t>
  </si>
  <si>
    <t>Isonychiidae</t>
  </si>
  <si>
    <t>Isonychia</t>
  </si>
  <si>
    <t>101041</t>
  </si>
  <si>
    <t>Isonychia arida</t>
  </si>
  <si>
    <t>Isonychia bicolor</t>
  </si>
  <si>
    <t>Isonychia sayi</t>
  </si>
  <si>
    <t>Leptophlebia</t>
  </si>
  <si>
    <t>101148</t>
  </si>
  <si>
    <t>101095</t>
  </si>
  <si>
    <t>Metretopodidae</t>
  </si>
  <si>
    <t>101078</t>
  </si>
  <si>
    <t>Neocloeon</t>
  </si>
  <si>
    <t>Nixe</t>
  </si>
  <si>
    <t>Nixe lucidipennis</t>
  </si>
  <si>
    <t>Oligoneuriidae</t>
  </si>
  <si>
    <t>FC, P</t>
  </si>
  <si>
    <t>cn, b</t>
  </si>
  <si>
    <t>Paracloeodes</t>
  </si>
  <si>
    <t>Paraleptophlebia</t>
  </si>
  <si>
    <t>101187</t>
  </si>
  <si>
    <t>Siphlonuridae</t>
  </si>
  <si>
    <t>Parameletus</t>
  </si>
  <si>
    <t>101509</t>
  </si>
  <si>
    <t>Potamanthus</t>
  </si>
  <si>
    <t>Pseudocloeon</t>
  </si>
  <si>
    <t>Pseudocloeon carolina</t>
  </si>
  <si>
    <t>Pseudocloeon cingulatum</t>
  </si>
  <si>
    <t>Pseudocloeon dubium</t>
  </si>
  <si>
    <t>Pseudocloeon parvulum</t>
  </si>
  <si>
    <t>Pseudocloeon punctiventris</t>
  </si>
  <si>
    <t>Serratella</t>
  </si>
  <si>
    <t>101395</t>
  </si>
  <si>
    <t>Serratella deficiens</t>
  </si>
  <si>
    <t>101396</t>
  </si>
  <si>
    <t>Serratella serrata</t>
  </si>
  <si>
    <t>Serratella serratoides</t>
  </si>
  <si>
    <t>Serratella spiculosa</t>
  </si>
  <si>
    <t>Siphlonurus</t>
  </si>
  <si>
    <t>100953</t>
  </si>
  <si>
    <t>Siphloplecton</t>
  </si>
  <si>
    <t>Stenacron</t>
  </si>
  <si>
    <t>100713</t>
  </si>
  <si>
    <t>Stenacron candidum</t>
  </si>
  <si>
    <t>100737</t>
  </si>
  <si>
    <t>Stenacron carolina</t>
  </si>
  <si>
    <t>Stenacron interpunctatum</t>
  </si>
  <si>
    <t>Stenacron minnetonka</t>
  </si>
  <si>
    <t>Stenacron pallidum</t>
  </si>
  <si>
    <t>Stenonema femoratum</t>
  </si>
  <si>
    <t>Stenonema</t>
  </si>
  <si>
    <t>Timpanoga</t>
  </si>
  <si>
    <t>Timpanoga lita</t>
  </si>
  <si>
    <t>698077</t>
  </si>
  <si>
    <t>Timpanoga simplex</t>
  </si>
  <si>
    <t>Tortopus</t>
  </si>
  <si>
    <t>Tricorythidae</t>
  </si>
  <si>
    <t>Leptohyphidae</t>
  </si>
  <si>
    <t>Tricorythodes</t>
  </si>
  <si>
    <t>101405</t>
  </si>
  <si>
    <t>Tricorythodes allectus</t>
  </si>
  <si>
    <t>101407</t>
  </si>
  <si>
    <t>Aeshna interrupta</t>
  </si>
  <si>
    <t>Aeshna</t>
  </si>
  <si>
    <t>cb</t>
  </si>
  <si>
    <t>Variable Darner</t>
  </si>
  <si>
    <t>Darners</t>
  </si>
  <si>
    <t>Agrion</t>
  </si>
  <si>
    <t>dc</t>
  </si>
  <si>
    <t>Broad-winged Damsels</t>
  </si>
  <si>
    <t>Amphiagrion</t>
  </si>
  <si>
    <t>Pond Damsels</t>
  </si>
  <si>
    <t>Anax</t>
  </si>
  <si>
    <t>Anax junius</t>
  </si>
  <si>
    <t>Common Green Darner</t>
  </si>
  <si>
    <t>Anomalagrion</t>
  </si>
  <si>
    <t>Argia</t>
  </si>
  <si>
    <t>Pond Damsels/Dancers</t>
  </si>
  <si>
    <t>102139</t>
  </si>
  <si>
    <t>Argia apicalis</t>
  </si>
  <si>
    <t>Blue-fronted Dancer</t>
  </si>
  <si>
    <t>Argia bipunctulata</t>
  </si>
  <si>
    <t>Seepage Dancer</t>
  </si>
  <si>
    <t>Argia moesta</t>
  </si>
  <si>
    <t>Powdered Dancer</t>
  </si>
  <si>
    <t>Argia violacea</t>
  </si>
  <si>
    <t>Basiaeschna</t>
  </si>
  <si>
    <t>Basiaeschna janata</t>
  </si>
  <si>
    <t>Springtime Darner</t>
  </si>
  <si>
    <t>Boyeria</t>
  </si>
  <si>
    <t>101645</t>
  </si>
  <si>
    <t>Boyeria vinosa</t>
  </si>
  <si>
    <t>Fawn Darner</t>
  </si>
  <si>
    <t>101647</t>
  </si>
  <si>
    <t>Calopteryx</t>
  </si>
  <si>
    <t>102052</t>
  </si>
  <si>
    <t>Chromagrion</t>
  </si>
  <si>
    <t>Chromagrion conditum</t>
  </si>
  <si>
    <t>Aurora Damsel</t>
  </si>
  <si>
    <t>102077</t>
  </si>
  <si>
    <t>Cordulegastridae</t>
  </si>
  <si>
    <t>Cordulegaster</t>
  </si>
  <si>
    <t>Spiketails</t>
  </si>
  <si>
    <t>Cordulegaster diastatops</t>
  </si>
  <si>
    <t>Delta-spotted Spiketail</t>
  </si>
  <si>
    <t>102028</t>
  </si>
  <si>
    <t>Cordulegaster maculata</t>
  </si>
  <si>
    <t>Twin-spotted Spiketail</t>
  </si>
  <si>
    <t>Corduliidae</t>
  </si>
  <si>
    <t>sp, cb</t>
  </si>
  <si>
    <t>Emeralds</t>
  </si>
  <si>
    <t>Macromiidae</t>
  </si>
  <si>
    <t>Didymops</t>
  </si>
  <si>
    <t>Cruisers</t>
  </si>
  <si>
    <t>Didymops transversa</t>
  </si>
  <si>
    <t>Stream Cruiser</t>
  </si>
  <si>
    <t>Dorocordulia</t>
  </si>
  <si>
    <t>Dromogomphus</t>
  </si>
  <si>
    <t>Clubtails</t>
  </si>
  <si>
    <t>101730</t>
  </si>
  <si>
    <t>Dromogomphus spinosus</t>
  </si>
  <si>
    <t>Black-shouldered Spinyleg</t>
  </si>
  <si>
    <t>Enallagma</t>
  </si>
  <si>
    <t>102102</t>
  </si>
  <si>
    <t>Enallagma exsulans</t>
  </si>
  <si>
    <t>Stream Bluet</t>
  </si>
  <si>
    <t>Enallagma hageni</t>
  </si>
  <si>
    <t>Hagen's Bluet</t>
  </si>
  <si>
    <t>Epicordulia</t>
  </si>
  <si>
    <t>Erythemis</t>
  </si>
  <si>
    <t>Skimmers</t>
  </si>
  <si>
    <t>Erythemis simplicicollis</t>
  </si>
  <si>
    <t>Eastern Pondhawk</t>
  </si>
  <si>
    <t>Erythrodiplax</t>
  </si>
  <si>
    <t>101664</t>
  </si>
  <si>
    <t>Gomphus</t>
  </si>
  <si>
    <t>cs</t>
  </si>
  <si>
    <t>101665</t>
  </si>
  <si>
    <t>Gomphus exilis</t>
  </si>
  <si>
    <t>ct</t>
  </si>
  <si>
    <t>Lancet Clubtail</t>
  </si>
  <si>
    <t>Gomphus spicatus</t>
  </si>
  <si>
    <t>cu</t>
  </si>
  <si>
    <t>Dusky Clubtail</t>
  </si>
  <si>
    <t>Gomphaeschna</t>
  </si>
  <si>
    <t>cb, cn</t>
  </si>
  <si>
    <t>Gomphaeschna furcillata</t>
  </si>
  <si>
    <t>Harlequin Darner</t>
  </si>
  <si>
    <t>101635</t>
  </si>
  <si>
    <t>Hagenius</t>
  </si>
  <si>
    <t>Hagenius brevistylus</t>
  </si>
  <si>
    <t>Dragonhunter</t>
  </si>
  <si>
    <t>Helocordulia</t>
  </si>
  <si>
    <t>Helocordulia uhleri</t>
  </si>
  <si>
    <t>Uhler's Sundragon</t>
  </si>
  <si>
    <t>Hetaerina</t>
  </si>
  <si>
    <t>102048</t>
  </si>
  <si>
    <t>Hetaerina americana</t>
  </si>
  <si>
    <t>American Rubyspot</t>
  </si>
  <si>
    <t>Ischnura</t>
  </si>
  <si>
    <t>102078</t>
  </si>
  <si>
    <t>Ischnura posita</t>
  </si>
  <si>
    <t>Fragile Forktail</t>
  </si>
  <si>
    <t>Ischnura verticalis</t>
  </si>
  <si>
    <t>Eastern Forktail</t>
  </si>
  <si>
    <t>Lanthus</t>
  </si>
  <si>
    <t>101766</t>
  </si>
  <si>
    <t>Lanthus albistylus</t>
  </si>
  <si>
    <t>Lanthus parvulus</t>
  </si>
  <si>
    <t>Lestidae</t>
  </si>
  <si>
    <t>Lestes</t>
  </si>
  <si>
    <t>EPA 5, 6</t>
  </si>
  <si>
    <t>cb, sw</t>
  </si>
  <si>
    <t>Spreadwings</t>
  </si>
  <si>
    <t>Lestes vigilax</t>
  </si>
  <si>
    <t>Swamp Spreadwing</t>
  </si>
  <si>
    <t>Libellula</t>
  </si>
  <si>
    <t>101893</t>
  </si>
  <si>
    <t>Libellula exusta</t>
  </si>
  <si>
    <t>Libellula vibrans</t>
  </si>
  <si>
    <t>Great Blue Skimmer</t>
  </si>
  <si>
    <t>Macromia</t>
  </si>
  <si>
    <t>Macromia illinoiensis</t>
  </si>
  <si>
    <t>Illinois River Cruiser</t>
  </si>
  <si>
    <t>Nehalennia</t>
  </si>
  <si>
    <t>Sprites</t>
  </si>
  <si>
    <t>Neurocordulia</t>
  </si>
  <si>
    <t>Neurocordulia obsoleta</t>
  </si>
  <si>
    <t>Umber Shadowdragon</t>
  </si>
  <si>
    <t>Octogomphus</t>
  </si>
  <si>
    <t>Ophiogomphus</t>
  </si>
  <si>
    <t>Clubtails/Snaketails</t>
  </si>
  <si>
    <t>101738</t>
  </si>
  <si>
    <t>Pachydiplax</t>
  </si>
  <si>
    <t>Pachydiplax longipennis</t>
  </si>
  <si>
    <t>Blue Dasher</t>
  </si>
  <si>
    <t>Perithemis</t>
  </si>
  <si>
    <t>Perithemis domitia</t>
  </si>
  <si>
    <t>553072</t>
  </si>
  <si>
    <t>Plathemis</t>
  </si>
  <si>
    <t>Plathemis lydia</t>
  </si>
  <si>
    <t>Progomphus</t>
  </si>
  <si>
    <t>Progomphus obscurus</t>
  </si>
  <si>
    <t>Common Sanddragon</t>
  </si>
  <si>
    <t>Somatochlora</t>
  </si>
  <si>
    <t>101947</t>
  </si>
  <si>
    <t>Somatochlora forcipata</t>
  </si>
  <si>
    <t>Forcipitate Emerald</t>
  </si>
  <si>
    <t>101966</t>
  </si>
  <si>
    <t>Somatochlora provocans</t>
  </si>
  <si>
    <t>Treetop Emerald</t>
  </si>
  <si>
    <t>Somatochlora tenebrosa</t>
  </si>
  <si>
    <t>Clamp-tipped Emerald</t>
  </si>
  <si>
    <t>Sympetrum</t>
  </si>
  <si>
    <t>Skimmers/Meadowhawks</t>
  </si>
  <si>
    <t>Tetragoneuria</t>
  </si>
  <si>
    <t>cb, sp</t>
  </si>
  <si>
    <t>101994</t>
  </si>
  <si>
    <t>Tramea</t>
  </si>
  <si>
    <t>Skimmers/Saddlebags</t>
  </si>
  <si>
    <t>Tramea carolina</t>
  </si>
  <si>
    <t>Carolina Saddlebag</t>
  </si>
  <si>
    <t>101820</t>
  </si>
  <si>
    <t>Belostomatidae</t>
  </si>
  <si>
    <t>Belostoma</t>
  </si>
  <si>
    <t>Giant water bug</t>
  </si>
  <si>
    <t>Corixidae</t>
  </si>
  <si>
    <t>Callicorixa</t>
  </si>
  <si>
    <t>PI</t>
  </si>
  <si>
    <t>P, PI</t>
  </si>
  <si>
    <t>103364</t>
  </si>
  <si>
    <t>Gerridae</t>
  </si>
  <si>
    <t>Gerris</t>
  </si>
  <si>
    <t>Gerris marginatus</t>
  </si>
  <si>
    <t>Gerris remigis</t>
  </si>
  <si>
    <t>Hesperocorixa</t>
  </si>
  <si>
    <t>EPA 3, 5, 6</t>
  </si>
  <si>
    <t>Lethocerus</t>
  </si>
  <si>
    <t>Lethocerus americanus</t>
  </si>
  <si>
    <t>Mesoveliidae</t>
  </si>
  <si>
    <t>Mesovelia</t>
  </si>
  <si>
    <t>Mesovelia mulsanti</t>
  </si>
  <si>
    <t>Metrobates</t>
  </si>
  <si>
    <t>Metrobates hesperius</t>
  </si>
  <si>
    <t>Microvelia</t>
  </si>
  <si>
    <t>103900</t>
  </si>
  <si>
    <t>Microvelia pulchella</t>
  </si>
  <si>
    <t>dh</t>
  </si>
  <si>
    <t>Pleidae</t>
  </si>
  <si>
    <t>Neoplea</t>
  </si>
  <si>
    <t>Neoplea striola</t>
  </si>
  <si>
    <t>Nepidae</t>
  </si>
  <si>
    <t>Nepa</t>
  </si>
  <si>
    <t>Nepa apiculata</t>
  </si>
  <si>
    <t>Notonectidae</t>
  </si>
  <si>
    <t>Notonecta</t>
  </si>
  <si>
    <t>Notonecta insulata</t>
  </si>
  <si>
    <t>Notonecta irrorata</t>
  </si>
  <si>
    <t>Notonecta uhleri</t>
  </si>
  <si>
    <t>Notonecta undulata</t>
  </si>
  <si>
    <t>Palmacorixa</t>
  </si>
  <si>
    <t>Ramphocorixa</t>
  </si>
  <si>
    <t>Ranatra</t>
  </si>
  <si>
    <t>Rhagovelia</t>
  </si>
  <si>
    <t>103886</t>
  </si>
  <si>
    <t>Rhagovelia obesa</t>
  </si>
  <si>
    <t>Rheumatobates</t>
  </si>
  <si>
    <t>Sigara</t>
  </si>
  <si>
    <t>Trepobates</t>
  </si>
  <si>
    <t>Trepobates pictus</t>
  </si>
  <si>
    <t>Trichocorixa</t>
  </si>
  <si>
    <t>103423</t>
  </si>
  <si>
    <t>Trichocorixa verticalis</t>
  </si>
  <si>
    <t>103431</t>
  </si>
  <si>
    <t>Velia</t>
  </si>
  <si>
    <t>181195</t>
  </si>
  <si>
    <t>103885</t>
  </si>
  <si>
    <t>Megaloptera</t>
  </si>
  <si>
    <t>Corydalidae</t>
  </si>
  <si>
    <t>Chauliodes</t>
  </si>
  <si>
    <t>cn, cb, b</t>
  </si>
  <si>
    <t>Chauliodes pectinicornis</t>
  </si>
  <si>
    <t>Chauliodes rastricornis</t>
  </si>
  <si>
    <t>cn, cb</t>
  </si>
  <si>
    <t>Corydalus</t>
  </si>
  <si>
    <t>115034</t>
  </si>
  <si>
    <t>Corydalus cornutus</t>
  </si>
  <si>
    <t>z</t>
  </si>
  <si>
    <t>Nigronia</t>
  </si>
  <si>
    <t>115028</t>
  </si>
  <si>
    <t>Nigronia serricornis</t>
  </si>
  <si>
    <t>115031</t>
  </si>
  <si>
    <t>Sialis</t>
  </si>
  <si>
    <t>b, cb, cn</t>
  </si>
  <si>
    <t>115002</t>
  </si>
  <si>
    <t>Sialis hasta</t>
  </si>
  <si>
    <t>Sialis iola</t>
  </si>
  <si>
    <t>Sialis joppa</t>
  </si>
  <si>
    <t>115018</t>
  </si>
  <si>
    <t>Sialis mohri</t>
  </si>
  <si>
    <t>Sialis velata</t>
  </si>
  <si>
    <t>Neuroptera</t>
  </si>
  <si>
    <t>Sisyridae</t>
  </si>
  <si>
    <t>Climacia</t>
  </si>
  <si>
    <t>t</t>
  </si>
  <si>
    <t>cb, cn, b</t>
  </si>
  <si>
    <t>Climacia areolaris</t>
  </si>
  <si>
    <t>u</t>
  </si>
  <si>
    <t>Sisyra</t>
  </si>
  <si>
    <t>Agapetus</t>
  </si>
  <si>
    <t>117121</t>
  </si>
  <si>
    <t>Sericostomatidae</t>
  </si>
  <si>
    <t>Agarodes</t>
  </si>
  <si>
    <t>do</t>
  </si>
  <si>
    <t>116983</t>
  </si>
  <si>
    <t>Hydroptilidae</t>
  </si>
  <si>
    <t>Agraylea</t>
  </si>
  <si>
    <t>Phryganeidae</t>
  </si>
  <si>
    <t>Agrypnia</t>
  </si>
  <si>
    <t>Apataniidae</t>
  </si>
  <si>
    <t>Apatania</t>
  </si>
  <si>
    <t>cn, cb, sp</t>
  </si>
  <si>
    <t>115935</t>
  </si>
  <si>
    <t>Limnephilidae</t>
  </si>
  <si>
    <t>Astenophylax</t>
  </si>
  <si>
    <t>Athripsodes</t>
  </si>
  <si>
    <t>CG, SH, P</t>
  </si>
  <si>
    <t>k</t>
  </si>
  <si>
    <t>Banksiola</t>
  </si>
  <si>
    <t>Brachycentrus</t>
  </si>
  <si>
    <t>116906</t>
  </si>
  <si>
    <t>Brachycentrus americanus</t>
  </si>
  <si>
    <t>Brachycentrus lateralis</t>
  </si>
  <si>
    <t>Brachycentrus numerosus</t>
  </si>
  <si>
    <t>116910</t>
  </si>
  <si>
    <t>Caborius</t>
  </si>
  <si>
    <t>ar</t>
  </si>
  <si>
    <t>Calamoceratidae</t>
  </si>
  <si>
    <t>116529</t>
  </si>
  <si>
    <t>Ceraclea</t>
  </si>
  <si>
    <t>116684</t>
  </si>
  <si>
    <t>Ceratopsyche</t>
  </si>
  <si>
    <t>x</t>
  </si>
  <si>
    <t>l</t>
  </si>
  <si>
    <t>Ceratopsyche alhedra</t>
  </si>
  <si>
    <t>m</t>
  </si>
  <si>
    <t>Ceratopsyche bronta</t>
  </si>
  <si>
    <t>n</t>
  </si>
  <si>
    <t>115579</t>
  </si>
  <si>
    <t>Ceratopsyche morosa</t>
  </si>
  <si>
    <t>o</t>
  </si>
  <si>
    <t>115580</t>
  </si>
  <si>
    <t>Ceratopsyche morosa bifida</t>
  </si>
  <si>
    <t>p</t>
  </si>
  <si>
    <t>Ceratopsyche slossonae</t>
  </si>
  <si>
    <t>q</t>
  </si>
  <si>
    <t>115586</t>
  </si>
  <si>
    <t>Ceratopsyche sparna</t>
  </si>
  <si>
    <t>r</t>
  </si>
  <si>
    <t>115589</t>
  </si>
  <si>
    <t>Cheumatopsyche</t>
  </si>
  <si>
    <t>115408</t>
  </si>
  <si>
    <t>Cheumatopsyche campyla</t>
  </si>
  <si>
    <t>115409</t>
  </si>
  <si>
    <t>Chimarra</t>
  </si>
  <si>
    <t>115273</t>
  </si>
  <si>
    <t>Chimarra aterrima</t>
  </si>
  <si>
    <t>Chimarra obscura</t>
  </si>
  <si>
    <t>Chimarra socia</t>
  </si>
  <si>
    <t>Diplectrona</t>
  </si>
  <si>
    <t>115399</t>
  </si>
  <si>
    <t>Diplectrona modesta</t>
  </si>
  <si>
    <t>Dolophilodes</t>
  </si>
  <si>
    <t>115319</t>
  </si>
  <si>
    <t>Frenesia</t>
  </si>
  <si>
    <t>Glossosoma</t>
  </si>
  <si>
    <t>117159</t>
  </si>
  <si>
    <t>117120</t>
  </si>
  <si>
    <t>Glyphotaelius</t>
  </si>
  <si>
    <t>da</t>
  </si>
  <si>
    <t>116433</t>
  </si>
  <si>
    <t>Goeridae</t>
  </si>
  <si>
    <t>Goera</t>
  </si>
  <si>
    <t>116423</t>
  </si>
  <si>
    <t>Goerita</t>
  </si>
  <si>
    <t>116462</t>
  </si>
  <si>
    <t>Helicopsyche</t>
  </si>
  <si>
    <t>117016</t>
  </si>
  <si>
    <t>Helicopsyche borealis</t>
  </si>
  <si>
    <t>Hesperophylax</t>
  </si>
  <si>
    <t>Heteroplectron</t>
  </si>
  <si>
    <t>Heteroplectron americanum</t>
  </si>
  <si>
    <t>Hydatophylax</t>
  </si>
  <si>
    <t>115995</t>
  </si>
  <si>
    <t>Hydropsyche</t>
  </si>
  <si>
    <t>115453</t>
  </si>
  <si>
    <t>Hydropsyche betteni</t>
  </si>
  <si>
    <t>115454</t>
  </si>
  <si>
    <t>Hydropsyche cuanis</t>
  </si>
  <si>
    <t>115461</t>
  </si>
  <si>
    <t>Hydropsyche decalda</t>
  </si>
  <si>
    <t>Hydropsyche demora</t>
  </si>
  <si>
    <t>Hydropsyche leonardi</t>
  </si>
  <si>
    <t>Hydropsyche scalaris</t>
  </si>
  <si>
    <t>Hydropsyche sparna</t>
  </si>
  <si>
    <t>Hydropsyche valanis</t>
  </si>
  <si>
    <t>Hydropsyche venularis</t>
  </si>
  <si>
    <t>115398</t>
  </si>
  <si>
    <t>Hydroptila</t>
  </si>
  <si>
    <t>115641</t>
  </si>
  <si>
    <t>115629</t>
  </si>
  <si>
    <t>Ironoquia</t>
  </si>
  <si>
    <t>116382</t>
  </si>
  <si>
    <t>Lenarchus</t>
  </si>
  <si>
    <t>Lepidostoma</t>
  </si>
  <si>
    <t>cb, sp, cn</t>
  </si>
  <si>
    <t>116794</t>
  </si>
  <si>
    <t>EPA 1; 3</t>
  </si>
  <si>
    <t>cb, sp, cn, sw</t>
  </si>
  <si>
    <t>Leptocerus</t>
  </si>
  <si>
    <t>P, SH</t>
  </si>
  <si>
    <t>EPA 5; 6</t>
  </si>
  <si>
    <t>Leptocerus americanus</t>
  </si>
  <si>
    <t>Leucotrichia</t>
  </si>
  <si>
    <t>115630</t>
  </si>
  <si>
    <t>Leucotrichia pictipes</t>
  </si>
  <si>
    <t>115933</t>
  </si>
  <si>
    <t>Limnephilus</t>
  </si>
  <si>
    <t>116069</t>
  </si>
  <si>
    <t>Lype</t>
  </si>
  <si>
    <t>115391</t>
  </si>
  <si>
    <t>Lype diversa</t>
  </si>
  <si>
    <t>115392</t>
  </si>
  <si>
    <t>Macronema</t>
  </si>
  <si>
    <t>au</t>
  </si>
  <si>
    <t>Macrostemum</t>
  </si>
  <si>
    <t>115603</t>
  </si>
  <si>
    <t>Macrostemum carolina</t>
  </si>
  <si>
    <t>av</t>
  </si>
  <si>
    <t>Micrasema</t>
  </si>
  <si>
    <t>116958</t>
  </si>
  <si>
    <t>Micrasema wataga</t>
  </si>
  <si>
    <t>Micrasema rusticum</t>
  </si>
  <si>
    <t>Molannidae</t>
  </si>
  <si>
    <t>Molanna</t>
  </si>
  <si>
    <t>CG, SC, P</t>
  </si>
  <si>
    <t>Mystacides</t>
  </si>
  <si>
    <t>116598</t>
  </si>
  <si>
    <t>Mystacides sepulchralis</t>
  </si>
  <si>
    <t>Nectopsyche</t>
  </si>
  <si>
    <t>Nemotaulius</t>
  </si>
  <si>
    <t>Uenoidae</t>
  </si>
  <si>
    <t>Neophylax</t>
  </si>
  <si>
    <t>116046</t>
  </si>
  <si>
    <t>Neotrichia</t>
  </si>
  <si>
    <t>Neureclipsis</t>
  </si>
  <si>
    <t>117095</t>
  </si>
  <si>
    <t>Nyctiophylax</t>
  </si>
  <si>
    <t>dl</t>
  </si>
  <si>
    <t>Ochrotrichia</t>
  </si>
  <si>
    <t>PI, SC</t>
  </si>
  <si>
    <t>EPA 1; 5</t>
  </si>
  <si>
    <t>115714</t>
  </si>
  <si>
    <t>Odontoceridae</t>
  </si>
  <si>
    <t>Oecetis</t>
  </si>
  <si>
    <t>116607</t>
  </si>
  <si>
    <t>Oecetis georgia</t>
  </si>
  <si>
    <t>Oecetis inconspicua</t>
  </si>
  <si>
    <t>Oligostomis</t>
  </si>
  <si>
    <t>Orthotrichia</t>
  </si>
  <si>
    <t>PI, SH</t>
  </si>
  <si>
    <t>115828</t>
  </si>
  <si>
    <t>Oxyethira</t>
  </si>
  <si>
    <t>CG, PI, SC</t>
  </si>
  <si>
    <t>EPA 3; 1; 5</t>
  </si>
  <si>
    <t>115779</t>
  </si>
  <si>
    <t>Phryganea</t>
  </si>
  <si>
    <t>115867</t>
  </si>
  <si>
    <t>Dipseudopsidae</t>
  </si>
  <si>
    <t>Phylocentropus</t>
  </si>
  <si>
    <t>Platycentropus</t>
  </si>
  <si>
    <t>Polycentropus</t>
  </si>
  <si>
    <t>117044</t>
  </si>
  <si>
    <t>Protoptila</t>
  </si>
  <si>
    <t>115221</t>
  </si>
  <si>
    <t>Protoptila maculata</t>
  </si>
  <si>
    <t>Pseudostenophylax</t>
  </si>
  <si>
    <t>Psilotreta</t>
  </si>
  <si>
    <t>116497</t>
  </si>
  <si>
    <t>Psilotreta frontalis</t>
  </si>
  <si>
    <t>Psychomyia</t>
  </si>
  <si>
    <t>115335</t>
  </si>
  <si>
    <t>Psychomyia nomada</t>
  </si>
  <si>
    <t>Ptilostomis</t>
  </si>
  <si>
    <t>Pycnopsyche</t>
  </si>
  <si>
    <t>116409</t>
  </si>
  <si>
    <t>Rhyacophila</t>
  </si>
  <si>
    <t>115097</t>
  </si>
  <si>
    <t>Rhyacophila amicis</t>
  </si>
  <si>
    <t>Rhyacophila fenestra</t>
  </si>
  <si>
    <t>Rhyacophila fuscula</t>
  </si>
  <si>
    <t>115133</t>
  </si>
  <si>
    <t>Rhyacophila glaberrima</t>
  </si>
  <si>
    <t>Rhyacophila invaria</t>
  </si>
  <si>
    <t>Rhyacophila manistee</t>
  </si>
  <si>
    <t>Rhyacophila melita</t>
  </si>
  <si>
    <t>Rhyacophila nigrita</t>
  </si>
  <si>
    <t>Sericostoma</t>
  </si>
  <si>
    <t>598461</t>
  </si>
  <si>
    <t>Stactobiella</t>
  </si>
  <si>
    <t>SC, SH</t>
  </si>
  <si>
    <t>Symphitopsyche</t>
  </si>
  <si>
    <t>Symphitopsyche alhedra</t>
  </si>
  <si>
    <t>Symphitopsyche bifida</t>
  </si>
  <si>
    <t>Symphitopsyche bronta</t>
  </si>
  <si>
    <t>Symphitopsyche morosa</t>
  </si>
  <si>
    <t>115582</t>
  </si>
  <si>
    <t>Symphitopsyche riola</t>
  </si>
  <si>
    <t>115569</t>
  </si>
  <si>
    <t>Symphitopsyche slossonae</t>
  </si>
  <si>
    <t>Symphitopsyche sparna</t>
  </si>
  <si>
    <t>115590</t>
  </si>
  <si>
    <t>Tinodes</t>
  </si>
  <si>
    <t>Theliopsyche</t>
  </si>
  <si>
    <t>Triaenodes</t>
  </si>
  <si>
    <t>116565</t>
  </si>
  <si>
    <t>Triaenodes abus</t>
  </si>
  <si>
    <t>Triaenodes marginatus</t>
  </si>
  <si>
    <t>116575</t>
  </si>
  <si>
    <t>Wormaldia</t>
  </si>
  <si>
    <t>115258</t>
  </si>
  <si>
    <t>Chilopoda</t>
  </si>
  <si>
    <t>Geophilus</t>
  </si>
  <si>
    <t>553112</t>
  </si>
  <si>
    <t>Lithobius</t>
  </si>
  <si>
    <t>Lepidoptera</t>
  </si>
  <si>
    <t>Acentria</t>
  </si>
  <si>
    <t>Elophila</t>
  </si>
  <si>
    <t>117665</t>
  </si>
  <si>
    <t>Nepticulidae</t>
  </si>
  <si>
    <t>Nepticula</t>
  </si>
  <si>
    <t>SH, SC</t>
  </si>
  <si>
    <t>EPA 6;  5</t>
  </si>
  <si>
    <t>Nymphula</t>
  </si>
  <si>
    <t>dp</t>
  </si>
  <si>
    <t>Nymphuliella</t>
  </si>
  <si>
    <t>dn</t>
  </si>
  <si>
    <t>Paraponyx</t>
  </si>
  <si>
    <t>Parargyractis</t>
  </si>
  <si>
    <t>bi</t>
  </si>
  <si>
    <t>117683</t>
  </si>
  <si>
    <t>Petrophila</t>
  </si>
  <si>
    <t>117682</t>
  </si>
  <si>
    <t>cb, sw, b</t>
  </si>
  <si>
    <t>Synclita</t>
  </si>
  <si>
    <t>Dytiscidae</t>
  </si>
  <si>
    <t>Acilius</t>
  </si>
  <si>
    <t>Agabetes</t>
  </si>
  <si>
    <t>Agabus</t>
  </si>
  <si>
    <t>111966</t>
  </si>
  <si>
    <t>Anacaena</t>
  </si>
  <si>
    <t>Anchytarsus</t>
  </si>
  <si>
    <t>114667</t>
  </si>
  <si>
    <t>Anchytarsus bicolor</t>
  </si>
  <si>
    <t>Ancyronyx</t>
  </si>
  <si>
    <t>114193</t>
  </si>
  <si>
    <t>Ancyronyx variegatus</t>
  </si>
  <si>
    <t>114194</t>
  </si>
  <si>
    <t>Berosus</t>
  </si>
  <si>
    <t>EPA 6;  3</t>
  </si>
  <si>
    <t>sw, dv, cb</t>
  </si>
  <si>
    <t>112812</t>
  </si>
  <si>
    <t>Bidessus</t>
  </si>
  <si>
    <t>Staphylinidae</t>
  </si>
  <si>
    <t>Bledius</t>
  </si>
  <si>
    <t>Cercyon</t>
  </si>
  <si>
    <t>Chaetarthria</t>
  </si>
  <si>
    <t>Carabidae</t>
  </si>
  <si>
    <t>Chlaenius</t>
  </si>
  <si>
    <t>111436</t>
  </si>
  <si>
    <t>Chrysomelidae</t>
  </si>
  <si>
    <t>Colymbetes</t>
  </si>
  <si>
    <t>Copelatus</t>
  </si>
  <si>
    <t>Curculionidae</t>
  </si>
  <si>
    <t>cn, cb, sp, b</t>
  </si>
  <si>
    <t>Cybister</t>
  </si>
  <si>
    <t>Scirtidae</t>
  </si>
  <si>
    <t>Cyphon</t>
  </si>
  <si>
    <t>Gyrinidae</t>
  </si>
  <si>
    <t>Dineutus</t>
  </si>
  <si>
    <t>112711</t>
  </si>
  <si>
    <t>Donacia</t>
  </si>
  <si>
    <t>Deronectes</t>
  </si>
  <si>
    <t>Derovatellus</t>
  </si>
  <si>
    <t>Dryopidae</t>
  </si>
  <si>
    <t>Dryops</t>
  </si>
  <si>
    <t>114025</t>
  </si>
  <si>
    <t>Dubiraphia</t>
  </si>
  <si>
    <t>114126</t>
  </si>
  <si>
    <t>Dubiraphia bivittata</t>
  </si>
  <si>
    <t>Dubiraphia quadrinotata</t>
  </si>
  <si>
    <t>111963</t>
  </si>
  <si>
    <t>Dytiscus</t>
  </si>
  <si>
    <t>sw, dv</t>
  </si>
  <si>
    <t>Ectopria</t>
  </si>
  <si>
    <t>114087</t>
  </si>
  <si>
    <t>Ectopria nervosa</t>
  </si>
  <si>
    <t>114088</t>
  </si>
  <si>
    <t>Elodes</t>
  </si>
  <si>
    <t>db</t>
  </si>
  <si>
    <t>Enochrus</t>
  </si>
  <si>
    <t>b, sp</t>
  </si>
  <si>
    <t>Eretes</t>
  </si>
  <si>
    <t>Galerucella</t>
  </si>
  <si>
    <t>Gyrinus</t>
  </si>
  <si>
    <t>Haliplidae</t>
  </si>
  <si>
    <t>P, PI, SH</t>
  </si>
  <si>
    <t>Haliplus</t>
  </si>
  <si>
    <t>111858</t>
  </si>
  <si>
    <t>Helichus</t>
  </si>
  <si>
    <t>EPA 1, 3;  5</t>
  </si>
  <si>
    <t>Helichus basalis</t>
  </si>
  <si>
    <t>Helichus fastigiatus</t>
  </si>
  <si>
    <t>Helichus lithophilus</t>
  </si>
  <si>
    <t>Helochares</t>
  </si>
  <si>
    <t>EPA 5;  3</t>
  </si>
  <si>
    <t>Helocombus</t>
  </si>
  <si>
    <t>Helocombus bifidus</t>
  </si>
  <si>
    <t>Helodidae</t>
  </si>
  <si>
    <t>dr</t>
  </si>
  <si>
    <t>Helophorus</t>
  </si>
  <si>
    <t>Hydrobius</t>
  </si>
  <si>
    <t>cb, cn, sp</t>
  </si>
  <si>
    <t>113196</t>
  </si>
  <si>
    <t>Noteridae</t>
  </si>
  <si>
    <t>Hydrocanthus</t>
  </si>
  <si>
    <t>Hydrocanthus iricolor</t>
  </si>
  <si>
    <t>Hydrochus</t>
  </si>
  <si>
    <t>Hydrophilus</t>
  </si>
  <si>
    <t>Hydroporus</t>
  </si>
  <si>
    <t>112390</t>
  </si>
  <si>
    <t>Hydroporus niger</t>
  </si>
  <si>
    <t>Hydrovatus</t>
  </si>
  <si>
    <t>Hygrotus</t>
  </si>
  <si>
    <t>Hyperodes</t>
  </si>
  <si>
    <t>Ilybius</t>
  </si>
  <si>
    <t>Laccobius</t>
  </si>
  <si>
    <t>P, CG</t>
  </si>
  <si>
    <t>EPA 3;  5</t>
  </si>
  <si>
    <t>cb, sw, dv</t>
  </si>
  <si>
    <t>Laccophilus</t>
  </si>
  <si>
    <t>Lampyridae</t>
  </si>
  <si>
    <t>Macronychus</t>
  </si>
  <si>
    <t>114212</t>
  </si>
  <si>
    <t>Macronychus glabratus</t>
  </si>
  <si>
    <t>114213</t>
  </si>
  <si>
    <t>Microcylloepus</t>
  </si>
  <si>
    <t>Microcylloepus pusillus</t>
  </si>
  <si>
    <t>Microcylloepus pusillus pusillus</t>
  </si>
  <si>
    <t>b, cb</t>
  </si>
  <si>
    <t>Onychylis</t>
  </si>
  <si>
    <t>Optioservus</t>
  </si>
  <si>
    <t>EPA 5;  1, 3</t>
  </si>
  <si>
    <t>114177</t>
  </si>
  <si>
    <t>Optioservus immunis</t>
  </si>
  <si>
    <t>114184</t>
  </si>
  <si>
    <t>Optioservus ovalis</t>
  </si>
  <si>
    <t>Optioservus trivittatus</t>
  </si>
  <si>
    <t>Oulimnius</t>
  </si>
  <si>
    <t>114244</t>
  </si>
  <si>
    <t>Oulimnius latiusculus</t>
  </si>
  <si>
    <t>NYS</t>
  </si>
  <si>
    <t>114245</t>
  </si>
  <si>
    <t>Paracymus</t>
  </si>
  <si>
    <t>Peltodytes</t>
  </si>
  <si>
    <t>111923</t>
  </si>
  <si>
    <t>Photurus</t>
  </si>
  <si>
    <t>bj</t>
  </si>
  <si>
    <t>Phytosus</t>
  </si>
  <si>
    <t>113756</t>
  </si>
  <si>
    <t>Potamonectes</t>
  </si>
  <si>
    <t>Promoresia</t>
  </si>
  <si>
    <t>114229</t>
  </si>
  <si>
    <t>Promoresia elegans</t>
  </si>
  <si>
    <t>Promoresia tardella</t>
  </si>
  <si>
    <t>114231</t>
  </si>
  <si>
    <t>114069</t>
  </si>
  <si>
    <t>Psephenus</t>
  </si>
  <si>
    <t>114070</t>
  </si>
  <si>
    <t>Psephenus herricki</t>
  </si>
  <si>
    <t>114072</t>
  </si>
  <si>
    <t>Scirtes</t>
  </si>
  <si>
    <t>Sperchopsis</t>
  </si>
  <si>
    <t>Stenelmis</t>
  </si>
  <si>
    <t>114095</t>
  </si>
  <si>
    <t>Stenelmis concinna</t>
  </si>
  <si>
    <t>Stenelmis crenata</t>
  </si>
  <si>
    <t>Stenelmis decorata</t>
  </si>
  <si>
    <t>Stenelmis humerosa</t>
  </si>
  <si>
    <t>Stenelmis lateralis</t>
  </si>
  <si>
    <t>Stenelmis markeli</t>
  </si>
  <si>
    <t>Stenelmis mera</t>
  </si>
  <si>
    <t>Stenelmis mirabilis</t>
  </si>
  <si>
    <t>Stenelmis sandersoni</t>
  </si>
  <si>
    <t>Stenelmis vittipennis</t>
  </si>
  <si>
    <t>Stenopelmus</t>
  </si>
  <si>
    <t>cn, cb, b, sp</t>
  </si>
  <si>
    <t>Stenopelmus rufinasus</t>
  </si>
  <si>
    <t>Stenus</t>
  </si>
  <si>
    <t>Thermonectus</t>
  </si>
  <si>
    <t>Tropisternus</t>
  </si>
  <si>
    <t>Uvarus</t>
  </si>
  <si>
    <t>Ablabesmyia</t>
  </si>
  <si>
    <t>EPA 6;  3, 5</t>
  </si>
  <si>
    <t>128079</t>
  </si>
  <si>
    <t>Ablabesmyia annulata</t>
  </si>
  <si>
    <t>Ablabesmyia aspera</t>
  </si>
  <si>
    <t>Ablabesmyia basalis</t>
  </si>
  <si>
    <t>a</t>
  </si>
  <si>
    <t>Ablabesmyia janta</t>
  </si>
  <si>
    <t>Ablabesmyia mallochi</t>
  </si>
  <si>
    <t>Ablabesmyia monilis</t>
  </si>
  <si>
    <t>Ablabesmyia peleensis</t>
  </si>
  <si>
    <t>Ablabesmyia simpsoni</t>
  </si>
  <si>
    <t>Acalcarella</t>
  </si>
  <si>
    <t>Acamptocladius</t>
  </si>
  <si>
    <t>Acricotopus</t>
  </si>
  <si>
    <t>128463</t>
  </si>
  <si>
    <t>Culicidae</t>
  </si>
  <si>
    <t>Aedes</t>
  </si>
  <si>
    <t>CG, FC</t>
  </si>
  <si>
    <t>EPA 1;  5</t>
  </si>
  <si>
    <t>Aedes fitchii</t>
  </si>
  <si>
    <t>126293</t>
  </si>
  <si>
    <t>Alluaudomyia</t>
  </si>
  <si>
    <t>Alluaudomyia needhami</t>
  </si>
  <si>
    <t>Anatopynia</t>
  </si>
  <si>
    <t>181207</t>
  </si>
  <si>
    <t>Anatopynia fastuosa</t>
  </si>
  <si>
    <t>ba</t>
  </si>
  <si>
    <t>Anopheles</t>
  </si>
  <si>
    <t>125956</t>
  </si>
  <si>
    <t>Anopheles punctipennis</t>
  </si>
  <si>
    <t>Antocha</t>
  </si>
  <si>
    <t>119656</t>
  </si>
  <si>
    <t>Anthomyiidae</t>
  </si>
  <si>
    <t>Dolichopodidae</t>
  </si>
  <si>
    <t>Argyra</t>
  </si>
  <si>
    <t>sp, b</t>
  </si>
  <si>
    <t>Athericidae</t>
  </si>
  <si>
    <t>Atherix</t>
  </si>
  <si>
    <t>Atherix variegata</t>
  </si>
  <si>
    <t>Atrichopogon</t>
  </si>
  <si>
    <t>Bezzia</t>
  </si>
  <si>
    <t>127778</t>
  </si>
  <si>
    <t>Bezzia glabra</t>
  </si>
  <si>
    <t>d</t>
  </si>
  <si>
    <t>Bezzia opaca</t>
  </si>
  <si>
    <t>e</t>
  </si>
  <si>
    <t>Bezzia setulosa</t>
  </si>
  <si>
    <t>127853</t>
  </si>
  <si>
    <t>Bezzia varicolor</t>
  </si>
  <si>
    <t>Ptychopteridae</t>
  </si>
  <si>
    <t>Bittacomorpha</t>
  </si>
  <si>
    <t>Bittacomorpha clavipes</t>
  </si>
  <si>
    <t>Blephariceridae</t>
  </si>
  <si>
    <t>Blepharicera</t>
  </si>
  <si>
    <t>Ephydridae</t>
  </si>
  <si>
    <t>Brachydeutera</t>
  </si>
  <si>
    <t>sp, b, sw</t>
  </si>
  <si>
    <t>Brachydeutera argentata</t>
  </si>
  <si>
    <t>Brillia</t>
  </si>
  <si>
    <t>128477</t>
  </si>
  <si>
    <t>Brillia flavifrons</t>
  </si>
  <si>
    <t>Brillia modesta</t>
  </si>
  <si>
    <t>Brillia par</t>
  </si>
  <si>
    <t>Brillia sera</t>
  </si>
  <si>
    <t>Bryophaenocladius</t>
  </si>
  <si>
    <t>Calopsectra</t>
  </si>
  <si>
    <t>CG, FC, SC</t>
  </si>
  <si>
    <t>ca</t>
  </si>
  <si>
    <t>Calopsectra glabrescens</t>
  </si>
  <si>
    <t>cc</t>
  </si>
  <si>
    <t>Cantopelopia</t>
  </si>
  <si>
    <t>Cantopelopia aleta</t>
  </si>
  <si>
    <t>j</t>
  </si>
  <si>
    <t>128127</t>
  </si>
  <si>
    <t>Cardiocladius</t>
  </si>
  <si>
    <t>b, cn</t>
  </si>
  <si>
    <t>128511</t>
  </si>
  <si>
    <t>Cardiocladius albiplumus</t>
  </si>
  <si>
    <t>ck</t>
  </si>
  <si>
    <t>Cardiocladius obscurus</t>
  </si>
  <si>
    <t>127076</t>
  </si>
  <si>
    <t>Chaoboridae</t>
  </si>
  <si>
    <t>Chaoborus</t>
  </si>
  <si>
    <t>Chaoborus punctipennis</t>
  </si>
  <si>
    <t>Chelifera</t>
  </si>
  <si>
    <t>136305</t>
  </si>
  <si>
    <t>Chelifera precatoria</t>
  </si>
  <si>
    <t>cx</t>
  </si>
  <si>
    <t>136320</t>
  </si>
  <si>
    <t>CG, FC, P, PI</t>
  </si>
  <si>
    <t>127917</t>
  </si>
  <si>
    <t>EPA 3, 5;  6</t>
  </si>
  <si>
    <t>129254</t>
  </si>
  <si>
    <t>Chironomus decorus</t>
  </si>
  <si>
    <t>Chironomus militaris</t>
  </si>
  <si>
    <t>Chironomus riparius</t>
  </si>
  <si>
    <t>Chironomus tentans</t>
  </si>
  <si>
    <t>Tabanidae</t>
  </si>
  <si>
    <t>Chrysops</t>
  </si>
  <si>
    <t>CG, PI</t>
  </si>
  <si>
    <t>EPA 5;  1</t>
  </si>
  <si>
    <t>131078</t>
  </si>
  <si>
    <t>Cladopelma</t>
  </si>
  <si>
    <t>Cladopelma amachaerus</t>
  </si>
  <si>
    <t>Cladotanytarsus</t>
  </si>
  <si>
    <t>129873</t>
  </si>
  <si>
    <t>Cladotanytarsus atridorsum</t>
  </si>
  <si>
    <t>Cladotanytarsus dispersopilosus</t>
  </si>
  <si>
    <t>Cladotanytarsus mancus</t>
  </si>
  <si>
    <t>Clinocera</t>
  </si>
  <si>
    <t>135849</t>
  </si>
  <si>
    <t>Clinocera stagnalis</t>
  </si>
  <si>
    <t>Dixidae</t>
  </si>
  <si>
    <t>Dixella</t>
  </si>
  <si>
    <t>Stylurus</t>
  </si>
  <si>
    <t>Clinotanypus</t>
  </si>
  <si>
    <t>127996</t>
  </si>
  <si>
    <t>Clinotanypus pinguis</t>
  </si>
  <si>
    <t>v</t>
  </si>
  <si>
    <t>Clinotanypus thoracicus</t>
  </si>
  <si>
    <t>Cnephia</t>
  </si>
  <si>
    <t>cp</t>
  </si>
  <si>
    <t>Cnephia dacotensis</t>
  </si>
  <si>
    <t>126650</t>
  </si>
  <si>
    <t>Cnephia mutata</t>
  </si>
  <si>
    <t>co</t>
  </si>
  <si>
    <t>126658</t>
  </si>
  <si>
    <t>Coelotanypus</t>
  </si>
  <si>
    <t>Coelotanypus tricolor</t>
  </si>
  <si>
    <t>Conchapelopia</t>
  </si>
  <si>
    <t>128130</t>
  </si>
  <si>
    <t>Conchapelopia aleta</t>
  </si>
  <si>
    <t>Conchapelopia americana</t>
  </si>
  <si>
    <t>Conchapelopia cornuticaudata</t>
  </si>
  <si>
    <t>Conchapelopia currani</t>
  </si>
  <si>
    <t>Conchapelopia dusena</t>
  </si>
  <si>
    <t>Conchapelopia fasciata</t>
  </si>
  <si>
    <t>128140</t>
  </si>
  <si>
    <t>Conchapelopia flavifrons</t>
  </si>
  <si>
    <t>Conchapelopia goniodes</t>
  </si>
  <si>
    <t>y</t>
  </si>
  <si>
    <t>Conchapelopia pallens</t>
  </si>
  <si>
    <t>128151</t>
  </si>
  <si>
    <t>Conchapelopia rurika</t>
  </si>
  <si>
    <t>Conchapelopia telema</t>
  </si>
  <si>
    <t>Constempellina</t>
  </si>
  <si>
    <t>129884</t>
  </si>
  <si>
    <t>Constempellina brevicosta</t>
  </si>
  <si>
    <t>cl</t>
  </si>
  <si>
    <t>Corynoneura</t>
  </si>
  <si>
    <t>128563</t>
  </si>
  <si>
    <t>Corynoneura celeripes</t>
  </si>
  <si>
    <t>128565</t>
  </si>
  <si>
    <t>Corynoneura taris</t>
  </si>
  <si>
    <t>Cricotopus</t>
  </si>
  <si>
    <t>128575</t>
  </si>
  <si>
    <t>Cricotopus albiforceps</t>
  </si>
  <si>
    <t>Cricotopus algarum</t>
  </si>
  <si>
    <t>Cricotopus aratus</t>
  </si>
  <si>
    <t>aa</t>
  </si>
  <si>
    <t>Cricotopus bicinctus</t>
  </si>
  <si>
    <t>Cricotopus ceris</t>
  </si>
  <si>
    <t>Cricotopus curtus</t>
  </si>
  <si>
    <t>Cricotopus cylindraceus</t>
  </si>
  <si>
    <t>Cricotopus exilis</t>
  </si>
  <si>
    <t>ab</t>
  </si>
  <si>
    <t>Cricotopus festivellus</t>
  </si>
  <si>
    <t>Cricotopus flavocinctus</t>
  </si>
  <si>
    <t>Cricotopus fugax</t>
  </si>
  <si>
    <t>Cricotopus fuscatus</t>
  </si>
  <si>
    <t>Cricotopus fuscus</t>
  </si>
  <si>
    <t>Cricotopus infuscatus</t>
  </si>
  <si>
    <t>Cricotopus intersectus</t>
  </si>
  <si>
    <t>Cricotopus junus</t>
  </si>
  <si>
    <t>Cricotopus laetus</t>
  </si>
  <si>
    <t>Cricotopus laricomalis</t>
  </si>
  <si>
    <t>Cricotopus pirifer</t>
  </si>
  <si>
    <t>Cricotopus reversus</t>
  </si>
  <si>
    <t>128668</t>
  </si>
  <si>
    <t>Cricotopus slossonae</t>
  </si>
  <si>
    <t>Cricotopus sylvestris</t>
  </si>
  <si>
    <t>Cricotopus tibialis</t>
  </si>
  <si>
    <t>Cricotopus tremulus</t>
  </si>
  <si>
    <t>Cricotopus triannulatus</t>
  </si>
  <si>
    <t>Cricotopus tricinctus</t>
  </si>
  <si>
    <t>Cricotopus trifascia</t>
  </si>
  <si>
    <t>Cricotopus trifasciatus</t>
  </si>
  <si>
    <t>Cricotopus vierriensis</t>
  </si>
  <si>
    <t>Cryptochironomus</t>
  </si>
  <si>
    <t>129368</t>
  </si>
  <si>
    <t>Cryptochironomus argus</t>
  </si>
  <si>
    <t>Cryptochironomus fulvus</t>
  </si>
  <si>
    <t>Cryptotendipes</t>
  </si>
  <si>
    <t>Cryptotendipes emorsus</t>
  </si>
  <si>
    <t>ad</t>
  </si>
  <si>
    <t>129401</t>
  </si>
  <si>
    <t>Cryptotendipes pseudotener</t>
  </si>
  <si>
    <t>ac</t>
  </si>
  <si>
    <t>Culex</t>
  </si>
  <si>
    <t>Culicoides</t>
  </si>
  <si>
    <t>127340</t>
  </si>
  <si>
    <t>Culicoides sanguisuga</t>
  </si>
  <si>
    <t>127464</t>
  </si>
  <si>
    <t>Dactylolabis</t>
  </si>
  <si>
    <t>Dasyhelea</t>
  </si>
  <si>
    <t>Dasyhelea grisea</t>
  </si>
  <si>
    <t>127298</t>
  </si>
  <si>
    <t>Demicryptochironomus</t>
  </si>
  <si>
    <t>Demicryptochironomus vulneratus</t>
  </si>
  <si>
    <t>df</t>
  </si>
  <si>
    <t>Diamesa</t>
  </si>
  <si>
    <t>128355</t>
  </si>
  <si>
    <t>Diamesa nivoriunda</t>
  </si>
  <si>
    <t>Dicranota</t>
  </si>
  <si>
    <t>121027</t>
  </si>
  <si>
    <t>Dicrotendipes</t>
  </si>
  <si>
    <t>129428</t>
  </si>
  <si>
    <t>Dicrotendipes fumidus</t>
  </si>
  <si>
    <t>129436</t>
  </si>
  <si>
    <t>Dicrotendipes modestus</t>
  </si>
  <si>
    <t>Dicrotendipes neomodestus</t>
  </si>
  <si>
    <t>Dicrotendipes nervosus</t>
  </si>
  <si>
    <t>Sciomyzidae</t>
  </si>
  <si>
    <t>Dictya</t>
  </si>
  <si>
    <t>Diplocladius</t>
  </si>
  <si>
    <t>128670</t>
  </si>
  <si>
    <t>Diplocladius cultriger</t>
  </si>
  <si>
    <t>Dixa</t>
  </si>
  <si>
    <t>Doithrix</t>
  </si>
  <si>
    <t>128671</t>
  </si>
  <si>
    <t>Dolichopus</t>
  </si>
  <si>
    <t>Djalmabatista</t>
  </si>
  <si>
    <t>Einfeldia</t>
  </si>
  <si>
    <t>Einfeldia dissidens</t>
  </si>
  <si>
    <t>568524</t>
  </si>
  <si>
    <t>Einfeldia natchitocheae</t>
  </si>
  <si>
    <t>Elliptera</t>
  </si>
  <si>
    <t>CG, P, SH</t>
  </si>
  <si>
    <t>135830</t>
  </si>
  <si>
    <t>Endochironomus</t>
  </si>
  <si>
    <t>129470</t>
  </si>
  <si>
    <t>Endochironomus nigricans</t>
  </si>
  <si>
    <t>Endochironomus subtendens</t>
  </si>
  <si>
    <t>Ephydra</t>
  </si>
  <si>
    <t>Erioptera</t>
  </si>
  <si>
    <t>de</t>
  </si>
  <si>
    <t>Erioptera cana</t>
  </si>
  <si>
    <t>dd</t>
  </si>
  <si>
    <t>Erioptera chlorophylla</t>
  </si>
  <si>
    <t>Eukiefferiella</t>
  </si>
  <si>
    <t>128689</t>
  </si>
  <si>
    <t>Eukiefferiella brevicalcar</t>
  </si>
  <si>
    <t>Eukiefferiella claripennis</t>
  </si>
  <si>
    <t>Eukiefferiella devonica</t>
  </si>
  <si>
    <t>128695</t>
  </si>
  <si>
    <t>Eukiefferiella discoloripes</t>
  </si>
  <si>
    <t>am</t>
  </si>
  <si>
    <t>Eukiefferiella gracei</t>
  </si>
  <si>
    <t>Eukiefferiella pseudomontana</t>
  </si>
  <si>
    <t>Eukiefferiella rectangularis</t>
  </si>
  <si>
    <t>Eukiefferiella similis</t>
  </si>
  <si>
    <t>Forcipomyia</t>
  </si>
  <si>
    <t>Glyptotendipes</t>
  </si>
  <si>
    <t>FC, SH</t>
  </si>
  <si>
    <t>129483</t>
  </si>
  <si>
    <t>Glyptotendipes dreisbachi</t>
  </si>
  <si>
    <t>129487</t>
  </si>
  <si>
    <t>Glyptotendipes lobiferus</t>
  </si>
  <si>
    <t>Glyptotendipes polytomus</t>
  </si>
  <si>
    <t>129502</t>
  </si>
  <si>
    <t>Glyptotendipes senilis</t>
  </si>
  <si>
    <t>129497</t>
  </si>
  <si>
    <t>Goeldichironomus</t>
  </si>
  <si>
    <t>Gonomyia</t>
  </si>
  <si>
    <t>Greniera</t>
  </si>
  <si>
    <t>Greniera abdita</t>
  </si>
  <si>
    <t>Halocladius</t>
  </si>
  <si>
    <t>128725</t>
  </si>
  <si>
    <t>Harnischia</t>
  </si>
  <si>
    <t>Harnischia amachaerus</t>
  </si>
  <si>
    <t>Harnischia curtilamellata</t>
  </si>
  <si>
    <t>Harnischia emorsus</t>
  </si>
  <si>
    <t>Heleidae</t>
  </si>
  <si>
    <t>Helius</t>
  </si>
  <si>
    <t>Hesperoconopa</t>
  </si>
  <si>
    <t>Hemerodromia</t>
  </si>
  <si>
    <t>136327</t>
  </si>
  <si>
    <t>Hemerodromia rogatoris</t>
  </si>
  <si>
    <t>Heterotrissocladius</t>
  </si>
  <si>
    <t>128737</t>
  </si>
  <si>
    <t>Heterotrissocladius marcidus</t>
  </si>
  <si>
    <t>Hexatoma</t>
  </si>
  <si>
    <t>120094</t>
  </si>
  <si>
    <t>Hexatoma fultonensis</t>
  </si>
  <si>
    <t>Hexatoma megacera</t>
  </si>
  <si>
    <t>120141</t>
  </si>
  <si>
    <t>Hexatoma spinosa</t>
  </si>
  <si>
    <t>Holorusia</t>
  </si>
  <si>
    <t>Hydrellia</t>
  </si>
  <si>
    <t>Hydrobaenus</t>
  </si>
  <si>
    <t>128750</t>
  </si>
  <si>
    <t>Hydrobaenus carlatus</t>
  </si>
  <si>
    <t>Hydrobaenus johannseni</t>
  </si>
  <si>
    <t>aq</t>
  </si>
  <si>
    <t>Hydrophorus</t>
  </si>
  <si>
    <t>Hyporhygma</t>
  </si>
  <si>
    <t>Kiefferulus</t>
  </si>
  <si>
    <t>Kiefferulus tendipediformis</t>
  </si>
  <si>
    <t>Krenosmittia</t>
  </si>
  <si>
    <t>Labrundinia</t>
  </si>
  <si>
    <t>Labrundinia pilosella</t>
  </si>
  <si>
    <t>Lauterborniella</t>
  </si>
  <si>
    <t>cb, sp, cn, b</t>
  </si>
  <si>
    <t>Lauterborniella agrayloides</t>
  </si>
  <si>
    <t>Lauterborniella varipennis</t>
  </si>
  <si>
    <t>Limnophila</t>
  </si>
  <si>
    <t>120164</t>
  </si>
  <si>
    <t>Muscidae</t>
  </si>
  <si>
    <t>Limnophora</t>
  </si>
  <si>
    <t>at</t>
  </si>
  <si>
    <t>Limnophora aequifrons</t>
  </si>
  <si>
    <t>as</t>
  </si>
  <si>
    <t>Limonia</t>
  </si>
  <si>
    <t>Limonia rostrata</t>
  </si>
  <si>
    <t>Lispoides</t>
  </si>
  <si>
    <t>150805</t>
  </si>
  <si>
    <t>Lispoides aequifrons</t>
  </si>
  <si>
    <t>150806</t>
  </si>
  <si>
    <t>Lispe</t>
  </si>
  <si>
    <t>Lopescladius</t>
  </si>
  <si>
    <t>Macropelopia</t>
  </si>
  <si>
    <t>Macropelopia decedens</t>
  </si>
  <si>
    <t>dg</t>
  </si>
  <si>
    <t>Psychodidae</t>
  </si>
  <si>
    <t>Maruina</t>
  </si>
  <si>
    <t>Metriocnemus</t>
  </si>
  <si>
    <t>Metriocnemus knabi</t>
  </si>
  <si>
    <t>Micropsectra</t>
  </si>
  <si>
    <t>129890</t>
  </si>
  <si>
    <t>Micropsectra brunnipes</t>
  </si>
  <si>
    <t>aw</t>
  </si>
  <si>
    <t>Micropsectra deflecta</t>
  </si>
  <si>
    <t>Micropsectra dives</t>
  </si>
  <si>
    <t>Micropsectra junci</t>
  </si>
  <si>
    <t>129904</t>
  </si>
  <si>
    <t>Micropsectra nigripila</t>
  </si>
  <si>
    <t>Micropsectra polita</t>
  </si>
  <si>
    <t>Microtendipes</t>
  </si>
  <si>
    <t>129535</t>
  </si>
  <si>
    <t>Microtendipes caducus</t>
  </si>
  <si>
    <t>Microtendipes pedellus</t>
  </si>
  <si>
    <t>Microtendipes tarsalis</t>
  </si>
  <si>
    <t>Molophilus</t>
  </si>
  <si>
    <t>Monodiamesa</t>
  </si>
  <si>
    <t>Monodiamesa bathyphila</t>
  </si>
  <si>
    <t>128441</t>
  </si>
  <si>
    <t>Nanocladius</t>
  </si>
  <si>
    <t>128844</t>
  </si>
  <si>
    <t>Nanocladius crassicornus</t>
  </si>
  <si>
    <t>Nanocladius distinctus</t>
  </si>
  <si>
    <t>Nanocladius minimus</t>
  </si>
  <si>
    <t>Nanocladius rectinervis</t>
  </si>
  <si>
    <t>Natarsia</t>
  </si>
  <si>
    <t>Natarsia fastuosa</t>
  </si>
  <si>
    <t>Stratiomyidae</t>
  </si>
  <si>
    <t>Nemotelus</t>
  </si>
  <si>
    <t>sw, sp</t>
  </si>
  <si>
    <t>Nilotanypus</t>
  </si>
  <si>
    <t>Nilotanypus fimbriatus</t>
  </si>
  <si>
    <t>Nilothauma</t>
  </si>
  <si>
    <t>129548</t>
  </si>
  <si>
    <t>Nilothauma babiyi</t>
  </si>
  <si>
    <t>Odontomesa</t>
  </si>
  <si>
    <t>Odontomesa fulva</t>
  </si>
  <si>
    <t>Odontomyia</t>
  </si>
  <si>
    <t>Ormosia</t>
  </si>
  <si>
    <t>Orthocladius</t>
  </si>
  <si>
    <t>128874</t>
  </si>
  <si>
    <t>Orthocladius annectens</t>
  </si>
  <si>
    <t>Orthocladius dorenus</t>
  </si>
  <si>
    <t>Orthocladius lignicola</t>
  </si>
  <si>
    <t>bc</t>
  </si>
  <si>
    <t>128913</t>
  </si>
  <si>
    <t>Orthocladius obumbratus</t>
  </si>
  <si>
    <t>bd</t>
  </si>
  <si>
    <t>Orthocladius paradorenus</t>
  </si>
  <si>
    <t>Orthocladius rivulorum</t>
  </si>
  <si>
    <t>128928</t>
  </si>
  <si>
    <t>Orthocladius thienemanni</t>
  </si>
  <si>
    <t>Pagastia</t>
  </si>
  <si>
    <t>128401</t>
  </si>
  <si>
    <t>Pagastia orthogonia</t>
  </si>
  <si>
    <t>Pagastiella</t>
  </si>
  <si>
    <t>Pagastiella ostansa</t>
  </si>
  <si>
    <t>Palpomyia</t>
  </si>
  <si>
    <t>Palpomyia lineata</t>
  </si>
  <si>
    <t>bf</t>
  </si>
  <si>
    <t>127885</t>
  </si>
  <si>
    <t>Palpomyia pruinescens</t>
  </si>
  <si>
    <t>Palpomyia tibialis</t>
  </si>
  <si>
    <t>Parachaetocladius</t>
  </si>
  <si>
    <t>128951</t>
  </si>
  <si>
    <t>Parachaetocladius hudsoni</t>
  </si>
  <si>
    <t>EPA</t>
  </si>
  <si>
    <t>Parachironomus</t>
  </si>
  <si>
    <t>129564</t>
  </si>
  <si>
    <t>Parachironomus abortivus</t>
  </si>
  <si>
    <t>Parachironomus frequens</t>
  </si>
  <si>
    <t>Paracricotopus</t>
  </si>
  <si>
    <t>128962</t>
  </si>
  <si>
    <t>Parakiefferiella</t>
  </si>
  <si>
    <t>128968</t>
  </si>
  <si>
    <t>Parakiefferiella coronata</t>
  </si>
  <si>
    <t>Paralauterborniella</t>
  </si>
  <si>
    <t>Paralauterborniella nigrohalterale</t>
  </si>
  <si>
    <t>Parametriocnemus</t>
  </si>
  <si>
    <t>128978</t>
  </si>
  <si>
    <t>Parametriocnemus graminicola</t>
  </si>
  <si>
    <t>128980</t>
  </si>
  <si>
    <t>Parametriocnemus lundbecki</t>
  </si>
  <si>
    <t>Parametriocnemus stylatus</t>
  </si>
  <si>
    <t>Paraphaenocladius</t>
  </si>
  <si>
    <t>128989</t>
  </si>
  <si>
    <t>Paratanytarsus</t>
  </si>
  <si>
    <t>129935</t>
  </si>
  <si>
    <t>Paratanytarsus dissimilis</t>
  </si>
  <si>
    <t>cd</t>
  </si>
  <si>
    <t>553088</t>
  </si>
  <si>
    <t>Paratendipes</t>
  </si>
  <si>
    <t>129624</t>
  </si>
  <si>
    <t>Paratendipes albimanus</t>
  </si>
  <si>
    <t>Pedicia</t>
  </si>
  <si>
    <t>Pelopia</t>
  </si>
  <si>
    <t>CG, P, PI</t>
  </si>
  <si>
    <t>Pelopia stellata</t>
  </si>
  <si>
    <t>Pentaneura</t>
  </si>
  <si>
    <t>128215</t>
  </si>
  <si>
    <t>Pentaneura carnea</t>
  </si>
  <si>
    <t>Pericoma</t>
  </si>
  <si>
    <t>125514</t>
  </si>
  <si>
    <t>Phaenopsectra</t>
  </si>
  <si>
    <t>129637</t>
  </si>
  <si>
    <t>Phaenopsectra flavipes</t>
  </si>
  <si>
    <t>Phaenopsectra obediens</t>
  </si>
  <si>
    <t>Pilaria</t>
  </si>
  <si>
    <t>120335</t>
  </si>
  <si>
    <t>Pilaria tenuipes</t>
  </si>
  <si>
    <t>Polypedilum</t>
  </si>
  <si>
    <t>dm</t>
  </si>
  <si>
    <t>568519</t>
  </si>
  <si>
    <t>Polypedilum convictum</t>
  </si>
  <si>
    <t>Polypedilum fallax</t>
  </si>
  <si>
    <t>Polypedilum halterale</t>
  </si>
  <si>
    <t>bm</t>
  </si>
  <si>
    <t>129684</t>
  </si>
  <si>
    <t>Polypedilum illinoense</t>
  </si>
  <si>
    <t>129686</t>
  </si>
  <si>
    <t>Polypedilum ontario</t>
  </si>
  <si>
    <t>Polypedilum ophioides</t>
  </si>
  <si>
    <t>Polypedilum scalaenum</t>
  </si>
  <si>
    <t>bn</t>
  </si>
  <si>
    <t>129708</t>
  </si>
  <si>
    <t>Polypedilum tritum</t>
  </si>
  <si>
    <t>bo</t>
  </si>
  <si>
    <t>Potthastia</t>
  </si>
  <si>
    <t>Potthastia longimana</t>
  </si>
  <si>
    <t>128412</t>
  </si>
  <si>
    <t>Prionocera</t>
  </si>
  <si>
    <t>Probezzia</t>
  </si>
  <si>
    <t>127729</t>
  </si>
  <si>
    <t>Procladius</t>
  </si>
  <si>
    <t>128277</t>
  </si>
  <si>
    <t>Procladius bellus</t>
  </si>
  <si>
    <t>Procladius culiciformis</t>
  </si>
  <si>
    <t>Procladius riparius</t>
  </si>
  <si>
    <t>Prodiamesa</t>
  </si>
  <si>
    <t>Prodiamesa bathyphila</t>
  </si>
  <si>
    <t>Prodiamesa olivacea</t>
  </si>
  <si>
    <t>Prosimulium</t>
  </si>
  <si>
    <t>126703</t>
  </si>
  <si>
    <t>Prosimulium hirtipes</t>
  </si>
  <si>
    <t>Prosimulium magnum</t>
  </si>
  <si>
    <t>126733</t>
  </si>
  <si>
    <t>Protanypus</t>
  </si>
  <si>
    <t>Psectrocladius</t>
  </si>
  <si>
    <t>129018</t>
  </si>
  <si>
    <t>Psectrocladius barbimanus</t>
  </si>
  <si>
    <t>Psectrocladius elatus</t>
  </si>
  <si>
    <t>Psectrocladius flavus</t>
  </si>
  <si>
    <t>Psectrocladius nigrus</t>
  </si>
  <si>
    <t>Psectrocladius octomaculatus</t>
  </si>
  <si>
    <t>Psectrocladius pilosus</t>
  </si>
  <si>
    <t>Psectrocladius psilopterus</t>
  </si>
  <si>
    <t>Psectrocladius simulans</t>
  </si>
  <si>
    <t>Psectrocladius sordidellus</t>
  </si>
  <si>
    <t>Psectrocladius vernalis</t>
  </si>
  <si>
    <t>Psectrotanypus</t>
  </si>
  <si>
    <t>Psectrotanypus dyari</t>
  </si>
  <si>
    <t>Apsectrotanypus trifascipennis</t>
  </si>
  <si>
    <t>Apsectrotanypus</t>
  </si>
  <si>
    <t>568525</t>
  </si>
  <si>
    <t>Pseudochironomus</t>
  </si>
  <si>
    <t>129851</t>
  </si>
  <si>
    <t>Pseudochironomus fulviventris</t>
  </si>
  <si>
    <t>Pseudochironomus prasinatus</t>
  </si>
  <si>
    <t>Pseudochironomus richardsoni</t>
  </si>
  <si>
    <t>Pseudodiamesa</t>
  </si>
  <si>
    <t>Pseudodiamesa pertinax</t>
  </si>
  <si>
    <t>Pseudolimnophila</t>
  </si>
  <si>
    <t>120365</t>
  </si>
  <si>
    <t>Pseudorthocladius</t>
  </si>
  <si>
    <t>Psilodiamesa</t>
  </si>
  <si>
    <t>Psilopa</t>
  </si>
  <si>
    <t>Psychoda</t>
  </si>
  <si>
    <t>Psychoda alternata</t>
  </si>
  <si>
    <t>125351</t>
  </si>
  <si>
    <t>Ptychoptera</t>
  </si>
  <si>
    <t>125786</t>
  </si>
  <si>
    <t>Ptychoptera quadrifasciata</t>
  </si>
  <si>
    <t>bs</t>
  </si>
  <si>
    <t>Ptychoptera rufocincta</t>
  </si>
  <si>
    <t>Rheocricotopus</t>
  </si>
  <si>
    <t>bt</t>
  </si>
  <si>
    <t>129086</t>
  </si>
  <si>
    <t>Rheocricotopus robacki</t>
  </si>
  <si>
    <t>129102</t>
  </si>
  <si>
    <t>Rheocricotopus tuberculatus</t>
  </si>
  <si>
    <t>Rheopelopia</t>
  </si>
  <si>
    <t>Rheopelopia perda</t>
  </si>
  <si>
    <t>Rheosmittia</t>
  </si>
  <si>
    <t>Rheotanytarsus</t>
  </si>
  <si>
    <t>129952</t>
  </si>
  <si>
    <t>Rheotanytarsus distinctissimus</t>
  </si>
  <si>
    <t>Rheotanytarsus exiguus</t>
  </si>
  <si>
    <t>Robackia</t>
  </si>
  <si>
    <t>Robackia demeijerei</t>
  </si>
  <si>
    <t>Saetheria</t>
  </si>
  <si>
    <t>Saetheria tylus</t>
  </si>
  <si>
    <t>Scatella</t>
  </si>
  <si>
    <t>126640</t>
  </si>
  <si>
    <t>Simulium</t>
  </si>
  <si>
    <t>126774</t>
  </si>
  <si>
    <t>Simulium aureum</t>
  </si>
  <si>
    <t>Simulium decorum</t>
  </si>
  <si>
    <t>Simulium gouldingi</t>
  </si>
  <si>
    <t>Simulium jenningsi</t>
  </si>
  <si>
    <t>126832</t>
  </si>
  <si>
    <t>Simulium pictipes</t>
  </si>
  <si>
    <t>Simulium tuberosum</t>
  </si>
  <si>
    <t>126883</t>
  </si>
  <si>
    <t>Simulium venustum</t>
  </si>
  <si>
    <t>126892</t>
  </si>
  <si>
    <t>Simulium vittatum</t>
  </si>
  <si>
    <t>126903</t>
  </si>
  <si>
    <t>Smittia</t>
  </si>
  <si>
    <t>Stempellina</t>
  </si>
  <si>
    <t>129962</t>
  </si>
  <si>
    <t>Stempellina bausei</t>
  </si>
  <si>
    <t>ea</t>
  </si>
  <si>
    <t>Stenochironomus</t>
  </si>
  <si>
    <t>EPA 3;  6</t>
  </si>
  <si>
    <t>Stictochironomus</t>
  </si>
  <si>
    <t>129785</t>
  </si>
  <si>
    <t>Stictochironomus devinctus</t>
  </si>
  <si>
    <t>Stilobezzia</t>
  </si>
  <si>
    <t>Stilobezzia antennalis</t>
  </si>
  <si>
    <t>sp, sw</t>
  </si>
  <si>
    <t>130150</t>
  </si>
  <si>
    <t>Stratiomys</t>
  </si>
  <si>
    <t>Stratiomys discalis</t>
  </si>
  <si>
    <t>130643</t>
  </si>
  <si>
    <t>Sublettea</t>
  </si>
  <si>
    <t>129975</t>
  </si>
  <si>
    <t>Sublettea coffmani</t>
  </si>
  <si>
    <t>129976</t>
  </si>
  <si>
    <t>Symbiocladius</t>
  </si>
  <si>
    <t>by</t>
  </si>
  <si>
    <t>Symposiocladius</t>
  </si>
  <si>
    <t>128877</t>
  </si>
  <si>
    <t>Symposiocladius lignicola</t>
  </si>
  <si>
    <t>Sympotthastia</t>
  </si>
  <si>
    <t>128426</t>
  </si>
  <si>
    <t>Syndiamesa</t>
  </si>
  <si>
    <t>Synorthocladius</t>
  </si>
  <si>
    <t>Synorthocladius semivirens</t>
  </si>
  <si>
    <t>Syrphidae</t>
  </si>
  <si>
    <t>Syritta</t>
  </si>
  <si>
    <t>141417</t>
  </si>
  <si>
    <t>Syritta pipiens</t>
  </si>
  <si>
    <t>141419</t>
  </si>
  <si>
    <t>130934</t>
  </si>
  <si>
    <t>Tabanus</t>
  </si>
  <si>
    <t>131527</t>
  </si>
  <si>
    <t>Tanyderidae</t>
  </si>
  <si>
    <t>Tanypus</t>
  </si>
  <si>
    <t>Tanypus neopunctipennis</t>
  </si>
  <si>
    <t>Tanypus punctipennis</t>
  </si>
  <si>
    <t>Tanypus stellatus</t>
  </si>
  <si>
    <t>Tanytarsus</t>
  </si>
  <si>
    <t>129978</t>
  </si>
  <si>
    <t>Tanytarsus confusus</t>
  </si>
  <si>
    <t>Tanytarsus dissimilis</t>
  </si>
  <si>
    <t>129990</t>
  </si>
  <si>
    <t>Tanytarsus glabrescens</t>
  </si>
  <si>
    <t>Tanytarsus guerlus</t>
  </si>
  <si>
    <t>cf</t>
  </si>
  <si>
    <t>Tanytarsus varelus</t>
  </si>
  <si>
    <t>ce</t>
  </si>
  <si>
    <t>Telmatoscopus</t>
  </si>
  <si>
    <t>Telmatoscopus albipunctatus</t>
  </si>
  <si>
    <t>Telopelopia</t>
  </si>
  <si>
    <t>Telopelopia okoboji</t>
  </si>
  <si>
    <t>Thienemanniella</t>
  </si>
  <si>
    <t>129182</t>
  </si>
  <si>
    <t>Thienemanniella fusca</t>
  </si>
  <si>
    <t>Thienemanniella xena</t>
  </si>
  <si>
    <t>129190</t>
  </si>
  <si>
    <t>Thienemannimyia</t>
  </si>
  <si>
    <t>128236</t>
  </si>
  <si>
    <t>Thienemannimyia norena</t>
  </si>
  <si>
    <t>Thienemannimyia senata</t>
  </si>
  <si>
    <t>Tipula</t>
  </si>
  <si>
    <t>119037</t>
  </si>
  <si>
    <t>Tipula abdominalis</t>
  </si>
  <si>
    <t>Tipula ignobilis</t>
  </si>
  <si>
    <t>118840</t>
  </si>
  <si>
    <t>Tribelos</t>
  </si>
  <si>
    <t>129820</t>
  </si>
  <si>
    <t>Tribelos jucundus</t>
  </si>
  <si>
    <t>Trichocladius</t>
  </si>
  <si>
    <t>Trissocladius</t>
  </si>
  <si>
    <t>Trissopelopia</t>
  </si>
  <si>
    <t>Tvetenia</t>
  </si>
  <si>
    <t>129197</t>
  </si>
  <si>
    <t>Tvetenia bavarica</t>
  </si>
  <si>
    <t>129205</t>
  </si>
  <si>
    <t>Tvetenia discoloripes</t>
  </si>
  <si>
    <t>189327</t>
  </si>
  <si>
    <t>Tvetenia vitracies</t>
  </si>
  <si>
    <t>129203</t>
  </si>
  <si>
    <t>Unniella</t>
  </si>
  <si>
    <t>cz</t>
  </si>
  <si>
    <t>Unniella multivirga</t>
  </si>
  <si>
    <t>ci</t>
  </si>
  <si>
    <t>Xenochironomus</t>
  </si>
  <si>
    <t>Xenochironomus xenolabis</t>
  </si>
  <si>
    <t>Xylotopus</t>
  </si>
  <si>
    <t>Xylotopus par</t>
  </si>
  <si>
    <t>Zalutschia</t>
  </si>
  <si>
    <t>Zalutschia zalutschicola</t>
  </si>
  <si>
    <t>Zavrelia</t>
  </si>
  <si>
    <t>Zavrelia pentatoma</t>
  </si>
  <si>
    <t>Zavreliella</t>
  </si>
  <si>
    <t>Zavreliella marmorata</t>
  </si>
  <si>
    <t>Gastropoda</t>
  </si>
  <si>
    <t>Amnicola</t>
  </si>
  <si>
    <t>70747</t>
  </si>
  <si>
    <t>Amnicola limosus limosus</t>
  </si>
  <si>
    <t>70748</t>
  </si>
  <si>
    <t>Aplexa</t>
  </si>
  <si>
    <t>Aplexa elongata</t>
  </si>
  <si>
    <t>76697</t>
  </si>
  <si>
    <t>Campeloma</t>
  </si>
  <si>
    <t>Campeloma decisum</t>
  </si>
  <si>
    <t>70312</t>
  </si>
  <si>
    <t>Cionellidae</t>
  </si>
  <si>
    <t>Cionella</t>
  </si>
  <si>
    <t>566959</t>
  </si>
  <si>
    <t>Cionella lubrica</t>
  </si>
  <si>
    <t>Discus</t>
  </si>
  <si>
    <t>77395</t>
  </si>
  <si>
    <t>Discus cronkhitei</t>
  </si>
  <si>
    <t>Elimia</t>
  </si>
  <si>
    <t>Elimia virginica</t>
  </si>
  <si>
    <t>71851</t>
  </si>
  <si>
    <t>Ferrissia</t>
  </si>
  <si>
    <t>76569</t>
  </si>
  <si>
    <t>Ferrissia parallela</t>
  </si>
  <si>
    <t>76571</t>
  </si>
  <si>
    <t>Ferrissia rivularis</t>
  </si>
  <si>
    <t>76572</t>
  </si>
  <si>
    <t>Lymnaeidae</t>
  </si>
  <si>
    <t>Fossaria</t>
  </si>
  <si>
    <t>76497</t>
  </si>
  <si>
    <t>Fossaria obrussa</t>
  </si>
  <si>
    <t>76504</t>
  </si>
  <si>
    <t>Gillia</t>
  </si>
  <si>
    <t>Gillia altilis</t>
  </si>
  <si>
    <t>70665</t>
  </si>
  <si>
    <t>Gyraulus</t>
  </si>
  <si>
    <t>76592</t>
  </si>
  <si>
    <t>Gyraulus circumstriatus</t>
  </si>
  <si>
    <t>76593</t>
  </si>
  <si>
    <t>Gyraulus deflectus</t>
  </si>
  <si>
    <t>76594</t>
  </si>
  <si>
    <t>Gyraulus parvus</t>
  </si>
  <si>
    <t>76595</t>
  </si>
  <si>
    <t>Helisoma</t>
  </si>
  <si>
    <t>76599</t>
  </si>
  <si>
    <t>Helisoma anceps</t>
  </si>
  <si>
    <t>76600</t>
  </si>
  <si>
    <t>Helisoma anceps anceps</t>
  </si>
  <si>
    <t>76601</t>
  </si>
  <si>
    <t>Helisoma trivolvis</t>
  </si>
  <si>
    <t>Helisoma trivolvis trivolvis</t>
  </si>
  <si>
    <t>Hydrobia</t>
  </si>
  <si>
    <t>Laevapex</t>
  </si>
  <si>
    <t>Laevapex fuscus</t>
  </si>
  <si>
    <t>Leptoxis</t>
  </si>
  <si>
    <t>Lithasia</t>
  </si>
  <si>
    <t>Lithasia obovata</t>
  </si>
  <si>
    <t>76483</t>
  </si>
  <si>
    <t>Lyogyrus</t>
  </si>
  <si>
    <t>Lyogyrus granum</t>
  </si>
  <si>
    <t>Menetus</t>
  </si>
  <si>
    <t>76626</t>
  </si>
  <si>
    <t>Menetus dilatatus</t>
  </si>
  <si>
    <t>205210</t>
  </si>
  <si>
    <t>Paludestrema</t>
  </si>
  <si>
    <t>70689</t>
  </si>
  <si>
    <t>Paludestrema bottimeri</t>
  </si>
  <si>
    <t>Physella</t>
  </si>
  <si>
    <t>76698</t>
  </si>
  <si>
    <t>Physella gyrina</t>
  </si>
  <si>
    <t>bk</t>
  </si>
  <si>
    <t>76735</t>
  </si>
  <si>
    <t>Physella heterostropha</t>
  </si>
  <si>
    <t>cv</t>
  </si>
  <si>
    <t>Physella integra</t>
  </si>
  <si>
    <t>cw</t>
  </si>
  <si>
    <t>76738</t>
  </si>
  <si>
    <t>Physella vinosa</t>
  </si>
  <si>
    <t>Planorbella</t>
  </si>
  <si>
    <t>Planorbella trivolvis</t>
  </si>
  <si>
    <t>Planorbella trivolvis trivolvis</t>
  </si>
  <si>
    <t>205211</t>
  </si>
  <si>
    <t>76591</t>
  </si>
  <si>
    <t>Planorbula</t>
  </si>
  <si>
    <t>76629</t>
  </si>
  <si>
    <t>Planorbula armigera</t>
  </si>
  <si>
    <t>Pleurocera</t>
  </si>
  <si>
    <t>71549</t>
  </si>
  <si>
    <t>Pleurocera acuta</t>
  </si>
  <si>
    <t>71550</t>
  </si>
  <si>
    <t>Promenetus</t>
  </si>
  <si>
    <t>Promenetus exacuous</t>
  </si>
  <si>
    <t>76622</t>
  </si>
  <si>
    <t>Pseudosuccinea</t>
  </si>
  <si>
    <t>Pseudosuccinea columella</t>
  </si>
  <si>
    <t>Somatogyrus</t>
  </si>
  <si>
    <t>Stagnicola</t>
  </si>
  <si>
    <t>Stagnicola caperata</t>
  </si>
  <si>
    <t>76535</t>
  </si>
  <si>
    <t>Stagnicola catascopium</t>
  </si>
  <si>
    <t>76538</t>
  </si>
  <si>
    <t>Valvatidae</t>
  </si>
  <si>
    <t>Valvata</t>
  </si>
  <si>
    <t>70346</t>
  </si>
  <si>
    <t>Valvata bicarinata</t>
  </si>
  <si>
    <t>cj</t>
  </si>
  <si>
    <t>Valvata bicarinata normalis</t>
  </si>
  <si>
    <t>Valvata tricarinata</t>
  </si>
  <si>
    <t>70354</t>
  </si>
  <si>
    <t>Viviparus</t>
  </si>
  <si>
    <t>Viviparus georgianus</t>
  </si>
  <si>
    <t>Zonitoidae</t>
  </si>
  <si>
    <t>Zonitoides</t>
  </si>
  <si>
    <t>Zonitoides arboreus</t>
  </si>
  <si>
    <t>Pelecypoda</t>
  </si>
  <si>
    <t>Alasmidonta</t>
  </si>
  <si>
    <t>79915</t>
  </si>
  <si>
    <t>Alasmidonta undulata</t>
  </si>
  <si>
    <t>Anodonta</t>
  </si>
  <si>
    <t>Anodonta cataracta</t>
  </si>
  <si>
    <t>Anodonta implicata</t>
  </si>
  <si>
    <t>Corbicula</t>
  </si>
  <si>
    <t>81385</t>
  </si>
  <si>
    <t>Corbicula manilensis</t>
  </si>
  <si>
    <t>Elliptio</t>
  </si>
  <si>
    <t>Elliptio complanata</t>
  </si>
  <si>
    <t>Musculium</t>
  </si>
  <si>
    <t>81427</t>
  </si>
  <si>
    <t>Musculium partumeium</t>
  </si>
  <si>
    <t>ax</t>
  </si>
  <si>
    <t>Musculium securis</t>
  </si>
  <si>
    <t>ay</t>
  </si>
  <si>
    <t>Musculium transversum</t>
  </si>
  <si>
    <t>az</t>
  </si>
  <si>
    <t>Pisidium</t>
  </si>
  <si>
    <t>81400</t>
  </si>
  <si>
    <t>Pisidium casertanum</t>
  </si>
  <si>
    <t>Pisidium compressum</t>
  </si>
  <si>
    <t>Pisidium dubium</t>
  </si>
  <si>
    <t>Pisidium fallax</t>
  </si>
  <si>
    <t>Pisidium punctatum</t>
  </si>
  <si>
    <t>Pisidium variabile</t>
  </si>
  <si>
    <t>Pisidium walkeri</t>
  </si>
  <si>
    <t>112737</t>
  </si>
  <si>
    <t>Sphaerium</t>
  </si>
  <si>
    <t>Sphaerium fabale</t>
  </si>
  <si>
    <t>Sphaerium occidentale</t>
  </si>
  <si>
    <t>Sphaerium partumeium</t>
  </si>
  <si>
    <t>Sphaerium rhomboideum</t>
  </si>
  <si>
    <t>Sphaerium securis</t>
  </si>
  <si>
    <t>Sphaerium simile</t>
  </si>
  <si>
    <t>Sphaerium striatinum</t>
  </si>
  <si>
    <t>Sphaerium transversum</t>
  </si>
  <si>
    <t>Strophitus</t>
  </si>
  <si>
    <t>Strophitus undulatus</t>
  </si>
  <si>
    <t>Phoridae</t>
  </si>
  <si>
    <t>Diplonevra</t>
  </si>
  <si>
    <t>Stylogomphus</t>
  </si>
  <si>
    <t>101761</t>
  </si>
  <si>
    <t>127994</t>
  </si>
  <si>
    <t>Diamesinae</t>
  </si>
  <si>
    <t>128457</t>
  </si>
  <si>
    <t>Stelechomyia</t>
  </si>
  <si>
    <t>Chironomini</t>
  </si>
  <si>
    <t>Chironominae</t>
  </si>
  <si>
    <t>129872</t>
  </si>
  <si>
    <t>Parajulus</t>
  </si>
  <si>
    <t>100507</t>
  </si>
  <si>
    <t>MD</t>
  </si>
  <si>
    <t>128021</t>
  </si>
  <si>
    <t>Phalacrocera</t>
  </si>
  <si>
    <t>Naucoridae</t>
  </si>
  <si>
    <t>Pelocoris</t>
  </si>
  <si>
    <t>Cernotina</t>
  </si>
  <si>
    <t>WW</t>
  </si>
  <si>
    <t>Isogenoides</t>
  </si>
  <si>
    <t>Stempellinella</t>
  </si>
  <si>
    <t>129968</t>
  </si>
  <si>
    <t>Stylodrilus</t>
  </si>
  <si>
    <t>N/A</t>
  </si>
  <si>
    <t>68450</t>
  </si>
  <si>
    <t>Arigomphus</t>
  </si>
  <si>
    <t>101770</t>
  </si>
  <si>
    <t>Procloeon</t>
  </si>
  <si>
    <t>sw,cn</t>
  </si>
  <si>
    <t>206622</t>
  </si>
  <si>
    <t>Acerpenna</t>
  </si>
  <si>
    <t>568546</t>
  </si>
  <si>
    <t>Eurylophella aestiva</t>
  </si>
  <si>
    <t>EPA3</t>
  </si>
  <si>
    <t>Fallceon</t>
  </si>
  <si>
    <t>Larsia</t>
  </si>
  <si>
    <t>Zavrelimyia</t>
  </si>
  <si>
    <t>Palpomyia complex</t>
  </si>
  <si>
    <t>b,sw</t>
  </si>
  <si>
    <t>Triaenodes perna</t>
  </si>
  <si>
    <t>sw,cb</t>
  </si>
  <si>
    <t>206644</t>
  </si>
  <si>
    <t>Physa</t>
  </si>
  <si>
    <t>76677</t>
  </si>
  <si>
    <t>Succinea</t>
  </si>
  <si>
    <t>76933</t>
  </si>
  <si>
    <t>Nigronia fasciatus</t>
  </si>
  <si>
    <t>cn,cb,b</t>
  </si>
  <si>
    <t>Aquarius</t>
  </si>
  <si>
    <t>Stylogomphus albistylus</t>
  </si>
  <si>
    <t>Least Clubtail</t>
  </si>
  <si>
    <t>101762</t>
  </si>
  <si>
    <t>99237</t>
  </si>
  <si>
    <t>Ceratopsyche bifida</t>
  </si>
  <si>
    <t>568782</t>
  </si>
  <si>
    <t>Labiobaetis propinquus</t>
  </si>
  <si>
    <t>Labiobaetis</t>
  </si>
  <si>
    <t>568605</t>
  </si>
  <si>
    <t>Litobrancha</t>
  </si>
  <si>
    <t>Leucrocuta</t>
  </si>
  <si>
    <t>100676</t>
  </si>
  <si>
    <t>Stilocladius</t>
  </si>
  <si>
    <t>Cultus</t>
  </si>
  <si>
    <t>Polypedilum flavum</t>
  </si>
  <si>
    <t>Alotanypus</t>
  </si>
  <si>
    <t>Guttipelopia</t>
  </si>
  <si>
    <t>Desmopachria</t>
  </si>
  <si>
    <t>Buenoa</t>
  </si>
  <si>
    <t>Heterotanytarsus</t>
  </si>
  <si>
    <t>128734</t>
  </si>
  <si>
    <t>Chaetocladius</t>
  </si>
  <si>
    <t>Polypedilum aviceps</t>
  </si>
  <si>
    <t>129666</t>
  </si>
  <si>
    <t>Sweltsa</t>
  </si>
  <si>
    <t>103273</t>
  </si>
  <si>
    <t>Polypedilum laetum</t>
  </si>
  <si>
    <t>129692</t>
  </si>
  <si>
    <t>Orconectes obscurus</t>
  </si>
  <si>
    <t>97466</t>
  </si>
  <si>
    <t>Orconectes rusticus</t>
  </si>
  <si>
    <t>Amphinemura wui</t>
  </si>
  <si>
    <t>102543</t>
  </si>
  <si>
    <t>Orconectes virilis</t>
  </si>
  <si>
    <t>Microtendipes pedellus gr.</t>
  </si>
  <si>
    <t>Rheotanytarsus exiguus gr.</t>
  </si>
  <si>
    <t>Nais barbata</t>
  </si>
  <si>
    <t>Pseudocloeon propiquus</t>
  </si>
  <si>
    <t>Remenus</t>
  </si>
  <si>
    <t>Adicrophleps</t>
  </si>
  <si>
    <t>Rhyacophila carolina gr.</t>
  </si>
  <si>
    <t>Agnetina flavescens</t>
  </si>
  <si>
    <t>Corbicula fluminea</t>
  </si>
  <si>
    <t>Limnophyes</t>
  </si>
  <si>
    <t>Pristinella osborni</t>
  </si>
  <si>
    <t>Pristinella</t>
  </si>
  <si>
    <t>Stelechomyia perpulchra</t>
  </si>
  <si>
    <t>Setodes</t>
  </si>
  <si>
    <t>Thienemannimyia gr.</t>
  </si>
  <si>
    <t>Stylodrilus heringianus</t>
  </si>
  <si>
    <t>Pristinella jenkinae</t>
  </si>
  <si>
    <t>69030</t>
  </si>
  <si>
    <t>Tubificidae w/o cap</t>
  </si>
  <si>
    <t>Microtendipes rydalensis gr.</t>
  </si>
  <si>
    <t>Psilometriocnemus</t>
  </si>
  <si>
    <t>Polypedilum fallax gr.</t>
  </si>
  <si>
    <t>Tvetenia bavarica gr.</t>
  </si>
  <si>
    <t>Rheotanytarsus pellucidus</t>
  </si>
  <si>
    <t>Lumbricina</t>
  </si>
  <si>
    <t>Polypedilum halterale gr.</t>
  </si>
  <si>
    <t>Polypedilum illinoense gr.</t>
  </si>
  <si>
    <t>Polypedilum scalaenum gr.</t>
  </si>
  <si>
    <t>Cricotopus bicinctus gr.</t>
  </si>
  <si>
    <t>Cricotopus trifascia gr.</t>
  </si>
  <si>
    <t>Eukiefferiella claripennis gr.</t>
  </si>
  <si>
    <t>Eukiefferiella coerulescens gr.</t>
  </si>
  <si>
    <t>Eukiefferiella tirolensis</t>
  </si>
  <si>
    <t>Orthocladius Complex</t>
  </si>
  <si>
    <t>Paracladopelma</t>
  </si>
  <si>
    <t>Physella ancillaria</t>
  </si>
  <si>
    <t>Matus</t>
  </si>
  <si>
    <t>MC</t>
  </si>
  <si>
    <t>Haemonais waldvogeli</t>
  </si>
  <si>
    <t>Haemonais</t>
  </si>
  <si>
    <t>Cricotopus absurdus</t>
  </si>
  <si>
    <t>Pristina leidyi</t>
  </si>
  <si>
    <t>PA-DEP</t>
  </si>
  <si>
    <t>SWCS</t>
  </si>
  <si>
    <t>598168</t>
  </si>
  <si>
    <t>Maccaffertium</t>
  </si>
  <si>
    <t>Maccaffertium terminatum terminatum</t>
  </si>
  <si>
    <t>Maccaffertium exiguum</t>
  </si>
  <si>
    <t>Maccaffertium mexicanum integrum</t>
  </si>
  <si>
    <t>Maccaffertium ithaca</t>
  </si>
  <si>
    <t>cr</t>
  </si>
  <si>
    <t>698218</t>
  </si>
  <si>
    <t>Maccaffertium luteum</t>
  </si>
  <si>
    <t>Maccaffertium mediopunctatum</t>
  </si>
  <si>
    <t>Maccaffertium modestum</t>
  </si>
  <si>
    <t>Maccaffertium mediopunctatum mediopunctatum</t>
  </si>
  <si>
    <t>Maccaffertium pudicum</t>
  </si>
  <si>
    <t>698238</t>
  </si>
  <si>
    <t>Maccaffertium pulchellum</t>
  </si>
  <si>
    <t>Maccaffertium smithae</t>
  </si>
  <si>
    <t>698247</t>
  </si>
  <si>
    <t>Maccaffertium terminatum</t>
  </si>
  <si>
    <t>EPA 2, 3, 4</t>
  </si>
  <si>
    <t>Maccaffertium vicarium</t>
  </si>
  <si>
    <t>Gloiobdella</t>
  </si>
  <si>
    <t>Gloiobdella elongata</t>
  </si>
  <si>
    <t>Omisus</t>
  </si>
  <si>
    <t>Amnicola limosus</t>
  </si>
  <si>
    <t>Potthastia gaedii</t>
  </si>
  <si>
    <t>Ripistes parasita</t>
  </si>
  <si>
    <t>Ripistes</t>
  </si>
  <si>
    <t>Celina</t>
  </si>
  <si>
    <t>Graphoderus</t>
  </si>
  <si>
    <t>High Gradient Site</t>
  </si>
  <si>
    <t>Size (sqkm)</t>
  </si>
  <si>
    <t>BD1</t>
  </si>
  <si>
    <t>HB3</t>
  </si>
  <si>
    <t>SB3</t>
  </si>
  <si>
    <t>Hydropsychidae, Psephenidae</t>
  </si>
  <si>
    <t>SB3_2014-07-26</t>
  </si>
  <si>
    <t>SB4_2014-07-20</t>
  </si>
  <si>
    <t>SB5_2014-07-23</t>
  </si>
  <si>
    <t>TM1_2014-07-20</t>
  </si>
  <si>
    <t># Scraper Genera/ HGMI</t>
  </si>
  <si>
    <t>BD3_2014-10-21</t>
  </si>
  <si>
    <t>BK1_2014-10-18</t>
  </si>
  <si>
    <t>SB1_2014-10-18</t>
  </si>
  <si>
    <t>SB3_2014-11-01</t>
  </si>
  <si>
    <t>SB4_2014-10-05</t>
  </si>
  <si>
    <t>SM1_2014-10-14</t>
  </si>
  <si>
    <t>TM1_2014-10-14</t>
  </si>
  <si>
    <t>BD3_2015-03-25</t>
  </si>
  <si>
    <t>BD4_2015-03-20</t>
  </si>
  <si>
    <t>SB1_2015-03-19</t>
  </si>
  <si>
    <t>SB2_2015-03-15</t>
  </si>
  <si>
    <t>SB4_2015-03-22</t>
  </si>
  <si>
    <t>TM1_2015-03-27</t>
  </si>
  <si>
    <t>SB2_2014-10-12</t>
  </si>
  <si>
    <t>BD4_2015-07-18</t>
  </si>
  <si>
    <t>BK1_2015-07-19</t>
  </si>
  <si>
    <t>SB1_2015-07-18</t>
  </si>
  <si>
    <t>SB2_2015-07-28</t>
  </si>
  <si>
    <t>SB4_2015-07-11</t>
  </si>
  <si>
    <t>SM1_2015-07-23</t>
  </si>
  <si>
    <t>TM1_2015-07-25</t>
  </si>
  <si>
    <t>BK1_2015-10-18</t>
  </si>
  <si>
    <t>SB2_2015-10-10</t>
  </si>
  <si>
    <t>SB3_2015-10-15</t>
  </si>
  <si>
    <t>SB4_2015-10-31</t>
  </si>
  <si>
    <t>SB5_2015-10-17</t>
  </si>
  <si>
    <t>SM1_2015-10-22</t>
  </si>
  <si>
    <t>SB2_2016-07-10</t>
  </si>
  <si>
    <t>SB2_2016-10-15</t>
  </si>
  <si>
    <t>BD4_2016-03-26</t>
  </si>
  <si>
    <t>SB3_2016-03-25</t>
  </si>
  <si>
    <t>SB4_2016-04-06</t>
  </si>
  <si>
    <t>SB5_2016-03-26</t>
  </si>
  <si>
    <t>BD4_2016-07-07</t>
  </si>
  <si>
    <t>SB1_2016-07-10</t>
  </si>
  <si>
    <t>SB3_2016-07-09</t>
  </si>
  <si>
    <t>SB4_2016-07-16</t>
  </si>
  <si>
    <t>SB5_2016-07-17</t>
  </si>
  <si>
    <t>SM1_2016-07-14</t>
  </si>
  <si>
    <t>BD4_2016-10-04</t>
  </si>
  <si>
    <t>SB1_2016-10-16</t>
  </si>
  <si>
    <t>SB3_2016-10-15</t>
  </si>
  <si>
    <t>SB4_2016-10-04</t>
  </si>
  <si>
    <t>SB5_2016-10-15</t>
  </si>
  <si>
    <t>SM1_2016-10-14</t>
  </si>
  <si>
    <t>BD4_2017-04-02</t>
  </si>
  <si>
    <t>SB1_2017-03-19</t>
  </si>
  <si>
    <t>SB3_2017-03-29</t>
  </si>
  <si>
    <t>SM1_2017-04-13</t>
  </si>
  <si>
    <t>SB5_2017-03-25</t>
  </si>
  <si>
    <t>SB2_2017-04-09</t>
  </si>
  <si>
    <t>BD4_2017-06-30</t>
  </si>
  <si>
    <t>SB1_2017-06-25</t>
  </si>
  <si>
    <t>SB3_2017-06-27</t>
  </si>
  <si>
    <t>SB4_2017-07-04</t>
  </si>
  <si>
    <t>SB5_2017-06-25</t>
  </si>
  <si>
    <t>SM1_2017-06-29</t>
  </si>
  <si>
    <t>Chironoidae, Chironomus</t>
  </si>
  <si>
    <t>Psephenidae, Oligochaeta</t>
  </si>
  <si>
    <t>FTV Scores</t>
  </si>
  <si>
    <t>BB1_2001-10-20</t>
  </si>
  <si>
    <t>Data Code</t>
  </si>
  <si>
    <t>BB1_2002-03-23</t>
  </si>
  <si>
    <t>BB1_2002-07-27</t>
  </si>
  <si>
    <t>BB1_2002-10-19</t>
  </si>
  <si>
    <t>BB1_2003-03-22</t>
  </si>
  <si>
    <t>BB1_2003-07-19</t>
  </si>
  <si>
    <t>BB1_2003-10-18</t>
  </si>
  <si>
    <t>BB1_2004-07-24</t>
  </si>
  <si>
    <t>BB1_2004-10-16</t>
  </si>
  <si>
    <t>Arachnida</t>
  </si>
  <si>
    <t>BB1_2005-03-19</t>
  </si>
  <si>
    <t>BB1_2005-07-23</t>
  </si>
  <si>
    <t>BB1_2005-10-15</t>
  </si>
  <si>
    <t>BB1_2006-03-18</t>
  </si>
  <si>
    <t>BB1_2006-07-15</t>
  </si>
  <si>
    <t>BB1_2006-10-14</t>
  </si>
  <si>
    <t>BB1_2007-03-17</t>
  </si>
  <si>
    <t>BB1_2007-07-21</t>
  </si>
  <si>
    <t>BB1_2007-10-27</t>
  </si>
  <si>
    <t>BB1_2008-03-29</t>
  </si>
  <si>
    <t>BB1_2008-07-19</t>
  </si>
  <si>
    <t>BB1_2008-10-18</t>
  </si>
  <si>
    <t>BB1_2009-03-28</t>
  </si>
  <si>
    <t>BB1_2009-07-18</t>
  </si>
  <si>
    <t>BB1_2009-10-17</t>
  </si>
  <si>
    <t>BB1_2010-03-20</t>
  </si>
  <si>
    <t>BB1_2010-07-24</t>
  </si>
  <si>
    <t>BB1_2010-10-16</t>
  </si>
  <si>
    <t>BB1_2011-03-19</t>
  </si>
  <si>
    <t>BB1_2011-07-23</t>
  </si>
  <si>
    <t>BB1_2011-10-22</t>
  </si>
  <si>
    <t>BB1_2012-03-17</t>
  </si>
  <si>
    <t>BB1_2012-08-04</t>
  </si>
  <si>
    <t>BB1_2013-03-25</t>
  </si>
  <si>
    <t>BB1_2013-07-21</t>
  </si>
  <si>
    <t>BB1_2013-10-26</t>
  </si>
  <si>
    <t>BD1_1996-11-16</t>
  </si>
  <si>
    <t>BD1_1997-03-22</t>
  </si>
  <si>
    <t>BD1_1997-08-02</t>
  </si>
  <si>
    <t>Megoaloptera</t>
  </si>
  <si>
    <t>BD1_1998-10-23</t>
  </si>
  <si>
    <t>BD1_1999-04-10</t>
  </si>
  <si>
    <t>Tricladida</t>
  </si>
  <si>
    <t>BD1_1999-07-20</t>
  </si>
  <si>
    <t>BD1_1999-10-13</t>
  </si>
  <si>
    <t>BD1_2000-07-22</t>
  </si>
  <si>
    <t>BD1_2000-10-21</t>
  </si>
  <si>
    <t>BD1_2001-07-21</t>
  </si>
  <si>
    <t>BD1_2001-10-20</t>
  </si>
  <si>
    <t>BD1_2002-03-23</t>
  </si>
  <si>
    <t>BD1_2002-07-27</t>
  </si>
  <si>
    <t>BD1_2002-10-19</t>
  </si>
  <si>
    <t>BD1_2003-03-22</t>
  </si>
  <si>
    <t>BD1_2003-07-19</t>
  </si>
  <si>
    <t>BD1_2003-10-18</t>
  </si>
  <si>
    <t>BD1_2004-10-16</t>
  </si>
  <si>
    <t>BD1_2005-03-19</t>
  </si>
  <si>
    <t>BD1_2005-07-23</t>
  </si>
  <si>
    <t>BD1_2005-10-28</t>
  </si>
  <si>
    <t>BD1_2006-03-18</t>
  </si>
  <si>
    <t>BD1_2006-07-15</t>
  </si>
  <si>
    <t>BD1_2007-03-17</t>
  </si>
  <si>
    <t>BD1_2007-07-21</t>
  </si>
  <si>
    <t>BD1_2008-07-19</t>
  </si>
  <si>
    <t>BD1_2008-10-18</t>
  </si>
  <si>
    <t>BD1_2009-03-28</t>
  </si>
  <si>
    <t>BD1_2009-07-18</t>
  </si>
  <si>
    <t>BD1_2011-03-19</t>
  </si>
  <si>
    <t>BD1_2011-07-23</t>
  </si>
  <si>
    <t>ameletidae</t>
  </si>
  <si>
    <t>Gammaridae, Sialidae</t>
  </si>
  <si>
    <t>BD1_1999_07_20</t>
  </si>
  <si>
    <t xml:space="preserve">Deleted Grammaridae Amphipods (duplicate entry) </t>
  </si>
  <si>
    <t xml:space="preserve">Deleted Psepheidae (duplicate entry + rouge one) </t>
  </si>
  <si>
    <t>DATA</t>
  </si>
  <si>
    <t>General corrections</t>
  </si>
  <si>
    <t xml:space="preserve">Entry corrections </t>
  </si>
  <si>
    <t>Source: BATSITES COLLECTED</t>
  </si>
  <si>
    <t>Site Code</t>
  </si>
  <si>
    <t>Corrections</t>
  </si>
  <si>
    <t>BD1_2006_07_15</t>
  </si>
  <si>
    <t>Source</t>
  </si>
  <si>
    <t>Scorce</t>
  </si>
  <si>
    <t xml:space="preserve">Family </t>
  </si>
  <si>
    <t>Leech</t>
  </si>
  <si>
    <t>Glossiphoniidae (Family)</t>
  </si>
  <si>
    <t xml:space="preserve">Cambaridae (Family) </t>
  </si>
  <si>
    <t xml:space="preserve">Turbellaria (Class) </t>
  </si>
  <si>
    <t xml:space="preserve">Deleted ____ (duplicate entries) </t>
  </si>
  <si>
    <t>Original Name</t>
  </si>
  <si>
    <t>Aquatic Earthworms (Oligocheta)</t>
  </si>
  <si>
    <t xml:space="preserve"> Oligoocheta</t>
  </si>
  <si>
    <t xml:space="preserve">Chironomidae - Blood red </t>
  </si>
  <si>
    <t xml:space="preserve">Gammaridae Amphipods  </t>
  </si>
  <si>
    <t xml:space="preserve"> Psephenidae</t>
  </si>
  <si>
    <t>Family Names</t>
  </si>
  <si>
    <t xml:space="preserve">Gastropoda </t>
  </si>
  <si>
    <t xml:space="preserve">Snails </t>
  </si>
  <si>
    <t>Changed Name</t>
  </si>
  <si>
    <t>BD1_2005_07_23</t>
  </si>
  <si>
    <t>Date of Edit</t>
  </si>
  <si>
    <t>Corrected the spelling of Cordaliidae to Corduliidae</t>
  </si>
  <si>
    <t>BD3_1997-07-26</t>
  </si>
  <si>
    <t>BD3_1997-11-08</t>
  </si>
  <si>
    <t>BD3_1998-08-05</t>
  </si>
  <si>
    <t>BD3_1998-10-27</t>
  </si>
  <si>
    <t>BD3_1999-07-24</t>
  </si>
  <si>
    <t>BD3_2000-11-14</t>
  </si>
  <si>
    <t>BD3_2001-07-21</t>
  </si>
  <si>
    <t>BD3_2001-10-20</t>
  </si>
  <si>
    <t>BD3_2002-03-23</t>
  </si>
  <si>
    <t>BD3_2002-07-27</t>
  </si>
  <si>
    <t>BD3_2002-10-19</t>
  </si>
  <si>
    <t>BD3_2003-03-22</t>
  </si>
  <si>
    <t>BD3_2003-07-19</t>
  </si>
  <si>
    <t>BD3_2003-10-18</t>
  </si>
  <si>
    <t>BD3_2004-03-20</t>
  </si>
  <si>
    <t>BD3_2004-07-24</t>
  </si>
  <si>
    <t>BD3_2004-10-16</t>
  </si>
  <si>
    <t>BD3_2005-03-19</t>
  </si>
  <si>
    <t>BD3_2005-10-15</t>
  </si>
  <si>
    <t>BD3_2006-03-18</t>
  </si>
  <si>
    <t>BD3_2006-07-15</t>
  </si>
  <si>
    <t>BD3_2006-10-30</t>
  </si>
  <si>
    <t>BD3_2007-03-17</t>
  </si>
  <si>
    <t>BD3_2008-10-18</t>
  </si>
  <si>
    <t>BD3_2009-03-28</t>
  </si>
  <si>
    <t>BD3_2009-10-17</t>
  </si>
  <si>
    <t>BD3_2011-03-19</t>
  </si>
  <si>
    <t>BD3_2011-07-23</t>
  </si>
  <si>
    <t>BD3_2011-10-22</t>
  </si>
  <si>
    <t>BD3_2012-03-17</t>
  </si>
  <si>
    <t>BD3_2012-08-04</t>
  </si>
  <si>
    <t>BD3_2012-10-08</t>
  </si>
  <si>
    <t>BD3_2013-07-23</t>
  </si>
  <si>
    <t>Psepheidae</t>
  </si>
  <si>
    <t>Corrected the spelling of Branchycentridae to Brachycentridae</t>
  </si>
  <si>
    <t>Megoloptera</t>
  </si>
  <si>
    <t>Changed All to Gastropoda</t>
  </si>
  <si>
    <t>taeniopterygidae</t>
  </si>
  <si>
    <t>crangonyctidae</t>
  </si>
  <si>
    <t>Hydropsychidae, Gammaridae</t>
  </si>
  <si>
    <t>BD4_1996-09-11</t>
  </si>
  <si>
    <t>BD4_1997-07-26</t>
  </si>
  <si>
    <t>BD4_1998-04-26</t>
  </si>
  <si>
    <t>BD4_1998-08-02</t>
  </si>
  <si>
    <t>BD4_1998-11-27</t>
  </si>
  <si>
    <t>BD4_1999-07-24</t>
  </si>
  <si>
    <t>BD4_1999-10-09</t>
  </si>
  <si>
    <t>BD4_2000-03-25</t>
  </si>
  <si>
    <t>BD4_2000-07-22</t>
  </si>
  <si>
    <t>BD4_2000-10-21</t>
  </si>
  <si>
    <t>BD4_2001-03-24</t>
  </si>
  <si>
    <t>BD4_2001-07-21</t>
  </si>
  <si>
    <t>BD4_2001-10-20</t>
  </si>
  <si>
    <t>BD4_2002-07-27</t>
  </si>
  <si>
    <t>BD4_2002-10-19</t>
  </si>
  <si>
    <t>BD4_2003-03-22</t>
  </si>
  <si>
    <t>BD4_2003-07-19</t>
  </si>
  <si>
    <t>BD4_2003-10-18</t>
  </si>
  <si>
    <t>BD4_2004-03-25</t>
  </si>
  <si>
    <t>BD4_2004-07-24</t>
  </si>
  <si>
    <t>BD4_2004-10-16</t>
  </si>
  <si>
    <t>BD4_2005-03-19</t>
  </si>
  <si>
    <t>BD4_2005-07-23</t>
  </si>
  <si>
    <t>BD4_2006-03-18</t>
  </si>
  <si>
    <t>BD4_2006-07-15</t>
  </si>
  <si>
    <t>BD4_2006-10-14</t>
  </si>
  <si>
    <t>BD4_2007-03-17</t>
  </si>
  <si>
    <t>BD4_2007-07-21</t>
  </si>
  <si>
    <t>BD4_2007-10-27</t>
  </si>
  <si>
    <t>BD4_2008-03-29</t>
  </si>
  <si>
    <t>BD4_2008-07-19</t>
  </si>
  <si>
    <t>BD4_2008-10-18</t>
  </si>
  <si>
    <t>BD4_2009-03-28</t>
  </si>
  <si>
    <t>BD4_2009-07-18</t>
  </si>
  <si>
    <t>BD4_2009-10-17</t>
  </si>
  <si>
    <t>BD4_2010-03-20</t>
  </si>
  <si>
    <t>BD4_2010-07-24</t>
  </si>
  <si>
    <t>BD4_2010-10-16</t>
  </si>
  <si>
    <t>BD4_2011-03-19</t>
  </si>
  <si>
    <t>BD4_2011-07-09</t>
  </si>
  <si>
    <t>BD4_2011-10-22</t>
  </si>
  <si>
    <t>BD4_2012-03-05</t>
  </si>
  <si>
    <t>BD4_2012-07-23</t>
  </si>
  <si>
    <t>BD4_2012-10-13</t>
  </si>
  <si>
    <t>BD4_2013-03-16</t>
  </si>
  <si>
    <t>BD4_2013-07-18</t>
  </si>
  <si>
    <t>BD4_2013-10-13</t>
  </si>
  <si>
    <t>BD4_1998_11_27</t>
  </si>
  <si>
    <t>BD4_1998_04_26</t>
  </si>
  <si>
    <t>Changed Round Worms (Nematoda) to Nematoda</t>
  </si>
  <si>
    <t xml:space="preserve">Changed  Isonychiidae (form Oligoneuriidae) to Isonychiidae </t>
  </si>
  <si>
    <t>Hydrosychidae, Philopotamidae</t>
  </si>
  <si>
    <t xml:space="preserve">Deleted Psephenidae (duplicate entry) </t>
  </si>
  <si>
    <t>Changed Leptophlebiide to Leptophlebiidae</t>
  </si>
  <si>
    <t>Coleptera</t>
  </si>
  <si>
    <t>BK1_2001-07-21</t>
  </si>
  <si>
    <t>BK1_2001-10-20</t>
  </si>
  <si>
    <t>BK1_2002-03-23</t>
  </si>
  <si>
    <t>BK1_2002-07-27</t>
  </si>
  <si>
    <t>BK1_2002-10-19</t>
  </si>
  <si>
    <t>BK1_2003-03-22</t>
  </si>
  <si>
    <t>BK1_2003-06-03</t>
  </si>
  <si>
    <t>BK1_2003-07-19</t>
  </si>
  <si>
    <t>BK1_2003-10-18</t>
  </si>
  <si>
    <t>BK1_2004-07-24</t>
  </si>
  <si>
    <t>BK1_2005-07-23</t>
  </si>
  <si>
    <t>BK1_2005-10-30</t>
  </si>
  <si>
    <t>BK1_2006-10-14</t>
  </si>
  <si>
    <t>BK1_2007-03-17</t>
  </si>
  <si>
    <t>BK1_2007-07-21</t>
  </si>
  <si>
    <t>BK1_2007-10-27</t>
  </si>
  <si>
    <t>BK1_2008-03-29</t>
  </si>
  <si>
    <t>BK1_2008-07-19</t>
  </si>
  <si>
    <t>BK1_2008-10-18</t>
  </si>
  <si>
    <t>BK1_2009-03-28</t>
  </si>
  <si>
    <t>BK1_2009-07-18</t>
  </si>
  <si>
    <t>BK1_2009-10-17</t>
  </si>
  <si>
    <t>BK1_2010-03-20</t>
  </si>
  <si>
    <t>BK1_2010-07-24</t>
  </si>
  <si>
    <t>BK1_2010-10-16</t>
  </si>
  <si>
    <t>BK1_2011-03-19</t>
  </si>
  <si>
    <t>BK1_2011-07-23</t>
  </si>
  <si>
    <t>BK1_2012-03-17</t>
  </si>
  <si>
    <t>BK1_2012-08-04</t>
  </si>
  <si>
    <t>BK1_2012-10-20</t>
  </si>
  <si>
    <t>BK1_2013-07-20</t>
  </si>
  <si>
    <t>BK1_2013-10-19</t>
  </si>
  <si>
    <t>Oligoneuridae to Oligoneuriidae</t>
  </si>
  <si>
    <t>CB2_2003-10-18</t>
  </si>
  <si>
    <t>CB2_2004-03-20</t>
  </si>
  <si>
    <t>CB2_2005-10-28</t>
  </si>
  <si>
    <t>CB2_2006-03-18</t>
  </si>
  <si>
    <t>CB2_2006-10-14</t>
  </si>
  <si>
    <t>CB2_2007-03-17</t>
  </si>
  <si>
    <t>CB2_2007-07-21</t>
  </si>
  <si>
    <t>CB2_2007-10-27</t>
  </si>
  <si>
    <t>CB2_2008-03-29</t>
  </si>
  <si>
    <t>CB2_2008-07-19</t>
  </si>
  <si>
    <t>CB2_2008-10-18</t>
  </si>
  <si>
    <t>CB2_2009-03-28</t>
  </si>
  <si>
    <t>CB2_2009-07-18</t>
  </si>
  <si>
    <t>CB2_2009-10-17</t>
  </si>
  <si>
    <t>CB2_2010-03-20</t>
  </si>
  <si>
    <t>CB2_2010-07-24</t>
  </si>
  <si>
    <t>CB2_2010-10-16</t>
  </si>
  <si>
    <t>CB2_2011-03-19</t>
  </si>
  <si>
    <t>CB2_2011-07-23</t>
  </si>
  <si>
    <t>CB2_2011-10-22</t>
  </si>
  <si>
    <t>CB2_2012-03-17</t>
  </si>
  <si>
    <t>CB2_2012-08-09</t>
  </si>
  <si>
    <t>CB2_2013-03-23</t>
  </si>
  <si>
    <t>CB2_2013-07-22</t>
  </si>
  <si>
    <t>CB2_2013-10-19</t>
  </si>
  <si>
    <t>tricladida</t>
  </si>
  <si>
    <t>BloodRed Chionoidae, Hydropsychidae</t>
  </si>
  <si>
    <t>Deleted Hydropsychidae, Asellidae, Clams, Gastropoda, Planariidae, Coengrionidae, Elmidae (duplicates)</t>
  </si>
  <si>
    <t xml:space="preserve">Deleted Hydrophilidae (zero count) </t>
  </si>
  <si>
    <t>Deleted Heptageniide, and Lestidae (zero counts)</t>
  </si>
  <si>
    <t>Date</t>
  </si>
  <si>
    <t>DATA_WITHOUT_GENUS</t>
  </si>
  <si>
    <t>BATSITES COLLECTED</t>
  </si>
  <si>
    <t>tblSampleDates</t>
  </si>
  <si>
    <t>Data Location</t>
  </si>
  <si>
    <t>Data Origin</t>
  </si>
  <si>
    <t>Pelecypoda (Order)</t>
  </si>
  <si>
    <t># of Families</t>
  </si>
  <si>
    <t>AX1</t>
  </si>
  <si>
    <t>Tolerance</t>
  </si>
  <si>
    <t>Tubificida</t>
  </si>
  <si>
    <t>AX1_2022-10-16</t>
  </si>
  <si>
    <t>Basommatophora</t>
  </si>
  <si>
    <t xml:space="preserve">100 Sample </t>
  </si>
  <si>
    <t xml:space="preserve">Acariformes </t>
  </si>
  <si>
    <t>Hydrachnidia</t>
  </si>
  <si>
    <t>Emphemeroptera</t>
  </si>
  <si>
    <t xml:space="preserve">Maccaffertium </t>
  </si>
  <si>
    <t>Corenagrionidae</t>
  </si>
  <si>
    <t>Percent</t>
  </si>
  <si>
    <t>Family Counts</t>
  </si>
  <si>
    <t>BD1a</t>
  </si>
  <si>
    <t>HA1</t>
  </si>
  <si>
    <t>MO1</t>
  </si>
  <si>
    <t>PR2a</t>
  </si>
  <si>
    <t>RO1a</t>
  </si>
  <si>
    <t>SW1</t>
  </si>
  <si>
    <t>BD1a_2022-10-29</t>
  </si>
  <si>
    <t>Tubificinae</t>
  </si>
  <si>
    <t>Veneroida</t>
  </si>
  <si>
    <t>Orthocladius cplx.</t>
  </si>
  <si>
    <t>AX1_2023-05-07</t>
  </si>
  <si>
    <t>PRODUCT TOLERANCE</t>
  </si>
  <si>
    <t>2022-2023 data 24021.004</t>
  </si>
  <si>
    <t>2022-2023 data 24021.005</t>
  </si>
  <si>
    <t xml:space="preserve"> </t>
  </si>
  <si>
    <t>HGMI Water Quality Rating</t>
  </si>
  <si>
    <t xml:space="preserve">HGMI Water Quality Rating </t>
  </si>
  <si>
    <t>CMPI Water Quality Rating</t>
  </si>
  <si>
    <r>
      <t>% Sen</t>
    </r>
    <r>
      <rPr>
        <b/>
        <sz val="11"/>
        <color theme="1"/>
        <rFont val="Aptos Narrow"/>
        <scheme val="minor"/>
      </rPr>
      <t>sitive EPT</t>
    </r>
  </si>
  <si>
    <t>DATA_WITH_GENUS_OLD</t>
  </si>
  <si>
    <t>DATA_WITH_GENUS_NEW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</si>
</sst>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39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name val="Calibri"/>
      <family val="2"/>
    </font>
    <font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1"/>
      <color rgb="FF000000"/>
      <name val="Consolas"/>
      <family val="2"/>
    </font>
    <font>
      <sz val="11"/>
      <color rgb="FF242424"/>
      <name val="Consolas"/>
      <family val="2"/>
    </font>
    <font>
      <b/>
      <sz val="11"/>
      <color rgb="FF000000"/>
      <name val="Aptos Narrow"/>
    </font>
    <font>
      <sz val="11"/>
      <color rgb="FF000000"/>
      <name val="Calibri"/>
      <family val="2"/>
    </font>
    <font>
      <sz val="11"/>
      <color theme="1"/>
      <name val="Consolas"/>
      <family val="2"/>
    </font>
    <font>
      <sz val="11"/>
      <color rgb="FF000000"/>
      <name val="Consolas"/>
      <family val="2"/>
    </font>
    <font>
      <sz val="11"/>
      <color rgb="FFFF0000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0"/>
      <color theme="1"/>
      <name val="Century Gothic"/>
      <family val="1"/>
    </font>
    <font>
      <sz val="11"/>
      <color rgb="FF000000"/>
      <name val="Aptos Narrow"/>
    </font>
    <font>
      <sz val="10"/>
      <color theme="1"/>
      <name val="WordVisi_MSFontService"/>
      <charset val="1"/>
    </font>
    <font>
      <b/>
      <sz val="11"/>
      <color rgb="FF000000"/>
      <name val="Calibri"/>
      <family val="2"/>
    </font>
    <font>
      <sz val="8"/>
      <name val="Aptos Narrow"/>
      <family val="2"/>
      <scheme val="minor"/>
    </font>
    <font>
      <sz val="11"/>
      <color theme="1"/>
      <name val="Aptos Narrow"/>
      <scheme val="minor"/>
    </font>
    <font>
      <sz val="11"/>
      <color theme="5"/>
      <name val="Aptos Narrow"/>
      <family val="2"/>
      <scheme val="minor"/>
    </font>
    <font>
      <sz val="11"/>
      <color theme="5"/>
      <name val="Consolas"/>
      <family val="2"/>
    </font>
    <font>
      <sz val="11"/>
      <color rgb="FF000000"/>
      <name val="Aptos Narrow"/>
      <scheme val="minor"/>
    </font>
    <font>
      <b/>
      <sz val="11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sz val="16"/>
      <color theme="1"/>
      <name val="Aptos Narrow"/>
      <scheme val="minor"/>
    </font>
    <font>
      <b/>
      <sz val="12"/>
      <color theme="1"/>
      <name val="Aptos Narrow"/>
      <scheme val="minor"/>
    </font>
    <font>
      <sz val="11"/>
      <color theme="1"/>
      <name val="Aptos Narrow (Body)"/>
    </font>
    <font>
      <sz val="11"/>
      <color rgb="FFFF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0C0C0"/>
        <bgColor rgb="FFC0C0C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0" fontId="7" fillId="0" borderId="0"/>
    <xf numFmtId="9" fontId="10" fillId="0" borderId="0" applyFont="0" applyFill="0" applyBorder="0" applyAlignment="0" applyProtection="0"/>
  </cellStyleXfs>
  <cellXfs count="115">
    <xf numFmtId="0" fontId="0" fillId="0" borderId="0" xfId="0"/>
    <xf numFmtId="0" fontId="5" fillId="0" borderId="0" xfId="0" applyFont="1"/>
    <xf numFmtId="0" fontId="6" fillId="0" borderId="0" xfId="0" applyFont="1"/>
    <xf numFmtId="14" fontId="0" fillId="0" borderId="0" xfId="0" applyNumberFormat="1"/>
    <xf numFmtId="0" fontId="6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0" borderId="2" xfId="1" applyFont="1" applyBorder="1" applyAlignment="1">
      <alignment horizontal="right" vertical="center" wrapText="1"/>
    </xf>
    <xf numFmtId="0" fontId="3" fillId="3" borderId="1" xfId="1" applyFont="1" applyFill="1" applyBorder="1" applyAlignment="1">
      <alignment horizontal="center" vertical="center"/>
    </xf>
    <xf numFmtId="0" fontId="4" fillId="0" borderId="2" xfId="1" applyFont="1" applyBorder="1" applyAlignment="1">
      <alignment vertical="center" wrapText="1"/>
    </xf>
    <xf numFmtId="0" fontId="7" fillId="0" borderId="0" xfId="1"/>
    <xf numFmtId="164" fontId="4" fillId="0" borderId="2" xfId="1" applyNumberFormat="1" applyFont="1" applyBorder="1" applyAlignment="1">
      <alignment horizontal="right" vertical="center" wrapText="1"/>
    </xf>
    <xf numFmtId="1" fontId="9" fillId="0" borderId="0" xfId="0" applyNumberFormat="1" applyFont="1"/>
    <xf numFmtId="2" fontId="8" fillId="4" borderId="0" xfId="0" applyNumberFormat="1" applyFont="1" applyFill="1" applyAlignment="1">
      <alignment horizontal="center" vertical="center" wrapText="1"/>
    </xf>
    <xf numFmtId="1" fontId="9" fillId="0" borderId="0" xfId="0" applyNumberFormat="1" applyFont="1" applyAlignment="1">
      <alignment vertical="center"/>
    </xf>
    <xf numFmtId="1" fontId="11" fillId="0" borderId="0" xfId="2" applyNumberFormat="1" applyFont="1" applyFill="1" applyBorder="1" applyAlignment="1"/>
    <xf numFmtId="1" fontId="0" fillId="0" borderId="0" xfId="0" applyNumberFormat="1"/>
    <xf numFmtId="0" fontId="8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2" fillId="0" borderId="0" xfId="0" applyFont="1"/>
    <xf numFmtId="0" fontId="0" fillId="2" borderId="0" xfId="0" applyFill="1"/>
    <xf numFmtId="0" fontId="13" fillId="0" borderId="0" xfId="0" applyFont="1"/>
    <xf numFmtId="0" fontId="6" fillId="0" borderId="0" xfId="0" applyFont="1" applyAlignment="1">
      <alignment wrapText="1"/>
    </xf>
    <xf numFmtId="0" fontId="15" fillId="0" borderId="0" xfId="0" applyFont="1"/>
    <xf numFmtId="0" fontId="16" fillId="0" borderId="0" xfId="0" applyFont="1"/>
    <xf numFmtId="0" fontId="17" fillId="0" borderId="0" xfId="0" applyFont="1"/>
    <xf numFmtId="0" fontId="0" fillId="4" borderId="0" xfId="0" applyFill="1"/>
    <xf numFmtId="0" fontId="6" fillId="4" borderId="0" xfId="0" applyFont="1" applyFill="1" applyAlignment="1">
      <alignment wrapText="1"/>
    </xf>
    <xf numFmtId="0" fontId="6" fillId="4" borderId="0" xfId="0" applyFont="1" applyFill="1"/>
    <xf numFmtId="2" fontId="21" fillId="4" borderId="0" xfId="0" applyNumberFormat="1" applyFont="1" applyFill="1" applyAlignment="1">
      <alignment horizontal="center" vertical="center" wrapText="1"/>
    </xf>
    <xf numFmtId="0" fontId="21" fillId="4" borderId="0" xfId="0" applyFont="1" applyFill="1" applyAlignment="1">
      <alignment horizontal="center" vertical="center" wrapText="1"/>
    </xf>
    <xf numFmtId="1" fontId="22" fillId="0" borderId="0" xfId="0" applyNumberFormat="1" applyFont="1"/>
    <xf numFmtId="1" fontId="22" fillId="0" borderId="0" xfId="0" applyNumberFormat="1" applyFont="1" applyAlignment="1">
      <alignment vertical="center"/>
    </xf>
    <xf numFmtId="1" fontId="22" fillId="0" borderId="0" xfId="2" applyNumberFormat="1" applyFont="1"/>
    <xf numFmtId="0" fontId="19" fillId="0" borderId="0" xfId="0" applyFont="1"/>
    <xf numFmtId="0" fontId="4" fillId="0" borderId="2" xfId="1" applyFont="1" applyBorder="1" applyAlignment="1">
      <alignment vertical="center"/>
    </xf>
    <xf numFmtId="0" fontId="18" fillId="0" borderId="0" xfId="0" applyFont="1"/>
    <xf numFmtId="14" fontId="15" fillId="0" borderId="0" xfId="0" applyNumberFormat="1" applyFont="1"/>
    <xf numFmtId="0" fontId="24" fillId="0" borderId="0" xfId="0" applyFont="1"/>
    <xf numFmtId="0" fontId="5" fillId="4" borderId="0" xfId="0" applyFont="1" applyFill="1"/>
    <xf numFmtId="0" fontId="5" fillId="4" borderId="0" xfId="0" applyFont="1" applyFill="1" applyAlignment="1">
      <alignment wrapText="1"/>
    </xf>
    <xf numFmtId="0" fontId="5" fillId="0" borderId="0" xfId="0" applyFont="1" applyAlignment="1">
      <alignment horizontal="center" vertical="center" wrapText="1"/>
    </xf>
    <xf numFmtId="14" fontId="25" fillId="0" borderId="0" xfId="0" applyNumberFormat="1" applyFont="1"/>
    <xf numFmtId="0" fontId="5" fillId="0" borderId="0" xfId="0" applyFont="1" applyAlignment="1">
      <alignment wrapText="1"/>
    </xf>
    <xf numFmtId="0" fontId="12" fillId="2" borderId="3" xfId="0" applyFont="1" applyFill="1" applyBorder="1"/>
    <xf numFmtId="0" fontId="0" fillId="2" borderId="3" xfId="0" applyFill="1" applyBorder="1"/>
    <xf numFmtId="0" fontId="26" fillId="0" borderId="0" xfId="0" applyFont="1"/>
    <xf numFmtId="0" fontId="27" fillId="0" borderId="0" xfId="0" applyFont="1"/>
    <xf numFmtId="10" fontId="6" fillId="0" borderId="0" xfId="0" applyNumberFormat="1" applyFont="1"/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4" borderId="0" xfId="0" applyFont="1" applyFill="1" applyAlignment="1">
      <alignment vertical="center" wrapText="1"/>
    </xf>
    <xf numFmtId="0" fontId="5" fillId="4" borderId="0" xfId="0" applyFont="1" applyFill="1" applyAlignment="1">
      <alignment vertical="center" wrapText="1"/>
    </xf>
    <xf numFmtId="0" fontId="5" fillId="4" borderId="0" xfId="0" applyFont="1" applyFill="1" applyAlignment="1">
      <alignment vertical="center"/>
    </xf>
    <xf numFmtId="0" fontId="6" fillId="4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14" fillId="4" borderId="0" xfId="0" applyFont="1" applyFill="1" applyAlignment="1">
      <alignment vertical="center" wrapText="1"/>
    </xf>
    <xf numFmtId="0" fontId="0" fillId="4" borderId="0" xfId="0" applyFill="1" applyAlignment="1">
      <alignment vertic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vertical="center" wrapText="1"/>
    </xf>
    <xf numFmtId="0" fontId="20" fillId="0" borderId="0" xfId="0" applyFont="1" applyAlignment="1">
      <alignment vertic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wrapText="1"/>
    </xf>
    <xf numFmtId="0" fontId="0" fillId="0" borderId="0" xfId="0" applyAlignment="1">
      <alignment wrapText="1"/>
    </xf>
    <xf numFmtId="14" fontId="29" fillId="0" borderId="0" xfId="0" applyNumberFormat="1" applyFont="1"/>
    <xf numFmtId="9" fontId="16" fillId="0" borderId="0" xfId="2" applyFont="1"/>
    <xf numFmtId="2" fontId="0" fillId="0" borderId="0" xfId="0" applyNumberFormat="1"/>
    <xf numFmtId="0" fontId="16" fillId="0" borderId="0" xfId="2" applyNumberFormat="1" applyFont="1"/>
    <xf numFmtId="0" fontId="30" fillId="0" borderId="0" xfId="0" applyFont="1"/>
    <xf numFmtId="0" fontId="31" fillId="0" borderId="0" xfId="0" applyFont="1"/>
    <xf numFmtId="0" fontId="32" fillId="0" borderId="0" xfId="0" applyFont="1" applyAlignment="1">
      <alignment horizontal="left" vertical="center"/>
    </xf>
    <xf numFmtId="0" fontId="11" fillId="0" borderId="0" xfId="0" applyFont="1"/>
    <xf numFmtId="0" fontId="29" fillId="0" borderId="0" xfId="0" applyFont="1"/>
    <xf numFmtId="0" fontId="12" fillId="0" borderId="3" xfId="0" applyFont="1" applyBorder="1"/>
    <xf numFmtId="0" fontId="0" fillId="0" borderId="3" xfId="0" applyBorder="1"/>
    <xf numFmtId="0" fontId="33" fillId="0" borderId="0" xfId="0" applyFont="1"/>
    <xf numFmtId="0" fontId="2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4" fillId="0" borderId="2" xfId="1" applyFont="1" applyBorder="1" applyAlignment="1">
      <alignment horizontal="right" vertical="center"/>
    </xf>
    <xf numFmtId="0" fontId="23" fillId="0" borderId="2" xfId="1" applyFont="1" applyBorder="1" applyAlignment="1">
      <alignment vertical="center"/>
    </xf>
    <xf numFmtId="0" fontId="37" fillId="0" borderId="0" xfId="0" applyFont="1"/>
    <xf numFmtId="0" fontId="4" fillId="0" borderId="0" xfId="0" applyFont="1"/>
    <xf numFmtId="14" fontId="32" fillId="0" borderId="0" xfId="0" applyNumberFormat="1" applyFont="1" applyAlignment="1">
      <alignment horizontal="right" vertical="center"/>
    </xf>
    <xf numFmtId="14" fontId="32" fillId="0" borderId="0" xfId="0" applyNumberFormat="1" applyFont="1" applyAlignment="1">
      <alignment vertical="center"/>
    </xf>
    <xf numFmtId="0" fontId="16" fillId="2" borderId="0" xfId="0" applyFont="1" applyFill="1"/>
    <xf numFmtId="0" fontId="29" fillId="0" borderId="0" xfId="0" applyFont="1" applyAlignment="1">
      <alignment horizontal="left"/>
    </xf>
    <xf numFmtId="14" fontId="29" fillId="0" borderId="0" xfId="0" applyNumberFormat="1" applyFont="1" applyAlignment="1">
      <alignment horizontal="right"/>
    </xf>
    <xf numFmtId="0" fontId="38" fillId="0" borderId="2" xfId="1" applyFont="1" applyBorder="1" applyAlignment="1">
      <alignment horizontal="right" vertical="center"/>
    </xf>
    <xf numFmtId="0" fontId="1" fillId="0" borderId="0" xfId="0" applyFont="1"/>
    <xf numFmtId="0" fontId="0" fillId="5" borderId="0" xfId="0" applyFill="1"/>
    <xf numFmtId="0" fontId="12" fillId="2" borderId="0" xfId="0" applyFont="1" applyFill="1"/>
    <xf numFmtId="0" fontId="6" fillId="6" borderId="0" xfId="0" applyFont="1" applyFill="1" applyAlignment="1">
      <alignment horizontal="center" vertical="center"/>
    </xf>
    <xf numFmtId="0" fontId="12" fillId="6" borderId="0" xfId="0" applyFont="1" applyFill="1"/>
    <xf numFmtId="0" fontId="0" fillId="6" borderId="0" xfId="0" applyFill="1"/>
    <xf numFmtId="0" fontId="8" fillId="6" borderId="0" xfId="0" applyFont="1" applyFill="1" applyAlignment="1">
      <alignment horizontal="center" vertical="center"/>
    </xf>
    <xf numFmtId="1" fontId="0" fillId="6" borderId="0" xfId="0" applyNumberFormat="1" applyFill="1"/>
    <xf numFmtId="0" fontId="6" fillId="6" borderId="0" xfId="0" applyFont="1" applyFill="1" applyAlignment="1">
      <alignment vertical="center"/>
    </xf>
    <xf numFmtId="0" fontId="0" fillId="7" borderId="0" xfId="0" applyFill="1"/>
    <xf numFmtId="0" fontId="17" fillId="6" borderId="0" xfId="0" applyFont="1" applyFill="1"/>
    <xf numFmtId="0" fontId="21" fillId="6" borderId="0" xfId="0" applyFont="1" applyFill="1" applyAlignment="1">
      <alignment horizontal="center" vertical="center"/>
    </xf>
    <xf numFmtId="0" fontId="0" fillId="7" borderId="0" xfId="0" applyFont="1" applyFill="1"/>
    <xf numFmtId="0" fontId="5" fillId="6" borderId="0" xfId="0" applyFont="1" applyFill="1" applyAlignment="1">
      <alignment vertical="center" wrapText="1"/>
    </xf>
    <xf numFmtId="0" fontId="33" fillId="4" borderId="0" xfId="0" applyFont="1" applyFill="1" applyAlignment="1">
      <alignment vertical="center" wrapText="1"/>
    </xf>
    <xf numFmtId="0" fontId="33" fillId="0" borderId="0" xfId="0" applyFont="1" applyAlignment="1">
      <alignment vertical="center"/>
    </xf>
    <xf numFmtId="0" fontId="6" fillId="0" borderId="0" xfId="0" applyFont="1" applyFill="1" applyAlignment="1">
      <alignment vertical="center" wrapText="1"/>
    </xf>
    <xf numFmtId="0" fontId="14" fillId="0" borderId="0" xfId="0" applyFont="1" applyFill="1" applyAlignment="1">
      <alignment vertical="center" wrapText="1"/>
    </xf>
    <xf numFmtId="0" fontId="6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6" fillId="6" borderId="0" xfId="0" applyFont="1" applyFill="1" applyAlignment="1">
      <alignment horizontal="center"/>
    </xf>
    <xf numFmtId="0" fontId="6" fillId="6" borderId="0" xfId="0" applyFont="1" applyFill="1"/>
  </cellXfs>
  <cellStyles count="3">
    <cellStyle name="Normal" xfId="0" builtinId="0"/>
    <cellStyle name="Normal 2" xfId="1" xr:uid="{844CB349-4484-4AFC-B3C0-16C2938989B5}"/>
    <cellStyle name="Percent" xfId="2" builtinId="5"/>
  </cellStyles>
  <dxfs count="16">
    <dxf>
      <font>
        <color rgb="FF9C0006"/>
      </font>
      <fill>
        <patternFill>
          <bgColor rgb="FFFFC7CE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onsolas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center" textRotation="0" wrapText="1" indent="0" justifyLastLine="0" shrinkToFit="0" readingOrder="0"/>
      <border diagonalUp="0" diagonalDown="0" outline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center" textRotation="0" wrapText="0" indent="0" justifyLastLine="0" shrinkToFit="0" readingOrder="0"/>
      <border diagonalUp="0" diagonalDown="0" outline="0">
        <left style="thin">
          <color rgb="FFD0D7E5"/>
        </left>
        <right style="thin">
          <color rgb="FFD0D7E5"/>
        </right>
        <top style="thin">
          <color rgb="FFD0D7E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rgb="FFD0D7E5"/>
        </left>
        <right style="thin">
          <color rgb="FFD0D7E5"/>
        </right>
        <top style="thin">
          <color rgb="FFD0D7E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rgb="FFD0D7E5"/>
        </left>
        <right style="thin">
          <color rgb="FFD0D7E5"/>
        </right>
        <top style="thin">
          <color rgb="FFD0D7E5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Medium9"/>
  <colors>
    <mruColors>
      <color rgb="FFFF7575"/>
      <color rgb="FF95D7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atershedinstitute-my.sharepoint.com/personal/jsmith_thewatershed_org/Documents/Desktop/tblSampleDat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lSampleDates"/>
      <sheetName val="tblBugResults"/>
      <sheetName val="tblRBP100Bugs"/>
      <sheetName val="BugLis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683F8C2-9364-49EC-95D3-770812EBE38E}" name="Table2" displayName="Table2" ref="A1:U1311" totalsRowShown="0">
  <autoFilter ref="A1:U1311" xr:uid="{A683F8C2-9364-49EC-95D3-770812EBE38E}"/>
  <tableColumns count="21">
    <tableColumn id="2" xr3:uid="{219C820C-3466-4758-8B5D-A164270F6C50}" name="SampleCode" totalsRowDxfId="15"/>
    <tableColumn id="3" xr3:uid="{C55431E9-209F-4211-997E-2EC7F88F824F}" name="BugID" totalsRowDxfId="14"/>
    <tableColumn id="17" xr3:uid="{BA0CC227-43FC-4D64-B855-BA8D54BE99D5}" name="Order" totalsRowDxfId="13">
      <calculatedColumnFormula array="1">_xlfn.XLOOKUP(B2,[1]BugList!#REF!,[1]BugList!B:C)</calculatedColumnFormula>
    </tableColumn>
    <tableColumn id="4" xr3:uid="{C81A72F3-33D4-4C86-A1A4-9EA19AED57B2}" name="Family"/>
    <tableColumn id="5" xr3:uid="{A7C8E503-C54D-4F11-B021-04ED9202296A}" name="GenusSpecies" totalsRowDxfId="12"/>
    <tableColumn id="6" xr3:uid="{03D44BD4-C571-4F77-98E0-162560A2EA00}" name="Amount" totalsRowDxfId="11"/>
    <tableColumn id="7" xr3:uid="{95E1993A-1721-4DA5-BEE6-972523008FC0}" name="Percentage" totalsRowDxfId="10">
      <calculatedColumnFormula>(F2/(SUMIFS(G:G,A:A,A2))*100)</calculatedColumnFormula>
    </tableColumn>
    <tableColumn id="8" xr3:uid="{43CC8DF2-A3FB-4E14-BFA3-5F5E823F2592}" name="Integer" totalsRowDxfId="9">
      <calculatedColumnFormula>INT(G2)</calculatedColumnFormula>
    </tableColumn>
    <tableColumn id="9" xr3:uid="{FCC297CF-809F-43A2-8D01-678BFB274E57}" name="Difference" totalsRowDxfId="8">
      <calculatedColumnFormula>G2-H2</calculatedColumnFormula>
    </tableColumn>
    <tableColumn id="10" xr3:uid="{97B06E6F-C5CE-4D16-9D13-7DB5BBA0BD3F}" name="100 Sample" totalsRowDxfId="7">
      <calculatedColumnFormula array="1">INT(G2)+IF(100-SUM(INT(G10:G$276))&gt;=RANK(I2,#REF!)+COUNTIF(I2:I$276,I2)-1,1,0)</calculatedColumnFormula>
    </tableColumn>
    <tableColumn id="11" xr3:uid="{117B3198-BBDF-4F43-B60C-DF926318EE88}" name="EPT?" totalsRowDxfId="6">
      <calculatedColumnFormula>_xlfn.XLOOKUP(B2,BugList!A:A,BugList!H:H)</calculatedColumnFormula>
    </tableColumn>
    <tableColumn id="12" xr3:uid="{3538D1EA-A962-4CE4-9D7E-94E85A5C4888}" name="TYPE OF EPT" totalsRowDxfId="5">
      <calculatedColumnFormula>IF(K2 = "","",_xlfn.XLOOKUP(B2, BugList!A:A,BugList!B:B,""))</calculatedColumnFormula>
    </tableColumn>
    <tableColumn id="13" xr3:uid="{9B8BF494-DA60-4993-BC7C-EFBB1C5048EA}" name="FTV">
      <calculatedColumnFormula>_xlfn.XLOOKUP(D2,BugList!C:C,BugList!N:N)</calculatedColumnFormula>
    </tableColumn>
    <tableColumn id="14" xr3:uid="{DC24CC71-86AE-4A90-AEF2-9DAFF5845BF1}" name="TOTAL VAL" totalsRowDxfId="4">
      <calculatedColumnFormula>_xlfn.XLOOKUP(B2,BugList!A:A,BugList!R:R)</calculatedColumnFormula>
    </tableColumn>
    <tableColumn id="15" xr3:uid="{B22FBC9D-7E59-42DB-92C2-D70F78F446A4}" name="INSECT?"/>
    <tableColumn id="16" xr3:uid="{690E8F37-13C5-4EEC-86C0-1DB79871802B}" name="SENSITIVE?">
      <calculatedColumnFormula>IF(K2="*",IF(D2="Hydropsychidae", IF(E2="Diplectrona",TRUE,FALSE),TRUE),FALSE)</calculatedColumnFormula>
    </tableColumn>
    <tableColumn id="19" xr3:uid="{ADE5CD50-DDE5-4394-A3BB-204B360D77F0}" name="CLINGER?">
      <calculatedColumnFormula>SUMPRODUCT(COUNTIF(_xlfn.XLOOKUP(B2,BugList!A:A,BugList!V:V), "*cn*"))&gt;0</calculatedColumnFormula>
    </tableColumn>
    <tableColumn id="1" xr3:uid="{6B905EE6-27C7-4FA6-AB11-90752DA5A8DE}" name="SCRAPER?" totalsRowDxfId="3">
      <calculatedColumnFormula>SUMPRODUCT(COUNTIF(_xlfn.XLOOKUP(B2,BugList!A:A,BugList!P:P), "*SC*"))&gt;0</calculatedColumnFormula>
    </tableColumn>
    <tableColumn id="20" xr3:uid="{5C5D3DA0-8790-47FF-9902-51D7FBCF4FE1}" name="TALU ATTRIBUTE">
      <calculatedColumnFormula>_xlfn.XLOOKUP(B2,BugList!A:A,BugList!W:W)</calculatedColumnFormula>
    </tableColumn>
    <tableColumn id="21" xr3:uid="{D10741DF-A649-49E8-9891-85791561D3D9}" name="PRODUCT FTV" totalsRowDxfId="2">
      <calculatedColumnFormula>J2*M2</calculatedColumnFormula>
    </tableColumn>
    <tableColumn id="22" xr3:uid="{A9EC6046-9AA5-482F-A058-963C05DE25CD}" name="PRODUCT TOTAL VAL" totalsRowDxfId="1">
      <calculatedColumnFormula>J2*N2</calculatedColumnFormula>
    </tableColumn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3CFA9-6E22-4A44-ACE2-2792CD65857B}">
  <dimension ref="A1:G307"/>
  <sheetViews>
    <sheetView tabSelected="1" topLeftCell="A291" workbookViewId="0">
      <selection activeCell="J201" sqref="J201"/>
    </sheetView>
  </sheetViews>
  <sheetFormatPr baseColWidth="10" defaultRowHeight="15"/>
  <cols>
    <col min="1" max="1" width="16" customWidth="1"/>
    <col min="2" max="2" width="10.5" customWidth="1"/>
    <col min="3" max="3" width="10" customWidth="1"/>
    <col min="4" max="4" width="21.83203125" customWidth="1"/>
    <col min="5" max="5" width="23.5" customWidth="1"/>
  </cols>
  <sheetData>
    <row r="1" spans="1:7">
      <c r="A1" s="78" t="s">
        <v>2777</v>
      </c>
      <c r="B1" s="78" t="s">
        <v>1</v>
      </c>
      <c r="C1" s="78" t="s">
        <v>2959</v>
      </c>
      <c r="D1" s="78" t="s">
        <v>2963</v>
      </c>
      <c r="E1" s="78" t="s">
        <v>2964</v>
      </c>
    </row>
    <row r="2" spans="1:7">
      <c r="A2" t="str">
        <f>B2&amp;"_"&amp;TEXT(C2,"yyyy-mm-dd")</f>
        <v>AC5_2021-11-20</v>
      </c>
      <c r="B2" t="s">
        <v>29</v>
      </c>
      <c r="C2" s="3">
        <v>44520</v>
      </c>
      <c r="D2" t="s">
        <v>2999</v>
      </c>
      <c r="E2" t="s">
        <v>2962</v>
      </c>
    </row>
    <row r="3" spans="1:7">
      <c r="A3" t="str">
        <f t="shared" ref="A3:A4" si="0">B3&amp;"_"&amp;TEXT(C3,"yyyy-mm-dd")</f>
        <v>AX1_2022-10-16</v>
      </c>
      <c r="B3" s="75" t="s">
        <v>2967</v>
      </c>
      <c r="C3" s="3">
        <v>44850</v>
      </c>
      <c r="D3" t="s">
        <v>3000</v>
      </c>
      <c r="E3" s="75" t="s">
        <v>2992</v>
      </c>
    </row>
    <row r="4" spans="1:7">
      <c r="A4" t="str">
        <f t="shared" si="0"/>
        <v>AX1_2023-05-07</v>
      </c>
      <c r="B4" s="75" t="s">
        <v>2967</v>
      </c>
      <c r="C4" s="3">
        <v>45053</v>
      </c>
      <c r="D4" t="s">
        <v>3000</v>
      </c>
      <c r="E4" s="75" t="s">
        <v>2993</v>
      </c>
    </row>
    <row r="5" spans="1:7">
      <c r="A5" t="str">
        <f t="shared" ref="A5:A68" si="1">B5&amp;"_"&amp;TEXT(C5,"yyyy-mm-dd")</f>
        <v>BB1_1997-07-26</v>
      </c>
      <c r="B5" t="s">
        <v>30</v>
      </c>
      <c r="C5" s="41">
        <v>35637</v>
      </c>
      <c r="D5" t="s">
        <v>2960</v>
      </c>
      <c r="E5" t="s">
        <v>2961</v>
      </c>
    </row>
    <row r="6" spans="1:7">
      <c r="A6" t="str">
        <f t="shared" si="1"/>
        <v>BB1_2000-10-21</v>
      </c>
      <c r="B6" t="s">
        <v>30</v>
      </c>
      <c r="C6" s="41">
        <v>36820</v>
      </c>
      <c r="D6" t="s">
        <v>2960</v>
      </c>
      <c r="E6" t="s">
        <v>2961</v>
      </c>
    </row>
    <row r="7" spans="1:7">
      <c r="A7" t="str">
        <f t="shared" si="1"/>
        <v>BB1_2001-07-21</v>
      </c>
      <c r="B7" t="s">
        <v>30</v>
      </c>
      <c r="C7" s="41">
        <v>37093</v>
      </c>
      <c r="D7" t="s">
        <v>2960</v>
      </c>
      <c r="E7" t="s">
        <v>2961</v>
      </c>
    </row>
    <row r="8" spans="1:7">
      <c r="A8" t="str">
        <f t="shared" si="1"/>
        <v>BB1_2001-10-20</v>
      </c>
      <c r="B8" t="s">
        <v>30</v>
      </c>
      <c r="C8" s="41">
        <v>37184</v>
      </c>
      <c r="D8" t="s">
        <v>2960</v>
      </c>
      <c r="E8" t="s">
        <v>2961</v>
      </c>
      <c r="G8">
        <v>3</v>
      </c>
    </row>
    <row r="9" spans="1:7">
      <c r="A9" t="str">
        <f t="shared" si="1"/>
        <v>BB1_2002-03-23</v>
      </c>
      <c r="B9" t="s">
        <v>30</v>
      </c>
      <c r="C9" s="41">
        <v>37338</v>
      </c>
      <c r="D9" t="s">
        <v>2960</v>
      </c>
      <c r="E9" t="s">
        <v>2961</v>
      </c>
    </row>
    <row r="10" spans="1:7">
      <c r="A10" t="str">
        <f t="shared" si="1"/>
        <v>BB1_2002-07-27</v>
      </c>
      <c r="B10" t="s">
        <v>30</v>
      </c>
      <c r="C10" s="41">
        <v>37464</v>
      </c>
      <c r="D10" t="s">
        <v>2960</v>
      </c>
      <c r="E10" t="s">
        <v>2961</v>
      </c>
    </row>
    <row r="11" spans="1:7">
      <c r="A11" t="str">
        <f t="shared" si="1"/>
        <v>BB1_2002-10-19</v>
      </c>
      <c r="B11" t="s">
        <v>30</v>
      </c>
      <c r="C11" s="41">
        <v>37548</v>
      </c>
      <c r="D11" t="s">
        <v>2960</v>
      </c>
      <c r="E11" t="s">
        <v>2961</v>
      </c>
    </row>
    <row r="12" spans="1:7">
      <c r="A12" t="str">
        <f t="shared" si="1"/>
        <v>BB1_2003-03-22</v>
      </c>
      <c r="B12" t="s">
        <v>30</v>
      </c>
      <c r="C12" s="41">
        <v>37702</v>
      </c>
      <c r="D12" t="s">
        <v>2960</v>
      </c>
      <c r="E12" t="s">
        <v>2961</v>
      </c>
    </row>
    <row r="13" spans="1:7">
      <c r="A13" t="str">
        <f t="shared" si="1"/>
        <v>BB1_2003-07-19</v>
      </c>
      <c r="B13" t="s">
        <v>30</v>
      </c>
      <c r="C13" s="41">
        <v>37821</v>
      </c>
      <c r="D13" t="s">
        <v>2960</v>
      </c>
      <c r="E13" t="s">
        <v>2961</v>
      </c>
    </row>
    <row r="14" spans="1:7">
      <c r="A14" t="str">
        <f t="shared" si="1"/>
        <v>BB1_2004-07-24</v>
      </c>
      <c r="B14" t="s">
        <v>30</v>
      </c>
      <c r="C14" s="41">
        <v>38192</v>
      </c>
      <c r="D14" t="s">
        <v>2960</v>
      </c>
      <c r="E14" t="s">
        <v>2961</v>
      </c>
    </row>
    <row r="15" spans="1:7">
      <c r="A15" t="str">
        <f t="shared" si="1"/>
        <v>BB1_2004-10-16</v>
      </c>
      <c r="B15" t="s">
        <v>30</v>
      </c>
      <c r="C15" s="41">
        <v>38276</v>
      </c>
      <c r="D15" t="s">
        <v>2960</v>
      </c>
      <c r="E15" t="s">
        <v>2961</v>
      </c>
    </row>
    <row r="16" spans="1:7">
      <c r="A16" t="str">
        <f t="shared" si="1"/>
        <v>BB1_2005-03-19</v>
      </c>
      <c r="B16" t="s">
        <v>30</v>
      </c>
      <c r="C16" s="41">
        <v>38430</v>
      </c>
      <c r="D16" t="s">
        <v>2960</v>
      </c>
      <c r="E16" t="s">
        <v>2961</v>
      </c>
    </row>
    <row r="17" spans="1:5">
      <c r="A17" t="str">
        <f t="shared" si="1"/>
        <v>BB1_2005-10-15</v>
      </c>
      <c r="B17" t="s">
        <v>30</v>
      </c>
      <c r="C17" s="41">
        <v>38640</v>
      </c>
      <c r="D17" t="s">
        <v>2960</v>
      </c>
      <c r="E17" t="s">
        <v>2961</v>
      </c>
    </row>
    <row r="18" spans="1:5">
      <c r="A18" t="str">
        <f t="shared" si="1"/>
        <v>BB1_2006-03-18</v>
      </c>
      <c r="B18" t="s">
        <v>30</v>
      </c>
      <c r="C18" s="41">
        <v>38794</v>
      </c>
      <c r="D18" t="s">
        <v>2960</v>
      </c>
      <c r="E18" t="s">
        <v>2961</v>
      </c>
    </row>
    <row r="19" spans="1:5">
      <c r="A19" t="str">
        <f t="shared" si="1"/>
        <v>BB1_2006-07-15</v>
      </c>
      <c r="B19" t="s">
        <v>30</v>
      </c>
      <c r="C19" s="41">
        <v>38913</v>
      </c>
      <c r="D19" t="s">
        <v>2960</v>
      </c>
      <c r="E19" t="s">
        <v>2961</v>
      </c>
    </row>
    <row r="20" spans="1:5">
      <c r="A20" t="str">
        <f t="shared" si="1"/>
        <v>BB1_2006-10-14</v>
      </c>
      <c r="B20" t="s">
        <v>30</v>
      </c>
      <c r="C20" s="41">
        <v>39004</v>
      </c>
      <c r="D20" t="s">
        <v>2960</v>
      </c>
      <c r="E20" t="s">
        <v>2961</v>
      </c>
    </row>
    <row r="21" spans="1:5">
      <c r="A21" t="str">
        <f t="shared" si="1"/>
        <v>BB1_2007-03-17</v>
      </c>
      <c r="B21" t="s">
        <v>30</v>
      </c>
      <c r="C21" s="41">
        <v>39158</v>
      </c>
      <c r="D21" t="s">
        <v>2960</v>
      </c>
      <c r="E21" t="s">
        <v>2961</v>
      </c>
    </row>
    <row r="22" spans="1:5">
      <c r="A22" t="str">
        <f t="shared" si="1"/>
        <v>BB1_2007-07-21</v>
      </c>
      <c r="B22" t="s">
        <v>30</v>
      </c>
      <c r="C22" s="41">
        <v>39284</v>
      </c>
      <c r="D22" t="s">
        <v>2960</v>
      </c>
      <c r="E22" t="s">
        <v>2961</v>
      </c>
    </row>
    <row r="23" spans="1:5">
      <c r="A23" t="str">
        <f t="shared" si="1"/>
        <v>BB1_2007-10-27</v>
      </c>
      <c r="B23" t="s">
        <v>30</v>
      </c>
      <c r="C23" s="41">
        <v>39382</v>
      </c>
      <c r="D23" t="s">
        <v>2960</v>
      </c>
      <c r="E23" t="s">
        <v>2961</v>
      </c>
    </row>
    <row r="24" spans="1:5">
      <c r="A24" t="str">
        <f t="shared" si="1"/>
        <v>BB1_2008-03-29</v>
      </c>
      <c r="B24" t="s">
        <v>30</v>
      </c>
      <c r="C24" s="41">
        <v>39536</v>
      </c>
      <c r="D24" t="s">
        <v>2960</v>
      </c>
      <c r="E24" t="s">
        <v>2961</v>
      </c>
    </row>
    <row r="25" spans="1:5">
      <c r="A25" t="str">
        <f t="shared" si="1"/>
        <v>BB1_2008-07-19</v>
      </c>
      <c r="B25" t="s">
        <v>30</v>
      </c>
      <c r="C25" s="41">
        <v>39648</v>
      </c>
      <c r="D25" t="s">
        <v>2960</v>
      </c>
      <c r="E25" t="s">
        <v>2961</v>
      </c>
    </row>
    <row r="26" spans="1:5">
      <c r="A26" t="str">
        <f t="shared" si="1"/>
        <v>BB1_2008-10-18</v>
      </c>
      <c r="B26" t="s">
        <v>30</v>
      </c>
      <c r="C26" s="41">
        <v>39739</v>
      </c>
      <c r="D26" t="s">
        <v>2960</v>
      </c>
      <c r="E26" t="s">
        <v>2961</v>
      </c>
    </row>
    <row r="27" spans="1:5">
      <c r="A27" t="str">
        <f t="shared" si="1"/>
        <v>BB1_2009-03-28</v>
      </c>
      <c r="B27" t="s">
        <v>30</v>
      </c>
      <c r="C27" s="41">
        <v>39900</v>
      </c>
      <c r="D27" t="s">
        <v>2960</v>
      </c>
      <c r="E27" t="s">
        <v>2961</v>
      </c>
    </row>
    <row r="28" spans="1:5">
      <c r="A28" t="str">
        <f t="shared" si="1"/>
        <v>BB1_2009-07-18</v>
      </c>
      <c r="B28" t="s">
        <v>30</v>
      </c>
      <c r="C28" s="41">
        <v>40012</v>
      </c>
      <c r="D28" t="s">
        <v>2960</v>
      </c>
      <c r="E28" t="s">
        <v>2961</v>
      </c>
    </row>
    <row r="29" spans="1:5">
      <c r="A29" t="str">
        <f t="shared" si="1"/>
        <v>BB1_2009-10-17</v>
      </c>
      <c r="B29" t="s">
        <v>30</v>
      </c>
      <c r="C29" s="41">
        <v>40103</v>
      </c>
      <c r="D29" t="s">
        <v>2960</v>
      </c>
      <c r="E29" t="s">
        <v>2961</v>
      </c>
    </row>
    <row r="30" spans="1:5">
      <c r="A30" t="str">
        <f t="shared" si="1"/>
        <v>BB1_2010-03-20</v>
      </c>
      <c r="B30" t="s">
        <v>30</v>
      </c>
      <c r="C30" s="41">
        <v>40257</v>
      </c>
      <c r="D30" t="s">
        <v>2960</v>
      </c>
      <c r="E30" t="s">
        <v>2961</v>
      </c>
    </row>
    <row r="31" spans="1:5">
      <c r="A31" t="str">
        <f t="shared" si="1"/>
        <v>BB1_2010-07-24</v>
      </c>
      <c r="B31" t="s">
        <v>30</v>
      </c>
      <c r="C31" s="41">
        <v>40383</v>
      </c>
      <c r="D31" t="s">
        <v>2960</v>
      </c>
      <c r="E31" t="s">
        <v>2961</v>
      </c>
    </row>
    <row r="32" spans="1:5">
      <c r="A32" t="str">
        <f t="shared" si="1"/>
        <v>BB1_2010-10-16</v>
      </c>
      <c r="B32" t="s">
        <v>30</v>
      </c>
      <c r="C32" s="41">
        <v>40467</v>
      </c>
      <c r="D32" t="s">
        <v>2960</v>
      </c>
      <c r="E32" t="s">
        <v>2961</v>
      </c>
    </row>
    <row r="33" spans="1:5">
      <c r="A33" t="str">
        <f t="shared" si="1"/>
        <v>BB1_2011-03-19</v>
      </c>
      <c r="B33" t="s">
        <v>30</v>
      </c>
      <c r="C33" s="41">
        <v>40621</v>
      </c>
      <c r="D33" t="s">
        <v>2960</v>
      </c>
      <c r="E33" t="s">
        <v>2961</v>
      </c>
    </row>
    <row r="34" spans="1:5">
      <c r="A34" t="str">
        <f t="shared" si="1"/>
        <v>BB1_2011-07-23</v>
      </c>
      <c r="B34" t="s">
        <v>30</v>
      </c>
      <c r="C34" s="41">
        <v>40747</v>
      </c>
      <c r="D34" t="s">
        <v>2960</v>
      </c>
      <c r="E34" t="s">
        <v>2961</v>
      </c>
    </row>
    <row r="35" spans="1:5">
      <c r="A35" t="str">
        <f t="shared" si="1"/>
        <v>BB1_2011-10-22</v>
      </c>
      <c r="B35" t="s">
        <v>30</v>
      </c>
      <c r="C35" s="41">
        <v>40838</v>
      </c>
      <c r="D35" t="s">
        <v>2960</v>
      </c>
      <c r="E35" t="s">
        <v>2961</v>
      </c>
    </row>
    <row r="36" spans="1:5">
      <c r="A36" t="str">
        <f t="shared" si="1"/>
        <v>BB1_2012-03-17</v>
      </c>
      <c r="B36" t="s">
        <v>30</v>
      </c>
      <c r="C36" s="41">
        <v>40985</v>
      </c>
      <c r="D36" t="s">
        <v>2960</v>
      </c>
      <c r="E36" t="s">
        <v>2961</v>
      </c>
    </row>
    <row r="37" spans="1:5">
      <c r="A37" t="str">
        <f t="shared" si="1"/>
        <v>BB1_2012-08-04</v>
      </c>
      <c r="B37" t="s">
        <v>30</v>
      </c>
      <c r="C37" s="41">
        <v>41125</v>
      </c>
      <c r="D37" t="s">
        <v>2960</v>
      </c>
      <c r="E37" t="s">
        <v>2961</v>
      </c>
    </row>
    <row r="38" spans="1:5">
      <c r="A38" t="str">
        <f t="shared" si="1"/>
        <v>BB1_2013-03-25</v>
      </c>
      <c r="B38" t="s">
        <v>30</v>
      </c>
      <c r="C38" s="41">
        <v>41358</v>
      </c>
      <c r="D38" t="s">
        <v>2960</v>
      </c>
      <c r="E38" t="s">
        <v>2961</v>
      </c>
    </row>
    <row r="39" spans="1:5">
      <c r="A39" t="str">
        <f t="shared" si="1"/>
        <v>BB1_2013-07-21</v>
      </c>
      <c r="B39" t="s">
        <v>30</v>
      </c>
      <c r="C39" s="41">
        <v>41476</v>
      </c>
      <c r="D39" t="s">
        <v>2960</v>
      </c>
      <c r="E39" t="s">
        <v>2961</v>
      </c>
    </row>
    <row r="40" spans="1:5">
      <c r="A40" t="str">
        <f t="shared" si="1"/>
        <v>BB1_2013-10-26</v>
      </c>
      <c r="B40" t="s">
        <v>30</v>
      </c>
      <c r="C40" s="41">
        <v>41573</v>
      </c>
      <c r="D40" t="s">
        <v>2960</v>
      </c>
      <c r="E40" t="s">
        <v>2961</v>
      </c>
    </row>
    <row r="41" spans="1:5">
      <c r="A41" t="str">
        <f t="shared" si="1"/>
        <v>BB1_2014-03-15</v>
      </c>
      <c r="B41" t="s">
        <v>30</v>
      </c>
      <c r="C41" s="3">
        <v>41713</v>
      </c>
      <c r="D41" t="s">
        <v>2960</v>
      </c>
      <c r="E41" t="s">
        <v>2961</v>
      </c>
    </row>
    <row r="42" spans="1:5">
      <c r="A42" t="str">
        <f t="shared" si="1"/>
        <v>BB1_2014-07-29</v>
      </c>
      <c r="B42" t="s">
        <v>30</v>
      </c>
      <c r="C42" s="3">
        <v>41849</v>
      </c>
      <c r="D42" t="s">
        <v>2999</v>
      </c>
      <c r="E42" t="s">
        <v>2962</v>
      </c>
    </row>
    <row r="43" spans="1:5">
      <c r="A43" t="str">
        <f t="shared" si="1"/>
        <v>BB1_2014-10-24</v>
      </c>
      <c r="B43" t="s">
        <v>30</v>
      </c>
      <c r="C43" s="36">
        <v>41936</v>
      </c>
      <c r="D43" t="s">
        <v>2999</v>
      </c>
      <c r="E43" t="s">
        <v>2962</v>
      </c>
    </row>
    <row r="44" spans="1:5">
      <c r="A44" t="str">
        <f t="shared" si="1"/>
        <v>BB1_2015-03-28</v>
      </c>
      <c r="B44" t="s">
        <v>30</v>
      </c>
      <c r="C44" s="36">
        <v>42091</v>
      </c>
      <c r="D44" t="s">
        <v>2999</v>
      </c>
      <c r="E44" t="s">
        <v>2962</v>
      </c>
    </row>
    <row r="45" spans="1:5">
      <c r="A45" t="str">
        <f t="shared" si="1"/>
        <v>BB1_2015-07-24</v>
      </c>
      <c r="B45" t="s">
        <v>30</v>
      </c>
      <c r="C45" s="36">
        <v>42209</v>
      </c>
      <c r="D45" t="s">
        <v>2999</v>
      </c>
      <c r="E45" t="s">
        <v>2962</v>
      </c>
    </row>
    <row r="46" spans="1:5">
      <c r="A46" t="str">
        <f t="shared" si="1"/>
        <v>BB1_2016-04-02</v>
      </c>
      <c r="B46" t="s">
        <v>30</v>
      </c>
      <c r="C46" s="36">
        <v>42462</v>
      </c>
      <c r="D46" t="s">
        <v>2999</v>
      </c>
      <c r="E46" t="s">
        <v>2962</v>
      </c>
    </row>
    <row r="47" spans="1:5">
      <c r="A47" t="str">
        <f t="shared" si="1"/>
        <v>BB1_2016-07-23</v>
      </c>
      <c r="B47" t="s">
        <v>30</v>
      </c>
      <c r="C47" s="36">
        <v>42574</v>
      </c>
      <c r="D47" t="s">
        <v>2999</v>
      </c>
      <c r="E47" t="s">
        <v>2962</v>
      </c>
    </row>
    <row r="48" spans="1:5">
      <c r="A48" t="str">
        <f t="shared" si="1"/>
        <v>BB1_2016-10-22</v>
      </c>
      <c r="B48" t="s">
        <v>30</v>
      </c>
      <c r="C48" s="41">
        <v>42665</v>
      </c>
      <c r="D48" t="s">
        <v>2999</v>
      </c>
      <c r="E48" t="s">
        <v>2962</v>
      </c>
    </row>
    <row r="49" spans="1:5">
      <c r="A49" t="str">
        <f t="shared" si="1"/>
        <v>BB1_2017-04-01</v>
      </c>
      <c r="B49" t="s">
        <v>30</v>
      </c>
      <c r="C49" s="41">
        <v>42826</v>
      </c>
      <c r="D49" t="s">
        <v>2999</v>
      </c>
      <c r="E49" t="s">
        <v>2962</v>
      </c>
    </row>
    <row r="50" spans="1:5">
      <c r="A50" t="str">
        <f t="shared" si="1"/>
        <v>BD1_1996-11-16</v>
      </c>
      <c r="B50" t="s">
        <v>2629</v>
      </c>
      <c r="C50" s="36">
        <v>35385</v>
      </c>
      <c r="D50" t="s">
        <v>2960</v>
      </c>
      <c r="E50" t="s">
        <v>2961</v>
      </c>
    </row>
    <row r="51" spans="1:5">
      <c r="A51" t="str">
        <f t="shared" si="1"/>
        <v>BD1_1997-03-22</v>
      </c>
      <c r="B51" t="s">
        <v>2629</v>
      </c>
      <c r="C51" s="3">
        <v>35511</v>
      </c>
      <c r="D51" t="s">
        <v>2960</v>
      </c>
      <c r="E51" t="s">
        <v>2961</v>
      </c>
    </row>
    <row r="52" spans="1:5">
      <c r="A52" t="str">
        <f t="shared" si="1"/>
        <v>BD1_1997-08-02</v>
      </c>
      <c r="B52" t="s">
        <v>2629</v>
      </c>
      <c r="C52" s="3">
        <v>35644</v>
      </c>
      <c r="D52" t="s">
        <v>2960</v>
      </c>
      <c r="E52" t="s">
        <v>2961</v>
      </c>
    </row>
    <row r="53" spans="1:5">
      <c r="A53" t="str">
        <f t="shared" si="1"/>
        <v>BD1_1998-10-23</v>
      </c>
      <c r="B53" t="s">
        <v>2629</v>
      </c>
      <c r="C53" s="3">
        <v>36091</v>
      </c>
      <c r="D53" t="s">
        <v>2960</v>
      </c>
      <c r="E53" t="s">
        <v>2961</v>
      </c>
    </row>
    <row r="54" spans="1:5">
      <c r="A54" t="str">
        <f t="shared" si="1"/>
        <v>BD1_1999-04-10</v>
      </c>
      <c r="B54" t="s">
        <v>2629</v>
      </c>
      <c r="C54" s="3">
        <v>36260</v>
      </c>
      <c r="D54" t="s">
        <v>2960</v>
      </c>
      <c r="E54" t="s">
        <v>2961</v>
      </c>
    </row>
    <row r="55" spans="1:5">
      <c r="A55" t="str">
        <f t="shared" si="1"/>
        <v>BD1_1999-07-20</v>
      </c>
      <c r="B55" t="s">
        <v>2629</v>
      </c>
      <c r="C55" s="3">
        <v>36361</v>
      </c>
      <c r="D55" t="s">
        <v>2960</v>
      </c>
      <c r="E55" t="s">
        <v>2961</v>
      </c>
    </row>
    <row r="56" spans="1:5">
      <c r="A56" t="str">
        <f t="shared" si="1"/>
        <v>BD1_1999-10-13</v>
      </c>
      <c r="B56" t="s">
        <v>2629</v>
      </c>
      <c r="C56" s="3">
        <v>36446</v>
      </c>
      <c r="D56" t="s">
        <v>2960</v>
      </c>
      <c r="E56" t="s">
        <v>2961</v>
      </c>
    </row>
    <row r="57" spans="1:5">
      <c r="A57" t="str">
        <f t="shared" si="1"/>
        <v>BD1_2000-07-22</v>
      </c>
      <c r="B57" t="s">
        <v>2629</v>
      </c>
      <c r="C57" s="3">
        <v>36729</v>
      </c>
      <c r="D57" t="s">
        <v>2960</v>
      </c>
      <c r="E57" t="s">
        <v>2961</v>
      </c>
    </row>
    <row r="58" spans="1:5">
      <c r="A58" t="str">
        <f t="shared" si="1"/>
        <v>BD1_2000-10-21</v>
      </c>
      <c r="B58" t="s">
        <v>2629</v>
      </c>
      <c r="C58" s="3">
        <v>36820</v>
      </c>
      <c r="D58" t="s">
        <v>2960</v>
      </c>
      <c r="E58" t="s">
        <v>2961</v>
      </c>
    </row>
    <row r="59" spans="1:5">
      <c r="A59" t="str">
        <f t="shared" si="1"/>
        <v>BD1_2001-07-21</v>
      </c>
      <c r="B59" t="s">
        <v>2629</v>
      </c>
      <c r="C59" s="3">
        <v>37093</v>
      </c>
      <c r="D59" t="s">
        <v>2960</v>
      </c>
      <c r="E59" t="s">
        <v>2961</v>
      </c>
    </row>
    <row r="60" spans="1:5">
      <c r="A60" t="str">
        <f t="shared" si="1"/>
        <v>BD1_2002-03-23</v>
      </c>
      <c r="B60" t="s">
        <v>2629</v>
      </c>
      <c r="C60" s="3">
        <v>37338</v>
      </c>
      <c r="D60" t="s">
        <v>2960</v>
      </c>
      <c r="E60" t="s">
        <v>2961</v>
      </c>
    </row>
    <row r="61" spans="1:5">
      <c r="A61" t="str">
        <f t="shared" si="1"/>
        <v>BD1_2002-07-27</v>
      </c>
      <c r="B61" t="s">
        <v>2629</v>
      </c>
      <c r="C61" s="3">
        <v>37464</v>
      </c>
      <c r="D61" t="s">
        <v>2960</v>
      </c>
      <c r="E61" t="s">
        <v>2961</v>
      </c>
    </row>
    <row r="62" spans="1:5">
      <c r="A62" t="str">
        <f t="shared" si="1"/>
        <v>BD1_2003-03-22</v>
      </c>
      <c r="B62" t="s">
        <v>2629</v>
      </c>
      <c r="C62" s="3">
        <v>37702</v>
      </c>
      <c r="D62" t="s">
        <v>2960</v>
      </c>
      <c r="E62" t="s">
        <v>2961</v>
      </c>
    </row>
    <row r="63" spans="1:5">
      <c r="A63" t="str">
        <f t="shared" si="1"/>
        <v>BD1_2003-07-19</v>
      </c>
      <c r="B63" t="s">
        <v>2629</v>
      </c>
      <c r="C63" s="3">
        <v>37821</v>
      </c>
      <c r="D63" t="s">
        <v>2960</v>
      </c>
      <c r="E63" t="s">
        <v>2961</v>
      </c>
    </row>
    <row r="64" spans="1:5">
      <c r="A64" t="str">
        <f t="shared" si="1"/>
        <v>BD1_2003-10-18</v>
      </c>
      <c r="B64" t="s">
        <v>2629</v>
      </c>
      <c r="C64" s="3">
        <v>37912</v>
      </c>
      <c r="D64" t="s">
        <v>2960</v>
      </c>
      <c r="E64" t="s">
        <v>2961</v>
      </c>
    </row>
    <row r="65" spans="1:5">
      <c r="A65" t="str">
        <f t="shared" si="1"/>
        <v>BD1_2004-10-16</v>
      </c>
      <c r="B65" t="s">
        <v>2629</v>
      </c>
      <c r="C65" s="3">
        <v>38276</v>
      </c>
      <c r="D65" t="s">
        <v>2960</v>
      </c>
      <c r="E65" t="s">
        <v>2961</v>
      </c>
    </row>
    <row r="66" spans="1:5">
      <c r="A66" t="str">
        <f t="shared" si="1"/>
        <v>BD1_2005-03-19</v>
      </c>
      <c r="B66" t="s">
        <v>2629</v>
      </c>
      <c r="C66" s="3">
        <v>38430</v>
      </c>
      <c r="D66" t="s">
        <v>2960</v>
      </c>
      <c r="E66" t="s">
        <v>2961</v>
      </c>
    </row>
    <row r="67" spans="1:5">
      <c r="A67" t="str">
        <f t="shared" si="1"/>
        <v>BD1_2005-07-23</v>
      </c>
      <c r="B67" t="s">
        <v>2629</v>
      </c>
      <c r="C67" s="3">
        <v>38556</v>
      </c>
      <c r="D67" t="s">
        <v>2960</v>
      </c>
      <c r="E67" t="s">
        <v>2961</v>
      </c>
    </row>
    <row r="68" spans="1:5">
      <c r="A68" t="str">
        <f t="shared" si="1"/>
        <v>BD1_2005-10-28</v>
      </c>
      <c r="B68" t="s">
        <v>2629</v>
      </c>
      <c r="C68" s="3">
        <v>38653</v>
      </c>
      <c r="D68" t="s">
        <v>2960</v>
      </c>
      <c r="E68" t="s">
        <v>2961</v>
      </c>
    </row>
    <row r="69" spans="1:5">
      <c r="A69" t="str">
        <f t="shared" ref="A69:A132" si="2">B69&amp;"_"&amp;TEXT(C69,"yyyy-mm-dd")</f>
        <v>BD1_2006-03-18</v>
      </c>
      <c r="B69" t="s">
        <v>2629</v>
      </c>
      <c r="C69" s="3">
        <v>38794</v>
      </c>
      <c r="D69" t="s">
        <v>2960</v>
      </c>
      <c r="E69" t="s">
        <v>2961</v>
      </c>
    </row>
    <row r="70" spans="1:5">
      <c r="A70" t="str">
        <f t="shared" si="2"/>
        <v>BD1_2006-07-15</v>
      </c>
      <c r="B70" t="s">
        <v>2629</v>
      </c>
      <c r="C70" s="3">
        <v>38913</v>
      </c>
      <c r="D70" t="s">
        <v>2960</v>
      </c>
      <c r="E70" t="s">
        <v>2961</v>
      </c>
    </row>
    <row r="71" spans="1:5">
      <c r="A71" t="str">
        <f t="shared" si="2"/>
        <v>BD1_2007-03-17</v>
      </c>
      <c r="B71" t="s">
        <v>2629</v>
      </c>
      <c r="C71" s="3">
        <v>39158</v>
      </c>
      <c r="D71" t="s">
        <v>2960</v>
      </c>
      <c r="E71" t="s">
        <v>2961</v>
      </c>
    </row>
    <row r="72" spans="1:5">
      <c r="A72" t="str">
        <f t="shared" si="2"/>
        <v>BD1_2007-07-21</v>
      </c>
      <c r="B72" t="s">
        <v>2629</v>
      </c>
      <c r="C72" s="3">
        <v>39284</v>
      </c>
      <c r="D72" t="s">
        <v>2960</v>
      </c>
      <c r="E72" t="s">
        <v>2961</v>
      </c>
    </row>
    <row r="73" spans="1:5">
      <c r="A73" t="str">
        <f t="shared" si="2"/>
        <v>BD1_2008-07-19</v>
      </c>
      <c r="B73" t="s">
        <v>2629</v>
      </c>
      <c r="C73" s="3">
        <v>39648</v>
      </c>
      <c r="D73" t="s">
        <v>2960</v>
      </c>
      <c r="E73" t="s">
        <v>2961</v>
      </c>
    </row>
    <row r="74" spans="1:5">
      <c r="A74" t="str">
        <f t="shared" si="2"/>
        <v>BD1_2008-10-18</v>
      </c>
      <c r="B74" t="s">
        <v>2629</v>
      </c>
      <c r="C74" s="3">
        <v>39739</v>
      </c>
      <c r="D74" t="s">
        <v>2960</v>
      </c>
      <c r="E74" t="s">
        <v>2961</v>
      </c>
    </row>
    <row r="75" spans="1:5">
      <c r="A75" t="str">
        <f t="shared" si="2"/>
        <v>BD1_2009-03-28</v>
      </c>
      <c r="B75" t="s">
        <v>2629</v>
      </c>
      <c r="C75" s="3">
        <v>39900</v>
      </c>
      <c r="D75" t="s">
        <v>2960</v>
      </c>
      <c r="E75" t="s">
        <v>2961</v>
      </c>
    </row>
    <row r="76" spans="1:5">
      <c r="A76" t="str">
        <f t="shared" si="2"/>
        <v>BD1_2009-07-18</v>
      </c>
      <c r="B76" t="s">
        <v>2629</v>
      </c>
      <c r="C76" s="3">
        <v>40012</v>
      </c>
      <c r="D76" t="s">
        <v>2960</v>
      </c>
      <c r="E76" t="s">
        <v>2961</v>
      </c>
    </row>
    <row r="77" spans="1:5">
      <c r="A77" t="str">
        <f t="shared" si="2"/>
        <v>BD1_2011-07-23</v>
      </c>
      <c r="B77" t="s">
        <v>2629</v>
      </c>
      <c r="C77" s="3">
        <v>40747</v>
      </c>
      <c r="D77" t="s">
        <v>2960</v>
      </c>
      <c r="E77" t="s">
        <v>2961</v>
      </c>
    </row>
    <row r="78" spans="1:5">
      <c r="A78" t="str">
        <f t="shared" si="2"/>
        <v>BD3_1997-07-26</v>
      </c>
      <c r="B78" t="s">
        <v>49</v>
      </c>
      <c r="C78" s="36">
        <v>35637</v>
      </c>
      <c r="D78" t="s">
        <v>2960</v>
      </c>
      <c r="E78" t="s">
        <v>2961</v>
      </c>
    </row>
    <row r="79" spans="1:5">
      <c r="A79" t="str">
        <f t="shared" si="2"/>
        <v>BD3_1997-11-08</v>
      </c>
      <c r="B79" t="s">
        <v>49</v>
      </c>
      <c r="C79" s="36">
        <v>35742</v>
      </c>
      <c r="D79" t="s">
        <v>2960</v>
      </c>
      <c r="E79" t="s">
        <v>2961</v>
      </c>
    </row>
    <row r="80" spans="1:5">
      <c r="A80" t="str">
        <f t="shared" si="2"/>
        <v>BD3_1998-08-05</v>
      </c>
      <c r="B80" t="s">
        <v>49</v>
      </c>
      <c r="C80" s="36">
        <v>36012</v>
      </c>
      <c r="D80" t="s">
        <v>2960</v>
      </c>
      <c r="E80" t="s">
        <v>2961</v>
      </c>
    </row>
    <row r="81" spans="1:5">
      <c r="A81" t="str">
        <f t="shared" si="2"/>
        <v>BD3_1998-10-27</v>
      </c>
      <c r="B81" t="s">
        <v>49</v>
      </c>
      <c r="C81" s="36">
        <v>36095</v>
      </c>
      <c r="D81" t="s">
        <v>2960</v>
      </c>
      <c r="E81" t="s">
        <v>2961</v>
      </c>
    </row>
    <row r="82" spans="1:5">
      <c r="A82" t="str">
        <f t="shared" si="2"/>
        <v>BD3_1999-07-24</v>
      </c>
      <c r="B82" t="s">
        <v>49</v>
      </c>
      <c r="C82" s="36">
        <v>36365</v>
      </c>
      <c r="D82" t="s">
        <v>2960</v>
      </c>
      <c r="E82" t="s">
        <v>2961</v>
      </c>
    </row>
    <row r="83" spans="1:5">
      <c r="A83" t="str">
        <f t="shared" si="2"/>
        <v>BD3_2000-11-14</v>
      </c>
      <c r="B83" t="s">
        <v>49</v>
      </c>
      <c r="C83" s="36">
        <v>36844</v>
      </c>
      <c r="D83" t="s">
        <v>2960</v>
      </c>
      <c r="E83" t="s">
        <v>2961</v>
      </c>
    </row>
    <row r="84" spans="1:5">
      <c r="A84" t="str">
        <f t="shared" si="2"/>
        <v>BD3_2001-07-21</v>
      </c>
      <c r="B84" t="s">
        <v>49</v>
      </c>
      <c r="C84" s="36">
        <v>37093</v>
      </c>
      <c r="D84" t="s">
        <v>2960</v>
      </c>
      <c r="E84" t="s">
        <v>2961</v>
      </c>
    </row>
    <row r="85" spans="1:5">
      <c r="A85" t="str">
        <f t="shared" si="2"/>
        <v>BD3_2001-10-20</v>
      </c>
      <c r="B85" t="s">
        <v>49</v>
      </c>
      <c r="C85" s="36">
        <v>37184</v>
      </c>
      <c r="D85" t="s">
        <v>2960</v>
      </c>
      <c r="E85" t="s">
        <v>2961</v>
      </c>
    </row>
    <row r="86" spans="1:5">
      <c r="A86" t="str">
        <f t="shared" si="2"/>
        <v>BD3_2002-03-23</v>
      </c>
      <c r="B86" t="s">
        <v>49</v>
      </c>
      <c r="C86" s="36">
        <v>37338</v>
      </c>
      <c r="D86" t="s">
        <v>2960</v>
      </c>
      <c r="E86" t="s">
        <v>2961</v>
      </c>
    </row>
    <row r="87" spans="1:5">
      <c r="A87" t="str">
        <f t="shared" si="2"/>
        <v>BD3_2002-07-27</v>
      </c>
      <c r="B87" t="s">
        <v>49</v>
      </c>
      <c r="C87" s="36">
        <v>37464</v>
      </c>
      <c r="D87" t="s">
        <v>2960</v>
      </c>
      <c r="E87" t="s">
        <v>2961</v>
      </c>
    </row>
    <row r="88" spans="1:5">
      <c r="A88" t="str">
        <f t="shared" si="2"/>
        <v>BD3_2002-10-19</v>
      </c>
      <c r="B88" t="s">
        <v>49</v>
      </c>
      <c r="C88" s="36">
        <v>37548</v>
      </c>
      <c r="D88" t="s">
        <v>2960</v>
      </c>
      <c r="E88" t="s">
        <v>2961</v>
      </c>
    </row>
    <row r="89" spans="1:5">
      <c r="A89" t="str">
        <f t="shared" si="2"/>
        <v>BD3_2003-03-22</v>
      </c>
      <c r="B89" t="s">
        <v>49</v>
      </c>
      <c r="C89" s="36">
        <v>37702</v>
      </c>
      <c r="D89" t="s">
        <v>2960</v>
      </c>
      <c r="E89" t="s">
        <v>2961</v>
      </c>
    </row>
    <row r="90" spans="1:5">
      <c r="A90" t="str">
        <f t="shared" si="2"/>
        <v>BD3_2003-07-19</v>
      </c>
      <c r="B90" t="s">
        <v>49</v>
      </c>
      <c r="C90" s="36">
        <v>37821</v>
      </c>
      <c r="D90" t="s">
        <v>2960</v>
      </c>
      <c r="E90" t="s">
        <v>2961</v>
      </c>
    </row>
    <row r="91" spans="1:5">
      <c r="A91" t="str">
        <f t="shared" si="2"/>
        <v>BD3_2003-10-18</v>
      </c>
      <c r="B91" t="s">
        <v>49</v>
      </c>
      <c r="C91" s="36">
        <v>37912</v>
      </c>
      <c r="D91" t="s">
        <v>2960</v>
      </c>
      <c r="E91" t="s">
        <v>2961</v>
      </c>
    </row>
    <row r="92" spans="1:5">
      <c r="A92" t="str">
        <f t="shared" si="2"/>
        <v>BD3_2004-03-20</v>
      </c>
      <c r="B92" t="s">
        <v>49</v>
      </c>
      <c r="C92" s="36">
        <v>38066</v>
      </c>
      <c r="D92" t="s">
        <v>2960</v>
      </c>
      <c r="E92" t="s">
        <v>2961</v>
      </c>
    </row>
    <row r="93" spans="1:5">
      <c r="A93" t="str">
        <f t="shared" si="2"/>
        <v>BD3_2004-07-24</v>
      </c>
      <c r="B93" t="s">
        <v>49</v>
      </c>
      <c r="C93" s="36">
        <v>38192</v>
      </c>
      <c r="D93" t="s">
        <v>2960</v>
      </c>
      <c r="E93" t="s">
        <v>2961</v>
      </c>
    </row>
    <row r="94" spans="1:5">
      <c r="A94" t="str">
        <f t="shared" si="2"/>
        <v>BD3_2004-10-16</v>
      </c>
      <c r="B94" t="s">
        <v>49</v>
      </c>
      <c r="C94" s="36">
        <v>38276</v>
      </c>
      <c r="D94" t="s">
        <v>2960</v>
      </c>
      <c r="E94" t="s">
        <v>2961</v>
      </c>
    </row>
    <row r="95" spans="1:5">
      <c r="A95" t="str">
        <f t="shared" si="2"/>
        <v>BD3_2005-03-19</v>
      </c>
      <c r="B95" t="s">
        <v>49</v>
      </c>
      <c r="C95" s="36">
        <v>38430</v>
      </c>
      <c r="D95" t="s">
        <v>2960</v>
      </c>
      <c r="E95" t="s">
        <v>2961</v>
      </c>
    </row>
    <row r="96" spans="1:5">
      <c r="A96" t="str">
        <f t="shared" si="2"/>
        <v>BD3_2005-10-15</v>
      </c>
      <c r="B96" t="s">
        <v>49</v>
      </c>
      <c r="C96" s="36">
        <v>38640</v>
      </c>
      <c r="D96" t="s">
        <v>2960</v>
      </c>
      <c r="E96" t="s">
        <v>2961</v>
      </c>
    </row>
    <row r="97" spans="1:5">
      <c r="A97" t="str">
        <f t="shared" si="2"/>
        <v>BD3_2006-03-18</v>
      </c>
      <c r="B97" t="s">
        <v>49</v>
      </c>
      <c r="C97" s="36">
        <v>38794</v>
      </c>
      <c r="D97" t="s">
        <v>2960</v>
      </c>
      <c r="E97" t="s">
        <v>2961</v>
      </c>
    </row>
    <row r="98" spans="1:5">
      <c r="A98" t="str">
        <f t="shared" si="2"/>
        <v>BD3_2006-07-15</v>
      </c>
      <c r="B98" t="s">
        <v>49</v>
      </c>
      <c r="C98" s="36">
        <v>38913</v>
      </c>
      <c r="D98" t="s">
        <v>2960</v>
      </c>
      <c r="E98" t="s">
        <v>2961</v>
      </c>
    </row>
    <row r="99" spans="1:5">
      <c r="A99" t="str">
        <f t="shared" si="2"/>
        <v>BD3_2006-10-30</v>
      </c>
      <c r="B99" t="s">
        <v>49</v>
      </c>
      <c r="C99" s="36">
        <v>39020</v>
      </c>
      <c r="D99" t="s">
        <v>2960</v>
      </c>
      <c r="E99" t="s">
        <v>2961</v>
      </c>
    </row>
    <row r="100" spans="1:5">
      <c r="A100" t="str">
        <f t="shared" si="2"/>
        <v>BD3_2007-03-17</v>
      </c>
      <c r="B100" t="s">
        <v>49</v>
      </c>
      <c r="C100" s="36">
        <v>39158</v>
      </c>
      <c r="D100" t="s">
        <v>2960</v>
      </c>
      <c r="E100" t="s">
        <v>2961</v>
      </c>
    </row>
    <row r="101" spans="1:5">
      <c r="A101" t="str">
        <f t="shared" si="2"/>
        <v>BD3_2008-10-18</v>
      </c>
      <c r="B101" t="s">
        <v>49</v>
      </c>
      <c r="C101" s="36">
        <v>39739</v>
      </c>
      <c r="D101" t="s">
        <v>2960</v>
      </c>
      <c r="E101" t="s">
        <v>2961</v>
      </c>
    </row>
    <row r="102" spans="1:5">
      <c r="A102" t="str">
        <f t="shared" si="2"/>
        <v>BD3_2009-03-28</v>
      </c>
      <c r="B102" t="s">
        <v>49</v>
      </c>
      <c r="C102" s="36">
        <v>39900</v>
      </c>
      <c r="D102" t="s">
        <v>2960</v>
      </c>
      <c r="E102" t="s">
        <v>2961</v>
      </c>
    </row>
    <row r="103" spans="1:5">
      <c r="A103" t="str">
        <f t="shared" si="2"/>
        <v>BD3_2009-10-17</v>
      </c>
      <c r="B103" t="s">
        <v>49</v>
      </c>
      <c r="C103" s="36">
        <v>40103</v>
      </c>
      <c r="D103" t="s">
        <v>2960</v>
      </c>
      <c r="E103" t="s">
        <v>2961</v>
      </c>
    </row>
    <row r="104" spans="1:5">
      <c r="A104" t="str">
        <f t="shared" si="2"/>
        <v>BD3_2011-03-19</v>
      </c>
      <c r="B104" t="s">
        <v>49</v>
      </c>
      <c r="C104" s="36">
        <v>40621</v>
      </c>
      <c r="D104" t="s">
        <v>2960</v>
      </c>
      <c r="E104" t="s">
        <v>2961</v>
      </c>
    </row>
    <row r="105" spans="1:5">
      <c r="A105" t="str">
        <f t="shared" si="2"/>
        <v>BD3_2011-07-23</v>
      </c>
      <c r="B105" t="s">
        <v>49</v>
      </c>
      <c r="C105" s="36">
        <v>40747</v>
      </c>
      <c r="D105" t="s">
        <v>2960</v>
      </c>
      <c r="E105" t="s">
        <v>2961</v>
      </c>
    </row>
    <row r="106" spans="1:5">
      <c r="A106" t="str">
        <f t="shared" si="2"/>
        <v>BD3_2011-10-22</v>
      </c>
      <c r="B106" t="s">
        <v>49</v>
      </c>
      <c r="C106" s="36">
        <v>40838</v>
      </c>
      <c r="D106" t="s">
        <v>2960</v>
      </c>
      <c r="E106" t="s">
        <v>2961</v>
      </c>
    </row>
    <row r="107" spans="1:5">
      <c r="A107" t="str">
        <f t="shared" si="2"/>
        <v>BD3_2012-03-17</v>
      </c>
      <c r="B107" t="s">
        <v>49</v>
      </c>
      <c r="C107" s="36">
        <v>40985</v>
      </c>
      <c r="D107" t="s">
        <v>2960</v>
      </c>
      <c r="E107" t="s">
        <v>2961</v>
      </c>
    </row>
    <row r="108" spans="1:5">
      <c r="A108" t="str">
        <f t="shared" si="2"/>
        <v>BD3_2012-08-04</v>
      </c>
      <c r="B108" t="s">
        <v>49</v>
      </c>
      <c r="C108" s="36">
        <v>41125</v>
      </c>
      <c r="D108" t="s">
        <v>2960</v>
      </c>
      <c r="E108" t="s">
        <v>2961</v>
      </c>
    </row>
    <row r="109" spans="1:5">
      <c r="A109" t="str">
        <f t="shared" si="2"/>
        <v>BD3_2012-10-08</v>
      </c>
      <c r="B109" t="s">
        <v>49</v>
      </c>
      <c r="C109" s="36">
        <v>41190</v>
      </c>
      <c r="D109" t="s">
        <v>2960</v>
      </c>
      <c r="E109" t="s">
        <v>2961</v>
      </c>
    </row>
    <row r="110" spans="1:5">
      <c r="A110" t="str">
        <f t="shared" si="2"/>
        <v>BD3_2013-07-23</v>
      </c>
      <c r="B110" t="s">
        <v>49</v>
      </c>
      <c r="C110" s="36">
        <v>41478</v>
      </c>
      <c r="D110" t="s">
        <v>2960</v>
      </c>
      <c r="E110" t="s">
        <v>2961</v>
      </c>
    </row>
    <row r="111" spans="1:5">
      <c r="A111" t="str">
        <f t="shared" si="2"/>
        <v>BD3_2014-03-22</v>
      </c>
      <c r="B111" t="s">
        <v>49</v>
      </c>
      <c r="C111" s="36">
        <v>41720</v>
      </c>
      <c r="D111" t="s">
        <v>2960</v>
      </c>
      <c r="E111" t="s">
        <v>2961</v>
      </c>
    </row>
    <row r="112" spans="1:5">
      <c r="A112" t="str">
        <f t="shared" si="2"/>
        <v>BD3_2014-07-22</v>
      </c>
      <c r="B112" t="s">
        <v>49</v>
      </c>
      <c r="C112" s="36">
        <v>41842</v>
      </c>
      <c r="D112" t="s">
        <v>2999</v>
      </c>
      <c r="E112" t="s">
        <v>2962</v>
      </c>
    </row>
    <row r="113" spans="1:5">
      <c r="A113" t="str">
        <f t="shared" si="2"/>
        <v>BD3_2014-10-21</v>
      </c>
      <c r="B113" t="s">
        <v>49</v>
      </c>
      <c r="C113" s="3">
        <v>41933</v>
      </c>
      <c r="D113" t="s">
        <v>2999</v>
      </c>
      <c r="E113" t="s">
        <v>2962</v>
      </c>
    </row>
    <row r="114" spans="1:5">
      <c r="A114" t="str">
        <f t="shared" si="2"/>
        <v>BD3_2015-03-25</v>
      </c>
      <c r="B114" t="s">
        <v>49</v>
      </c>
      <c r="C114" s="3">
        <v>42088</v>
      </c>
      <c r="D114" t="s">
        <v>2999</v>
      </c>
      <c r="E114" t="s">
        <v>2962</v>
      </c>
    </row>
    <row r="115" spans="1:5">
      <c r="A115" t="str">
        <f t="shared" si="2"/>
        <v>BD4_1996-09-11</v>
      </c>
      <c r="B115" s="73" t="s">
        <v>50</v>
      </c>
      <c r="C115" s="87">
        <v>35319</v>
      </c>
      <c r="D115" t="s">
        <v>2960</v>
      </c>
      <c r="E115" t="s">
        <v>2961</v>
      </c>
    </row>
    <row r="116" spans="1:5">
      <c r="A116" t="str">
        <f t="shared" si="2"/>
        <v>BD4_1997-07-26</v>
      </c>
      <c r="B116" s="73" t="s">
        <v>50</v>
      </c>
      <c r="C116" s="3">
        <v>35637</v>
      </c>
      <c r="D116" t="s">
        <v>2960</v>
      </c>
      <c r="E116" t="s">
        <v>2961</v>
      </c>
    </row>
    <row r="117" spans="1:5">
      <c r="A117" t="str">
        <f t="shared" si="2"/>
        <v>BD4_1998-04-26</v>
      </c>
      <c r="B117" s="73" t="s">
        <v>50</v>
      </c>
      <c r="C117" s="3">
        <v>35911</v>
      </c>
      <c r="D117" t="s">
        <v>2960</v>
      </c>
      <c r="E117" t="s">
        <v>2961</v>
      </c>
    </row>
    <row r="118" spans="1:5">
      <c r="A118" t="str">
        <f t="shared" si="2"/>
        <v>BD4_1998-08-02</v>
      </c>
      <c r="B118" s="73" t="s">
        <v>50</v>
      </c>
      <c r="C118" s="3">
        <v>36009</v>
      </c>
      <c r="D118" t="s">
        <v>2960</v>
      </c>
      <c r="E118" t="s">
        <v>2961</v>
      </c>
    </row>
    <row r="119" spans="1:5">
      <c r="A119" t="str">
        <f t="shared" si="2"/>
        <v>BD4_1998-11-27</v>
      </c>
      <c r="B119" s="73" t="s">
        <v>50</v>
      </c>
      <c r="C119" s="3">
        <v>36126</v>
      </c>
      <c r="D119" t="s">
        <v>2960</v>
      </c>
      <c r="E119" t="s">
        <v>2961</v>
      </c>
    </row>
    <row r="120" spans="1:5">
      <c r="A120" t="str">
        <f t="shared" si="2"/>
        <v>BD4_1999-07-24</v>
      </c>
      <c r="B120" s="73" t="s">
        <v>50</v>
      </c>
      <c r="C120" s="3">
        <v>36365</v>
      </c>
      <c r="D120" t="s">
        <v>2960</v>
      </c>
      <c r="E120" t="s">
        <v>2961</v>
      </c>
    </row>
    <row r="121" spans="1:5">
      <c r="A121" t="str">
        <f t="shared" si="2"/>
        <v>BD4_1999-10-09</v>
      </c>
      <c r="B121" s="73" t="s">
        <v>50</v>
      </c>
      <c r="C121" s="3">
        <v>36442</v>
      </c>
      <c r="D121" t="s">
        <v>2960</v>
      </c>
      <c r="E121" t="s">
        <v>2961</v>
      </c>
    </row>
    <row r="122" spans="1:5">
      <c r="A122" t="str">
        <f t="shared" si="2"/>
        <v>BD4_2000-03-25</v>
      </c>
      <c r="B122" s="73" t="s">
        <v>50</v>
      </c>
      <c r="C122" s="3">
        <v>36610</v>
      </c>
      <c r="D122" t="s">
        <v>2960</v>
      </c>
      <c r="E122" t="s">
        <v>2961</v>
      </c>
    </row>
    <row r="123" spans="1:5">
      <c r="A123" t="str">
        <f t="shared" si="2"/>
        <v>BD4_2000-07-22</v>
      </c>
      <c r="B123" s="73" t="s">
        <v>50</v>
      </c>
      <c r="C123" s="3">
        <v>36729</v>
      </c>
      <c r="D123" t="s">
        <v>2960</v>
      </c>
      <c r="E123" t="s">
        <v>2961</v>
      </c>
    </row>
    <row r="124" spans="1:5">
      <c r="A124" t="str">
        <f t="shared" si="2"/>
        <v>BD4_2000-10-21</v>
      </c>
      <c r="B124" s="73" t="s">
        <v>50</v>
      </c>
      <c r="C124" s="3">
        <v>36820</v>
      </c>
      <c r="D124" t="s">
        <v>2960</v>
      </c>
      <c r="E124" t="s">
        <v>2961</v>
      </c>
    </row>
    <row r="125" spans="1:5">
      <c r="A125" t="str">
        <f t="shared" si="2"/>
        <v>BD4_2001-03-24</v>
      </c>
      <c r="B125" s="73" t="s">
        <v>50</v>
      </c>
      <c r="C125" s="3">
        <v>36974</v>
      </c>
      <c r="D125" t="s">
        <v>2960</v>
      </c>
      <c r="E125" t="s">
        <v>2961</v>
      </c>
    </row>
    <row r="126" spans="1:5">
      <c r="A126" t="str">
        <f t="shared" si="2"/>
        <v>BD4_2001-07-21</v>
      </c>
      <c r="B126" s="73" t="s">
        <v>50</v>
      </c>
      <c r="C126" s="3">
        <v>37093</v>
      </c>
      <c r="D126" t="s">
        <v>2960</v>
      </c>
      <c r="E126" t="s">
        <v>2961</v>
      </c>
    </row>
    <row r="127" spans="1:5">
      <c r="A127" t="str">
        <f t="shared" si="2"/>
        <v>BD4_2001-10-20</v>
      </c>
      <c r="B127" s="73" t="s">
        <v>50</v>
      </c>
      <c r="C127" s="3">
        <v>37184</v>
      </c>
      <c r="D127" t="s">
        <v>2960</v>
      </c>
      <c r="E127" t="s">
        <v>2961</v>
      </c>
    </row>
    <row r="128" spans="1:5">
      <c r="A128" t="str">
        <f t="shared" si="2"/>
        <v>BD4_2002-07-27</v>
      </c>
      <c r="B128" s="73" t="s">
        <v>50</v>
      </c>
      <c r="C128" s="3">
        <v>37464</v>
      </c>
      <c r="D128" t="s">
        <v>2960</v>
      </c>
      <c r="E128" t="s">
        <v>2961</v>
      </c>
    </row>
    <row r="129" spans="1:5">
      <c r="A129" t="str">
        <f t="shared" si="2"/>
        <v>BD4_2002-10-19</v>
      </c>
      <c r="B129" s="73" t="s">
        <v>50</v>
      </c>
      <c r="C129" s="3">
        <v>37548</v>
      </c>
      <c r="D129" t="s">
        <v>2960</v>
      </c>
      <c r="E129" t="s">
        <v>2961</v>
      </c>
    </row>
    <row r="130" spans="1:5">
      <c r="A130" t="str">
        <f t="shared" si="2"/>
        <v>BD4_2003-03-22</v>
      </c>
      <c r="B130" s="73" t="s">
        <v>50</v>
      </c>
      <c r="C130" s="3">
        <v>37702</v>
      </c>
      <c r="D130" t="s">
        <v>2960</v>
      </c>
      <c r="E130" t="s">
        <v>2961</v>
      </c>
    </row>
    <row r="131" spans="1:5">
      <c r="A131" t="str">
        <f t="shared" si="2"/>
        <v>BD4_2003-07-19</v>
      </c>
      <c r="B131" s="73" t="s">
        <v>50</v>
      </c>
      <c r="C131" s="3">
        <v>37821</v>
      </c>
      <c r="D131" t="s">
        <v>2960</v>
      </c>
      <c r="E131" t="s">
        <v>2961</v>
      </c>
    </row>
    <row r="132" spans="1:5">
      <c r="A132" t="str">
        <f t="shared" si="2"/>
        <v>BD4_2003-10-18</v>
      </c>
      <c r="B132" s="73" t="s">
        <v>50</v>
      </c>
      <c r="C132" s="3">
        <v>37912</v>
      </c>
      <c r="D132" t="s">
        <v>2960</v>
      </c>
      <c r="E132" t="s">
        <v>2961</v>
      </c>
    </row>
    <row r="133" spans="1:5">
      <c r="A133" t="str">
        <f t="shared" ref="A133:A196" si="3">B133&amp;"_"&amp;TEXT(C133,"yyyy-mm-dd")</f>
        <v>BD4_2004-03-25</v>
      </c>
      <c r="B133" s="73" t="s">
        <v>50</v>
      </c>
      <c r="C133" s="3">
        <v>38071</v>
      </c>
      <c r="D133" t="s">
        <v>2960</v>
      </c>
      <c r="E133" t="s">
        <v>2961</v>
      </c>
    </row>
    <row r="134" spans="1:5">
      <c r="A134" t="str">
        <f t="shared" si="3"/>
        <v>BD4_2004-07-24</v>
      </c>
      <c r="B134" s="73" t="s">
        <v>50</v>
      </c>
      <c r="C134" s="3">
        <v>38192</v>
      </c>
      <c r="D134" t="s">
        <v>2960</v>
      </c>
      <c r="E134" t="s">
        <v>2961</v>
      </c>
    </row>
    <row r="135" spans="1:5">
      <c r="A135" t="str">
        <f t="shared" si="3"/>
        <v>BD4_2004-10-16</v>
      </c>
      <c r="B135" s="73" t="s">
        <v>50</v>
      </c>
      <c r="C135" s="3">
        <v>38276</v>
      </c>
      <c r="D135" t="s">
        <v>2960</v>
      </c>
      <c r="E135" t="s">
        <v>2961</v>
      </c>
    </row>
    <row r="136" spans="1:5">
      <c r="A136" t="str">
        <f t="shared" si="3"/>
        <v>BD4_2005-03-19</v>
      </c>
      <c r="B136" s="73" t="s">
        <v>50</v>
      </c>
      <c r="C136" s="3">
        <v>38430</v>
      </c>
      <c r="D136" t="s">
        <v>2960</v>
      </c>
      <c r="E136" t="s">
        <v>2961</v>
      </c>
    </row>
    <row r="137" spans="1:5">
      <c r="A137" t="str">
        <f t="shared" si="3"/>
        <v>BD4_2005-07-23</v>
      </c>
      <c r="B137" s="73" t="s">
        <v>50</v>
      </c>
      <c r="C137" s="3">
        <v>38556</v>
      </c>
      <c r="D137" t="s">
        <v>2960</v>
      </c>
      <c r="E137" t="s">
        <v>2961</v>
      </c>
    </row>
    <row r="138" spans="1:5">
      <c r="A138" t="str">
        <f t="shared" si="3"/>
        <v>BD4_2006-03-18</v>
      </c>
      <c r="B138" s="73" t="s">
        <v>50</v>
      </c>
      <c r="C138" s="3">
        <v>38794</v>
      </c>
      <c r="D138" t="s">
        <v>2960</v>
      </c>
      <c r="E138" t="s">
        <v>2961</v>
      </c>
    </row>
    <row r="139" spans="1:5">
      <c r="A139" t="str">
        <f t="shared" si="3"/>
        <v>BD4_2006-07-15</v>
      </c>
      <c r="B139" s="73" t="s">
        <v>50</v>
      </c>
      <c r="C139" s="3">
        <v>38913</v>
      </c>
      <c r="D139" t="s">
        <v>2960</v>
      </c>
      <c r="E139" t="s">
        <v>2961</v>
      </c>
    </row>
    <row r="140" spans="1:5">
      <c r="A140" t="str">
        <f t="shared" si="3"/>
        <v>BD4_2006-10-14</v>
      </c>
      <c r="B140" s="73" t="s">
        <v>50</v>
      </c>
      <c r="C140" s="3">
        <v>39004</v>
      </c>
      <c r="D140" t="s">
        <v>2960</v>
      </c>
      <c r="E140" t="s">
        <v>2961</v>
      </c>
    </row>
    <row r="141" spans="1:5">
      <c r="A141" t="str">
        <f t="shared" si="3"/>
        <v>BD4_2007-03-17</v>
      </c>
      <c r="B141" s="73" t="s">
        <v>50</v>
      </c>
      <c r="C141" s="3">
        <v>39158</v>
      </c>
      <c r="D141" t="s">
        <v>2960</v>
      </c>
      <c r="E141" t="s">
        <v>2961</v>
      </c>
    </row>
    <row r="142" spans="1:5">
      <c r="A142" t="str">
        <f t="shared" si="3"/>
        <v>BD4_2007-07-21</v>
      </c>
      <c r="B142" s="73" t="s">
        <v>50</v>
      </c>
      <c r="C142" s="3">
        <v>39284</v>
      </c>
      <c r="D142" t="s">
        <v>2960</v>
      </c>
      <c r="E142" t="s">
        <v>2961</v>
      </c>
    </row>
    <row r="143" spans="1:5">
      <c r="A143" t="str">
        <f t="shared" si="3"/>
        <v>BD4_2007-10-27</v>
      </c>
      <c r="B143" s="73" t="s">
        <v>50</v>
      </c>
      <c r="C143" s="3">
        <v>39382</v>
      </c>
      <c r="D143" t="s">
        <v>2960</v>
      </c>
      <c r="E143" t="s">
        <v>2961</v>
      </c>
    </row>
    <row r="144" spans="1:5">
      <c r="A144" t="str">
        <f t="shared" si="3"/>
        <v>BD4_2008-03-29</v>
      </c>
      <c r="B144" s="73" t="s">
        <v>50</v>
      </c>
      <c r="C144" s="3">
        <v>39536</v>
      </c>
      <c r="D144" t="s">
        <v>2960</v>
      </c>
      <c r="E144" t="s">
        <v>2961</v>
      </c>
    </row>
    <row r="145" spans="1:5">
      <c r="A145" t="str">
        <f t="shared" si="3"/>
        <v>BD4_2008-07-19</v>
      </c>
      <c r="B145" s="73" t="s">
        <v>50</v>
      </c>
      <c r="C145" s="3">
        <v>39648</v>
      </c>
      <c r="D145" t="s">
        <v>2960</v>
      </c>
      <c r="E145" t="s">
        <v>2961</v>
      </c>
    </row>
    <row r="146" spans="1:5">
      <c r="A146" t="str">
        <f t="shared" si="3"/>
        <v>BD4_2008-10-18</v>
      </c>
      <c r="B146" s="73" t="s">
        <v>50</v>
      </c>
      <c r="C146" s="3">
        <v>39739</v>
      </c>
      <c r="D146" t="s">
        <v>2960</v>
      </c>
      <c r="E146" t="s">
        <v>2961</v>
      </c>
    </row>
    <row r="147" spans="1:5">
      <c r="A147" t="str">
        <f t="shared" si="3"/>
        <v>BD4_2009-03-28</v>
      </c>
      <c r="B147" s="73" t="s">
        <v>50</v>
      </c>
      <c r="C147" s="3">
        <v>39900</v>
      </c>
      <c r="D147" t="s">
        <v>2960</v>
      </c>
      <c r="E147" t="s">
        <v>2961</v>
      </c>
    </row>
    <row r="148" spans="1:5">
      <c r="A148" t="str">
        <f t="shared" si="3"/>
        <v>BD4_2009-07-18</v>
      </c>
      <c r="B148" s="73" t="s">
        <v>50</v>
      </c>
      <c r="C148" s="3">
        <v>40012</v>
      </c>
      <c r="D148" t="s">
        <v>2960</v>
      </c>
      <c r="E148" t="s">
        <v>2961</v>
      </c>
    </row>
    <row r="149" spans="1:5">
      <c r="A149" t="str">
        <f t="shared" si="3"/>
        <v>BD4_2009-10-17</v>
      </c>
      <c r="B149" s="73" t="s">
        <v>50</v>
      </c>
      <c r="C149" s="3">
        <v>40103</v>
      </c>
      <c r="D149" t="s">
        <v>2960</v>
      </c>
      <c r="E149" t="s">
        <v>2961</v>
      </c>
    </row>
    <row r="150" spans="1:5">
      <c r="A150" t="str">
        <f t="shared" si="3"/>
        <v>BD4_2010-03-20</v>
      </c>
      <c r="B150" s="73" t="s">
        <v>50</v>
      </c>
      <c r="C150" s="3">
        <v>40257</v>
      </c>
      <c r="D150" t="s">
        <v>2960</v>
      </c>
      <c r="E150" t="s">
        <v>2961</v>
      </c>
    </row>
    <row r="151" spans="1:5">
      <c r="A151" t="str">
        <f t="shared" si="3"/>
        <v>BD4_2010-07-24</v>
      </c>
      <c r="B151" s="73" t="s">
        <v>50</v>
      </c>
      <c r="C151" s="3">
        <v>40383</v>
      </c>
      <c r="D151" t="s">
        <v>2960</v>
      </c>
      <c r="E151" t="s">
        <v>2961</v>
      </c>
    </row>
    <row r="152" spans="1:5">
      <c r="A152" t="str">
        <f t="shared" si="3"/>
        <v>BD4_2010-10-16</v>
      </c>
      <c r="B152" s="73" t="s">
        <v>50</v>
      </c>
      <c r="C152" s="3">
        <v>40467</v>
      </c>
      <c r="D152" t="s">
        <v>2960</v>
      </c>
      <c r="E152" t="s">
        <v>2961</v>
      </c>
    </row>
    <row r="153" spans="1:5">
      <c r="A153" t="str">
        <f t="shared" si="3"/>
        <v>BD4_2011-03-19</v>
      </c>
      <c r="B153" s="73" t="s">
        <v>50</v>
      </c>
      <c r="C153" s="3">
        <v>40621</v>
      </c>
      <c r="D153" t="s">
        <v>2960</v>
      </c>
      <c r="E153" t="s">
        <v>2961</v>
      </c>
    </row>
    <row r="154" spans="1:5">
      <c r="A154" t="str">
        <f t="shared" si="3"/>
        <v>BD4_2011-07-09</v>
      </c>
      <c r="B154" s="73" t="s">
        <v>50</v>
      </c>
      <c r="C154" s="3">
        <v>40733</v>
      </c>
      <c r="D154" t="s">
        <v>2960</v>
      </c>
      <c r="E154" t="s">
        <v>2961</v>
      </c>
    </row>
    <row r="155" spans="1:5">
      <c r="A155" t="str">
        <f t="shared" si="3"/>
        <v>BD4_2011-10-22</v>
      </c>
      <c r="B155" s="73" t="s">
        <v>50</v>
      </c>
      <c r="C155" s="3">
        <v>40838</v>
      </c>
      <c r="D155" t="s">
        <v>2960</v>
      </c>
      <c r="E155" t="s">
        <v>2961</v>
      </c>
    </row>
    <row r="156" spans="1:5">
      <c r="A156" t="str">
        <f t="shared" si="3"/>
        <v>BD4_2012-07-23</v>
      </c>
      <c r="B156" s="73" t="s">
        <v>50</v>
      </c>
      <c r="C156" s="3">
        <v>41113</v>
      </c>
      <c r="D156" t="s">
        <v>2960</v>
      </c>
      <c r="E156" t="s">
        <v>2961</v>
      </c>
    </row>
    <row r="157" spans="1:5">
      <c r="A157" t="str">
        <f t="shared" si="3"/>
        <v>BD4_2012-10-13</v>
      </c>
      <c r="B157" s="73" t="s">
        <v>50</v>
      </c>
      <c r="C157" s="3">
        <v>41195</v>
      </c>
      <c r="D157" t="s">
        <v>2960</v>
      </c>
      <c r="E157" t="s">
        <v>2961</v>
      </c>
    </row>
    <row r="158" spans="1:5">
      <c r="A158" t="str">
        <f t="shared" si="3"/>
        <v>BD4_2013-03-16</v>
      </c>
      <c r="B158" s="73" t="s">
        <v>50</v>
      </c>
      <c r="C158" s="3">
        <v>41349</v>
      </c>
      <c r="D158" t="s">
        <v>2960</v>
      </c>
      <c r="E158" t="s">
        <v>2961</v>
      </c>
    </row>
    <row r="159" spans="1:5">
      <c r="A159" t="str">
        <f t="shared" si="3"/>
        <v>BD4_2013-07-18</v>
      </c>
      <c r="B159" s="73" t="s">
        <v>50</v>
      </c>
      <c r="C159" s="3">
        <v>41473</v>
      </c>
      <c r="D159" t="s">
        <v>2960</v>
      </c>
      <c r="E159" t="s">
        <v>2961</v>
      </c>
    </row>
    <row r="160" spans="1:5">
      <c r="A160" t="str">
        <f t="shared" si="3"/>
        <v>BD4_2013-10-13</v>
      </c>
      <c r="B160" s="73" t="s">
        <v>50</v>
      </c>
      <c r="C160" s="3">
        <v>41560</v>
      </c>
      <c r="D160" t="s">
        <v>2960</v>
      </c>
      <c r="E160" t="s">
        <v>2961</v>
      </c>
    </row>
    <row r="161" spans="1:5">
      <c r="A161" t="str">
        <f t="shared" si="3"/>
        <v>BD4_2014-03-22</v>
      </c>
      <c r="B161" s="73" t="s">
        <v>50</v>
      </c>
      <c r="C161" s="3">
        <v>41720</v>
      </c>
      <c r="D161" t="s">
        <v>2960</v>
      </c>
      <c r="E161" t="s">
        <v>2961</v>
      </c>
    </row>
    <row r="162" spans="1:5">
      <c r="A162" t="str">
        <f t="shared" si="3"/>
        <v>BD4_2014-07-17</v>
      </c>
      <c r="B162" t="s">
        <v>50</v>
      </c>
      <c r="C162" s="3">
        <v>41837</v>
      </c>
      <c r="D162" t="s">
        <v>2999</v>
      </c>
      <c r="E162" t="s">
        <v>2962</v>
      </c>
    </row>
    <row r="163" spans="1:5">
      <c r="A163" t="str">
        <f t="shared" si="3"/>
        <v>BD4_2014-10-12</v>
      </c>
      <c r="B163" t="s">
        <v>50</v>
      </c>
      <c r="C163" s="36">
        <v>41924</v>
      </c>
      <c r="D163" t="s">
        <v>2999</v>
      </c>
      <c r="E163" t="s">
        <v>2962</v>
      </c>
    </row>
    <row r="164" spans="1:5">
      <c r="A164" t="str">
        <f t="shared" si="3"/>
        <v>BD4_2015-10-11</v>
      </c>
      <c r="B164" t="s">
        <v>50</v>
      </c>
      <c r="C164" s="3">
        <v>42288</v>
      </c>
      <c r="D164" t="s">
        <v>2999</v>
      </c>
      <c r="E164" t="s">
        <v>2962</v>
      </c>
    </row>
    <row r="165" spans="1:5">
      <c r="A165" t="str">
        <f t="shared" si="3"/>
        <v>BD4_2015-03-20</v>
      </c>
      <c r="B165" t="s">
        <v>50</v>
      </c>
      <c r="C165" s="3">
        <v>42083</v>
      </c>
      <c r="D165" t="s">
        <v>2999</v>
      </c>
      <c r="E165" t="s">
        <v>2962</v>
      </c>
    </row>
    <row r="166" spans="1:5">
      <c r="A166" t="str">
        <f t="shared" si="3"/>
        <v>BD4_2015-07-18</v>
      </c>
      <c r="B166" t="s">
        <v>50</v>
      </c>
      <c r="C166" s="3">
        <v>42203</v>
      </c>
      <c r="D166" t="s">
        <v>2999</v>
      </c>
      <c r="E166" t="s">
        <v>2962</v>
      </c>
    </row>
    <row r="167" spans="1:5">
      <c r="A167" t="str">
        <f t="shared" si="3"/>
        <v>BD4_2016-03-26</v>
      </c>
      <c r="B167" t="s">
        <v>50</v>
      </c>
      <c r="C167" s="3">
        <v>42455</v>
      </c>
      <c r="D167" t="s">
        <v>2999</v>
      </c>
      <c r="E167" t="s">
        <v>2962</v>
      </c>
    </row>
    <row r="168" spans="1:5">
      <c r="A168" t="str">
        <f t="shared" si="3"/>
        <v>BD4_2016-07-07</v>
      </c>
      <c r="B168" t="s">
        <v>50</v>
      </c>
      <c r="C168" s="3">
        <v>42558</v>
      </c>
      <c r="D168" t="s">
        <v>2999</v>
      </c>
      <c r="E168" t="s">
        <v>2962</v>
      </c>
    </row>
    <row r="169" spans="1:5">
      <c r="A169" t="str">
        <f t="shared" si="3"/>
        <v>BD4_2016-10-04</v>
      </c>
      <c r="B169" t="s">
        <v>50</v>
      </c>
      <c r="C169" s="3">
        <v>42647</v>
      </c>
      <c r="D169" t="s">
        <v>2999</v>
      </c>
      <c r="E169" t="s">
        <v>2962</v>
      </c>
    </row>
    <row r="170" spans="1:5">
      <c r="A170" t="str">
        <f t="shared" si="3"/>
        <v>BD4_2017-04-02</v>
      </c>
      <c r="B170" t="s">
        <v>50</v>
      </c>
      <c r="C170" s="3">
        <v>42827</v>
      </c>
      <c r="D170" t="s">
        <v>2999</v>
      </c>
      <c r="E170" t="s">
        <v>2962</v>
      </c>
    </row>
    <row r="171" spans="1:5">
      <c r="A171" t="str">
        <f t="shared" si="3"/>
        <v>BD4_2017-06-30</v>
      </c>
      <c r="B171" t="s">
        <v>50</v>
      </c>
      <c r="C171" s="3">
        <v>42916</v>
      </c>
      <c r="D171" t="s">
        <v>2999</v>
      </c>
      <c r="E171" t="s">
        <v>2962</v>
      </c>
    </row>
    <row r="172" spans="1:5">
      <c r="A172" t="str">
        <f t="shared" si="3"/>
        <v>BD4_2021-10-09</v>
      </c>
      <c r="B172" t="s">
        <v>50</v>
      </c>
      <c r="C172" s="3">
        <v>44478</v>
      </c>
      <c r="D172" t="s">
        <v>2999</v>
      </c>
      <c r="E172" t="s">
        <v>2962</v>
      </c>
    </row>
    <row r="173" spans="1:5">
      <c r="A173" t="str">
        <f t="shared" si="3"/>
        <v>BK1_2001-07-21</v>
      </c>
      <c r="B173" s="73" t="s">
        <v>51</v>
      </c>
      <c r="C173" s="88">
        <v>37093</v>
      </c>
      <c r="D173" t="s">
        <v>2960</v>
      </c>
      <c r="E173" t="s">
        <v>2961</v>
      </c>
    </row>
    <row r="174" spans="1:5">
      <c r="A174" t="str">
        <f t="shared" si="3"/>
        <v>BK1_2001-10-20</v>
      </c>
      <c r="B174" s="73" t="s">
        <v>51</v>
      </c>
      <c r="C174" s="88">
        <v>37184</v>
      </c>
      <c r="D174" t="s">
        <v>2960</v>
      </c>
      <c r="E174" t="s">
        <v>2961</v>
      </c>
    </row>
    <row r="175" spans="1:5">
      <c r="A175" t="str">
        <f t="shared" si="3"/>
        <v>BK1_2002-03-23</v>
      </c>
      <c r="B175" s="73" t="s">
        <v>51</v>
      </c>
      <c r="C175" s="88">
        <v>37338</v>
      </c>
      <c r="D175" t="s">
        <v>2960</v>
      </c>
      <c r="E175" t="s">
        <v>2961</v>
      </c>
    </row>
    <row r="176" spans="1:5">
      <c r="A176" t="str">
        <f t="shared" si="3"/>
        <v>BK1_2002-07-27</v>
      </c>
      <c r="B176" s="73" t="s">
        <v>51</v>
      </c>
      <c r="C176" s="88">
        <v>37464</v>
      </c>
      <c r="D176" t="s">
        <v>2960</v>
      </c>
      <c r="E176" t="s">
        <v>2961</v>
      </c>
    </row>
    <row r="177" spans="1:5">
      <c r="A177" t="str">
        <f t="shared" si="3"/>
        <v>BK1_2002-10-19</v>
      </c>
      <c r="B177" s="73" t="s">
        <v>51</v>
      </c>
      <c r="C177" s="88">
        <v>37548</v>
      </c>
      <c r="D177" t="s">
        <v>2960</v>
      </c>
      <c r="E177" t="s">
        <v>2961</v>
      </c>
    </row>
    <row r="178" spans="1:5">
      <c r="A178" t="str">
        <f t="shared" si="3"/>
        <v>BK1_2003-03-22</v>
      </c>
      <c r="B178" s="73" t="s">
        <v>51</v>
      </c>
      <c r="C178" s="88">
        <v>37702</v>
      </c>
      <c r="D178" t="s">
        <v>2960</v>
      </c>
      <c r="E178" t="s">
        <v>2961</v>
      </c>
    </row>
    <row r="179" spans="1:5">
      <c r="A179" t="str">
        <f t="shared" si="3"/>
        <v>BK1_2003-06-03</v>
      </c>
      <c r="B179" s="73" t="s">
        <v>51</v>
      </c>
      <c r="C179" s="88">
        <v>37775</v>
      </c>
      <c r="D179" t="s">
        <v>2960</v>
      </c>
      <c r="E179" t="s">
        <v>2961</v>
      </c>
    </row>
    <row r="180" spans="1:5">
      <c r="A180" t="str">
        <f t="shared" si="3"/>
        <v>BK1_2003-07-19</v>
      </c>
      <c r="B180" s="73" t="s">
        <v>51</v>
      </c>
      <c r="C180" s="88">
        <v>37821</v>
      </c>
      <c r="D180" t="s">
        <v>2960</v>
      </c>
      <c r="E180" t="s">
        <v>2961</v>
      </c>
    </row>
    <row r="181" spans="1:5">
      <c r="A181" t="str">
        <f t="shared" si="3"/>
        <v>BK1_2003-10-18</v>
      </c>
      <c r="B181" s="73" t="s">
        <v>51</v>
      </c>
      <c r="C181" s="88">
        <v>37912</v>
      </c>
      <c r="D181" t="s">
        <v>2960</v>
      </c>
      <c r="E181" t="s">
        <v>2961</v>
      </c>
    </row>
    <row r="182" spans="1:5">
      <c r="A182" t="str">
        <f t="shared" si="3"/>
        <v>BK1_2004-07-24</v>
      </c>
      <c r="B182" s="73" t="s">
        <v>51</v>
      </c>
      <c r="C182" s="88">
        <v>38192</v>
      </c>
      <c r="D182" t="s">
        <v>2960</v>
      </c>
      <c r="E182" t="s">
        <v>2961</v>
      </c>
    </row>
    <row r="183" spans="1:5">
      <c r="A183" t="str">
        <f t="shared" si="3"/>
        <v>BK1_2005-07-23</v>
      </c>
      <c r="B183" s="73" t="s">
        <v>51</v>
      </c>
      <c r="C183" s="88">
        <v>38556</v>
      </c>
      <c r="D183" t="s">
        <v>2960</v>
      </c>
      <c r="E183" t="s">
        <v>2961</v>
      </c>
    </row>
    <row r="184" spans="1:5">
      <c r="A184" t="str">
        <f t="shared" si="3"/>
        <v>BK1_2005-10-30</v>
      </c>
      <c r="B184" s="73" t="s">
        <v>51</v>
      </c>
      <c r="C184" s="88">
        <v>38655</v>
      </c>
      <c r="D184" t="s">
        <v>2960</v>
      </c>
      <c r="E184" t="s">
        <v>2961</v>
      </c>
    </row>
    <row r="185" spans="1:5">
      <c r="A185" t="str">
        <f t="shared" si="3"/>
        <v>BK1_2006-10-14</v>
      </c>
      <c r="B185" s="73" t="s">
        <v>51</v>
      </c>
      <c r="C185" s="88">
        <v>39004</v>
      </c>
      <c r="D185" t="s">
        <v>2960</v>
      </c>
      <c r="E185" t="s">
        <v>2961</v>
      </c>
    </row>
    <row r="186" spans="1:5">
      <c r="A186" t="str">
        <f t="shared" si="3"/>
        <v>BK1_2007-03-17</v>
      </c>
      <c r="B186" s="73" t="s">
        <v>51</v>
      </c>
      <c r="C186" s="88">
        <v>39158</v>
      </c>
      <c r="D186" t="s">
        <v>2960</v>
      </c>
      <c r="E186" t="s">
        <v>2961</v>
      </c>
    </row>
    <row r="187" spans="1:5">
      <c r="A187" t="str">
        <f t="shared" si="3"/>
        <v>BK1_2007-07-21</v>
      </c>
      <c r="B187" s="73" t="s">
        <v>51</v>
      </c>
      <c r="C187" s="88">
        <v>39284</v>
      </c>
      <c r="D187" t="s">
        <v>2960</v>
      </c>
      <c r="E187" t="s">
        <v>2961</v>
      </c>
    </row>
    <row r="188" spans="1:5">
      <c r="A188" t="str">
        <f t="shared" si="3"/>
        <v>BK1_2007-10-27</v>
      </c>
      <c r="B188" s="73" t="s">
        <v>51</v>
      </c>
      <c r="C188" s="88">
        <v>39382</v>
      </c>
      <c r="D188" t="s">
        <v>2960</v>
      </c>
      <c r="E188" t="s">
        <v>2961</v>
      </c>
    </row>
    <row r="189" spans="1:5">
      <c r="A189" t="str">
        <f t="shared" si="3"/>
        <v>BK1_2008-03-29</v>
      </c>
      <c r="B189" s="73" t="s">
        <v>51</v>
      </c>
      <c r="C189" s="88">
        <v>39536</v>
      </c>
      <c r="D189" t="s">
        <v>2960</v>
      </c>
      <c r="E189" t="s">
        <v>2961</v>
      </c>
    </row>
    <row r="190" spans="1:5">
      <c r="A190" t="str">
        <f t="shared" si="3"/>
        <v>BK1_2008-07-19</v>
      </c>
      <c r="B190" s="73" t="s">
        <v>51</v>
      </c>
      <c r="C190" s="88">
        <v>39648</v>
      </c>
      <c r="D190" t="s">
        <v>2960</v>
      </c>
      <c r="E190" t="s">
        <v>2961</v>
      </c>
    </row>
    <row r="191" spans="1:5">
      <c r="A191" t="str">
        <f t="shared" si="3"/>
        <v>BK1_2008-10-18</v>
      </c>
      <c r="B191" s="73" t="s">
        <v>51</v>
      </c>
      <c r="C191" s="88">
        <v>39739</v>
      </c>
      <c r="D191" t="s">
        <v>2960</v>
      </c>
      <c r="E191" t="s">
        <v>2961</v>
      </c>
    </row>
    <row r="192" spans="1:5">
      <c r="A192" t="str">
        <f t="shared" si="3"/>
        <v>BK1_2009-03-28</v>
      </c>
      <c r="B192" s="73" t="s">
        <v>51</v>
      </c>
      <c r="C192" s="88">
        <v>39900</v>
      </c>
      <c r="D192" t="s">
        <v>2960</v>
      </c>
      <c r="E192" t="s">
        <v>2961</v>
      </c>
    </row>
    <row r="193" spans="1:5">
      <c r="A193" t="str">
        <f t="shared" si="3"/>
        <v>BK1_2009-07-18</v>
      </c>
      <c r="B193" s="73" t="s">
        <v>51</v>
      </c>
      <c r="C193" s="88">
        <v>40012</v>
      </c>
      <c r="D193" t="s">
        <v>2960</v>
      </c>
      <c r="E193" t="s">
        <v>2961</v>
      </c>
    </row>
    <row r="194" spans="1:5">
      <c r="A194" t="str">
        <f t="shared" si="3"/>
        <v>BK1_2009-10-17</v>
      </c>
      <c r="B194" s="73" t="s">
        <v>51</v>
      </c>
      <c r="C194" s="88">
        <v>40103</v>
      </c>
      <c r="D194" t="s">
        <v>2960</v>
      </c>
      <c r="E194" t="s">
        <v>2961</v>
      </c>
    </row>
    <row r="195" spans="1:5">
      <c r="A195" t="str">
        <f t="shared" si="3"/>
        <v>BK1_2010-03-20</v>
      </c>
      <c r="B195" s="73" t="s">
        <v>51</v>
      </c>
      <c r="C195" s="88">
        <v>40257</v>
      </c>
      <c r="D195" t="s">
        <v>2960</v>
      </c>
      <c r="E195" t="s">
        <v>2961</v>
      </c>
    </row>
    <row r="196" spans="1:5">
      <c r="A196" t="str">
        <f t="shared" si="3"/>
        <v>BK1_2010-07-24</v>
      </c>
      <c r="B196" s="73" t="s">
        <v>51</v>
      </c>
      <c r="C196" s="88">
        <v>40383</v>
      </c>
      <c r="D196" t="s">
        <v>2960</v>
      </c>
      <c r="E196" t="s">
        <v>2961</v>
      </c>
    </row>
    <row r="197" spans="1:5">
      <c r="A197" t="str">
        <f t="shared" ref="A197:A260" si="4">B197&amp;"_"&amp;TEXT(C197,"yyyy-mm-dd")</f>
        <v>BK1_2010-10-16</v>
      </c>
      <c r="B197" s="73" t="s">
        <v>51</v>
      </c>
      <c r="C197" s="88">
        <v>40467</v>
      </c>
      <c r="D197" t="s">
        <v>2960</v>
      </c>
      <c r="E197" t="s">
        <v>2961</v>
      </c>
    </row>
    <row r="198" spans="1:5">
      <c r="A198" t="str">
        <f t="shared" si="4"/>
        <v>BK1_2011-03-19</v>
      </c>
      <c r="B198" s="73" t="s">
        <v>51</v>
      </c>
      <c r="C198" s="88">
        <v>40621</v>
      </c>
      <c r="D198" t="s">
        <v>2960</v>
      </c>
      <c r="E198" t="s">
        <v>2961</v>
      </c>
    </row>
    <row r="199" spans="1:5">
      <c r="A199" t="str">
        <f t="shared" si="4"/>
        <v>BK1_2011-07-23</v>
      </c>
      <c r="B199" s="73" t="s">
        <v>51</v>
      </c>
      <c r="C199" s="88">
        <v>40747</v>
      </c>
      <c r="D199" t="s">
        <v>2960</v>
      </c>
      <c r="E199" t="s">
        <v>2961</v>
      </c>
    </row>
    <row r="200" spans="1:5">
      <c r="A200" t="str">
        <f t="shared" si="4"/>
        <v>BK1_2012-03-17</v>
      </c>
      <c r="B200" s="73" t="s">
        <v>51</v>
      </c>
      <c r="C200" s="88">
        <v>40985</v>
      </c>
      <c r="D200" t="s">
        <v>2960</v>
      </c>
      <c r="E200" t="s">
        <v>2961</v>
      </c>
    </row>
    <row r="201" spans="1:5">
      <c r="A201" t="str">
        <f t="shared" si="4"/>
        <v>BK1_2012-08-04</v>
      </c>
      <c r="B201" s="73" t="s">
        <v>51</v>
      </c>
      <c r="C201" s="88">
        <v>41125</v>
      </c>
      <c r="D201" t="s">
        <v>2960</v>
      </c>
      <c r="E201" t="s">
        <v>2961</v>
      </c>
    </row>
    <row r="202" spans="1:5">
      <c r="A202" t="str">
        <f t="shared" si="4"/>
        <v>BK1_2012-10-20</v>
      </c>
      <c r="B202" s="73" t="s">
        <v>51</v>
      </c>
      <c r="C202" s="88">
        <v>41202</v>
      </c>
      <c r="D202" t="s">
        <v>2960</v>
      </c>
      <c r="E202" t="s">
        <v>2961</v>
      </c>
    </row>
    <row r="203" spans="1:5">
      <c r="A203" t="str">
        <f t="shared" si="4"/>
        <v>BK1_2013-07-20</v>
      </c>
      <c r="B203" s="73" t="s">
        <v>51</v>
      </c>
      <c r="C203" s="88">
        <v>41475</v>
      </c>
      <c r="D203" t="s">
        <v>2960</v>
      </c>
      <c r="E203" t="s">
        <v>2961</v>
      </c>
    </row>
    <row r="204" spans="1:5">
      <c r="A204" t="str">
        <f t="shared" si="4"/>
        <v>BK1_2013-10-19</v>
      </c>
      <c r="B204" s="73" t="s">
        <v>51</v>
      </c>
      <c r="C204" s="88">
        <v>41566</v>
      </c>
      <c r="D204" t="s">
        <v>2960</v>
      </c>
      <c r="E204" t="s">
        <v>2961</v>
      </c>
    </row>
    <row r="205" spans="1:5">
      <c r="A205" t="str">
        <f t="shared" si="4"/>
        <v>BK1_2014-07-20</v>
      </c>
      <c r="B205" s="64" t="s">
        <v>51</v>
      </c>
      <c r="C205" s="3">
        <v>41840</v>
      </c>
      <c r="D205" t="s">
        <v>2999</v>
      </c>
      <c r="E205" t="s">
        <v>2962</v>
      </c>
    </row>
    <row r="206" spans="1:5">
      <c r="A206" t="str">
        <f t="shared" si="4"/>
        <v>BK1_2014-03-16</v>
      </c>
      <c r="B206" s="64" t="s">
        <v>51</v>
      </c>
      <c r="C206" s="36">
        <v>41714</v>
      </c>
      <c r="D206" t="s">
        <v>2999</v>
      </c>
      <c r="E206" t="s">
        <v>2962</v>
      </c>
    </row>
    <row r="207" spans="1:5">
      <c r="A207" t="str">
        <f t="shared" si="4"/>
        <v>BK1_2014-10-18</v>
      </c>
      <c r="B207" s="64" t="s">
        <v>51</v>
      </c>
      <c r="C207" s="3">
        <v>41930</v>
      </c>
      <c r="D207" t="s">
        <v>2999</v>
      </c>
      <c r="E207" t="s">
        <v>2962</v>
      </c>
    </row>
    <row r="208" spans="1:5">
      <c r="A208" t="str">
        <f t="shared" si="4"/>
        <v>BK1_2015-07-19</v>
      </c>
      <c r="B208" s="64" t="s">
        <v>51</v>
      </c>
      <c r="C208" s="3">
        <v>42204</v>
      </c>
      <c r="D208" t="s">
        <v>2999</v>
      </c>
      <c r="E208" t="s">
        <v>2962</v>
      </c>
    </row>
    <row r="209" spans="1:5">
      <c r="A209" t="str">
        <f t="shared" si="4"/>
        <v>BK1_2015-10-18</v>
      </c>
      <c r="B209" s="64" t="s">
        <v>51</v>
      </c>
      <c r="C209" s="3">
        <v>42295</v>
      </c>
      <c r="D209" t="s">
        <v>2999</v>
      </c>
      <c r="E209" t="s">
        <v>2962</v>
      </c>
    </row>
    <row r="210" spans="1:5">
      <c r="A210" t="str">
        <f t="shared" si="4"/>
        <v>CB2_2003-10-18</v>
      </c>
      <c r="B210" s="90" t="s">
        <v>52</v>
      </c>
      <c r="C210" s="91">
        <v>37912</v>
      </c>
      <c r="D210" t="s">
        <v>2960</v>
      </c>
      <c r="E210" t="s">
        <v>2961</v>
      </c>
    </row>
    <row r="211" spans="1:5">
      <c r="A211" t="str">
        <f t="shared" si="4"/>
        <v>CB2_2004-03-20</v>
      </c>
      <c r="B211" s="73" t="s">
        <v>52</v>
      </c>
      <c r="C211" s="87">
        <v>38066</v>
      </c>
      <c r="D211" t="s">
        <v>2960</v>
      </c>
      <c r="E211" t="s">
        <v>2961</v>
      </c>
    </row>
    <row r="212" spans="1:5">
      <c r="A212" t="str">
        <f t="shared" si="4"/>
        <v>CB2_2005-10-28</v>
      </c>
      <c r="B212" s="73" t="s">
        <v>52</v>
      </c>
      <c r="C212" s="87">
        <v>38653</v>
      </c>
      <c r="D212" t="s">
        <v>2960</v>
      </c>
      <c r="E212" t="s">
        <v>2961</v>
      </c>
    </row>
    <row r="213" spans="1:5">
      <c r="A213" t="str">
        <f t="shared" si="4"/>
        <v>CB2_2006-03-18</v>
      </c>
      <c r="B213" s="73" t="s">
        <v>52</v>
      </c>
      <c r="C213" s="87">
        <v>38794</v>
      </c>
      <c r="D213" t="s">
        <v>2960</v>
      </c>
      <c r="E213" t="s">
        <v>2961</v>
      </c>
    </row>
    <row r="214" spans="1:5">
      <c r="A214" t="str">
        <f t="shared" si="4"/>
        <v>CB2_2006-10-14</v>
      </c>
      <c r="B214" s="73" t="s">
        <v>52</v>
      </c>
      <c r="C214" s="87">
        <v>39004</v>
      </c>
      <c r="D214" t="s">
        <v>2960</v>
      </c>
      <c r="E214" t="s">
        <v>2961</v>
      </c>
    </row>
    <row r="215" spans="1:5">
      <c r="A215" t="str">
        <f t="shared" si="4"/>
        <v>CB2_2007-03-17</v>
      </c>
      <c r="B215" s="73" t="s">
        <v>52</v>
      </c>
      <c r="C215" s="87">
        <v>39158</v>
      </c>
      <c r="D215" t="s">
        <v>2960</v>
      </c>
      <c r="E215" t="s">
        <v>2961</v>
      </c>
    </row>
    <row r="216" spans="1:5">
      <c r="A216" t="str">
        <f t="shared" si="4"/>
        <v>CB2_2007-07-21</v>
      </c>
      <c r="B216" s="73" t="s">
        <v>52</v>
      </c>
      <c r="C216" s="87">
        <v>39284</v>
      </c>
      <c r="D216" t="s">
        <v>2960</v>
      </c>
      <c r="E216" t="s">
        <v>2961</v>
      </c>
    </row>
    <row r="217" spans="1:5">
      <c r="A217" t="str">
        <f t="shared" si="4"/>
        <v>CB2_2007-10-27</v>
      </c>
      <c r="B217" s="73" t="s">
        <v>52</v>
      </c>
      <c r="C217" s="87">
        <v>39382</v>
      </c>
      <c r="D217" t="s">
        <v>2960</v>
      </c>
      <c r="E217" t="s">
        <v>2961</v>
      </c>
    </row>
    <row r="218" spans="1:5">
      <c r="A218" t="str">
        <f t="shared" si="4"/>
        <v>CB2_2008-03-29</v>
      </c>
      <c r="B218" s="73" t="s">
        <v>52</v>
      </c>
      <c r="C218" s="87">
        <v>39536</v>
      </c>
      <c r="D218" t="s">
        <v>2960</v>
      </c>
      <c r="E218" t="s">
        <v>2961</v>
      </c>
    </row>
    <row r="219" spans="1:5">
      <c r="A219" t="str">
        <f t="shared" si="4"/>
        <v>CB2_2008-07-19</v>
      </c>
      <c r="B219" s="73" t="s">
        <v>52</v>
      </c>
      <c r="C219" s="87">
        <v>39648</v>
      </c>
      <c r="D219" t="s">
        <v>2960</v>
      </c>
      <c r="E219" t="s">
        <v>2961</v>
      </c>
    </row>
    <row r="220" spans="1:5">
      <c r="A220" t="str">
        <f t="shared" si="4"/>
        <v>CB2_2008-10-18</v>
      </c>
      <c r="B220" s="73" t="s">
        <v>52</v>
      </c>
      <c r="C220" s="87">
        <v>39739</v>
      </c>
      <c r="D220" t="s">
        <v>2960</v>
      </c>
      <c r="E220" t="s">
        <v>2961</v>
      </c>
    </row>
    <row r="221" spans="1:5">
      <c r="A221" t="str">
        <f t="shared" si="4"/>
        <v>CB2_2009-03-28</v>
      </c>
      <c r="B221" s="73" t="s">
        <v>52</v>
      </c>
      <c r="C221" s="87">
        <v>39900</v>
      </c>
      <c r="D221" t="s">
        <v>2960</v>
      </c>
      <c r="E221" t="s">
        <v>2961</v>
      </c>
    </row>
    <row r="222" spans="1:5">
      <c r="A222" t="str">
        <f t="shared" si="4"/>
        <v>CB2_2009-07-18</v>
      </c>
      <c r="B222" s="73" t="s">
        <v>52</v>
      </c>
      <c r="C222" s="87">
        <v>40012</v>
      </c>
      <c r="D222" t="s">
        <v>2960</v>
      </c>
      <c r="E222" t="s">
        <v>2961</v>
      </c>
    </row>
    <row r="223" spans="1:5">
      <c r="A223" t="str">
        <f t="shared" si="4"/>
        <v>CB2_2010-03-20</v>
      </c>
      <c r="B223" s="73" t="s">
        <v>52</v>
      </c>
      <c r="C223" s="87">
        <v>40257</v>
      </c>
      <c r="D223" t="s">
        <v>2960</v>
      </c>
      <c r="E223" t="s">
        <v>2961</v>
      </c>
    </row>
    <row r="224" spans="1:5">
      <c r="A224" t="str">
        <f t="shared" si="4"/>
        <v>CB2_2010-07-24</v>
      </c>
      <c r="B224" s="73" t="s">
        <v>52</v>
      </c>
      <c r="C224" s="87">
        <v>40383</v>
      </c>
      <c r="D224" t="s">
        <v>2960</v>
      </c>
      <c r="E224" t="s">
        <v>2961</v>
      </c>
    </row>
    <row r="225" spans="1:5">
      <c r="A225" t="str">
        <f t="shared" si="4"/>
        <v>CB2_2010-10-16</v>
      </c>
      <c r="B225" s="73" t="s">
        <v>52</v>
      </c>
      <c r="C225" s="87">
        <v>40467</v>
      </c>
      <c r="D225" t="s">
        <v>2960</v>
      </c>
      <c r="E225" t="s">
        <v>2961</v>
      </c>
    </row>
    <row r="226" spans="1:5">
      <c r="A226" t="str">
        <f t="shared" si="4"/>
        <v>CB2_2011-03-19</v>
      </c>
      <c r="B226" s="73" t="s">
        <v>52</v>
      </c>
      <c r="C226" s="87">
        <v>40621</v>
      </c>
      <c r="D226" t="s">
        <v>2960</v>
      </c>
      <c r="E226" t="s">
        <v>2961</v>
      </c>
    </row>
    <row r="227" spans="1:5">
      <c r="A227" t="str">
        <f t="shared" si="4"/>
        <v>CB2_2011-07-23</v>
      </c>
      <c r="B227" s="73" t="s">
        <v>52</v>
      </c>
      <c r="C227" s="87">
        <v>40747</v>
      </c>
      <c r="D227" t="s">
        <v>2960</v>
      </c>
      <c r="E227" t="s">
        <v>2961</v>
      </c>
    </row>
    <row r="228" spans="1:5">
      <c r="A228" t="str">
        <f t="shared" si="4"/>
        <v>CB2_2011-10-22</v>
      </c>
      <c r="B228" s="73" t="s">
        <v>52</v>
      </c>
      <c r="C228" s="87">
        <v>40838</v>
      </c>
      <c r="D228" t="s">
        <v>2960</v>
      </c>
      <c r="E228" t="s">
        <v>2961</v>
      </c>
    </row>
    <row r="229" spans="1:5">
      <c r="A229" t="str">
        <f t="shared" si="4"/>
        <v>CB2_2012-03-17</v>
      </c>
      <c r="B229" s="73" t="s">
        <v>52</v>
      </c>
      <c r="C229" s="87">
        <v>40985</v>
      </c>
      <c r="D229" t="s">
        <v>2960</v>
      </c>
      <c r="E229" t="s">
        <v>2961</v>
      </c>
    </row>
    <row r="230" spans="1:5">
      <c r="A230" t="str">
        <f t="shared" si="4"/>
        <v>CB2_2012-08-09</v>
      </c>
      <c r="B230" s="73" t="s">
        <v>52</v>
      </c>
      <c r="C230" s="87">
        <v>41130</v>
      </c>
      <c r="D230" t="s">
        <v>2960</v>
      </c>
      <c r="E230" t="s">
        <v>2961</v>
      </c>
    </row>
    <row r="231" spans="1:5">
      <c r="A231" t="str">
        <f t="shared" si="4"/>
        <v>CB2_2013-03-23</v>
      </c>
      <c r="B231" s="73" t="s">
        <v>52</v>
      </c>
      <c r="C231" s="87">
        <v>41356</v>
      </c>
      <c r="D231" t="s">
        <v>2960</v>
      </c>
      <c r="E231" t="s">
        <v>2961</v>
      </c>
    </row>
    <row r="232" spans="1:5">
      <c r="A232" t="str">
        <f t="shared" si="4"/>
        <v>CB2_2013-07-22</v>
      </c>
      <c r="B232" s="73" t="s">
        <v>52</v>
      </c>
      <c r="C232" s="87">
        <v>41477</v>
      </c>
      <c r="D232" t="s">
        <v>2960</v>
      </c>
      <c r="E232" t="s">
        <v>2961</v>
      </c>
    </row>
    <row r="233" spans="1:5">
      <c r="A233" t="str">
        <f t="shared" si="4"/>
        <v>CB2_2013-10-19</v>
      </c>
      <c r="B233" s="73" t="s">
        <v>52</v>
      </c>
      <c r="C233" s="87">
        <v>41566</v>
      </c>
      <c r="D233" t="s">
        <v>2960</v>
      </c>
      <c r="E233" t="s">
        <v>2961</v>
      </c>
    </row>
    <row r="234" spans="1:5">
      <c r="A234" t="str">
        <f t="shared" si="4"/>
        <v>CB2_2014-03-15</v>
      </c>
      <c r="B234" t="s">
        <v>52</v>
      </c>
      <c r="C234" s="67">
        <v>41713</v>
      </c>
      <c r="D234" t="s">
        <v>2999</v>
      </c>
      <c r="E234" t="s">
        <v>2962</v>
      </c>
    </row>
    <row r="235" spans="1:5">
      <c r="A235" t="str">
        <f t="shared" si="4"/>
        <v>CB2_2014-07-25</v>
      </c>
      <c r="B235" t="s">
        <v>52</v>
      </c>
      <c r="C235" s="67">
        <v>41845</v>
      </c>
      <c r="D235" t="s">
        <v>2999</v>
      </c>
      <c r="E235" t="s">
        <v>2962</v>
      </c>
    </row>
    <row r="236" spans="1:5">
      <c r="A236" t="str">
        <f t="shared" si="4"/>
        <v>CB2_2014-10-13</v>
      </c>
      <c r="B236" t="s">
        <v>52</v>
      </c>
      <c r="C236" s="36">
        <v>41925</v>
      </c>
      <c r="D236" t="s">
        <v>2999</v>
      </c>
      <c r="E236" t="s">
        <v>2962</v>
      </c>
    </row>
    <row r="237" spans="1:5">
      <c r="A237" t="str">
        <f t="shared" si="4"/>
        <v>CB2_2015-07-19</v>
      </c>
      <c r="B237" t="s">
        <v>52</v>
      </c>
      <c r="C237" s="36">
        <v>42204</v>
      </c>
      <c r="D237" t="s">
        <v>2999</v>
      </c>
      <c r="E237" t="s">
        <v>2962</v>
      </c>
    </row>
    <row r="238" spans="1:5">
      <c r="A238" t="str">
        <f t="shared" si="4"/>
        <v>CB2_2016-04-08</v>
      </c>
      <c r="B238" t="s">
        <v>52</v>
      </c>
      <c r="C238" s="36">
        <v>42468</v>
      </c>
      <c r="D238" t="s">
        <v>2999</v>
      </c>
      <c r="E238" t="s">
        <v>2962</v>
      </c>
    </row>
    <row r="239" spans="1:5">
      <c r="A239" t="str">
        <f t="shared" si="4"/>
        <v>CB2_2016-07-03</v>
      </c>
      <c r="B239" t="s">
        <v>52</v>
      </c>
      <c r="C239" s="36">
        <v>42554</v>
      </c>
      <c r="D239" t="s">
        <v>2999</v>
      </c>
      <c r="E239" t="s">
        <v>2962</v>
      </c>
    </row>
    <row r="240" spans="1:5">
      <c r="A240" t="str">
        <f t="shared" si="4"/>
        <v>CB2_2016-10-16</v>
      </c>
      <c r="B240" t="s">
        <v>52</v>
      </c>
      <c r="C240" s="36">
        <v>42659</v>
      </c>
      <c r="D240" t="s">
        <v>2999</v>
      </c>
      <c r="E240" t="s">
        <v>2962</v>
      </c>
    </row>
    <row r="241" spans="1:5">
      <c r="A241" t="str">
        <f t="shared" si="4"/>
        <v>CB2_2017-06-25</v>
      </c>
      <c r="B241" t="s">
        <v>52</v>
      </c>
      <c r="C241" s="3">
        <v>42911</v>
      </c>
      <c r="D241" t="s">
        <v>2999</v>
      </c>
      <c r="E241" t="s">
        <v>2962</v>
      </c>
    </row>
    <row r="242" spans="1:5">
      <c r="A242" t="str">
        <f t="shared" si="4"/>
        <v>CB2_2021-12-05</v>
      </c>
      <c r="B242" t="s">
        <v>52</v>
      </c>
      <c r="C242" s="3">
        <v>44535</v>
      </c>
      <c r="D242" t="s">
        <v>2999</v>
      </c>
      <c r="E242" t="s">
        <v>2962</v>
      </c>
    </row>
    <row r="243" spans="1:5">
      <c r="A243" t="str">
        <f t="shared" si="4"/>
        <v>COL1_2021-11-15</v>
      </c>
      <c r="B243" t="s">
        <v>53</v>
      </c>
      <c r="C243" s="3">
        <v>44515</v>
      </c>
      <c r="D243" t="s">
        <v>2999</v>
      </c>
      <c r="E243" t="s">
        <v>2962</v>
      </c>
    </row>
    <row r="244" spans="1:5">
      <c r="A244" t="str">
        <f t="shared" si="4"/>
        <v>RBA_2015-10-17</v>
      </c>
      <c r="B244" t="s">
        <v>55</v>
      </c>
      <c r="C244" s="36">
        <v>42294</v>
      </c>
      <c r="D244" t="s">
        <v>2999</v>
      </c>
      <c r="E244" t="s">
        <v>2962</v>
      </c>
    </row>
    <row r="245" spans="1:5">
      <c r="A245" t="str">
        <f t="shared" si="4"/>
        <v>RBA_2016-03-19</v>
      </c>
      <c r="B245" t="s">
        <v>55</v>
      </c>
      <c r="C245" s="36">
        <v>42448</v>
      </c>
      <c r="D245" t="s">
        <v>2999</v>
      </c>
      <c r="E245" t="s">
        <v>2962</v>
      </c>
    </row>
    <row r="246" spans="1:5">
      <c r="A246" t="str">
        <f t="shared" si="4"/>
        <v>RBA_2016-07-16</v>
      </c>
      <c r="B246" t="s">
        <v>55</v>
      </c>
      <c r="C246" s="36">
        <v>42567</v>
      </c>
      <c r="D246" t="s">
        <v>2999</v>
      </c>
      <c r="E246" t="s">
        <v>2962</v>
      </c>
    </row>
    <row r="247" spans="1:5">
      <c r="A247" t="str">
        <f t="shared" si="4"/>
        <v>RBA_2016-10-15</v>
      </c>
      <c r="B247" t="s">
        <v>55</v>
      </c>
      <c r="C247" s="36">
        <v>42658</v>
      </c>
      <c r="D247" t="s">
        <v>2999</v>
      </c>
      <c r="E247" t="s">
        <v>2962</v>
      </c>
    </row>
    <row r="248" spans="1:5">
      <c r="A248" t="str">
        <f t="shared" si="4"/>
        <v>RBA_2017-06-17</v>
      </c>
      <c r="B248" t="s">
        <v>55</v>
      </c>
      <c r="C248" s="3">
        <v>42903</v>
      </c>
      <c r="D248" t="s">
        <v>2999</v>
      </c>
      <c r="E248" t="s">
        <v>2962</v>
      </c>
    </row>
    <row r="249" spans="1:5">
      <c r="A249" t="str">
        <f t="shared" si="4"/>
        <v>RBA_2021-11-21</v>
      </c>
      <c r="B249" t="s">
        <v>55</v>
      </c>
      <c r="C249" s="3">
        <v>44521</v>
      </c>
      <c r="D249" t="s">
        <v>2999</v>
      </c>
      <c r="E249" t="s">
        <v>2962</v>
      </c>
    </row>
    <row r="250" spans="1:5">
      <c r="A250" t="str">
        <f t="shared" si="4"/>
        <v>SB1_2014-03-15</v>
      </c>
      <c r="B250" t="s">
        <v>56</v>
      </c>
      <c r="C250" s="3">
        <v>41713</v>
      </c>
      <c r="D250" t="s">
        <v>2999</v>
      </c>
      <c r="E250" t="s">
        <v>2962</v>
      </c>
    </row>
    <row r="251" spans="1:5">
      <c r="A251" t="str">
        <f t="shared" si="4"/>
        <v>SB1_2014-07-13</v>
      </c>
      <c r="B251" t="s">
        <v>56</v>
      </c>
      <c r="C251" s="36">
        <v>41833</v>
      </c>
      <c r="D251" t="s">
        <v>2999</v>
      </c>
      <c r="E251" t="s">
        <v>2962</v>
      </c>
    </row>
    <row r="252" spans="1:5">
      <c r="A252" t="str">
        <f t="shared" si="4"/>
        <v>SB1_2014-10-18</v>
      </c>
      <c r="B252" t="s">
        <v>56</v>
      </c>
      <c r="C252" s="3">
        <v>41930</v>
      </c>
      <c r="D252" t="s">
        <v>2999</v>
      </c>
      <c r="E252" t="s">
        <v>2962</v>
      </c>
    </row>
    <row r="253" spans="1:5">
      <c r="A253" t="str">
        <f t="shared" si="4"/>
        <v>SB1_2015-03-19</v>
      </c>
      <c r="B253" t="s">
        <v>56</v>
      </c>
      <c r="C253" s="3">
        <v>42082</v>
      </c>
      <c r="D253" t="s">
        <v>2999</v>
      </c>
      <c r="E253" t="s">
        <v>2962</v>
      </c>
    </row>
    <row r="254" spans="1:5">
      <c r="A254" t="str">
        <f t="shared" si="4"/>
        <v>SB1_2016-07-10</v>
      </c>
      <c r="B254" t="s">
        <v>56</v>
      </c>
      <c r="C254" s="3">
        <v>42561</v>
      </c>
      <c r="D254" t="s">
        <v>2999</v>
      </c>
      <c r="E254" t="s">
        <v>2962</v>
      </c>
    </row>
    <row r="255" spans="1:5">
      <c r="A255" t="str">
        <f t="shared" si="4"/>
        <v>SB1_2016-10-16</v>
      </c>
      <c r="B255" t="s">
        <v>56</v>
      </c>
      <c r="C255" s="3">
        <v>42659</v>
      </c>
      <c r="D255" t="s">
        <v>2999</v>
      </c>
      <c r="E255" t="s">
        <v>2962</v>
      </c>
    </row>
    <row r="256" spans="1:5">
      <c r="A256" t="str">
        <f t="shared" si="4"/>
        <v>SB1_2017-03-19</v>
      </c>
      <c r="B256" t="s">
        <v>56</v>
      </c>
      <c r="C256" s="3">
        <v>42813</v>
      </c>
      <c r="D256" t="s">
        <v>2999</v>
      </c>
      <c r="E256" t="s">
        <v>2962</v>
      </c>
    </row>
    <row r="257" spans="1:5">
      <c r="A257" t="str">
        <f t="shared" si="4"/>
        <v>SB1_2017-06-25</v>
      </c>
      <c r="B257" t="s">
        <v>56</v>
      </c>
      <c r="C257" s="3">
        <v>42911</v>
      </c>
      <c r="D257" t="s">
        <v>2999</v>
      </c>
      <c r="E257" t="s">
        <v>2962</v>
      </c>
    </row>
    <row r="258" spans="1:5">
      <c r="A258" t="str">
        <f t="shared" si="4"/>
        <v>SB1_2021-10-02</v>
      </c>
      <c r="B258" t="s">
        <v>56</v>
      </c>
      <c r="C258" s="36">
        <v>44471</v>
      </c>
      <c r="D258" t="s">
        <v>2999</v>
      </c>
      <c r="E258" t="s">
        <v>2962</v>
      </c>
    </row>
    <row r="259" spans="1:5">
      <c r="A259" t="str">
        <f t="shared" si="4"/>
        <v>SB2_2014-03-22</v>
      </c>
      <c r="B259" t="s">
        <v>57</v>
      </c>
      <c r="C259" s="36">
        <v>41720</v>
      </c>
      <c r="D259" t="s">
        <v>2999</v>
      </c>
      <c r="E259" t="s">
        <v>2962</v>
      </c>
    </row>
    <row r="260" spans="1:5">
      <c r="A260" t="str">
        <f t="shared" si="4"/>
        <v>SB2_2014-07-13</v>
      </c>
      <c r="B260" t="s">
        <v>57</v>
      </c>
      <c r="C260" s="3">
        <v>41833</v>
      </c>
      <c r="D260" t="s">
        <v>2999</v>
      </c>
      <c r="E260" t="s">
        <v>2962</v>
      </c>
    </row>
    <row r="261" spans="1:5">
      <c r="A261" t="str">
        <f t="shared" ref="A261:A307" si="5">B261&amp;"_"&amp;TEXT(C261,"yyyy-mm-dd")</f>
        <v>SB2_2014-10-12</v>
      </c>
      <c r="B261" t="s">
        <v>57</v>
      </c>
      <c r="C261" s="3">
        <v>41924</v>
      </c>
      <c r="D261" t="s">
        <v>2999</v>
      </c>
      <c r="E261" t="s">
        <v>2962</v>
      </c>
    </row>
    <row r="262" spans="1:5">
      <c r="A262" t="str">
        <f t="shared" si="5"/>
        <v>SB2_2015-03-15</v>
      </c>
      <c r="B262" t="s">
        <v>57</v>
      </c>
      <c r="C262" s="3">
        <v>42078</v>
      </c>
      <c r="D262" t="s">
        <v>2999</v>
      </c>
      <c r="E262" t="s">
        <v>2962</v>
      </c>
    </row>
    <row r="263" spans="1:5">
      <c r="A263" t="str">
        <f t="shared" si="5"/>
        <v>SB2_2015-07-28</v>
      </c>
      <c r="B263" t="s">
        <v>57</v>
      </c>
      <c r="C263" s="3">
        <v>42213</v>
      </c>
      <c r="D263" t="s">
        <v>2999</v>
      </c>
      <c r="E263" t="s">
        <v>2962</v>
      </c>
    </row>
    <row r="264" spans="1:5">
      <c r="A264" t="str">
        <f t="shared" si="5"/>
        <v>SB2_2015-10-10</v>
      </c>
      <c r="B264" t="s">
        <v>57</v>
      </c>
      <c r="C264" s="3">
        <v>42287</v>
      </c>
      <c r="D264" t="s">
        <v>2999</v>
      </c>
      <c r="E264" t="s">
        <v>2962</v>
      </c>
    </row>
    <row r="265" spans="1:5">
      <c r="A265" t="str">
        <f t="shared" si="5"/>
        <v>SB2_2016-07-10</v>
      </c>
      <c r="B265" t="s">
        <v>57</v>
      </c>
      <c r="C265" s="67">
        <v>42561</v>
      </c>
      <c r="D265" t="s">
        <v>2999</v>
      </c>
      <c r="E265" t="s">
        <v>2962</v>
      </c>
    </row>
    <row r="266" spans="1:5">
      <c r="A266" t="str">
        <f t="shared" si="5"/>
        <v>SB2_2016-10-15</v>
      </c>
      <c r="B266" t="s">
        <v>57</v>
      </c>
      <c r="C266" s="3">
        <v>42658</v>
      </c>
      <c r="D266" t="s">
        <v>2999</v>
      </c>
      <c r="E266" t="s">
        <v>2962</v>
      </c>
    </row>
    <row r="267" spans="1:5">
      <c r="A267" t="str">
        <f t="shared" si="5"/>
        <v>SB2_2017-04-09</v>
      </c>
      <c r="B267" t="s">
        <v>57</v>
      </c>
      <c r="C267" s="3">
        <v>42834</v>
      </c>
      <c r="D267" t="s">
        <v>2999</v>
      </c>
      <c r="E267" t="s">
        <v>2962</v>
      </c>
    </row>
    <row r="268" spans="1:5">
      <c r="A268" t="str">
        <f t="shared" si="5"/>
        <v>SB3_2014-07-26</v>
      </c>
      <c r="B268" t="s">
        <v>2631</v>
      </c>
      <c r="C268" s="36">
        <v>41846</v>
      </c>
      <c r="D268" t="s">
        <v>2999</v>
      </c>
      <c r="E268" t="s">
        <v>2962</v>
      </c>
    </row>
    <row r="269" spans="1:5">
      <c r="A269" t="str">
        <f t="shared" si="5"/>
        <v>SB3_2014-11-01</v>
      </c>
      <c r="B269" t="s">
        <v>2631</v>
      </c>
      <c r="C269" s="3">
        <v>41944</v>
      </c>
      <c r="D269" t="s">
        <v>2999</v>
      </c>
      <c r="E269" t="s">
        <v>2962</v>
      </c>
    </row>
    <row r="270" spans="1:5">
      <c r="A270" t="str">
        <f t="shared" si="5"/>
        <v>SB3_2015-10-15</v>
      </c>
      <c r="B270" t="s">
        <v>2631</v>
      </c>
      <c r="C270" s="3">
        <v>42292</v>
      </c>
      <c r="D270" t="s">
        <v>2999</v>
      </c>
      <c r="E270" t="s">
        <v>2962</v>
      </c>
    </row>
    <row r="271" spans="1:5">
      <c r="A271" t="str">
        <f t="shared" si="5"/>
        <v>SB3_2016-03-25</v>
      </c>
      <c r="B271" t="s">
        <v>2631</v>
      </c>
      <c r="C271" s="3">
        <v>42454</v>
      </c>
      <c r="D271" t="s">
        <v>2999</v>
      </c>
      <c r="E271" t="s">
        <v>2962</v>
      </c>
    </row>
    <row r="272" spans="1:5">
      <c r="A272" t="str">
        <f t="shared" si="5"/>
        <v>SB3_2016-07-09</v>
      </c>
      <c r="B272" t="s">
        <v>2631</v>
      </c>
      <c r="C272" s="3">
        <v>42560</v>
      </c>
      <c r="D272" t="s">
        <v>2999</v>
      </c>
      <c r="E272" t="s">
        <v>2962</v>
      </c>
    </row>
    <row r="273" spans="1:5">
      <c r="A273" t="str">
        <f t="shared" si="5"/>
        <v>SB3_2016-10-15</v>
      </c>
      <c r="B273" t="s">
        <v>2631</v>
      </c>
      <c r="C273" s="3">
        <v>42658</v>
      </c>
      <c r="D273" t="s">
        <v>2999</v>
      </c>
      <c r="E273" t="s">
        <v>2962</v>
      </c>
    </row>
    <row r="274" spans="1:5">
      <c r="A274" t="str">
        <f t="shared" si="5"/>
        <v>SB3_2017-03-29</v>
      </c>
      <c r="B274" t="s">
        <v>2631</v>
      </c>
      <c r="C274" s="3">
        <v>42823</v>
      </c>
      <c r="D274" t="s">
        <v>2999</v>
      </c>
      <c r="E274" t="s">
        <v>2962</v>
      </c>
    </row>
    <row r="275" spans="1:5">
      <c r="A275" t="str">
        <f t="shared" si="5"/>
        <v>SB3_2017-06-27</v>
      </c>
      <c r="B275" t="s">
        <v>2631</v>
      </c>
      <c r="C275" s="3">
        <v>42913</v>
      </c>
      <c r="D275" t="s">
        <v>2999</v>
      </c>
      <c r="E275" t="s">
        <v>2962</v>
      </c>
    </row>
    <row r="276" spans="1:5">
      <c r="A276" t="str">
        <f t="shared" si="5"/>
        <v>SB4_2014-03-16</v>
      </c>
      <c r="B276" t="s">
        <v>58</v>
      </c>
      <c r="C276" s="36">
        <v>41714</v>
      </c>
      <c r="D276" t="s">
        <v>2999</v>
      </c>
      <c r="E276" t="s">
        <v>2962</v>
      </c>
    </row>
    <row r="277" spans="1:5">
      <c r="A277" t="str">
        <f t="shared" si="5"/>
        <v>SB4_2014-07-20</v>
      </c>
      <c r="B277" t="s">
        <v>58</v>
      </c>
      <c r="C277" s="3">
        <v>41840</v>
      </c>
      <c r="D277" t="s">
        <v>2999</v>
      </c>
      <c r="E277" t="s">
        <v>2962</v>
      </c>
    </row>
    <row r="278" spans="1:5">
      <c r="A278" t="str">
        <f t="shared" si="5"/>
        <v>SB4_2014-10-05</v>
      </c>
      <c r="B278" t="s">
        <v>58</v>
      </c>
      <c r="C278" s="3">
        <v>41917</v>
      </c>
      <c r="D278" t="s">
        <v>2999</v>
      </c>
      <c r="E278" t="s">
        <v>2962</v>
      </c>
    </row>
    <row r="279" spans="1:5">
      <c r="A279" t="str">
        <f t="shared" si="5"/>
        <v>SB4_2015-03-22</v>
      </c>
      <c r="B279" t="s">
        <v>58</v>
      </c>
      <c r="C279" s="3">
        <v>42085</v>
      </c>
      <c r="D279" t="s">
        <v>2999</v>
      </c>
      <c r="E279" t="s">
        <v>2962</v>
      </c>
    </row>
    <row r="280" spans="1:5">
      <c r="A280" t="str">
        <f t="shared" si="5"/>
        <v>SB4_2015-07-11</v>
      </c>
      <c r="B280" t="s">
        <v>58</v>
      </c>
      <c r="C280" s="3">
        <v>42196</v>
      </c>
      <c r="D280" t="s">
        <v>2999</v>
      </c>
      <c r="E280" t="s">
        <v>2962</v>
      </c>
    </row>
    <row r="281" spans="1:5">
      <c r="A281" t="str">
        <f t="shared" si="5"/>
        <v>SB4_2015-10-31</v>
      </c>
      <c r="B281" t="s">
        <v>58</v>
      </c>
      <c r="C281" s="3">
        <v>42308</v>
      </c>
      <c r="D281" t="s">
        <v>2999</v>
      </c>
      <c r="E281" t="s">
        <v>2962</v>
      </c>
    </row>
    <row r="282" spans="1:5">
      <c r="A282" t="str">
        <f t="shared" si="5"/>
        <v>SB4_2016-04-06</v>
      </c>
      <c r="B282" t="s">
        <v>58</v>
      </c>
      <c r="C282" s="3">
        <v>42466</v>
      </c>
      <c r="D282" t="s">
        <v>2999</v>
      </c>
      <c r="E282" t="s">
        <v>2962</v>
      </c>
    </row>
    <row r="283" spans="1:5">
      <c r="A283" t="str">
        <f t="shared" si="5"/>
        <v>SB4_2016-07-16</v>
      </c>
      <c r="B283" t="s">
        <v>58</v>
      </c>
      <c r="C283" s="3">
        <v>42567</v>
      </c>
      <c r="D283" t="s">
        <v>2999</v>
      </c>
      <c r="E283" t="s">
        <v>2962</v>
      </c>
    </row>
    <row r="284" spans="1:5">
      <c r="A284" t="str">
        <f t="shared" si="5"/>
        <v>SB4_2016-10-04</v>
      </c>
      <c r="B284" t="s">
        <v>58</v>
      </c>
      <c r="C284" s="3">
        <v>42647</v>
      </c>
      <c r="D284" t="s">
        <v>2999</v>
      </c>
      <c r="E284" t="s">
        <v>2962</v>
      </c>
    </row>
    <row r="285" spans="1:5">
      <c r="A285" t="str">
        <f t="shared" si="5"/>
        <v>SB4_2017-07-04</v>
      </c>
      <c r="B285" t="s">
        <v>58</v>
      </c>
      <c r="C285" s="3">
        <v>42920</v>
      </c>
      <c r="D285" t="s">
        <v>2999</v>
      </c>
      <c r="E285" t="s">
        <v>2962</v>
      </c>
    </row>
    <row r="286" spans="1:5">
      <c r="A286" t="str">
        <f t="shared" si="5"/>
        <v>SB5_2014-03-14</v>
      </c>
      <c r="B286" t="s">
        <v>59</v>
      </c>
      <c r="C286" s="36">
        <v>41712</v>
      </c>
      <c r="D286" t="s">
        <v>2999</v>
      </c>
      <c r="E286" t="s">
        <v>2962</v>
      </c>
    </row>
    <row r="287" spans="1:5">
      <c r="A287" t="str">
        <f t="shared" si="5"/>
        <v>SB5_2014-07-23</v>
      </c>
      <c r="B287" t="s">
        <v>59</v>
      </c>
      <c r="C287" s="3">
        <v>41843</v>
      </c>
      <c r="D287" t="s">
        <v>2999</v>
      </c>
      <c r="E287" t="s">
        <v>2962</v>
      </c>
    </row>
    <row r="288" spans="1:5">
      <c r="A288" t="str">
        <f t="shared" si="5"/>
        <v>SB5_2015-10-17</v>
      </c>
      <c r="B288" t="s">
        <v>59</v>
      </c>
      <c r="C288" s="3">
        <v>42294</v>
      </c>
      <c r="D288" t="s">
        <v>2999</v>
      </c>
      <c r="E288" t="s">
        <v>2962</v>
      </c>
    </row>
    <row r="289" spans="1:5">
      <c r="A289" t="str">
        <f t="shared" si="5"/>
        <v>SB5_2016-03-26</v>
      </c>
      <c r="B289" t="s">
        <v>59</v>
      </c>
      <c r="C289" s="3">
        <v>42455</v>
      </c>
      <c r="D289" t="s">
        <v>2999</v>
      </c>
      <c r="E289" t="s">
        <v>2962</v>
      </c>
    </row>
    <row r="290" spans="1:5">
      <c r="A290" t="str">
        <f t="shared" si="5"/>
        <v>SB5_2016-07-17</v>
      </c>
      <c r="B290" t="s">
        <v>59</v>
      </c>
      <c r="C290" s="3">
        <v>42568</v>
      </c>
      <c r="D290" t="s">
        <v>2999</v>
      </c>
      <c r="E290" t="s">
        <v>2962</v>
      </c>
    </row>
    <row r="291" spans="1:5">
      <c r="A291" t="str">
        <f t="shared" si="5"/>
        <v>SB5_2016-10-15</v>
      </c>
      <c r="B291" t="s">
        <v>59</v>
      </c>
      <c r="C291" s="3">
        <v>42658</v>
      </c>
      <c r="D291" t="s">
        <v>2999</v>
      </c>
      <c r="E291" t="s">
        <v>2962</v>
      </c>
    </row>
    <row r="292" spans="1:5">
      <c r="A292" t="str">
        <f t="shared" si="5"/>
        <v>SB5_2017-03-25</v>
      </c>
      <c r="B292" t="s">
        <v>59</v>
      </c>
      <c r="C292" s="3">
        <v>42819</v>
      </c>
      <c r="D292" t="s">
        <v>2999</v>
      </c>
      <c r="E292" t="s">
        <v>2962</v>
      </c>
    </row>
    <row r="293" spans="1:5">
      <c r="A293" t="str">
        <f t="shared" si="5"/>
        <v>SB5_2017-06-25</v>
      </c>
      <c r="B293" t="s">
        <v>59</v>
      </c>
      <c r="C293" s="3">
        <v>42911</v>
      </c>
      <c r="D293" t="s">
        <v>2999</v>
      </c>
      <c r="E293" t="s">
        <v>2962</v>
      </c>
    </row>
    <row r="294" spans="1:5">
      <c r="A294" t="str">
        <f t="shared" si="5"/>
        <v>SBA_2021-10-22</v>
      </c>
      <c r="B294" t="s">
        <v>60</v>
      </c>
      <c r="C294" s="36">
        <v>44491</v>
      </c>
      <c r="D294" t="s">
        <v>2999</v>
      </c>
      <c r="E294" t="s">
        <v>2962</v>
      </c>
    </row>
    <row r="295" spans="1:5">
      <c r="A295" t="str">
        <f t="shared" si="5"/>
        <v>SM1_2014-03-27</v>
      </c>
      <c r="B295" t="s">
        <v>61</v>
      </c>
      <c r="C295" s="36">
        <v>41725</v>
      </c>
      <c r="D295" t="s">
        <v>2999</v>
      </c>
      <c r="E295" t="s">
        <v>2962</v>
      </c>
    </row>
    <row r="296" spans="1:5">
      <c r="A296" t="str">
        <f t="shared" si="5"/>
        <v>SM1_2014-10-14</v>
      </c>
      <c r="B296" t="s">
        <v>61</v>
      </c>
      <c r="C296" s="3">
        <v>41926</v>
      </c>
      <c r="D296" t="s">
        <v>2999</v>
      </c>
      <c r="E296" t="s">
        <v>2962</v>
      </c>
    </row>
    <row r="297" spans="1:5">
      <c r="A297" t="str">
        <f t="shared" si="5"/>
        <v>SM1_2015-07-23</v>
      </c>
      <c r="B297" t="s">
        <v>61</v>
      </c>
      <c r="C297" s="3">
        <v>42208</v>
      </c>
      <c r="D297" t="s">
        <v>2999</v>
      </c>
      <c r="E297" t="s">
        <v>2962</v>
      </c>
    </row>
    <row r="298" spans="1:5">
      <c r="A298" t="str">
        <f t="shared" si="5"/>
        <v>SM1_2015-10-22</v>
      </c>
      <c r="B298" t="s">
        <v>61</v>
      </c>
      <c r="C298" s="3">
        <v>42299</v>
      </c>
      <c r="D298" t="s">
        <v>2999</v>
      </c>
      <c r="E298" t="s">
        <v>2962</v>
      </c>
    </row>
    <row r="299" spans="1:5">
      <c r="A299" t="str">
        <f t="shared" si="5"/>
        <v>SM1_2016-07-14</v>
      </c>
      <c r="B299" t="s">
        <v>61</v>
      </c>
      <c r="C299" s="3">
        <v>42565</v>
      </c>
      <c r="D299" t="s">
        <v>2999</v>
      </c>
      <c r="E299" t="s">
        <v>2962</v>
      </c>
    </row>
    <row r="300" spans="1:5">
      <c r="A300" t="str">
        <f t="shared" si="5"/>
        <v>SM1_2016-10-14</v>
      </c>
      <c r="B300" t="s">
        <v>61</v>
      </c>
      <c r="C300" s="3">
        <v>42657</v>
      </c>
      <c r="D300" t="s">
        <v>2999</v>
      </c>
      <c r="E300" t="s">
        <v>2962</v>
      </c>
    </row>
    <row r="301" spans="1:5">
      <c r="A301" t="str">
        <f t="shared" si="5"/>
        <v>SM1_2017-04-13</v>
      </c>
      <c r="B301" t="s">
        <v>61</v>
      </c>
      <c r="C301" s="3">
        <v>42838</v>
      </c>
      <c r="D301" t="s">
        <v>2999</v>
      </c>
      <c r="E301" t="s">
        <v>2962</v>
      </c>
    </row>
    <row r="302" spans="1:5">
      <c r="A302" t="str">
        <f t="shared" si="5"/>
        <v>SM1_2017-06-29</v>
      </c>
      <c r="B302" t="s">
        <v>61</v>
      </c>
      <c r="C302" s="3">
        <v>42915</v>
      </c>
      <c r="D302" t="s">
        <v>2999</v>
      </c>
      <c r="E302" t="s">
        <v>2962</v>
      </c>
    </row>
    <row r="303" spans="1:5">
      <c r="A303" t="str">
        <f t="shared" si="5"/>
        <v>TM1_2014-03-29</v>
      </c>
      <c r="B303" t="s">
        <v>62</v>
      </c>
      <c r="C303" s="36">
        <v>41727</v>
      </c>
      <c r="D303" t="s">
        <v>2999</v>
      </c>
      <c r="E303" t="s">
        <v>2962</v>
      </c>
    </row>
    <row r="304" spans="1:5">
      <c r="A304" t="str">
        <f t="shared" si="5"/>
        <v>TM1_2014-07-20</v>
      </c>
      <c r="B304" t="s">
        <v>62</v>
      </c>
      <c r="C304" s="3">
        <v>41840</v>
      </c>
      <c r="D304" t="s">
        <v>2999</v>
      </c>
      <c r="E304" t="s">
        <v>2962</v>
      </c>
    </row>
    <row r="305" spans="1:5">
      <c r="A305" t="str">
        <f t="shared" si="5"/>
        <v>TM1_2014-10-14</v>
      </c>
      <c r="B305" t="s">
        <v>62</v>
      </c>
      <c r="C305" s="3">
        <v>41926</v>
      </c>
      <c r="D305" t="s">
        <v>2999</v>
      </c>
      <c r="E305" t="s">
        <v>2962</v>
      </c>
    </row>
    <row r="306" spans="1:5">
      <c r="A306" t="str">
        <f t="shared" si="5"/>
        <v>TM1_2015-03-27</v>
      </c>
      <c r="B306" t="s">
        <v>62</v>
      </c>
      <c r="C306" s="3">
        <v>42090</v>
      </c>
      <c r="D306" t="s">
        <v>2999</v>
      </c>
      <c r="E306" t="s">
        <v>2962</v>
      </c>
    </row>
    <row r="307" spans="1:5">
      <c r="A307" t="str">
        <f t="shared" si="5"/>
        <v>TM1_2015-07-25</v>
      </c>
      <c r="B307" t="s">
        <v>62</v>
      </c>
      <c r="C307" s="3">
        <v>42210</v>
      </c>
      <c r="D307" t="s">
        <v>2999</v>
      </c>
      <c r="E307" t="s">
        <v>2962</v>
      </c>
    </row>
  </sheetData>
  <phoneticPr fontId="2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90CD7-F414-1E4A-A5D3-AE0CB7AD20AD}">
  <dimension ref="A7:H67"/>
  <sheetViews>
    <sheetView topLeftCell="A36" workbookViewId="0">
      <selection activeCell="E38" sqref="E38"/>
    </sheetView>
  </sheetViews>
  <sheetFormatPr baseColWidth="10" defaultRowHeight="15"/>
  <cols>
    <col min="1" max="1" width="15.1640625" customWidth="1"/>
    <col min="2" max="2" width="10.6640625" customWidth="1"/>
    <col min="3" max="3" width="27.5" customWidth="1"/>
  </cols>
  <sheetData>
    <row r="7" spans="6:8">
      <c r="F7" s="33"/>
      <c r="G7" s="33"/>
      <c r="H7" s="33"/>
    </row>
    <row r="8" spans="6:8">
      <c r="F8" s="33"/>
      <c r="G8" s="33"/>
      <c r="H8" s="33"/>
    </row>
    <row r="9" spans="6:8">
      <c r="F9" s="33"/>
      <c r="G9" s="33"/>
      <c r="H9" s="33"/>
    </row>
    <row r="10" spans="6:8">
      <c r="G10" s="33"/>
      <c r="H10" s="33"/>
    </row>
    <row r="11" spans="6:8">
      <c r="F11" s="33"/>
      <c r="G11" s="33"/>
      <c r="H11" s="33"/>
    </row>
    <row r="15" spans="6:8">
      <c r="F15" s="33"/>
    </row>
    <row r="22" spans="1:8" ht="22">
      <c r="A22" s="81" t="s">
        <v>2773</v>
      </c>
    </row>
    <row r="23" spans="1:8" ht="19">
      <c r="A23" s="80" t="s">
        <v>2960</v>
      </c>
    </row>
    <row r="24" spans="1:8" ht="16">
      <c r="A24" s="93" t="s">
        <v>2776</v>
      </c>
    </row>
    <row r="25" spans="1:8" ht="16">
      <c r="A25" s="79" t="s">
        <v>2774</v>
      </c>
    </row>
    <row r="26" spans="1:8" ht="16">
      <c r="A26" s="79" t="s">
        <v>2794</v>
      </c>
    </row>
    <row r="27" spans="1:8" ht="16">
      <c r="A27" s="79" t="s">
        <v>2788</v>
      </c>
      <c r="B27" t="s">
        <v>2797</v>
      </c>
    </row>
    <row r="28" spans="1:8">
      <c r="A28" t="s">
        <v>2789</v>
      </c>
      <c r="B28" t="s">
        <v>2790</v>
      </c>
    </row>
    <row r="29" spans="1:8">
      <c r="A29" t="s">
        <v>2791</v>
      </c>
      <c r="B29" t="s">
        <v>126</v>
      </c>
      <c r="F29" s="33"/>
      <c r="G29" s="33"/>
      <c r="H29" s="33"/>
    </row>
    <row r="30" spans="1:8">
      <c r="A30" t="s">
        <v>209</v>
      </c>
      <c r="B30" t="s">
        <v>90</v>
      </c>
      <c r="F30" s="33"/>
      <c r="G30" s="33"/>
      <c r="H30" s="33"/>
    </row>
    <row r="31" spans="1:8">
      <c r="A31" t="s">
        <v>2792</v>
      </c>
      <c r="B31" t="s">
        <v>85</v>
      </c>
      <c r="F31" s="33"/>
      <c r="G31" s="33"/>
      <c r="H31" s="33"/>
    </row>
    <row r="32" spans="1:8">
      <c r="A32" t="s">
        <v>2834</v>
      </c>
      <c r="B32" t="s">
        <v>2793</v>
      </c>
      <c r="F32" s="33"/>
      <c r="G32" s="33"/>
      <c r="H32" s="33"/>
    </row>
    <row r="33" spans="1:8">
      <c r="A33" t="s">
        <v>2796</v>
      </c>
      <c r="B33" t="s">
        <v>2795</v>
      </c>
      <c r="G33" s="33"/>
      <c r="H33" s="33"/>
    </row>
    <row r="34" spans="1:8">
      <c r="F34" s="33"/>
      <c r="G34" s="33"/>
      <c r="H34" s="33"/>
    </row>
    <row r="35" spans="1:8" ht="16">
      <c r="A35" s="79" t="s">
        <v>2697</v>
      </c>
    </row>
    <row r="36" spans="1:8" ht="16">
      <c r="A36" s="82" t="s">
        <v>2782</v>
      </c>
      <c r="B36" s="78" t="s">
        <v>2781</v>
      </c>
      <c r="C36" s="78" t="s">
        <v>2780</v>
      </c>
      <c r="D36" s="78"/>
    </row>
    <row r="37" spans="1:8">
      <c r="A37" t="s">
        <v>210</v>
      </c>
      <c r="B37">
        <v>8</v>
      </c>
      <c r="C37" t="s">
        <v>2965</v>
      </c>
    </row>
    <row r="38" spans="1:8">
      <c r="A38" t="s">
        <v>203</v>
      </c>
      <c r="B38">
        <v>5</v>
      </c>
      <c r="C38" t="s">
        <v>2785</v>
      </c>
    </row>
    <row r="39" spans="1:8">
      <c r="A39" t="s">
        <v>2783</v>
      </c>
      <c r="B39">
        <v>8</v>
      </c>
      <c r="C39" t="s">
        <v>2784</v>
      </c>
      <c r="F39" s="33"/>
    </row>
    <row r="40" spans="1:8">
      <c r="A40" t="s">
        <v>542</v>
      </c>
      <c r="B40">
        <v>4</v>
      </c>
      <c r="C40" t="s">
        <v>2786</v>
      </c>
    </row>
    <row r="43" spans="1:8" ht="16">
      <c r="A43" s="79" t="s">
        <v>2775</v>
      </c>
    </row>
    <row r="44" spans="1:8">
      <c r="A44" s="78" t="s">
        <v>2777</v>
      </c>
      <c r="B44" s="78" t="s">
        <v>2799</v>
      </c>
      <c r="C44" s="78" t="s">
        <v>2778</v>
      </c>
    </row>
    <row r="45" spans="1:8">
      <c r="A45" t="s">
        <v>2740</v>
      </c>
      <c r="B45" s="3">
        <v>45866</v>
      </c>
      <c r="C45" s="33" t="s">
        <v>2771</v>
      </c>
    </row>
    <row r="46" spans="1:8">
      <c r="C46" s="33" t="s">
        <v>2772</v>
      </c>
    </row>
    <row r="47" spans="1:8">
      <c r="A47" t="s">
        <v>2770</v>
      </c>
      <c r="B47" s="3">
        <v>45866</v>
      </c>
      <c r="C47" s="33" t="s">
        <v>2771</v>
      </c>
    </row>
    <row r="48" spans="1:8">
      <c r="A48" t="s">
        <v>2779</v>
      </c>
      <c r="B48" s="3">
        <v>45867</v>
      </c>
      <c r="C48" s="33" t="s">
        <v>2787</v>
      </c>
    </row>
    <row r="49" spans="1:3">
      <c r="A49" t="s">
        <v>2798</v>
      </c>
      <c r="B49" s="3">
        <v>45867</v>
      </c>
      <c r="C49" s="33" t="s">
        <v>2800</v>
      </c>
    </row>
    <row r="50" spans="1:3">
      <c r="A50" t="s">
        <v>2803</v>
      </c>
      <c r="B50" s="3">
        <v>45868</v>
      </c>
      <c r="C50" s="33" t="s">
        <v>2835</v>
      </c>
    </row>
    <row r="51" spans="1:3">
      <c r="A51" t="s">
        <v>2804</v>
      </c>
      <c r="B51" s="3">
        <v>45868</v>
      </c>
      <c r="C51" s="33" t="s">
        <v>2837</v>
      </c>
    </row>
    <row r="52" spans="1:3">
      <c r="A52" t="s">
        <v>2889</v>
      </c>
      <c r="B52" s="3">
        <v>45870</v>
      </c>
      <c r="C52" s="33" t="s">
        <v>2835</v>
      </c>
    </row>
    <row r="53" spans="1:3">
      <c r="A53" t="s">
        <v>2888</v>
      </c>
      <c r="B53" s="3">
        <v>45870</v>
      </c>
      <c r="C53" s="33" t="s">
        <v>2835</v>
      </c>
    </row>
    <row r="54" spans="1:3">
      <c r="C54" s="33" t="s">
        <v>2891</v>
      </c>
    </row>
    <row r="55" spans="1:3">
      <c r="A55" s="86" t="s">
        <v>2847</v>
      </c>
      <c r="B55" s="3">
        <v>45870</v>
      </c>
      <c r="C55" s="33" t="s">
        <v>2890</v>
      </c>
    </row>
    <row r="56" spans="1:3">
      <c r="B56" s="3">
        <v>45873</v>
      </c>
      <c r="C56" s="33" t="s">
        <v>2893</v>
      </c>
    </row>
    <row r="57" spans="1:3">
      <c r="A57" t="s">
        <v>2843</v>
      </c>
      <c r="B57" s="3">
        <v>45873</v>
      </c>
      <c r="C57" s="33" t="s">
        <v>2894</v>
      </c>
    </row>
    <row r="58" spans="1:3">
      <c r="A58" s="9" t="s">
        <v>2906</v>
      </c>
      <c r="B58" s="3">
        <v>45873</v>
      </c>
      <c r="C58" s="33" t="s">
        <v>2835</v>
      </c>
    </row>
    <row r="59" spans="1:3">
      <c r="C59" s="33" t="s">
        <v>2928</v>
      </c>
    </row>
    <row r="60" spans="1:3">
      <c r="A60" s="9" t="s">
        <v>2908</v>
      </c>
      <c r="B60" s="3">
        <v>45873</v>
      </c>
      <c r="C60" s="33" t="s">
        <v>2835</v>
      </c>
    </row>
    <row r="61" spans="1:3">
      <c r="A61" s="9" t="s">
        <v>2898</v>
      </c>
      <c r="B61" s="3">
        <v>45873</v>
      </c>
      <c r="C61" t="s">
        <v>2894</v>
      </c>
    </row>
    <row r="62" spans="1:3">
      <c r="A62" s="9" t="s">
        <v>2931</v>
      </c>
      <c r="B62" s="3">
        <v>45873</v>
      </c>
      <c r="C62" s="33" t="s">
        <v>2956</v>
      </c>
    </row>
    <row r="63" spans="1:3">
      <c r="A63" s="9" t="s">
        <v>2938</v>
      </c>
      <c r="B63" s="3">
        <v>45873</v>
      </c>
      <c r="C63" s="33" t="s">
        <v>2957</v>
      </c>
    </row>
    <row r="64" spans="1:3">
      <c r="A64" s="9" t="s">
        <v>2939</v>
      </c>
      <c r="B64" s="3">
        <v>45873</v>
      </c>
      <c r="C64" s="33" t="s">
        <v>2958</v>
      </c>
    </row>
    <row r="67" spans="1:1" ht="16">
      <c r="A67" s="7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056-59F8-45D5-A488-E35F7BF96B72}">
  <sheetPr>
    <tabColor rgb="FF00B0F0"/>
  </sheetPr>
  <dimension ref="A1:AD3"/>
  <sheetViews>
    <sheetView workbookViewId="0">
      <selection activeCell="X11" sqref="X11"/>
    </sheetView>
  </sheetViews>
  <sheetFormatPr baseColWidth="10" defaultColWidth="8.83203125" defaultRowHeight="15"/>
  <cols>
    <col min="1" max="1" width="17" customWidth="1"/>
    <col min="2" max="2" width="12.83203125" customWidth="1"/>
    <col min="3" max="3" width="11.5" customWidth="1"/>
    <col min="4" max="5" width="13" customWidth="1"/>
    <col min="6" max="6" width="10.1640625" style="98" customWidth="1"/>
    <col min="7" max="7" width="11" customWidth="1"/>
    <col min="8" max="8" width="10.5" customWidth="1"/>
    <col min="9" max="9" width="11" customWidth="1"/>
    <col min="10" max="10" width="13.5" customWidth="1"/>
    <col min="11" max="11" width="17.83203125" customWidth="1"/>
    <col min="12" max="12" width="11.83203125" customWidth="1"/>
    <col min="13" max="13" width="11.33203125" customWidth="1"/>
    <col min="14" max="15" width="12.5" customWidth="1"/>
    <col min="16" max="16" width="16.5" customWidth="1"/>
    <col min="17" max="17" width="12" style="98" customWidth="1"/>
    <col min="18" max="18" width="18.1640625" customWidth="1"/>
    <col min="19" max="19" width="11.6640625" customWidth="1"/>
    <col min="20" max="20" width="12.1640625" customWidth="1"/>
    <col min="21" max="21" width="16.5" customWidth="1"/>
    <col min="22" max="22" width="9.1640625" customWidth="1"/>
    <col min="23" max="23" width="11.33203125" customWidth="1"/>
    <col min="24" max="24" width="12.6640625" customWidth="1"/>
    <col min="25" max="25" width="17.1640625" customWidth="1"/>
    <col min="26" max="26" width="15.6640625" customWidth="1"/>
    <col min="27" max="27" width="13.83203125" customWidth="1"/>
    <col min="28" max="28" width="15" customWidth="1"/>
    <col min="29" max="29" width="11.33203125" style="98" customWidth="1"/>
  </cols>
  <sheetData>
    <row r="1" spans="1:30" s="58" customFormat="1" ht="48">
      <c r="A1" s="48" t="s">
        <v>0</v>
      </c>
      <c r="B1" s="49" t="s">
        <v>1</v>
      </c>
      <c r="C1" s="49" t="s">
        <v>2</v>
      </c>
      <c r="D1" s="48" t="s">
        <v>3</v>
      </c>
      <c r="E1" s="48" t="s">
        <v>4</v>
      </c>
      <c r="F1" s="96" t="s">
        <v>5</v>
      </c>
      <c r="G1" s="50" t="s">
        <v>6</v>
      </c>
      <c r="H1" s="51" t="s">
        <v>7</v>
      </c>
      <c r="I1" s="50" t="s">
        <v>8</v>
      </c>
      <c r="J1" s="52" t="s">
        <v>9</v>
      </c>
      <c r="K1" s="53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99" t="s">
        <v>16</v>
      </c>
      <c r="R1" s="17" t="s">
        <v>17</v>
      </c>
      <c r="S1" s="53" t="s">
        <v>18</v>
      </c>
      <c r="T1" s="53" t="s">
        <v>19</v>
      </c>
      <c r="U1" s="53" t="s">
        <v>20</v>
      </c>
      <c r="V1" s="52" t="s">
        <v>21</v>
      </c>
      <c r="W1" s="53" t="s">
        <v>22</v>
      </c>
      <c r="X1" s="54" t="s">
        <v>23</v>
      </c>
      <c r="Y1" s="54" t="s">
        <v>24</v>
      </c>
      <c r="Z1" s="59" t="s">
        <v>25</v>
      </c>
      <c r="AA1" s="57" t="s">
        <v>26</v>
      </c>
      <c r="AB1" s="57" t="s">
        <v>27</v>
      </c>
      <c r="AC1" s="101" t="s">
        <v>28</v>
      </c>
      <c r="AD1" s="60"/>
    </row>
    <row r="2" spans="1:30">
      <c r="A2" t="str">
        <f>B2&amp;"_"&amp;TEXT(C2,"yyyy-mm-dd")</f>
        <v>AC5_2021-11-20</v>
      </c>
      <c r="B2" t="s">
        <v>29</v>
      </c>
      <c r="C2" s="3">
        <v>44520</v>
      </c>
      <c r="D2">
        <f>SUMIF(DATA_WITH_GENUS_OLD!A:A,A2,DATA_WITH_GENUS_OLD!F:F)</f>
        <v>101</v>
      </c>
      <c r="E2">
        <f>SUMIF(DATA_WITH_GENUS_OLD!A:A,A2,DATA_WITH_GENUS_OLD!J:J)</f>
        <v>100</v>
      </c>
      <c r="F2" s="103">
        <f>SUMIFS(DATA_WITH_GENUS_OLD!T:T,DATA_WITH_GENUS_OLD!A:A,A2)/100</f>
        <v>4.3</v>
      </c>
      <c r="G2" cm="1">
        <f t="array" ref="G2">COUNTA(_xlfn.UNIQUE(_xlfn._xlws.FILTER(DATA_WITH_GENUS_OLD!A:A&amp;DATA_WITH_GENUS_OLD!D:D,(DATA_WITH_GENUS_OLD!A:A = A2)*(DATA_WITH_GENUS_OLD!J:J&gt;0))))</f>
        <v>7</v>
      </c>
      <c r="H2">
        <f>COUNTIFS(DATA_WITH_GENUS_OLD!A:A,A2,DATA_WITH_GENUS_OLD!K:K,"~*")</f>
        <v>1</v>
      </c>
      <c r="I2">
        <f>SUMIFS(DATA_WITH_GENUS_OLD!J:J,DATA_WITH_GENUS_OLD!A:A,A2,DATA_WITH_GENUS_OLD!K:K,"~*")</f>
        <v>25</v>
      </c>
      <c r="J2">
        <f>_xlfn.MAXIFS(DATA_WITH_GENUS_OLD!J:J,DATA_WITH_GENUS_OLD!A:A,A2)</f>
        <v>63</v>
      </c>
      <c r="K2" s="18" t="str" cm="1">
        <f t="array" ref="K2">_xlfn._xlws.FILTER(DATA_WITH_GENUS_OLD!E:E,(DATA_WITH_GENUS_OLD!A:A=A2)*(DATA_WITH_GENUS_OLD!J:J=J2)*ROW(DATA_WITH_GENUS_OLD!E:E),0)</f>
        <v>Gammaridae</v>
      </c>
      <c r="L2" s="11">
        <f>IF(F2="","",IF(F2&gt;7,0,IF(F2&lt;5,6,IF(F2&lt;=7,3))))</f>
        <v>6</v>
      </c>
      <c r="M2">
        <f>IF(G2="","",IF(G2&gt;10,6,IF(G2&lt;5,0,IF(G2&lt;=10,3))))</f>
        <v>3</v>
      </c>
      <c r="N2" s="13">
        <f>IF(H2="","",IF(H2&gt;5,6,IF(H2&lt;3,0,IF(H2&lt;=5,3))))</f>
        <v>0</v>
      </c>
      <c r="O2" s="14">
        <f>IF(I2="","",IF(I2&gt;35,6,IF(I2&lt;10,0,IF(I2&lt;=35,3,IF(I2&lt;10,0)))))</f>
        <v>3</v>
      </c>
      <c r="P2">
        <f>IF(J2="","",IF(J2&gt;60,0,IF(J2&lt;40,6,IF(J2&lt;=60,3))))</f>
        <v>0</v>
      </c>
      <c r="Q2" s="100">
        <f>SUM(L2:P2)</f>
        <v>12</v>
      </c>
      <c r="R2" s="15" t="str">
        <f>IF(Q2&gt;=24, "Non-Impaired", IF(Q2&lt;=6, "Severally Impaired", IF(Q2&gt;=9, "Moderately Impaired","")))</f>
        <v>Moderately Impaired</v>
      </c>
      <c r="S2">
        <f>COUNTIFS(DATA_WITH_GENUS_OLD!A:A,A2,DATA_WITH_GENUS_OLD!J:J, "&gt;0")</f>
        <v>7</v>
      </c>
      <c r="T2">
        <f>COUNTIFS(DATA_WITH_GENUS_OLD!A:A,A2,DATA_WITH_GENUS_OLD!K:K,"~*")</f>
        <v>1</v>
      </c>
      <c r="U2">
        <f>(COUNTIFS(DATA_WITH_GENUS_OLD!A:A,A2,DATA_WITH_GENUS_OLD!L:L,"Ephemeroptera"))/100</f>
        <v>0</v>
      </c>
      <c r="V2">
        <f>SUMIFS(DATA_WITH_GENUS_OLD!U:U,DATA_WITH_GENUS_OLD!A:A,A2)/100</f>
        <v>4.32</v>
      </c>
      <c r="W2">
        <f>((SUMIFS(DATA_WITH_GENUS_OLD!J:J,DATA_WITH_GENUS_OLD!A:A,A2,DATA_WITH_GENUS_OLD!Q:Q,TRUE)))</f>
        <v>27</v>
      </c>
      <c r="X2">
        <f>IF(S2&gt;25,6,IF(S2&lt;9, 0, IF(S2&gt;=17,4,2)))</f>
        <v>0</v>
      </c>
      <c r="Y2" s="18">
        <f>IF(T2&gt;9,6,IF(T2&lt;4, 0, IF(T2&gt;=7,4,2)))</f>
        <v>0</v>
      </c>
      <c r="Z2" s="18">
        <f>IF(U2&gt;29,6,IF(U2&lt;10, 0, IF(U2&gt;=20,4,2)))</f>
        <v>0</v>
      </c>
      <c r="AA2" s="18">
        <f>IF(V2&lt;4.9,6,IF(V2&gt;7.3, 0, IF(V2&gt;6,2,4)))</f>
        <v>6</v>
      </c>
      <c r="AB2" s="18">
        <f>IF(W2&gt;51,6,IF(W2&lt;17, 0, IF(W2&gt;34,4,2)))</f>
        <v>2</v>
      </c>
      <c r="AC2" s="98">
        <f>SUM(X2:AB2)</f>
        <v>8</v>
      </c>
      <c r="AD2" s="18" t="str">
        <f>IF(AC2="","",IF(AC2&gt;=22,"Excellent",IF(AC2&lt;6,"Poor",IF(AC2&gt;=12, "Good","Fair"))))</f>
        <v>Fair</v>
      </c>
    </row>
    <row r="3" spans="1:30">
      <c r="A3" t="str">
        <f>B3&amp;"_"&amp;TEXT(C3,"yyyy-mm-dd")</f>
        <v>AC5_2022-04-23</v>
      </c>
      <c r="B3" t="s">
        <v>29</v>
      </c>
      <c r="C3" s="3">
        <v>44674</v>
      </c>
      <c r="F3" s="97"/>
      <c r="K3" s="1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C1E00-4FFC-CC48-BE42-2C323B2B2BB7}">
  <sheetPr>
    <tabColor rgb="FFFF0000"/>
  </sheetPr>
  <dimension ref="A1:AM3"/>
  <sheetViews>
    <sheetView topLeftCell="AC1" workbookViewId="0">
      <selection activeCell="AJ11" sqref="AJ11"/>
    </sheetView>
  </sheetViews>
  <sheetFormatPr baseColWidth="10" defaultRowHeight="15"/>
  <cols>
    <col min="1" max="1" width="13.6640625" customWidth="1"/>
    <col min="2" max="2" width="11.6640625" customWidth="1"/>
    <col min="3" max="3" width="14.83203125" customWidth="1"/>
    <col min="4" max="4" width="12.6640625" customWidth="1"/>
    <col min="5" max="5" width="12.1640625" customWidth="1"/>
    <col min="6" max="6" width="12.33203125" customWidth="1"/>
    <col min="7" max="7" width="10.83203125" style="98"/>
    <col min="8" max="8" width="11.33203125" customWidth="1"/>
    <col min="9" max="9" width="12.1640625" customWidth="1"/>
    <col min="10" max="10" width="13" customWidth="1"/>
    <col min="11" max="11" width="17.5" customWidth="1"/>
    <col min="12" max="12" width="13.83203125" customWidth="1"/>
    <col min="13" max="13" width="14.33203125" customWidth="1"/>
    <col min="15" max="15" width="12.1640625" customWidth="1"/>
    <col min="16" max="16" width="14.6640625" customWidth="1"/>
    <col min="17" max="17" width="13.5" style="98" customWidth="1"/>
    <col min="18" max="18" width="17.5" customWidth="1"/>
    <col min="19" max="19" width="13.1640625" customWidth="1"/>
    <col min="26" max="26" width="14.6640625" customWidth="1"/>
    <col min="30" max="30" width="12" style="98" customWidth="1"/>
    <col min="31" max="31" width="13.1640625" customWidth="1"/>
    <col min="34" max="34" width="13.1640625" customWidth="1"/>
    <col min="38" max="38" width="12.33203125" style="98" customWidth="1"/>
    <col min="39" max="39" width="12" customWidth="1"/>
  </cols>
  <sheetData>
    <row r="1" spans="1:39" ht="48">
      <c r="A1" s="48" t="s">
        <v>0</v>
      </c>
      <c r="B1" s="49" t="s">
        <v>1</v>
      </c>
      <c r="C1" s="49" t="s">
        <v>2</v>
      </c>
      <c r="D1" s="48" t="s">
        <v>3</v>
      </c>
      <c r="E1" s="48" t="s">
        <v>4</v>
      </c>
      <c r="F1" s="48" t="s">
        <v>5</v>
      </c>
      <c r="G1" s="106" t="s">
        <v>2966</v>
      </c>
      <c r="H1" s="51" t="s">
        <v>7</v>
      </c>
      <c r="I1" s="50" t="s">
        <v>8</v>
      </c>
      <c r="J1" s="52" t="s">
        <v>9</v>
      </c>
      <c r="K1" s="53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99" t="s">
        <v>16</v>
      </c>
      <c r="R1" s="17" t="s">
        <v>17</v>
      </c>
      <c r="S1" s="40" t="s">
        <v>31</v>
      </c>
      <c r="T1" s="53" t="s">
        <v>32</v>
      </c>
      <c r="U1" s="53" t="s">
        <v>33</v>
      </c>
      <c r="V1" s="52" t="s">
        <v>21</v>
      </c>
      <c r="W1" s="51" t="s">
        <v>34</v>
      </c>
      <c r="X1" s="51" t="s">
        <v>35</v>
      </c>
      <c r="Y1" s="51" t="s">
        <v>36</v>
      </c>
      <c r="Z1" s="54" t="s">
        <v>37</v>
      </c>
      <c r="AA1" s="55" t="s">
        <v>39</v>
      </c>
      <c r="AB1" s="56" t="s">
        <v>40</v>
      </c>
      <c r="AC1" s="55" t="s">
        <v>2637</v>
      </c>
      <c r="AD1" s="101" t="s">
        <v>41</v>
      </c>
      <c r="AE1" s="54" t="s">
        <v>2995</v>
      </c>
      <c r="AF1" s="51" t="s">
        <v>43</v>
      </c>
      <c r="AG1" s="51" t="s">
        <v>44</v>
      </c>
      <c r="AH1" s="51" t="s">
        <v>33</v>
      </c>
      <c r="AI1" s="51" t="s">
        <v>45</v>
      </c>
      <c r="AJ1" s="57" t="s">
        <v>46</v>
      </c>
      <c r="AK1" s="54" t="s">
        <v>47</v>
      </c>
      <c r="AL1" s="101" t="s">
        <v>48</v>
      </c>
      <c r="AM1" s="107" t="s">
        <v>2996</v>
      </c>
    </row>
    <row r="2" spans="1:39">
      <c r="A2" t="str">
        <f>B2&amp;"_"&amp;TEXT(C2,"yyyy-mm-dd")</f>
        <v>AX1_2022-10-16</v>
      </c>
      <c r="B2" t="s">
        <v>2967</v>
      </c>
      <c r="C2" s="3">
        <v>44850</v>
      </c>
      <c r="D2">
        <f>SUMIF(DATA_WITH_GENUS_NEW!A:A,A2,DATA_WITH_GENUS_NEW!E:E)</f>
        <v>103</v>
      </c>
      <c r="E2">
        <f>SUMIF(DATA_WITH_GENUS_NEW!A:A,A2,DATA_WITH_GENUS_NEW!I:I)</f>
        <v>100</v>
      </c>
      <c r="F2" s="24">
        <f>SUMIFS(DATA_WITH_GENUS_NEW!T:T,DATA_WITH_GENUS_NEW!A:A,A2)/100</f>
        <v>6.62</v>
      </c>
      <c r="G2" s="98" cm="1">
        <f t="array" ref="G2">COUNTA(_xlfn.UNIQUE(_xlfn._xlws.FILTER(DATA_WITH_GENUS_NEW!A:A&amp;DATA_WITH_GENUS_NEW!C:C,(DATA_WITH_GENUS_NEW!A:A=A2))))</f>
        <v>19</v>
      </c>
      <c r="H2">
        <f>COUNTIFS(DATA_WITH_GENUS_NEW!A:A,A2,DATA_WITH_GENUS_NEW!K:K,TRUE)</f>
        <v>4</v>
      </c>
      <c r="I2">
        <f>SUMIFS(DATA_WITH_GENUS_NEW!I:I,DATA_WITH_GENUS_NEW!A:A,A2,DATA_WITH_GENUS_NEW!K:K,TRUE)</f>
        <v>6</v>
      </c>
      <c r="J2">
        <f>_xlfn.MAXIFS(DATA_WITH_GENUS_NEW!J:J,DATA_WITH_GENUS_NEW!A:A,A2)</f>
        <v>34</v>
      </c>
      <c r="K2" s="18" t="str" cm="1">
        <f t="array" ref="K2">_xlfn._xlws.FILTER(DATA_WITH_GENUS_NEW!C:C,(DATA_WITH_GENUS_NEW!A:A=A2)*(DATA_WITH_GENUS_NEW!J:J=J2)*ROW(DATA_WITH_GENUS_NEW!C:C),0)</f>
        <v>Gammaridae</v>
      </c>
      <c r="L2" s="11">
        <f>IF(F2="","",IF(F2&gt;7,0,IF(F2&lt;5,6,IF(F2&lt;=7,3))))</f>
        <v>3</v>
      </c>
      <c r="M2">
        <f>IF(G2="","",IF(G2&gt;10,6,IF(G2&lt;5,0,IF(G2&lt;=10,3))))</f>
        <v>6</v>
      </c>
      <c r="N2" s="13">
        <f>IF(H2="","",IF(H2&gt;5,6,IF(H2&lt;3,0,IF(H2&lt;=5,3))))</f>
        <v>3</v>
      </c>
      <c r="O2" s="14">
        <f>IF(I2="","",IF(I2&gt;35,6,IF(I2&lt;10,0,IF(I2&lt;=35,3,IF(I2&lt;10,0)))))</f>
        <v>0</v>
      </c>
      <c r="P2">
        <f>IF(J2="","",IF(J2&gt;60,0,IF(J2&lt;40,6,IF(J2&lt;=60,3))))</f>
        <v>6</v>
      </c>
      <c r="Q2" s="100">
        <f>SUM(L2:P2)</f>
        <v>18</v>
      </c>
      <c r="R2" s="15" t="str">
        <f>IF(Q2&gt;=24, "Non-Impaired", IF(Q2&lt;=6, "Severally Impaired", IF(Q2&gt;=9, "Moderately Impaired","")))</f>
        <v>Moderately Impaired</v>
      </c>
      <c r="S2" s="15">
        <f>COUNTIFS(DATA_WITH_GENUS_NEW!A:A,A2,DATA_WITH_GENUS_NEW!I:I, "&gt;0")</f>
        <v>22</v>
      </c>
      <c r="T2" s="20">
        <f>ROUND((((COUNTIFS(DATA_WITH_GENUS_NEW!A:A,A2,DATA_WITH_GENUS_NEW!O:O,FALSE))/G2)*100),1)</f>
        <v>42.1</v>
      </c>
      <c r="U2" s="23">
        <f>SUMIFS(DATA_WITH_GENUS_NEW!I:I,DATA_WITH_GENUS_NEW!A:A,A2,DATA_WITH_GENUS_NEW!P:P,TRUE)</f>
        <v>4</v>
      </c>
      <c r="V2">
        <f>SUMIFS(DATA_WITH_GENUS_NEW!U:U,DATA_WITH_GENUS_NEW!A:A,A2)/100</f>
        <v>5.73</v>
      </c>
      <c r="W2" s="18">
        <f>COUNTIFS(DATA_WITH_GENUS_NEW!A:A,A2,DATA_WITH_GENUS_NEW!Q:Q,TRUE)</f>
        <v>2</v>
      </c>
      <c r="X2" s="18">
        <f>COUNTIFS(DATA_WITH_GENUS_NEW!A:A,A2,DATA_WITH_GENUS_NEW!S:S,2)</f>
        <v>1</v>
      </c>
      <c r="Y2">
        <f>COUNTIFS(DATA_WITH_GENUS_NEW!A:A,A2,DATA_WITH_GENUS_NEW!S:S,3)</f>
        <v>4</v>
      </c>
      <c r="Z2">
        <f>S2+26.53-(22.776+4.173*(LOG10(30.35701107)))</f>
        <v>19.568533155449021</v>
      </c>
      <c r="AA2">
        <f>(U2)+37.49-(49.22-13.8*(LOG10(30.35701107)))</f>
        <v>12.725174324180095</v>
      </c>
      <c r="AB2">
        <f>V2 + 4.23-(3.407+0.981*(LOG10(30.35701107)))</f>
        <v>5.0989039121724158</v>
      </c>
      <c r="AC2">
        <f>V2 + 5.44-(3.889+0.981*(LOG10(30.35701107)))</f>
        <v>5.8269039121724173</v>
      </c>
      <c r="AD2" s="98">
        <f>((100*Z2/31)+(100*(60-T2)/55)+(100*AA2/69)+(100*(7.2-AB2)/4.6)+(100*AC2/11)+(100*X2/8)+(100*Y2/8))/7</f>
        <v>39.322841761780971</v>
      </c>
      <c r="AE2" t="str">
        <f>IF(AD2&gt;=63, "Excellent", IF(AD2&lt;21, "Poor", IF(AD2&lt;42, "Fair","Good")))</f>
        <v>Fair</v>
      </c>
    </row>
    <row r="3" spans="1:39">
      <c r="A3" t="str">
        <f>B3&amp;"_"&amp;TEXT(C3,"yyyy-mm-dd")</f>
        <v>AX1_2023-05-07</v>
      </c>
      <c r="B3" t="s">
        <v>2967</v>
      </c>
      <c r="C3" s="3">
        <v>45053</v>
      </c>
      <c r="D3">
        <f>SUMIF(DATA_WITH_GENUS_NEW!A:A,A3,DATA_WITH_GENUS_NEW!E:E)</f>
        <v>103</v>
      </c>
      <c r="E3">
        <f>SUMIF(DATA_WITH_GENUS_NEW!A:A,A3,DATA_WITH_GENUS_NEW!I:I)</f>
        <v>100</v>
      </c>
      <c r="F3" s="24">
        <f>SUMIFS(DATA_WITH_GENUS_NEW!T:T,DATA_WITH_GENUS_NEW!A:A,A3)/100</f>
        <v>19.739999999999998</v>
      </c>
      <c r="G3" s="98" cm="1">
        <f t="array" ref="G3">COUNTA(_xlfn.UNIQUE(_xlfn._xlws.FILTER(DATA_WITH_GENUS_NEW!A:A&amp;DATA_WITH_GENUS_NEW!C:C,(DATA_WITH_GENUS_NEW!A:A=A3))))</f>
        <v>16</v>
      </c>
      <c r="H3">
        <f>COUNTIFS(DATA_WITH_GENUS_NEW!A:A,A3,DATA_WITH_GENUS_NEW!K:K,TRUE)</f>
        <v>3</v>
      </c>
      <c r="I3">
        <f>SUMIFS(DATA_WITH_GENUS_NEW!I:I,DATA_WITH_GENUS_NEW!A:A,A3,DATA_WITH_GENUS_NEW!K:K,TRUE)</f>
        <v>8</v>
      </c>
      <c r="J3">
        <f>_xlfn.MAXIFS(DATA_WITH_GENUS_NEW!J:J,DATA_WITH_GENUS_NEW!A:A,A3)</f>
        <v>39</v>
      </c>
      <c r="K3" s="18" t="str" cm="1">
        <f t="array" ref="K3">_xlfn.UNIQUE(_xlfn._xlws.FILTER(DATA_WITH_GENUS_NEW!C:C,(DATA_WITH_GENUS_NEW!A:A=A3)*(DATA_WITH_GENUS_NEW!J:J=J3)*ROW(DATA_WITH_GENUS_NEW!C:C),0))</f>
        <v>Chironomidae</v>
      </c>
      <c r="L3" s="11">
        <f>IF(F3="","",IF(F3&gt;7,0,IF(F3&lt;5,6,IF(F3&lt;=7,3))))</f>
        <v>0</v>
      </c>
      <c r="M3">
        <f>IF(G3="","",IF(G3&gt;10,6,IF(G3&lt;5,0,IF(G3&lt;=10,3))))</f>
        <v>6</v>
      </c>
      <c r="N3" s="13">
        <f>IF(H3="","",IF(H3&gt;5,6,IF(H3&lt;3,0,IF(H3&lt;=5,3))))</f>
        <v>3</v>
      </c>
      <c r="O3" s="14">
        <f>IF(I3="","",IF(I3&gt;35,6,IF(I3&lt;10,0,IF(I3&lt;=35,3,IF(I3&lt;10,0)))))</f>
        <v>0</v>
      </c>
      <c r="P3">
        <f>IF(J3="","",IF(J3&gt;60,0,IF(J3&lt;40,6,IF(J3&lt;=60,3))))</f>
        <v>6</v>
      </c>
      <c r="Q3" s="100">
        <f>SUM(L3:P3)</f>
        <v>15</v>
      </c>
      <c r="R3" s="15" t="str">
        <f>IF(Q3&gt;=24, "Non-Impaired", IF(Q3&lt;=6, "Severally Impaired", IF(Q3&gt;=9, "Moderately Impaired","")))</f>
        <v>Moderately Impaired</v>
      </c>
      <c r="S3" s="15">
        <f>COUNTIFS(DATA_WITH_GENUS_NEW!A:A,A3,DATA_WITH_GENUS_NEW!I:I, "&gt;0")</f>
        <v>23</v>
      </c>
      <c r="T3" s="20">
        <f>ROUND((((COUNTIFS(DATA_WITH_GENUS_NEW!A:A,A3,DATA_WITH_GENUS_NEW!O:O,FALSE))/G3)*100),1)</f>
        <v>25</v>
      </c>
      <c r="U3" s="23">
        <f>SUMIFS(DATA_WITH_GENUS_NEW!I:I,DATA_WITH_GENUS_NEW!A:A,A3,DATA_WITH_GENUS_NEW!P:P,TRUE)</f>
        <v>7</v>
      </c>
      <c r="V3">
        <f>SUMIFS(DATA_WITH_GENUS_NEW!U:U,DATA_WITH_GENUS_NEW!A:A,A3)/100</f>
        <v>6.07</v>
      </c>
      <c r="W3" s="18">
        <f>COUNTIFS(DATA_WITH_GENUS_NEW!A:A,A3,DATA_WITH_GENUS_NEW!Q:Q,TRUE)</f>
        <v>3</v>
      </c>
      <c r="X3" s="18">
        <f>COUNTIFS(DATA_WITH_GENUS_NEW!A:A,A3,DATA_WITH_GENUS_NEW!S:S,2)</f>
        <v>0</v>
      </c>
      <c r="Y3">
        <f>COUNTIFS(DATA_WITH_GENUS_NEW!A:A,A3,DATA_WITH_GENUS_NEW!S:S,3)</f>
        <v>6</v>
      </c>
      <c r="Z3">
        <f>S3+26.53-(22.776+4.173*(LOG10(30.35701107)))</f>
        <v>20.568533155449021</v>
      </c>
      <c r="AA3">
        <f>(U3)+37.49-(49.22-13.8*(LOG10(30.35701107)))</f>
        <v>15.725174324180095</v>
      </c>
      <c r="AB3">
        <f>V3 + 4.23-(3.407+0.981*(LOG10(30.35701107)))</f>
        <v>5.4389039121724156</v>
      </c>
      <c r="AC3">
        <f>V3 + 5.44-(3.889+0.981*(LOG10(30.35701107)))</f>
        <v>6.1669039121724172</v>
      </c>
      <c r="AD3" s="98">
        <f>((100*Z3/31)+(100*(60-T3)/55)+(100*AA3/69)+(100*(7.2-AB3)/4.6)+(100*AC3/11)+(100*X3/8)+(100*Y3/8))/7</f>
        <v>46.01771981500405</v>
      </c>
      <c r="AE3" t="str">
        <f>IF(AD3&gt;=63, "Excellent", IF(AD3&lt;21, "Poor", IF(AD3&lt;42, "Fair","Good")))</f>
        <v>Good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6DD2-E9B1-4C87-B431-382467D01463}">
  <sheetPr>
    <tabColor rgb="FF00B0F0"/>
  </sheetPr>
  <dimension ref="A1:AD46"/>
  <sheetViews>
    <sheetView topLeftCell="N1" zoomScale="84" zoomScaleNormal="120" workbookViewId="0">
      <selection activeCell="AD1" sqref="AD1"/>
    </sheetView>
  </sheetViews>
  <sheetFormatPr baseColWidth="10" defaultColWidth="8.83203125" defaultRowHeight="15"/>
  <cols>
    <col min="1" max="1" width="17" customWidth="1"/>
    <col min="2" max="2" width="8.83203125" customWidth="1"/>
    <col min="3" max="3" width="11.5" customWidth="1"/>
    <col min="4" max="4" width="13" customWidth="1"/>
    <col min="5" max="5" width="11.83203125" customWidth="1"/>
    <col min="6" max="6" width="10.5" style="98" customWidth="1"/>
    <col min="7" max="7" width="9.83203125" customWidth="1"/>
    <col min="8" max="8" width="10.33203125" customWidth="1"/>
    <col min="9" max="9" width="11" customWidth="1"/>
    <col min="10" max="10" width="12.33203125" customWidth="1"/>
    <col min="11" max="11" width="18.33203125" customWidth="1"/>
    <col min="12" max="12" width="11.83203125" customWidth="1"/>
    <col min="13" max="13" width="11.33203125" customWidth="1"/>
    <col min="14" max="15" width="12.5" customWidth="1"/>
    <col min="16" max="16" width="14" customWidth="1"/>
    <col min="17" max="17" width="13.1640625" style="98" customWidth="1"/>
    <col min="18" max="18" width="18.1640625" customWidth="1"/>
    <col min="19" max="19" width="14.5" customWidth="1"/>
    <col min="20" max="20" width="13.1640625" customWidth="1"/>
    <col min="21" max="21" width="16.5" customWidth="1"/>
    <col min="22" max="22" width="8.6640625" customWidth="1"/>
    <col min="23" max="23" width="11.33203125" customWidth="1"/>
    <col min="24" max="24" width="12.6640625" customWidth="1"/>
    <col min="25" max="25" width="17.1640625" customWidth="1"/>
    <col min="26" max="26" width="15.6640625" customWidth="1"/>
    <col min="27" max="27" width="13.83203125" customWidth="1"/>
    <col min="28" max="28" width="15" customWidth="1"/>
    <col min="29" max="29" width="11.33203125" style="98" customWidth="1"/>
    <col min="30" max="30" width="13.5" customWidth="1"/>
  </cols>
  <sheetData>
    <row r="1" spans="1:30" s="58" customFormat="1" ht="48">
      <c r="A1" s="48" t="s">
        <v>0</v>
      </c>
      <c r="B1" s="61" t="s">
        <v>1</v>
      </c>
      <c r="C1" s="61" t="s">
        <v>2</v>
      </c>
      <c r="D1" s="48" t="s">
        <v>3</v>
      </c>
      <c r="E1" s="48" t="s">
        <v>4</v>
      </c>
      <c r="F1" s="96" t="s">
        <v>5</v>
      </c>
      <c r="G1" s="62" t="s">
        <v>2966</v>
      </c>
      <c r="H1" s="51" t="s">
        <v>7</v>
      </c>
      <c r="I1" s="62" t="s">
        <v>8</v>
      </c>
      <c r="J1" s="63" t="s">
        <v>9</v>
      </c>
      <c r="K1" s="53" t="s">
        <v>10</v>
      </c>
      <c r="L1" s="28" t="s">
        <v>11</v>
      </c>
      <c r="M1" s="28" t="s">
        <v>12</v>
      </c>
      <c r="N1" s="28" t="s">
        <v>13</v>
      </c>
      <c r="O1" s="28" t="s">
        <v>14</v>
      </c>
      <c r="P1" s="28" t="s">
        <v>15</v>
      </c>
      <c r="Q1" s="104" t="s">
        <v>16</v>
      </c>
      <c r="R1" s="29" t="s">
        <v>17</v>
      </c>
      <c r="S1" s="53" t="s">
        <v>18</v>
      </c>
      <c r="T1" s="53" t="s">
        <v>19</v>
      </c>
      <c r="U1" s="53" t="s">
        <v>20</v>
      </c>
      <c r="V1" s="63" t="s">
        <v>21</v>
      </c>
      <c r="W1" s="53" t="s">
        <v>22</v>
      </c>
      <c r="X1" s="54" t="s">
        <v>23</v>
      </c>
      <c r="Y1" s="54" t="s">
        <v>24</v>
      </c>
      <c r="Z1" s="59" t="s">
        <v>25</v>
      </c>
      <c r="AA1" s="57" t="s">
        <v>26</v>
      </c>
      <c r="AB1" s="57" t="s">
        <v>27</v>
      </c>
      <c r="AC1" s="101" t="s">
        <v>28</v>
      </c>
      <c r="AD1" s="107" t="s">
        <v>2997</v>
      </c>
    </row>
    <row r="2" spans="1:30">
      <c r="A2" t="str">
        <f t="shared" ref="A2:A4" si="0">B2&amp;"_"&amp;TEXT(C2,"yyyy-mm-dd")</f>
        <v>BB1_1997-07-26</v>
      </c>
      <c r="B2" t="s">
        <v>30</v>
      </c>
      <c r="C2" s="41">
        <v>35637</v>
      </c>
      <c r="D2">
        <f>SUMIF(DATA_WITHOUT_GENUS!A:A,A2,DATA_WITHOUT_GENUS!E:E)</f>
        <v>105</v>
      </c>
      <c r="E2">
        <f>SUMIF(DATA_WITHOUT_GENUS!A:A,A2,DATA_WITHOUT_GENUS!I:I)</f>
        <v>100</v>
      </c>
      <c r="F2" s="97">
        <f>SUMIFS(DATA_WITHOUT_GENUS!M:M,DATA_WITHOUT_GENUS!A:A,A2)/100</f>
        <v>4.4400000000000004</v>
      </c>
      <c r="G2" s="18">
        <f>COUNTIFS(DATA_WITHOUT_GENUS!A:A,A2,DATA_WITHOUT_GENUS!I:I, "&gt;0")</f>
        <v>12</v>
      </c>
      <c r="H2">
        <f>COUNTIFS(DATA_WITHOUT_GENUS!A:A,A2,DATA_WITHOUT_GENUS!J:J,TRUE)</f>
        <v>4</v>
      </c>
      <c r="I2" s="18">
        <f>SUMIFS(DATA_WITHOUT_GENUS!I:I,DATA_WITHOUT_GENUS!A:A,A2,DATA_WITHOUT_GENUS!J:J,TRUE)</f>
        <v>41</v>
      </c>
      <c r="J2">
        <f>_xlfn.MAXIFS(DATA_WITHOUT_GENUS!I:I,DATA_WITHOUT_GENUS!A:A,A2)</f>
        <v>40</v>
      </c>
      <c r="K2" s="18" t="str" cm="1">
        <f t="array" ref="K2">_xlfn._xlws.FILTER(DATA_WITHOUT_GENUS!D:D,(DATA_WITHOUT_GENUS!A:A=A2)*(DATA_WITHOUT_GENUS!I:I=J2)*ROW(DATA_WITHOUT_GENUS!D:D),0)</f>
        <v>Gammaridae</v>
      </c>
      <c r="L2" s="30">
        <f>IF(F2="","",IF(F2&gt;7,0,IF(F2&lt;5,6,IF(F2&lt;=7,3))))</f>
        <v>6</v>
      </c>
      <c r="M2">
        <f>IF(G2="","",IF(G2&gt;10,6,IF(G2&lt;5,0,IF(G2&lt;=10,3))))</f>
        <v>6</v>
      </c>
      <c r="N2" s="31">
        <f>IF(H2="","",IF(H2&gt;5,6,IF(H2&lt;3,0,IF(H2&lt;=5,3))))</f>
        <v>3</v>
      </c>
      <c r="O2" s="32">
        <f>IF(I2="","",IF(I2&gt;35,6,IF(I2&lt;10,0,IF(I2&lt;=35,3,IF(I2&lt;10,0)))))</f>
        <v>6</v>
      </c>
      <c r="P2">
        <f>IF(J2="","",IF(J2&gt;60,0,IF(J2&lt;40,6,IF(J2&lt;=60,3))))</f>
        <v>3</v>
      </c>
      <c r="Q2" s="100">
        <f>SUM(L2:P2)</f>
        <v>24</v>
      </c>
      <c r="R2" s="15" t="str">
        <f>IF(Q2&gt;=24, "Non-Impaired", IF(Q2&lt;=6, "Severally Impaired", IF(Q2&gt;=9, "Moderately Impaired","")))</f>
        <v>Non-Impaired</v>
      </c>
      <c r="AD2" s="18" t="str">
        <f>IF(AC2="","",IF(AC2&gt;=22,"Excellent",IF(AC2&lt;6,"Poor",IF(AC2&gt;=12, "Good","Fair"))))</f>
        <v/>
      </c>
    </row>
    <row r="3" spans="1:30">
      <c r="A3" t="str">
        <f t="shared" si="0"/>
        <v>BB1_2000-10-21</v>
      </c>
      <c r="B3" t="s">
        <v>30</v>
      </c>
      <c r="C3" s="41">
        <v>36820</v>
      </c>
      <c r="D3" s="25">
        <f>SUMIF(DATA_WITHOUT_GENUS!A:A,A3,DATA_WITHOUT_GENUS!E:E)</f>
        <v>99</v>
      </c>
      <c r="E3">
        <f>SUMIF(DATA_WITHOUT_GENUS!A:A,A3,DATA_WITHOUT_GENUS!I:I)</f>
        <v>99</v>
      </c>
      <c r="F3" s="97">
        <f>SUMIFS(DATA_WITHOUT_GENUS!M:M,DATA_WITHOUT_GENUS!A:A,A3)/100</f>
        <v>4.0999999999999996</v>
      </c>
      <c r="G3" s="18">
        <f>COUNTIFS(DATA_WITHOUT_GENUS!A:A,A3,DATA_WITHOUT_GENUS!I:I, "&gt;0")</f>
        <v>5</v>
      </c>
      <c r="H3">
        <f>COUNTIFS(DATA_WITHOUT_GENUS!A:A,A3,DATA_WITHOUT_GENUS!J:J,TRUE)</f>
        <v>2</v>
      </c>
      <c r="I3" s="18">
        <f>SUMIFS(DATA_WITHOUT_GENUS!I:I,DATA_WITHOUT_GENUS!A:A,A3,DATA_WITHOUT_GENUS!J:J,TRUE)</f>
        <v>65</v>
      </c>
      <c r="J3">
        <f>_xlfn.MAXIFS(DATA_WITHOUT_GENUS!I:I,DATA_WITHOUT_GENUS!A:A,A3)</f>
        <v>59</v>
      </c>
      <c r="K3" s="18" t="str" cm="1">
        <f t="array" ref="K3">_xlfn._xlws.FILTER(DATA_WITHOUT_GENUS!D:D,(DATA_WITHOUT_GENUS!A:A=A3)*(DATA_WITHOUT_GENUS!I:I=J3)*ROW(DATA_WITHOUT_GENUS!D:D),0)</f>
        <v>Hydropsychidae</v>
      </c>
      <c r="L3" s="30">
        <f>IF(F3="","",IF(F3&gt;7,0,IF(F3&lt;5,6,IF(F3&lt;=7,3))))</f>
        <v>6</v>
      </c>
      <c r="M3">
        <f>IF(G3="","",IF(G3&gt;10,6,IF(G3&lt;5,0,IF(G3&lt;=10,3))))</f>
        <v>3</v>
      </c>
      <c r="N3" s="31">
        <f>IF(H3="","",IF(H3&gt;5,6,IF(H3&lt;3,0,IF(H3&lt;=5,3))))</f>
        <v>0</v>
      </c>
      <c r="O3" s="32">
        <f>IF(I3="","",IF(I3&gt;35,6,IF(I3&lt;10,0,IF(I3&lt;=35,3,IF(I3&lt;10,0)))))</f>
        <v>6</v>
      </c>
      <c r="P3">
        <f>IF(J3="","",IF(J3&gt;60,0,IF(J3&lt;40,6,IF(J3&lt;=60,3))))</f>
        <v>3</v>
      </c>
      <c r="Q3" s="100">
        <f>SUM(L3:P3)</f>
        <v>18</v>
      </c>
      <c r="R3" s="15" t="str">
        <f>IF(Q3&gt;=24, "Non-Impaired", IF(Q3&lt;=6, "Severally Impaired", IF(Q3&gt;=9, "Moderately Impaired","")))</f>
        <v>Moderately Impaired</v>
      </c>
      <c r="AD3" s="18" t="str">
        <f t="shared" ref="AD3:AD4" si="1">IF(AC3="","",IF(AC3&gt;=22,"Excellent",IF(AC3&lt;6,"Poor",IF(AC3&gt;=12, "Good","Fair"))))</f>
        <v/>
      </c>
    </row>
    <row r="4" spans="1:30">
      <c r="A4" t="str">
        <f t="shared" si="0"/>
        <v>BB1_2001-07-21</v>
      </c>
      <c r="B4" t="s">
        <v>30</v>
      </c>
      <c r="C4" s="41">
        <v>37093</v>
      </c>
      <c r="D4">
        <f>SUMIF(DATA_WITHOUT_GENUS!A:A,A4,DATA_WITHOUT_GENUS!E:E)</f>
        <v>202</v>
      </c>
      <c r="E4">
        <f>SUMIF(DATA_WITHOUT_GENUS!A:A,A4,DATA_WITHOUT_GENUS!I:I)</f>
        <v>100</v>
      </c>
      <c r="F4" s="97">
        <f>SUMIFS(DATA_WITHOUT_GENUS!M:M,DATA_WITHOUT_GENUS!A:A,A4)/100</f>
        <v>4.1900000000000004</v>
      </c>
      <c r="G4" s="18">
        <f>COUNTIFS(DATA_WITHOUT_GENUS!A:A,A4,DATA_WITHOUT_GENUS!I:I, "&gt;0")</f>
        <v>11</v>
      </c>
      <c r="H4">
        <f>COUNTIFS(DATA_WITHOUT_GENUS!A:A,A4,DATA_WITHOUT_GENUS!J:J,TRUE)</f>
        <v>3</v>
      </c>
      <c r="I4" s="18">
        <f>SUMIFS(DATA_WITHOUT_GENUS!I:I,DATA_WITHOUT_GENUS!A:A,A4,DATA_WITHOUT_GENUS!J:J,TRUE)</f>
        <v>51</v>
      </c>
      <c r="J4">
        <f>_xlfn.MAXIFS(DATA_WITHOUT_GENUS!I:I,DATA_WITHOUT_GENUS!A:A,A4)</f>
        <v>43</v>
      </c>
      <c r="K4" s="18" t="str" cm="1">
        <f t="array" ref="K4">_xlfn._xlws.FILTER(DATA_WITHOUT_GENUS!D:D,(DATA_WITHOUT_GENUS!A:A=A4)*(DATA_WITHOUT_GENUS!I:I=J4)*ROW(DATA_WITHOUT_GENUS!D:D),0)</f>
        <v>Hydropsychidae</v>
      </c>
      <c r="L4" s="30">
        <f>IF(F4="","",IF(F4&gt;7,0,IF(F4&lt;5,6,IF(F4&lt;=7,3))))</f>
        <v>6</v>
      </c>
      <c r="M4">
        <f>IF(G4="","",IF(G4&gt;10,6,IF(G4&lt;5,0,IF(G4&lt;=10,3))))</f>
        <v>6</v>
      </c>
      <c r="N4" s="31">
        <f t="shared" ref="N4:N38" si="2">IF(H4="","",IF(H4&gt;5,6,IF(H4&lt;3,0,IF(H4&lt;=5,3))))</f>
        <v>3</v>
      </c>
      <c r="O4" s="32">
        <f>IF(I4="","",IF(I4&gt;35,6,IF(I4&lt;10,0,IF(I4&lt;=35,3,IF(I4&lt;10,0)))))</f>
        <v>6</v>
      </c>
      <c r="P4">
        <f>IF(J4="","",IF(J4&gt;60,0,IF(J4&lt;40,6,IF(J4&lt;=60,3))))</f>
        <v>3</v>
      </c>
      <c r="Q4" s="100">
        <f>SUM(L4:P4)</f>
        <v>24</v>
      </c>
      <c r="R4" s="15" t="str">
        <f>IF(Q4&gt;=24, "Non-Impaired", IF(Q4&lt;=6, "Severally Impaired", IF(Q4&gt;=9, "Moderately Impaired","")))</f>
        <v>Non-Impaired</v>
      </c>
      <c r="AD4" s="18" t="str">
        <f t="shared" si="1"/>
        <v/>
      </c>
    </row>
    <row r="5" spans="1:30">
      <c r="A5" t="str">
        <f t="shared" ref="A5:A20" si="3">B5&amp;"_"&amp;TEXT(C5,"yyyy-mm-dd")</f>
        <v>BB1_2001-10-20</v>
      </c>
      <c r="B5" t="s">
        <v>30</v>
      </c>
      <c r="C5" s="41">
        <v>37184</v>
      </c>
      <c r="D5">
        <f>SUMIF(DATA_WITHOUT_GENUS!A:A,A5,DATA_WITHOUT_GENUS!E:E)</f>
        <v>105</v>
      </c>
      <c r="E5">
        <f>SUMIF(DATA_WITHOUT_GENUS!A:A,A5,DATA_WITHOUT_GENUS!I:I)</f>
        <v>100</v>
      </c>
      <c r="F5" s="97">
        <f>SUMIFS(DATA_WITHOUT_GENUS!M:M,DATA_WITHOUT_GENUS!A:A,A5)/100</f>
        <v>4.22</v>
      </c>
      <c r="G5" s="18">
        <f>COUNTIFS(DATA_WITHOUT_GENUS!A:A,A5,DATA_WITHOUT_GENUS!I:I, "&gt;0")</f>
        <v>10</v>
      </c>
      <c r="H5">
        <f>COUNTIFS(DATA_WITHOUT_GENUS!A:A,A5,DATA_WITHOUT_GENUS!J:J,TRUE)</f>
        <v>3</v>
      </c>
      <c r="I5" s="18">
        <f>SUMIFS(DATA_WITHOUT_GENUS!I:I,DATA_WITHOUT_GENUS!A:A,A5,DATA_WITHOUT_GENUS!J:J,TRUE)</f>
        <v>36</v>
      </c>
      <c r="J5">
        <f>_xlfn.MAXIFS(DATA_WITHOUT_GENUS!I:I,DATA_WITHOUT_GENUS!A:A,A5)</f>
        <v>51</v>
      </c>
      <c r="K5" s="18" t="str" cm="1">
        <f t="array" ref="K5">_xlfn._xlws.FILTER(DATA_WITHOUT_GENUS!D:D,(DATA_WITHOUT_GENUS!A:A=A5)*(DATA_WITHOUT_GENUS!I:I=J5)*ROW(DATA_WITHOUT_GENUS!D:D),0)</f>
        <v>Gammaridae</v>
      </c>
      <c r="L5" s="30">
        <f>IF(F5="","",IF(F5&gt;7,0,IF(F5&lt;5,6,IF(F5&lt;=7,3))))</f>
        <v>6</v>
      </c>
      <c r="M5">
        <f>IF(G5="","",IF(G5&gt;10,6,IF(G5&lt;5,0,IF(G5&lt;=10,3))))</f>
        <v>3</v>
      </c>
      <c r="N5" s="31">
        <f t="shared" si="2"/>
        <v>3</v>
      </c>
      <c r="O5" s="32">
        <f>IF(I5="","",IF(I5&gt;35,6,IF(I5&lt;10,0,IF(I5&lt;=35,3,IF(I5&lt;10,0)))))</f>
        <v>6</v>
      </c>
      <c r="P5">
        <f>IF(J5="","",IF(J5&gt;60,0,IF(J5&lt;40,6,IF(J5&lt;=60,3))))</f>
        <v>3</v>
      </c>
      <c r="Q5" s="100">
        <f>SUM(L5:P5)</f>
        <v>21</v>
      </c>
      <c r="R5" s="15" t="str">
        <f>IF(Q5&gt;=24, "Non-Impaired", IF(Q5&lt;=6, "Severally Impaired", IF(Q5&gt;=9, "Moderately Impaired","")))</f>
        <v>Moderately Impaired</v>
      </c>
    </row>
    <row r="6" spans="1:30">
      <c r="A6" t="str">
        <f t="shared" si="3"/>
        <v>BB1_2002-03-23</v>
      </c>
      <c r="B6" t="s">
        <v>30</v>
      </c>
      <c r="C6" s="41">
        <v>37338</v>
      </c>
      <c r="D6">
        <f>SUMIF(DATA_WITHOUT_GENUS!A:A,A6,DATA_WITHOUT_GENUS!E:E)</f>
        <v>107</v>
      </c>
      <c r="E6">
        <f>SUMIF(DATA_WITHOUT_GENUS!A:A,A6,DATA_WITHOUT_GENUS!I:I)</f>
        <v>100</v>
      </c>
      <c r="F6" s="97">
        <f>SUMIFS(DATA_WITHOUT_GENUS!M:M,DATA_WITHOUT_GENUS!A:A,A6)/100</f>
        <v>4.55</v>
      </c>
      <c r="G6" s="18">
        <f>COUNTIFS(DATA_WITHOUT_GENUS!A:A,A6,DATA_WITHOUT_GENUS!I:I, "&gt;0")</f>
        <v>6</v>
      </c>
      <c r="H6">
        <f>COUNTIFS(DATA_WITHOUT_GENUS!A:A,A6,DATA_WITHOUT_GENUS!J:J,TRUE)</f>
        <v>1</v>
      </c>
      <c r="I6" s="18">
        <f>SUMIFS(DATA_WITHOUT_GENUS!I:I,DATA_WITHOUT_GENUS!A:A,A6,DATA_WITHOUT_GENUS!J:J,TRUE)</f>
        <v>5</v>
      </c>
      <c r="J6">
        <f>_xlfn.MAXIFS(DATA_WITHOUT_GENUS!I:I,DATA_WITHOUT_GENUS!A:A,A6)</f>
        <v>79</v>
      </c>
      <c r="K6" s="18" t="str" cm="1">
        <f t="array" ref="K6">_xlfn._xlws.FILTER(DATA_WITHOUT_GENUS!D:D,(DATA_WITHOUT_GENUS!A:A=A6)*(DATA_WITHOUT_GENUS!I:I=J6)*ROW(DATA_WITHOUT_GENUS!D:D),0)</f>
        <v>Gammaridae</v>
      </c>
      <c r="L6" s="30">
        <f>IF(F6="","",IF(F6&gt;7,0,IF(F6&lt;5,6,IF(F6&lt;=7,3))))</f>
        <v>6</v>
      </c>
      <c r="M6">
        <f>IF(G6="","",IF(G6&gt;10,6,IF(G6&lt;5,0,IF(G6&lt;=10,3))))</f>
        <v>3</v>
      </c>
      <c r="N6" s="31">
        <f t="shared" si="2"/>
        <v>0</v>
      </c>
      <c r="O6" s="32">
        <f>IF(I6="","",IF(I6&gt;35,6,IF(I6&lt;10,0,IF(I6&lt;=35,3,IF(I6&lt;10,0)))))</f>
        <v>0</v>
      </c>
      <c r="P6">
        <f>IF(J6="","",IF(J6&gt;60,0,IF(J6&lt;40,6,IF(J6&lt;=60,3))))</f>
        <v>0</v>
      </c>
      <c r="Q6" s="100">
        <f>SUM(L6:P6)</f>
        <v>9</v>
      </c>
      <c r="R6" s="15" t="str">
        <f>IF(Q6&gt;=24, "Non-Impaired", IF(Q6&lt;=6, "Severally Impaired", IF(Q6&gt;=9, "Moderately Impaired","")))</f>
        <v>Moderately Impaired</v>
      </c>
    </row>
    <row r="7" spans="1:30">
      <c r="A7" t="str">
        <f t="shared" si="3"/>
        <v>BB1_2002-07-27</v>
      </c>
      <c r="B7" t="s">
        <v>30</v>
      </c>
      <c r="C7" s="41">
        <v>37464</v>
      </c>
      <c r="D7">
        <f>SUMIF(DATA_WITHOUT_GENUS!A:A,A7,DATA_WITHOUT_GENUS!E:E)</f>
        <v>102</v>
      </c>
      <c r="E7">
        <f>SUMIF(DATA_WITHOUT_GENUS!A:A,A7,DATA_WITHOUT_GENUS!I:I)</f>
        <v>100</v>
      </c>
      <c r="F7" s="97">
        <f>SUMIFS(DATA_WITHOUT_GENUS!M:M,DATA_WITHOUT_GENUS!A:A,A7)/100</f>
        <v>4.42</v>
      </c>
      <c r="G7" s="18">
        <f>COUNTIFS(DATA_WITHOUT_GENUS!A:A,A7,DATA_WITHOUT_GENUS!I:I, "&gt;0")</f>
        <v>9</v>
      </c>
      <c r="H7">
        <f>COUNTIFS(DATA_WITHOUT_GENUS!A:A,A7,DATA_WITHOUT_GENUS!J:J,TRUE)</f>
        <v>1</v>
      </c>
      <c r="I7" s="18">
        <f>SUMIFS(DATA_WITHOUT_GENUS!I:I,DATA_WITHOUT_GENUS!A:A,A7,DATA_WITHOUT_GENUS!J:J,TRUE)</f>
        <v>1</v>
      </c>
      <c r="J7">
        <f>_xlfn.MAXIFS(DATA_WITHOUT_GENUS!I:I,DATA_WITHOUT_GENUS!A:A,A7)</f>
        <v>72</v>
      </c>
      <c r="K7" s="18" t="str" cm="1">
        <f t="array" ref="K7">_xlfn._xlws.FILTER(DATA_WITHOUT_GENUS!D:D,(DATA_WITHOUT_GENUS!A:A=A7)*(DATA_WITHOUT_GENUS!I:I=J7)*ROW(DATA_WITHOUT_GENUS!D:D),0)</f>
        <v>Gammaridae</v>
      </c>
      <c r="L7" s="30">
        <f t="shared" ref="L7:L16" si="4">IF(F7="","",IF(F7&gt;7,0,IF(F7&lt;5,6,IF(F7&lt;=7,3))))</f>
        <v>6</v>
      </c>
      <c r="M7">
        <f t="shared" ref="M7:M37" si="5">IF(G7="","",IF(G7&gt;10,6,IF(G7&lt;5,0,IF(G7&lt;=10,3))))</f>
        <v>3</v>
      </c>
      <c r="N7" s="31">
        <f t="shared" si="2"/>
        <v>0</v>
      </c>
      <c r="O7" s="32">
        <f t="shared" ref="O7:O37" si="6">IF(I7="","",IF(I7&gt;35,6,IF(I7&lt;10,0,IF(I7&lt;=35,3,IF(I7&lt;10,0)))))</f>
        <v>0</v>
      </c>
      <c r="P7">
        <f t="shared" ref="P7:P37" si="7">IF(J7="","",IF(J7&gt;60,0,IF(J7&lt;40,6,IF(J7&lt;=60,3))))</f>
        <v>0</v>
      </c>
      <c r="Q7" s="100">
        <f t="shared" ref="Q7:Q37" si="8">SUM(L7:P7)</f>
        <v>9</v>
      </c>
      <c r="R7" s="15" t="str">
        <f t="shared" ref="R7:R37" si="9">IF(Q7&gt;=24, "Non-Impaired", IF(Q7&lt;=6, "Severally Impaired", IF(Q7&gt;=9, "Moderately Impaired","")))</f>
        <v>Moderately Impaired</v>
      </c>
    </row>
    <row r="8" spans="1:30">
      <c r="A8" t="str">
        <f t="shared" si="3"/>
        <v>BB1_2002-10-19</v>
      </c>
      <c r="B8" t="s">
        <v>30</v>
      </c>
      <c r="C8" s="41">
        <v>37548</v>
      </c>
      <c r="D8">
        <f>SUMIF(DATA_WITHOUT_GENUS!A:A,A8,DATA_WITHOUT_GENUS!E:E)</f>
        <v>132</v>
      </c>
      <c r="E8">
        <f>SUMIF(DATA_WITHOUT_GENUS!A:A,A8,DATA_WITHOUT_GENUS!I:I)</f>
        <v>100</v>
      </c>
      <c r="F8" s="97">
        <f>SUMIFS(DATA_WITHOUT_GENUS!M:M,DATA_WITHOUT_GENUS!A:A,A8)/100</f>
        <v>4.18</v>
      </c>
      <c r="G8" s="18">
        <f>COUNTIFS(DATA_WITHOUT_GENUS!A:A,A8,DATA_WITHOUT_GENUS!I:I, "&gt;0")</f>
        <v>8</v>
      </c>
      <c r="H8">
        <f>COUNTIFS(DATA_WITHOUT_GENUS!A:A,A8,DATA_WITHOUT_GENUS!J:J,TRUE)</f>
        <v>3</v>
      </c>
      <c r="I8" s="18">
        <f>SUMIFS(DATA_WITHOUT_GENUS!I:I,DATA_WITHOUT_GENUS!A:A,A8,DATA_WITHOUT_GENUS!J:J,TRUE)</f>
        <v>36</v>
      </c>
      <c r="J8">
        <f>_xlfn.MAXIFS(DATA_WITHOUT_GENUS!I:I,DATA_WITHOUT_GENUS!A:A,A8)</f>
        <v>52</v>
      </c>
      <c r="K8" s="18" t="str" cm="1">
        <f t="array" ref="K8">_xlfn._xlws.FILTER(DATA_WITHOUT_GENUS!D:D,(DATA_WITHOUT_GENUS!A:A=A8)*(DATA_WITHOUT_GENUS!I:I=J8)*ROW(DATA_WITHOUT_GENUS!D:D),0)</f>
        <v>Gammaridae</v>
      </c>
      <c r="L8" s="30">
        <f t="shared" si="4"/>
        <v>6</v>
      </c>
      <c r="M8">
        <f t="shared" si="5"/>
        <v>3</v>
      </c>
      <c r="N8" s="31">
        <f t="shared" si="2"/>
        <v>3</v>
      </c>
      <c r="O8" s="32">
        <f t="shared" si="6"/>
        <v>6</v>
      </c>
      <c r="P8">
        <f t="shared" si="7"/>
        <v>3</v>
      </c>
      <c r="Q8" s="100">
        <f t="shared" si="8"/>
        <v>21</v>
      </c>
      <c r="R8" s="15" t="str">
        <f t="shared" si="9"/>
        <v>Moderately Impaired</v>
      </c>
    </row>
    <row r="9" spans="1:30">
      <c r="A9" t="str">
        <f t="shared" si="3"/>
        <v>BB1_2003-03-22</v>
      </c>
      <c r="B9" t="s">
        <v>30</v>
      </c>
      <c r="C9" s="41">
        <v>37702</v>
      </c>
      <c r="D9">
        <f>SUMIF(DATA_WITHOUT_GENUS!A:A,A9,DATA_WITHOUT_GENUS!E:E)</f>
        <v>119</v>
      </c>
      <c r="E9">
        <f>SUMIF(DATA_WITHOUT_GENUS!A:A,A9,DATA_WITHOUT_GENUS!I:I)</f>
        <v>100</v>
      </c>
      <c r="F9" s="97">
        <f>SUMIFS(DATA_WITHOUT_GENUS!M:M,DATA_WITHOUT_GENUS!A:A,A9)/100</f>
        <v>4.3099999999999996</v>
      </c>
      <c r="G9" s="18">
        <f>COUNTIFS(DATA_WITHOUT_GENUS!A:A,A9,DATA_WITHOUT_GENUS!I:I, "&gt;0")</f>
        <v>5</v>
      </c>
      <c r="H9">
        <f>COUNTIFS(DATA_WITHOUT_GENUS!A:A,A9,DATA_WITHOUT_GENUS!J:J,TRUE)</f>
        <v>2</v>
      </c>
      <c r="I9" s="18">
        <f>SUMIFS(DATA_WITHOUT_GENUS!I:I,DATA_WITHOUT_GENUS!A:A,A9,DATA_WITHOUT_GENUS!J:J,TRUE)</f>
        <v>13</v>
      </c>
      <c r="J9">
        <f>_xlfn.MAXIFS(DATA_WITHOUT_GENUS!I:I,DATA_WITHOUT_GENUS!A:A,A9)</f>
        <v>78</v>
      </c>
      <c r="K9" s="18" t="str" cm="1">
        <f t="array" ref="K9">_xlfn._xlws.FILTER(DATA_WITHOUT_GENUS!D:D,(DATA_WITHOUT_GENUS!A:A=A9)*(DATA_WITHOUT_GENUS!I:I=J9)*ROW(DATA_WITHOUT_GENUS!D:D),0)</f>
        <v>Gammaridae</v>
      </c>
      <c r="L9" s="30">
        <f t="shared" si="4"/>
        <v>6</v>
      </c>
      <c r="M9">
        <f t="shared" si="5"/>
        <v>3</v>
      </c>
      <c r="N9" s="31">
        <f t="shared" si="2"/>
        <v>0</v>
      </c>
      <c r="O9" s="32">
        <f t="shared" si="6"/>
        <v>3</v>
      </c>
      <c r="P9">
        <f t="shared" si="7"/>
        <v>0</v>
      </c>
      <c r="Q9" s="100">
        <f t="shared" si="8"/>
        <v>12</v>
      </c>
      <c r="R9" s="15" t="str">
        <f t="shared" si="9"/>
        <v>Moderately Impaired</v>
      </c>
    </row>
    <row r="10" spans="1:30">
      <c r="A10" t="str">
        <f t="shared" si="3"/>
        <v>BB1_2003-07-19</v>
      </c>
      <c r="B10" t="s">
        <v>30</v>
      </c>
      <c r="C10" s="41">
        <v>37821</v>
      </c>
      <c r="D10">
        <f>SUMIF(DATA_WITHOUT_GENUS!A:A,A10,DATA_WITHOUT_GENUS!E:E)</f>
        <v>133</v>
      </c>
      <c r="E10">
        <f>SUMIF(DATA_WITHOUT_GENUS!A:A,A10,DATA_WITHOUT_GENUS!I:I)</f>
        <v>100</v>
      </c>
      <c r="F10" s="97">
        <f>SUMIFS(DATA_WITHOUT_GENUS!M:M,DATA_WITHOUT_GENUS!A:A,A10)/100</f>
        <v>4.04</v>
      </c>
      <c r="G10" s="18">
        <f>COUNTIFS(DATA_WITHOUT_GENUS!A:A,A10,DATA_WITHOUT_GENUS!I:I, "&gt;0")</f>
        <v>4</v>
      </c>
      <c r="H10">
        <f>COUNTIFS(DATA_WITHOUT_GENUS!A:A,A10,DATA_WITHOUT_GENUS!J:J,TRUE)</f>
        <v>1</v>
      </c>
      <c r="I10" s="18">
        <f>SUMIFS(DATA_WITHOUT_GENUS!I:I,DATA_WITHOUT_GENUS!A:A,A10,DATA_WITHOUT_GENUS!J:J,TRUE)</f>
        <v>70</v>
      </c>
      <c r="J10">
        <f>_xlfn.MAXIFS(DATA_WITHOUT_GENUS!I:I,DATA_WITHOUT_GENUS!A:A,A10)</f>
        <v>70</v>
      </c>
      <c r="K10" s="18" t="str" cm="1">
        <f t="array" ref="K10">_xlfn._xlws.FILTER(DATA_WITHOUT_GENUS!D:D,(DATA_WITHOUT_GENUS!A:A=A10)*(DATA_WITHOUT_GENUS!I:I=J10)*ROW(DATA_WITHOUT_GENUS!D:D),0)</f>
        <v>Hydropsychidae</v>
      </c>
      <c r="L10" s="30">
        <f t="shared" si="4"/>
        <v>6</v>
      </c>
      <c r="M10">
        <f t="shared" si="5"/>
        <v>0</v>
      </c>
      <c r="N10" s="31">
        <f t="shared" si="2"/>
        <v>0</v>
      </c>
      <c r="O10" s="32">
        <f t="shared" si="6"/>
        <v>6</v>
      </c>
      <c r="P10">
        <f t="shared" si="7"/>
        <v>0</v>
      </c>
      <c r="Q10" s="100">
        <f t="shared" si="8"/>
        <v>12</v>
      </c>
      <c r="R10" s="15" t="str">
        <f t="shared" si="9"/>
        <v>Moderately Impaired</v>
      </c>
    </row>
    <row r="11" spans="1:30">
      <c r="A11" t="str">
        <f t="shared" si="3"/>
        <v>BB1_2004-07-24</v>
      </c>
      <c r="B11" t="s">
        <v>30</v>
      </c>
      <c r="C11" s="41">
        <v>38192</v>
      </c>
      <c r="D11">
        <f>SUMIF(DATA_WITHOUT_GENUS!A:A,A11,DATA_WITHOUT_GENUS!E:E)</f>
        <v>123</v>
      </c>
      <c r="E11">
        <f>SUMIF(DATA_WITHOUT_GENUS!A:A,A11,DATA_WITHOUT_GENUS!I:I)</f>
        <v>100</v>
      </c>
      <c r="F11" s="97">
        <f>SUMIFS(DATA_WITHOUT_GENUS!M:M,DATA_WITHOUT_GENUS!A:A,A11)/100</f>
        <v>4.5</v>
      </c>
      <c r="G11" s="18">
        <f>COUNTIFS(DATA_WITHOUT_GENUS!A:A,A11,DATA_WITHOUT_GENUS!I:I, "&gt;0")</f>
        <v>9</v>
      </c>
      <c r="H11">
        <f>COUNTIFS(DATA_WITHOUT_GENUS!A:A,A11,DATA_WITHOUT_GENUS!J:J,TRUE)</f>
        <v>3</v>
      </c>
      <c r="I11" s="18">
        <f>SUMIFS(DATA_WITHOUT_GENUS!I:I,DATA_WITHOUT_GENUS!A:A,A11,DATA_WITHOUT_GENUS!J:J,TRUE)</f>
        <v>45</v>
      </c>
      <c r="J11">
        <f>_xlfn.MAXIFS(DATA_WITHOUT_GENUS!I:I,DATA_WITHOUT_GENUS!A:A,A11)</f>
        <v>42</v>
      </c>
      <c r="K11" s="18" t="str" cm="1">
        <f t="array" ref="K11">_xlfn._xlws.FILTER(DATA_WITHOUT_GENUS!D:D,(DATA_WITHOUT_GENUS!A:A=A11)*(DATA_WITHOUT_GENUS!I:I=J11)*ROW(DATA_WITHOUT_GENUS!D:D),0)</f>
        <v>Hydropsychidae</v>
      </c>
      <c r="L11" s="30">
        <f t="shared" si="4"/>
        <v>6</v>
      </c>
      <c r="M11">
        <f t="shared" si="5"/>
        <v>3</v>
      </c>
      <c r="N11" s="31">
        <f t="shared" si="2"/>
        <v>3</v>
      </c>
      <c r="O11" s="32">
        <f t="shared" si="6"/>
        <v>6</v>
      </c>
      <c r="P11">
        <f t="shared" si="7"/>
        <v>3</v>
      </c>
      <c r="Q11" s="100">
        <f t="shared" si="8"/>
        <v>21</v>
      </c>
      <c r="R11" s="15" t="str">
        <f t="shared" si="9"/>
        <v>Moderately Impaired</v>
      </c>
    </row>
    <row r="12" spans="1:30">
      <c r="A12" t="str">
        <f t="shared" si="3"/>
        <v>BB1_2004-10-16</v>
      </c>
      <c r="B12" t="s">
        <v>30</v>
      </c>
      <c r="C12" s="41">
        <v>38276</v>
      </c>
      <c r="D12">
        <f>SUMIF(DATA_WITHOUT_GENUS!A:A,A12,DATA_WITHOUT_GENUS!E:E)</f>
        <v>111</v>
      </c>
      <c r="E12">
        <f>SUMIF(DATA_WITHOUT_GENUS!A:A,A12,DATA_WITHOUT_GENUS!I:I)</f>
        <v>100</v>
      </c>
      <c r="F12" s="97">
        <f>SUMIFS(DATA_WITHOUT_GENUS!M:M,DATA_WITHOUT_GENUS!A:A,A12)/100</f>
        <v>4.76</v>
      </c>
      <c r="G12" s="18">
        <f>COUNTIFS(DATA_WITHOUT_GENUS!A:A,A12,DATA_WITHOUT_GENUS!I:I, "&gt;0")</f>
        <v>7</v>
      </c>
      <c r="H12">
        <f>COUNTIFS(DATA_WITHOUT_GENUS!A:A,A12,DATA_WITHOUT_GENUS!J:J,TRUE)</f>
        <v>1</v>
      </c>
      <c r="I12" s="18">
        <f>SUMIFS(DATA_WITHOUT_GENUS!I:I,DATA_WITHOUT_GENUS!A:A,A12,DATA_WITHOUT_GENUS!J:J,TRUE)</f>
        <v>15</v>
      </c>
      <c r="J12">
        <f>_xlfn.MAXIFS(DATA_WITHOUT_GENUS!I:I,DATA_WITHOUT_GENUS!A:A,A12)</f>
        <v>52</v>
      </c>
      <c r="K12" s="18" t="str" cm="1">
        <f t="array" ref="K12">_xlfn._xlws.FILTER(DATA_WITHOUT_GENUS!D:D,(DATA_WITHOUT_GENUS!A:A=A12)*(DATA_WITHOUT_GENUS!I:I=J12)*ROW(DATA_WITHOUT_GENUS!D:D),0)</f>
        <v>Gammaridae</v>
      </c>
      <c r="L12" s="30">
        <f t="shared" si="4"/>
        <v>6</v>
      </c>
      <c r="M12">
        <f t="shared" si="5"/>
        <v>3</v>
      </c>
      <c r="N12" s="31">
        <f t="shared" si="2"/>
        <v>0</v>
      </c>
      <c r="O12" s="32">
        <f t="shared" si="6"/>
        <v>3</v>
      </c>
      <c r="P12">
        <f t="shared" si="7"/>
        <v>3</v>
      </c>
      <c r="Q12" s="100">
        <f t="shared" si="8"/>
        <v>15</v>
      </c>
      <c r="R12" s="15" t="str">
        <f t="shared" si="9"/>
        <v>Moderately Impaired</v>
      </c>
    </row>
    <row r="13" spans="1:30">
      <c r="A13" t="str">
        <f t="shared" si="3"/>
        <v>BB1_2005-03-19</v>
      </c>
      <c r="B13" t="s">
        <v>30</v>
      </c>
      <c r="C13" s="41">
        <v>38430</v>
      </c>
      <c r="D13">
        <f>SUMIF(DATA_WITHOUT_GENUS!A:A,A13,DATA_WITHOUT_GENUS!E:E)</f>
        <v>138</v>
      </c>
      <c r="E13">
        <f>SUMIF(DATA_WITHOUT_GENUS!A:A,A13,DATA_WITHOUT_GENUS!I:I)</f>
        <v>100</v>
      </c>
      <c r="F13" s="97">
        <f>SUMIFS(DATA_WITHOUT_GENUS!M:M,DATA_WITHOUT_GENUS!A:A,A13)/100</f>
        <v>4.47</v>
      </c>
      <c r="G13" s="18">
        <f>COUNTIFS(DATA_WITHOUT_GENUS!A:A,A13,DATA_WITHOUT_GENUS!I:I, "&gt;0")</f>
        <v>9</v>
      </c>
      <c r="H13">
        <f>COUNTIFS(DATA_WITHOUT_GENUS!A:A,A13,DATA_WITHOUT_GENUS!J:J,TRUE)</f>
        <v>1</v>
      </c>
      <c r="I13" s="18">
        <f>SUMIFS(DATA_WITHOUT_GENUS!I:I,DATA_WITHOUT_GENUS!A:A,A13,DATA_WITHOUT_GENUS!J:J,TRUE)</f>
        <v>12</v>
      </c>
      <c r="J13">
        <f>_xlfn.MAXIFS(DATA_WITHOUT_GENUS!I:I,DATA_WITHOUT_GENUS!A:A,A13)</f>
        <v>37</v>
      </c>
      <c r="K13" s="18" t="str" cm="1">
        <f t="array" ref="K13">_xlfn._xlws.FILTER(DATA_WITHOUT_GENUS!D:D,(DATA_WITHOUT_GENUS!A:A=A13)*(DATA_WITHOUT_GENUS!I:I=J13)*ROW(DATA_WITHOUT_GENUS!D:D),0)</f>
        <v>Elmidae</v>
      </c>
      <c r="L13" s="30">
        <f t="shared" si="4"/>
        <v>6</v>
      </c>
      <c r="M13">
        <f t="shared" si="5"/>
        <v>3</v>
      </c>
      <c r="N13" s="31">
        <f t="shared" si="2"/>
        <v>0</v>
      </c>
      <c r="O13" s="32">
        <f t="shared" si="6"/>
        <v>3</v>
      </c>
      <c r="P13">
        <f t="shared" si="7"/>
        <v>6</v>
      </c>
      <c r="Q13" s="100">
        <f t="shared" si="8"/>
        <v>18</v>
      </c>
      <c r="R13" s="15" t="str">
        <f t="shared" si="9"/>
        <v>Moderately Impaired</v>
      </c>
    </row>
    <row r="14" spans="1:30">
      <c r="A14" t="str">
        <f t="shared" si="3"/>
        <v>BB1_2005-10-15</v>
      </c>
      <c r="B14" t="s">
        <v>30</v>
      </c>
      <c r="C14" s="41">
        <v>38640</v>
      </c>
      <c r="D14">
        <f>SUMIF(DATA_WITHOUT_GENUS!A:A,A14,DATA_WITHOUT_GENUS!E:E)</f>
        <v>142</v>
      </c>
      <c r="E14">
        <f>SUMIF(DATA_WITHOUT_GENUS!A:A,A14,DATA_WITHOUT_GENUS!I:I)</f>
        <v>100</v>
      </c>
      <c r="F14" s="97">
        <f>SUMIFS(DATA_WITHOUT_GENUS!M:M,DATA_WITHOUT_GENUS!A:A,A14)/100</f>
        <v>4.16</v>
      </c>
      <c r="G14" s="18">
        <f>COUNTIFS(DATA_WITHOUT_GENUS!A:A,A14,DATA_WITHOUT_GENUS!I:I, "&gt;0")</f>
        <v>5</v>
      </c>
      <c r="H14">
        <f>COUNTIFS(DATA_WITHOUT_GENUS!A:A,A14,DATA_WITHOUT_GENUS!J:J,TRUE)</f>
        <v>1</v>
      </c>
      <c r="I14" s="18">
        <f>SUMIFS(DATA_WITHOUT_GENUS!I:I,DATA_WITHOUT_GENUS!A:A,A14,DATA_WITHOUT_GENUS!J:J,TRUE)</f>
        <v>66</v>
      </c>
      <c r="J14">
        <f>_xlfn.MAXIFS(DATA_WITHOUT_GENUS!I:I,DATA_WITHOUT_GENUS!A:A,A14)</f>
        <v>66</v>
      </c>
      <c r="K14" s="18" t="str" cm="1">
        <f t="array" ref="K14">_xlfn._xlws.FILTER(DATA_WITHOUT_GENUS!D:D,(DATA_WITHOUT_GENUS!A:A=A14)*(DATA_WITHOUT_GENUS!I:I=J14)*ROW(DATA_WITHOUT_GENUS!D:D),0)</f>
        <v>Hydropsychidae</v>
      </c>
      <c r="L14" s="30">
        <f t="shared" si="4"/>
        <v>6</v>
      </c>
      <c r="M14">
        <f t="shared" si="5"/>
        <v>3</v>
      </c>
      <c r="N14" s="31">
        <f t="shared" si="2"/>
        <v>0</v>
      </c>
      <c r="O14" s="32">
        <f t="shared" si="6"/>
        <v>6</v>
      </c>
      <c r="P14">
        <f t="shared" si="7"/>
        <v>0</v>
      </c>
      <c r="Q14" s="100">
        <f t="shared" si="8"/>
        <v>15</v>
      </c>
      <c r="R14" s="15" t="str">
        <f t="shared" si="9"/>
        <v>Moderately Impaired</v>
      </c>
    </row>
    <row r="15" spans="1:30">
      <c r="A15" t="str">
        <f t="shared" si="3"/>
        <v>BB1_2006-03-18</v>
      </c>
      <c r="B15" t="s">
        <v>30</v>
      </c>
      <c r="C15" s="41">
        <v>38794</v>
      </c>
      <c r="D15">
        <f>SUMIF(DATA_WITHOUT_GENUS!A:A,A15,DATA_WITHOUT_GENUS!E:E)</f>
        <v>125</v>
      </c>
      <c r="E15">
        <f>SUMIF(DATA_WITHOUT_GENUS!A:A,A15,DATA_WITHOUT_GENUS!I:I)</f>
        <v>100</v>
      </c>
      <c r="F15" s="97">
        <f>SUMIFS(DATA_WITHOUT_GENUS!M:M,DATA_WITHOUT_GENUS!A:A,A15)/100</f>
        <v>4.3499999999999996</v>
      </c>
      <c r="G15" s="18">
        <f>COUNTIFS(DATA_WITHOUT_GENUS!A:A,A15,DATA_WITHOUT_GENUS!I:I, "&gt;0")</f>
        <v>9</v>
      </c>
      <c r="H15">
        <f>COUNTIFS(DATA_WITHOUT_GENUS!A:A,A15,DATA_WITHOUT_GENUS!J:J,TRUE)</f>
        <v>1</v>
      </c>
      <c r="I15" s="18">
        <f>SUMIFS(DATA_WITHOUT_GENUS!I:I,DATA_WITHOUT_GENUS!A:A,A15,DATA_WITHOUT_GENUS!J:J,TRUE)</f>
        <v>15</v>
      </c>
      <c r="J15">
        <f>_xlfn.MAXIFS(DATA_WITHOUT_GENUS!I:I,DATA_WITHOUT_GENUS!A:A,A15)</f>
        <v>39</v>
      </c>
      <c r="K15" s="18" t="str" cm="1">
        <f t="array" ref="K15">_xlfn._xlws.FILTER(DATA_WITHOUT_GENUS!D:D,(DATA_WITHOUT_GENUS!A:A=A15)*(DATA_WITHOUT_GENUS!I:I=J15)*ROW(DATA_WITHOUT_GENUS!D:D),0)</f>
        <v>Gammaridae</v>
      </c>
      <c r="L15" s="30">
        <f t="shared" si="4"/>
        <v>6</v>
      </c>
      <c r="M15">
        <f t="shared" si="5"/>
        <v>3</v>
      </c>
      <c r="N15" s="31">
        <f t="shared" si="2"/>
        <v>0</v>
      </c>
      <c r="O15" s="32">
        <f t="shared" si="6"/>
        <v>3</v>
      </c>
      <c r="P15">
        <f t="shared" si="7"/>
        <v>6</v>
      </c>
      <c r="Q15" s="100">
        <f t="shared" si="8"/>
        <v>18</v>
      </c>
      <c r="R15" s="15" t="str">
        <f t="shared" si="9"/>
        <v>Moderately Impaired</v>
      </c>
    </row>
    <row r="16" spans="1:30">
      <c r="A16" t="str">
        <f t="shared" si="3"/>
        <v>BB1_2006-07-15</v>
      </c>
      <c r="B16" t="s">
        <v>30</v>
      </c>
      <c r="C16" s="41">
        <v>38913</v>
      </c>
      <c r="D16">
        <f>SUMIF(DATA_WITHOUT_GENUS!A:A,A16,DATA_WITHOUT_GENUS!E:E)</f>
        <v>111</v>
      </c>
      <c r="E16">
        <f>SUMIF(DATA_WITHOUT_GENUS!A:A,A16,DATA_WITHOUT_GENUS!I:I)</f>
        <v>100</v>
      </c>
      <c r="F16" s="97">
        <f>SUMIFS(DATA_WITHOUT_GENUS!M:M,DATA_WITHOUT_GENUS!A:A,A16)/100</f>
        <v>4.58</v>
      </c>
      <c r="G16" s="18">
        <f>COUNTIFS(DATA_WITHOUT_GENUS!A:A,A16,DATA_WITHOUT_GENUS!I:I, "&gt;0")</f>
        <v>7</v>
      </c>
      <c r="H16">
        <f>COUNTIFS(DATA_WITHOUT_GENUS!A:A,A16,DATA_WITHOUT_GENUS!J:J,TRUE)</f>
        <v>1</v>
      </c>
      <c r="I16" s="18">
        <f>SUMIFS(DATA_WITHOUT_GENUS!I:I,DATA_WITHOUT_GENUS!A:A,A16,DATA_WITHOUT_GENUS!J:J,TRUE)</f>
        <v>68</v>
      </c>
      <c r="J16">
        <f>_xlfn.MAXIFS(DATA_WITHOUT_GENUS!I:I,DATA_WITHOUT_GENUS!A:A,A16)</f>
        <v>68</v>
      </c>
      <c r="K16" s="18" t="str" cm="1">
        <f t="array" ref="K16">_xlfn._xlws.FILTER(DATA_WITHOUT_GENUS!D:D,(DATA_WITHOUT_GENUS!A:A=A16)*(DATA_WITHOUT_GENUS!I:I=J16)*ROW(DATA_WITHOUT_GENUS!D:D),0)</f>
        <v>Hydropsychidae</v>
      </c>
      <c r="L16" s="30">
        <f t="shared" si="4"/>
        <v>6</v>
      </c>
      <c r="M16">
        <f t="shared" si="5"/>
        <v>3</v>
      </c>
      <c r="N16" s="31">
        <f t="shared" si="2"/>
        <v>0</v>
      </c>
      <c r="O16" s="32">
        <f t="shared" si="6"/>
        <v>6</v>
      </c>
      <c r="P16">
        <f t="shared" si="7"/>
        <v>0</v>
      </c>
      <c r="Q16" s="100">
        <f t="shared" si="8"/>
        <v>15</v>
      </c>
      <c r="R16" s="15" t="str">
        <f t="shared" si="9"/>
        <v>Moderately Impaired</v>
      </c>
    </row>
    <row r="17" spans="1:18">
      <c r="A17" t="str">
        <f t="shared" si="3"/>
        <v>BB1_2006-10-14</v>
      </c>
      <c r="B17" t="s">
        <v>30</v>
      </c>
      <c r="C17" s="41">
        <v>39004</v>
      </c>
      <c r="D17">
        <f>SUMIF(DATA_WITHOUT_GENUS!A:A,A17,DATA_WITHOUT_GENUS!E:E)</f>
        <v>109</v>
      </c>
      <c r="E17">
        <f>SUMIF(DATA_WITHOUT_GENUS!A:A,A17,DATA_WITHOUT_GENUS!I:I)</f>
        <v>100</v>
      </c>
      <c r="F17" s="97">
        <f>SUMIFS(DATA_WITHOUT_GENUS!M:M,DATA_WITHOUT_GENUS!A:A,A17)/100</f>
        <v>6.77</v>
      </c>
      <c r="G17" s="18">
        <f>COUNTIFS(DATA_WITHOUT_GENUS!A:A,A17,DATA_WITHOUT_GENUS!I:I, "&gt;0")</f>
        <v>10</v>
      </c>
      <c r="H17">
        <f>COUNTIFS(DATA_WITHOUT_GENUS!A:A,A17,DATA_WITHOUT_GENUS!J:J,TRUE)</f>
        <v>1</v>
      </c>
      <c r="I17" s="18">
        <f>SUMIFS(DATA_WITHOUT_GENUS!I:I,DATA_WITHOUT_GENUS!A:A,A17,DATA_WITHOUT_GENUS!J:J,TRUE)</f>
        <v>5</v>
      </c>
      <c r="J17">
        <f>_xlfn.MAXIFS(DATA_WITHOUT_GENUS!I:I,DATA_WITHOUT_GENUS!A:A,A17)</f>
        <v>61</v>
      </c>
      <c r="K17" s="18" t="str" cm="1">
        <f t="array" ref="K17">_xlfn._xlws.FILTER(DATA_WITHOUT_GENUS!D:D,(DATA_WITHOUT_GENUS!A:A=A17)*(DATA_WITHOUT_GENUS!I:I=J17)*ROW(DATA_WITHOUT_GENUS!D:D),0)</f>
        <v>Sphaeriidae</v>
      </c>
      <c r="L17" s="30">
        <f>IF(F17="","",IF(F17&gt;7,0,IF(F17&lt;5,6,IF(F17&lt;=7,3))))</f>
        <v>3</v>
      </c>
      <c r="M17">
        <f t="shared" si="5"/>
        <v>3</v>
      </c>
      <c r="N17" s="31">
        <f t="shared" si="2"/>
        <v>0</v>
      </c>
      <c r="O17" s="32">
        <f t="shared" si="6"/>
        <v>0</v>
      </c>
      <c r="P17">
        <f t="shared" si="7"/>
        <v>0</v>
      </c>
      <c r="Q17" s="100">
        <f t="shared" si="8"/>
        <v>6</v>
      </c>
      <c r="R17" s="15" t="str">
        <f t="shared" si="9"/>
        <v>Severally Impaired</v>
      </c>
    </row>
    <row r="18" spans="1:18">
      <c r="A18" t="str">
        <f t="shared" si="3"/>
        <v>BB1_2007-03-17</v>
      </c>
      <c r="B18" t="s">
        <v>30</v>
      </c>
      <c r="C18" s="41">
        <v>39158</v>
      </c>
      <c r="D18">
        <f>SUMIF(DATA_WITHOUT_GENUS!A:A,A18,DATA_WITHOUT_GENUS!E:E)</f>
        <v>119</v>
      </c>
      <c r="E18">
        <f>SUMIF(DATA_WITHOUT_GENUS!A:A,A18,DATA_WITHOUT_GENUS!I:I)</f>
        <v>100</v>
      </c>
      <c r="F18" s="97">
        <f>SUMIFS(DATA_WITHOUT_GENUS!M:M,DATA_WITHOUT_GENUS!A:A,A18)/100</f>
        <v>4.9000000000000004</v>
      </c>
      <c r="G18" s="18">
        <f>COUNTIFS(DATA_WITHOUT_GENUS!A:A,A18,DATA_WITHOUT_GENUS!I:I, "&gt;0")</f>
        <v>9</v>
      </c>
      <c r="H18">
        <f>COUNTIFS(DATA_WITHOUT_GENUS!A:A,A18,DATA_WITHOUT_GENUS!J:J,TRUE)</f>
        <v>1</v>
      </c>
      <c r="I18" s="18">
        <f>SUMIFS(DATA_WITHOUT_GENUS!I:I,DATA_WITHOUT_GENUS!A:A,A18,DATA_WITHOUT_GENUS!J:J,TRUE)</f>
        <v>48</v>
      </c>
      <c r="J18">
        <f>_xlfn.MAXIFS(DATA_WITHOUT_GENUS!I:I,DATA_WITHOUT_GENUS!A:A,A18)</f>
        <v>48</v>
      </c>
      <c r="K18" s="18" t="str" cm="1">
        <f t="array" ref="K18">_xlfn._xlws.FILTER(DATA_WITHOUT_GENUS!D:D,(DATA_WITHOUT_GENUS!A:A=A18)*(DATA_WITHOUT_GENUS!I:I=J18)*ROW(DATA_WITHOUT_GENUS!D:D),0)</f>
        <v>Hydropsychidae</v>
      </c>
      <c r="L18" s="30">
        <f t="shared" ref="L18:L37" si="10">IF(F18="","",IF(F18&gt;7,0,IF(F18&lt;5,6,IF(F18&lt;=7,3))))</f>
        <v>6</v>
      </c>
      <c r="M18">
        <f t="shared" si="5"/>
        <v>3</v>
      </c>
      <c r="N18" s="31">
        <f t="shared" si="2"/>
        <v>0</v>
      </c>
      <c r="O18" s="32">
        <f t="shared" si="6"/>
        <v>6</v>
      </c>
      <c r="P18">
        <f t="shared" si="7"/>
        <v>3</v>
      </c>
      <c r="Q18" s="100">
        <f t="shared" si="8"/>
        <v>18</v>
      </c>
      <c r="R18" s="15" t="str">
        <f t="shared" si="9"/>
        <v>Moderately Impaired</v>
      </c>
    </row>
    <row r="19" spans="1:18">
      <c r="A19" t="str">
        <f t="shared" si="3"/>
        <v>BB1_2007-07-21</v>
      </c>
      <c r="B19" t="s">
        <v>30</v>
      </c>
      <c r="C19" s="41">
        <v>39284</v>
      </c>
      <c r="D19">
        <f>SUMIF(DATA_WITHOUT_GENUS!A:A,A19,DATA_WITHOUT_GENUS!E:E)</f>
        <v>102</v>
      </c>
      <c r="E19">
        <f>SUMIF(DATA_WITHOUT_GENUS!A:A,A19,DATA_WITHOUT_GENUS!I:I)</f>
        <v>100</v>
      </c>
      <c r="F19" s="97">
        <f>SUMIFS(DATA_WITHOUT_GENUS!M:M,DATA_WITHOUT_GENUS!A:A,A19)/100</f>
        <v>5.35</v>
      </c>
      <c r="G19" s="18">
        <f>COUNTIFS(DATA_WITHOUT_GENUS!A:A,A19,DATA_WITHOUT_GENUS!I:I, "&gt;0")</f>
        <v>9</v>
      </c>
      <c r="H19">
        <f>COUNTIFS(DATA_WITHOUT_GENUS!A:A,A19,DATA_WITHOUT_GENUS!J:J,TRUE)</f>
        <v>1</v>
      </c>
      <c r="I19" s="18">
        <f>SUMIFS(DATA_WITHOUT_GENUS!I:I,DATA_WITHOUT_GENUS!A:A,A19,DATA_WITHOUT_GENUS!J:J,TRUE)</f>
        <v>50</v>
      </c>
      <c r="J19">
        <f>_xlfn.MAXIFS(DATA_WITHOUT_GENUS!I:I,DATA_WITHOUT_GENUS!A:A,A19)</f>
        <v>50</v>
      </c>
      <c r="K19" s="18" t="str" cm="1">
        <f t="array" ref="K19">_xlfn._xlws.FILTER(DATA_WITHOUT_GENUS!D:D,(DATA_WITHOUT_GENUS!A:A=A19)*(DATA_WITHOUT_GENUS!I:I=J19)*ROW(DATA_WITHOUT_GENUS!D:D),0)</f>
        <v>Hydropsychidae</v>
      </c>
      <c r="L19" s="30">
        <f t="shared" si="10"/>
        <v>3</v>
      </c>
      <c r="M19">
        <f t="shared" si="5"/>
        <v>3</v>
      </c>
      <c r="N19" s="31">
        <f t="shared" si="2"/>
        <v>0</v>
      </c>
      <c r="O19" s="32">
        <f t="shared" si="6"/>
        <v>6</v>
      </c>
      <c r="P19">
        <f t="shared" si="7"/>
        <v>3</v>
      </c>
      <c r="Q19" s="100">
        <f t="shared" si="8"/>
        <v>15</v>
      </c>
      <c r="R19" s="15" t="str">
        <f t="shared" si="9"/>
        <v>Moderately Impaired</v>
      </c>
    </row>
    <row r="20" spans="1:18">
      <c r="A20" t="str">
        <f t="shared" si="3"/>
        <v>BB1_2007-10-27</v>
      </c>
      <c r="B20" t="s">
        <v>30</v>
      </c>
      <c r="C20" s="41">
        <v>39382</v>
      </c>
      <c r="D20">
        <f>SUMIF(DATA_WITHOUT_GENUS!A:A,A20,DATA_WITHOUT_GENUS!E:E)</f>
        <v>101</v>
      </c>
      <c r="E20">
        <f>SUMIF(DATA_WITHOUT_GENUS!A:A,A20,DATA_WITHOUT_GENUS!I:I)</f>
        <v>100</v>
      </c>
      <c r="F20" s="97">
        <f>SUMIFS(DATA_WITHOUT_GENUS!M:M,DATA_WITHOUT_GENUS!A:A,A20)/100</f>
        <v>4.3899999999999997</v>
      </c>
      <c r="G20" s="18">
        <f>COUNTIFS(DATA_WITHOUT_GENUS!A:A,A20,DATA_WITHOUT_GENUS!I:I, "&gt;0")</f>
        <v>9</v>
      </c>
      <c r="H20">
        <f>COUNTIFS(DATA_WITHOUT_GENUS!A:A,A20,DATA_WITHOUT_GENUS!J:J,TRUE)</f>
        <v>1</v>
      </c>
      <c r="I20" s="18">
        <f>SUMIFS(DATA_WITHOUT_GENUS!I:I,DATA_WITHOUT_GENUS!A:A,A20,DATA_WITHOUT_GENUS!J:J,TRUE)</f>
        <v>77</v>
      </c>
      <c r="J20">
        <f>_xlfn.MAXIFS(DATA_WITHOUT_GENUS!I:I,DATA_WITHOUT_GENUS!A:A,A20)</f>
        <v>77</v>
      </c>
      <c r="K20" s="18" t="str" cm="1">
        <f t="array" ref="K20">_xlfn._xlws.FILTER(DATA_WITHOUT_GENUS!D:D,(DATA_WITHOUT_GENUS!A:A=A20)*(DATA_WITHOUT_GENUS!I:I=J20)*ROW(DATA_WITHOUT_GENUS!D:D),0)</f>
        <v>Hydropsychidae</v>
      </c>
      <c r="L20" s="30">
        <f t="shared" si="10"/>
        <v>6</v>
      </c>
      <c r="M20">
        <f t="shared" si="5"/>
        <v>3</v>
      </c>
      <c r="N20" s="31">
        <f t="shared" si="2"/>
        <v>0</v>
      </c>
      <c r="O20" s="32">
        <f t="shared" si="6"/>
        <v>6</v>
      </c>
      <c r="P20">
        <f t="shared" si="7"/>
        <v>0</v>
      </c>
      <c r="Q20" s="100">
        <f t="shared" si="8"/>
        <v>15</v>
      </c>
      <c r="R20" s="15" t="str">
        <f t="shared" si="9"/>
        <v>Moderately Impaired</v>
      </c>
    </row>
    <row r="21" spans="1:18">
      <c r="A21" t="str">
        <f t="shared" ref="A21:A37" si="11">B21&amp;"_"&amp;TEXT(C21,"yyyy-mm-dd")</f>
        <v>BB1_2008-03-29</v>
      </c>
      <c r="B21" t="s">
        <v>30</v>
      </c>
      <c r="C21" s="41">
        <v>39536</v>
      </c>
      <c r="D21">
        <f>SUMIF(DATA_WITHOUT_GENUS!A:A,A21,DATA_WITHOUT_GENUS!E:E)</f>
        <v>151</v>
      </c>
      <c r="E21">
        <f>SUMIF(DATA_WITHOUT_GENUS!A:A,A21,DATA_WITHOUT_GENUS!I:I)</f>
        <v>100</v>
      </c>
      <c r="F21" s="97">
        <f>SUMIFS(DATA_WITHOUT_GENUS!M:M,DATA_WITHOUT_GENUS!A:A,A21)/100</f>
        <v>4.37</v>
      </c>
      <c r="G21" s="18">
        <f>COUNTIFS(DATA_WITHOUT_GENUS!A:A,A21,DATA_WITHOUT_GENUS!I:I, "&gt;0")</f>
        <v>9</v>
      </c>
      <c r="H21">
        <f>COUNTIFS(DATA_WITHOUT_GENUS!A:A,A21,DATA_WITHOUT_GENUS!J:J,TRUE)</f>
        <v>1</v>
      </c>
      <c r="I21" s="18">
        <f>SUMIFS(DATA_WITHOUT_GENUS!I:I,DATA_WITHOUT_GENUS!A:A,A21,DATA_WITHOUT_GENUS!J:J,TRUE)</f>
        <v>26</v>
      </c>
      <c r="J21">
        <f>_xlfn.MAXIFS(DATA_WITHOUT_GENUS!I:I,DATA_WITHOUT_GENUS!A:A,A21)</f>
        <v>61</v>
      </c>
      <c r="K21" s="18" t="str" cm="1">
        <f t="array" ref="K21">_xlfn._xlws.FILTER(DATA_WITHOUT_GENUS!D:D,(DATA_WITHOUT_GENUS!A:A=A21)*(DATA_WITHOUT_GENUS!I:I=J21)*ROW(DATA_WITHOUT_GENUS!D:D),0)</f>
        <v>Gammaridae</v>
      </c>
      <c r="L21" s="30">
        <f t="shared" si="10"/>
        <v>6</v>
      </c>
      <c r="M21">
        <f t="shared" si="5"/>
        <v>3</v>
      </c>
      <c r="N21" s="31">
        <f t="shared" si="2"/>
        <v>0</v>
      </c>
      <c r="O21" s="32">
        <f t="shared" si="6"/>
        <v>3</v>
      </c>
      <c r="P21">
        <f t="shared" si="7"/>
        <v>0</v>
      </c>
      <c r="Q21" s="100">
        <f t="shared" si="8"/>
        <v>12</v>
      </c>
      <c r="R21" s="15" t="str">
        <f t="shared" si="9"/>
        <v>Moderately Impaired</v>
      </c>
    </row>
    <row r="22" spans="1:18">
      <c r="A22" t="str">
        <f t="shared" si="11"/>
        <v>BB1_2008-07-19</v>
      </c>
      <c r="B22" t="s">
        <v>30</v>
      </c>
      <c r="C22" s="41">
        <v>39648</v>
      </c>
      <c r="D22">
        <f>SUMIF(DATA_WITHOUT_GENUS!A:A,A22,DATA_WITHOUT_GENUS!E:E)</f>
        <v>123</v>
      </c>
      <c r="E22">
        <f>SUMIF(DATA_WITHOUT_GENUS!A:A,A22,DATA_WITHOUT_GENUS!I:I)</f>
        <v>100</v>
      </c>
      <c r="F22" s="97">
        <f>SUMIFS(DATA_WITHOUT_GENUS!M:M,DATA_WITHOUT_GENUS!A:A,A22)/100</f>
        <v>4.8899999999999997</v>
      </c>
      <c r="G22" s="18">
        <f>COUNTIFS(DATA_WITHOUT_GENUS!A:A,A22,DATA_WITHOUT_GENUS!I:I, "&gt;0")</f>
        <v>9</v>
      </c>
      <c r="H22">
        <f>COUNTIFS(DATA_WITHOUT_GENUS!A:A,A22,DATA_WITHOUT_GENUS!J:J,TRUE)</f>
        <v>2</v>
      </c>
      <c r="I22" s="18">
        <f>SUMIFS(DATA_WITHOUT_GENUS!I:I,DATA_WITHOUT_GENUS!A:A,A22,DATA_WITHOUT_GENUS!J:J,TRUE)</f>
        <v>70</v>
      </c>
      <c r="J22">
        <f>_xlfn.MAXIFS(DATA_WITHOUT_GENUS!I:I,DATA_WITHOUT_GENUS!A:A,A22)</f>
        <v>69</v>
      </c>
      <c r="K22" s="18" t="str" cm="1">
        <f t="array" ref="K22">_xlfn._xlws.FILTER(DATA_WITHOUT_GENUS!D:D,(DATA_WITHOUT_GENUS!A:A=A22)*(DATA_WITHOUT_GENUS!I:I=J22)*ROW(DATA_WITHOUT_GENUS!D:D),0)</f>
        <v>Hydropsychidae</v>
      </c>
      <c r="L22" s="30">
        <f t="shared" si="10"/>
        <v>6</v>
      </c>
      <c r="M22">
        <f t="shared" si="5"/>
        <v>3</v>
      </c>
      <c r="N22" s="31">
        <f t="shared" si="2"/>
        <v>0</v>
      </c>
      <c r="O22" s="32">
        <f t="shared" si="6"/>
        <v>6</v>
      </c>
      <c r="P22">
        <f t="shared" si="7"/>
        <v>0</v>
      </c>
      <c r="Q22" s="100">
        <f t="shared" si="8"/>
        <v>15</v>
      </c>
      <c r="R22" s="15" t="str">
        <f t="shared" si="9"/>
        <v>Moderately Impaired</v>
      </c>
    </row>
    <row r="23" spans="1:18">
      <c r="A23" t="str">
        <f t="shared" si="11"/>
        <v>BB1_2008-10-18</v>
      </c>
      <c r="B23" t="s">
        <v>30</v>
      </c>
      <c r="C23" s="41">
        <v>39739</v>
      </c>
      <c r="D23" s="102">
        <f>SUMIF(DATA_WITHOUT_GENUS!A:A,A23,DATA_WITHOUT_GENUS!E:E)</f>
        <v>79</v>
      </c>
      <c r="F23" s="97"/>
      <c r="G23" s="18">
        <f>COUNTIFS(DATA_WITHOUT_GENUS!A:A,A23,DATA_WITHOUT_GENUS!I:I, "&gt;0")</f>
        <v>0</v>
      </c>
      <c r="I23" s="18"/>
      <c r="K23" s="18"/>
      <c r="L23" s="30" t="str">
        <f t="shared" si="10"/>
        <v/>
      </c>
      <c r="M23">
        <f t="shared" si="5"/>
        <v>0</v>
      </c>
      <c r="N23" s="31" t="str">
        <f t="shared" si="2"/>
        <v/>
      </c>
      <c r="O23" s="32" t="str">
        <f t="shared" si="6"/>
        <v/>
      </c>
      <c r="P23" t="str">
        <f t="shared" si="7"/>
        <v/>
      </c>
      <c r="Q23" s="100"/>
      <c r="R23" s="15"/>
    </row>
    <row r="24" spans="1:18">
      <c r="A24" t="str">
        <f t="shared" si="11"/>
        <v>BB1_2009-03-28</v>
      </c>
      <c r="B24" t="s">
        <v>30</v>
      </c>
      <c r="C24" s="41">
        <v>39900</v>
      </c>
      <c r="D24">
        <f>SUMIF(DATA_WITHOUT_GENUS!A:A,A24,DATA_WITHOUT_GENUS!E:E)</f>
        <v>100</v>
      </c>
      <c r="E24">
        <f>SUMIF(DATA_WITHOUT_GENUS!A:A,A24,DATA_WITHOUT_GENUS!I:I)</f>
        <v>100</v>
      </c>
      <c r="F24" s="97">
        <f>SUMIFS(DATA_WITHOUT_GENUS!M:M,DATA_WITHOUT_GENUS!A:A,A24)/100</f>
        <v>5.4</v>
      </c>
      <c r="G24" s="18">
        <f>COUNTIFS(DATA_WITHOUT_GENUS!A:A,A24,DATA_WITHOUT_GENUS!I:I, "&gt;0")</f>
        <v>11</v>
      </c>
      <c r="H24">
        <f>COUNTIFS(DATA_WITHOUT_GENUS!A:A,A24,DATA_WITHOUT_GENUS!J:J,TRUE)</f>
        <v>1</v>
      </c>
      <c r="I24" s="18">
        <f>SUMIFS(DATA_WITHOUT_GENUS!I:I,DATA_WITHOUT_GENUS!A:A,A24,DATA_WITHOUT_GENUS!J:J,TRUE)</f>
        <v>8</v>
      </c>
      <c r="J24">
        <f>_xlfn.MAXIFS(DATA_WITHOUT_GENUS!I:I,DATA_WITHOUT_GENUS!A:A,A24)</f>
        <v>33</v>
      </c>
      <c r="K24" s="18" t="str" cm="1">
        <f t="array" ref="K24">_xlfn._xlws.FILTER(DATA_WITHOUT_GENUS!D:D,(DATA_WITHOUT_GENUS!A:A=A24)*(DATA_WITHOUT_GENUS!I:I=J24)*ROW(DATA_WITHOUT_GENUS!D:D),0)</f>
        <v>Chironomidae</v>
      </c>
      <c r="L24" s="30">
        <f t="shared" si="10"/>
        <v>3</v>
      </c>
      <c r="M24">
        <f t="shared" si="5"/>
        <v>6</v>
      </c>
      <c r="N24" s="31">
        <f t="shared" si="2"/>
        <v>0</v>
      </c>
      <c r="O24" s="32">
        <f t="shared" si="6"/>
        <v>0</v>
      </c>
      <c r="P24">
        <f t="shared" si="7"/>
        <v>6</v>
      </c>
      <c r="Q24" s="100">
        <f t="shared" si="8"/>
        <v>15</v>
      </c>
      <c r="R24" s="15" t="str">
        <f t="shared" si="9"/>
        <v>Moderately Impaired</v>
      </c>
    </row>
    <row r="25" spans="1:18">
      <c r="A25" t="str">
        <f t="shared" si="11"/>
        <v>BB1_2009-07-18</v>
      </c>
      <c r="B25" t="s">
        <v>30</v>
      </c>
      <c r="C25" s="41">
        <v>40012</v>
      </c>
      <c r="D25">
        <f>SUMIF(DATA_WITHOUT_GENUS!A:A,A25,DATA_WITHOUT_GENUS!E:E)</f>
        <v>294</v>
      </c>
      <c r="E25">
        <f>SUMIF(DATA_WITHOUT_GENUS!A:A,A25,DATA_WITHOUT_GENUS!I:I)</f>
        <v>100</v>
      </c>
      <c r="F25" s="97">
        <f>SUMIFS(DATA_WITHOUT_GENUS!M:M,DATA_WITHOUT_GENUS!A:A,A25)/100</f>
        <v>4.5199999999999996</v>
      </c>
      <c r="G25" s="18">
        <f>COUNTIFS(DATA_WITHOUT_GENUS!A:A,A25,DATA_WITHOUT_GENUS!I:I, "&gt;0")</f>
        <v>7</v>
      </c>
      <c r="H25">
        <f>COUNTIFS(DATA_WITHOUT_GENUS!A:A,A25,DATA_WITHOUT_GENUS!J:J,TRUE)</f>
        <v>1</v>
      </c>
      <c r="I25" s="18">
        <f>SUMIFS(DATA_WITHOUT_GENUS!I:I,DATA_WITHOUT_GENUS!A:A,A25,DATA_WITHOUT_GENUS!J:J,TRUE)</f>
        <v>54</v>
      </c>
      <c r="J25">
        <f>_xlfn.MAXIFS(DATA_WITHOUT_GENUS!I:I,DATA_WITHOUT_GENUS!A:A,A25)</f>
        <v>54</v>
      </c>
      <c r="K25" s="18" t="str" cm="1">
        <f t="array" ref="K25">_xlfn._xlws.FILTER(DATA_WITHOUT_GENUS!D:D,(DATA_WITHOUT_GENUS!A:A=A25)*(DATA_WITHOUT_GENUS!I:I=J25)*ROW(DATA_WITHOUT_GENUS!D:D),0)</f>
        <v>Hydropsychidae</v>
      </c>
      <c r="L25" s="30">
        <f t="shared" si="10"/>
        <v>6</v>
      </c>
      <c r="M25">
        <f t="shared" si="5"/>
        <v>3</v>
      </c>
      <c r="N25" s="31">
        <f t="shared" si="2"/>
        <v>0</v>
      </c>
      <c r="O25" s="32">
        <f t="shared" si="6"/>
        <v>6</v>
      </c>
      <c r="P25">
        <f t="shared" si="7"/>
        <v>3</v>
      </c>
      <c r="Q25" s="100">
        <f t="shared" si="8"/>
        <v>18</v>
      </c>
      <c r="R25" s="15" t="str">
        <f t="shared" si="9"/>
        <v>Moderately Impaired</v>
      </c>
    </row>
    <row r="26" spans="1:18">
      <c r="A26" t="str">
        <f t="shared" si="11"/>
        <v>BB1_2009-10-17</v>
      </c>
      <c r="B26" t="s">
        <v>30</v>
      </c>
      <c r="C26" s="41">
        <v>40103</v>
      </c>
      <c r="D26">
        <f>SUMIF(DATA_WITHOUT_GENUS!A:A,A26,DATA_WITHOUT_GENUS!E:E)</f>
        <v>304</v>
      </c>
      <c r="E26">
        <f>SUMIF(DATA_WITHOUT_GENUS!A:A,A26,DATA_WITHOUT_GENUS!I:I)</f>
        <v>100</v>
      </c>
      <c r="F26" s="97">
        <f>SUMIFS(DATA_WITHOUT_GENUS!M:M,DATA_WITHOUT_GENUS!A:A,A26)/100</f>
        <v>4.21</v>
      </c>
      <c r="G26" s="18">
        <f>COUNTIFS(DATA_WITHOUT_GENUS!A:A,A26,DATA_WITHOUT_GENUS!I:I, "&gt;0")</f>
        <v>8</v>
      </c>
      <c r="H26">
        <f>COUNTIFS(DATA_WITHOUT_GENUS!A:A,A26,DATA_WITHOUT_GENUS!J:J,TRUE)</f>
        <v>1</v>
      </c>
      <c r="I26" s="18">
        <f>SUMIFS(DATA_WITHOUT_GENUS!I:I,DATA_WITHOUT_GENUS!A:A,A26,DATA_WITHOUT_GENUS!J:J,TRUE)</f>
        <v>32</v>
      </c>
      <c r="J26">
        <f>_xlfn.MAXIFS(DATA_WITHOUT_GENUS!I:I,DATA_WITHOUT_GENUS!A:A,A26)</f>
        <v>60</v>
      </c>
      <c r="K26" s="18" t="str" cm="1">
        <f t="array" ref="K26">_xlfn._xlws.FILTER(DATA_WITHOUT_GENUS!D:D,(DATA_WITHOUT_GENUS!A:A=A26)*(DATA_WITHOUT_GENUS!I:I=J26)*ROW(DATA_WITHOUT_GENUS!D:D),0)</f>
        <v>Gammaridae</v>
      </c>
      <c r="L26" s="30">
        <f t="shared" si="10"/>
        <v>6</v>
      </c>
      <c r="M26">
        <f t="shared" si="5"/>
        <v>3</v>
      </c>
      <c r="N26" s="31">
        <f t="shared" si="2"/>
        <v>0</v>
      </c>
      <c r="O26" s="32">
        <f t="shared" si="6"/>
        <v>3</v>
      </c>
      <c r="P26">
        <f t="shared" si="7"/>
        <v>3</v>
      </c>
      <c r="Q26" s="100">
        <f t="shared" si="8"/>
        <v>15</v>
      </c>
      <c r="R26" s="15" t="str">
        <f t="shared" si="9"/>
        <v>Moderately Impaired</v>
      </c>
    </row>
    <row r="27" spans="1:18">
      <c r="A27" t="str">
        <f t="shared" si="11"/>
        <v>BB1_2010-03-20</v>
      </c>
      <c r="B27" t="s">
        <v>30</v>
      </c>
      <c r="C27" s="41">
        <v>40257</v>
      </c>
      <c r="D27">
        <f>SUMIF(DATA_WITHOUT_GENUS!A:A,A27,DATA_WITHOUT_GENUS!E:E)</f>
        <v>228</v>
      </c>
      <c r="E27">
        <f>SUMIF(DATA_WITHOUT_GENUS!A:A,A27,DATA_WITHOUT_GENUS!I:I)</f>
        <v>100</v>
      </c>
      <c r="F27" s="97">
        <f>SUMIFS(DATA_WITHOUT_GENUS!M:M,DATA_WITHOUT_GENUS!A:A,A27)/100</f>
        <v>4.16</v>
      </c>
      <c r="G27" s="18">
        <f>COUNTIFS(DATA_WITHOUT_GENUS!A:A,A27,DATA_WITHOUT_GENUS!I:I, "&gt;0")</f>
        <v>6</v>
      </c>
      <c r="H27">
        <f>COUNTIFS(DATA_WITHOUT_GENUS!A:A,A27,DATA_WITHOUT_GENUS!J:J,TRUE)</f>
        <v>1</v>
      </c>
      <c r="I27" s="18">
        <f>SUMIFS(DATA_WITHOUT_GENUS!I:I,DATA_WITHOUT_GENUS!A:A,A27,DATA_WITHOUT_GENUS!J:J,TRUE)</f>
        <v>18</v>
      </c>
      <c r="J27">
        <f>_xlfn.MAXIFS(DATA_WITHOUT_GENUS!I:I,DATA_WITHOUT_GENUS!A:A,A27)</f>
        <v>77</v>
      </c>
      <c r="K27" s="18" t="str" cm="1">
        <f t="array" ref="K27">_xlfn._xlws.FILTER(DATA_WITHOUT_GENUS!D:D,(DATA_WITHOUT_GENUS!A:A=A27)*(DATA_WITHOUT_GENUS!I:I=J27)*ROW(DATA_WITHOUT_GENUS!D:D),0)</f>
        <v>Gammaridae</v>
      </c>
      <c r="L27" s="30">
        <f t="shared" si="10"/>
        <v>6</v>
      </c>
      <c r="M27">
        <f t="shared" si="5"/>
        <v>3</v>
      </c>
      <c r="N27" s="31">
        <f t="shared" si="2"/>
        <v>0</v>
      </c>
      <c r="O27" s="32">
        <f t="shared" si="6"/>
        <v>3</v>
      </c>
      <c r="P27">
        <f t="shared" si="7"/>
        <v>0</v>
      </c>
      <c r="Q27" s="100">
        <f t="shared" si="8"/>
        <v>12</v>
      </c>
      <c r="R27" s="15" t="str">
        <f t="shared" si="9"/>
        <v>Moderately Impaired</v>
      </c>
    </row>
    <row r="28" spans="1:18">
      <c r="A28" t="str">
        <f t="shared" si="11"/>
        <v>BB1_2010-07-24</v>
      </c>
      <c r="B28" t="s">
        <v>30</v>
      </c>
      <c r="C28" s="41">
        <v>40383</v>
      </c>
      <c r="D28">
        <f>SUMIF(DATA_WITHOUT_GENUS!A:A,A28,DATA_WITHOUT_GENUS!E:E)</f>
        <v>204</v>
      </c>
      <c r="E28">
        <f>SUMIF(DATA_WITHOUT_GENUS!A:A,A28,DATA_WITHOUT_GENUS!I:I)</f>
        <v>100</v>
      </c>
      <c r="F28" s="97">
        <f>SUMIFS(DATA_WITHOUT_GENUS!M:M,DATA_WITHOUT_GENUS!A:A,A28)/100</f>
        <v>5.32</v>
      </c>
      <c r="G28" s="18">
        <f>COUNTIFS(DATA_WITHOUT_GENUS!A:A,A28,DATA_WITHOUT_GENUS!I:I, "&gt;0")</f>
        <v>9</v>
      </c>
      <c r="H28">
        <f>COUNTIFS(DATA_WITHOUT_GENUS!A:A,A28,DATA_WITHOUT_GENUS!J:J,TRUE)</f>
        <v>1</v>
      </c>
      <c r="I28" s="18">
        <f>SUMIFS(DATA_WITHOUT_GENUS!I:I,DATA_WITHOUT_GENUS!A:A,A28,DATA_WITHOUT_GENUS!J:J,TRUE)</f>
        <v>19</v>
      </c>
      <c r="J28">
        <f>_xlfn.MAXIFS(DATA_WITHOUT_GENUS!I:I,DATA_WITHOUT_GENUS!A:A,A28)</f>
        <v>44</v>
      </c>
      <c r="K28" s="18" t="str" cm="1">
        <f t="array" ref="K28">_xlfn._xlws.FILTER(DATA_WITHOUT_GENUS!D:D,(DATA_WITHOUT_GENUS!A:A=A28)*(DATA_WITHOUT_GENUS!I:I=J28)*ROW(DATA_WITHOUT_GENUS!D:D),0)</f>
        <v>Gammaridae</v>
      </c>
      <c r="L28" s="30">
        <f t="shared" si="10"/>
        <v>3</v>
      </c>
      <c r="M28">
        <f t="shared" si="5"/>
        <v>3</v>
      </c>
      <c r="N28" s="31">
        <f t="shared" si="2"/>
        <v>0</v>
      </c>
      <c r="O28" s="32">
        <f t="shared" si="6"/>
        <v>3</v>
      </c>
      <c r="P28">
        <f t="shared" si="7"/>
        <v>3</v>
      </c>
      <c r="Q28" s="100">
        <f t="shared" si="8"/>
        <v>12</v>
      </c>
      <c r="R28" s="15" t="str">
        <f t="shared" si="9"/>
        <v>Moderately Impaired</v>
      </c>
    </row>
    <row r="29" spans="1:18">
      <c r="A29" t="str">
        <f t="shared" si="11"/>
        <v>BB1_2010-10-16</v>
      </c>
      <c r="B29" t="s">
        <v>30</v>
      </c>
      <c r="C29" s="41">
        <v>40467</v>
      </c>
      <c r="D29">
        <f>SUMIF(DATA_WITHOUT_GENUS!A:A,A29,DATA_WITHOUT_GENUS!E:E)</f>
        <v>139</v>
      </c>
      <c r="E29">
        <f>SUMIF(DATA_WITHOUT_GENUS!A:A,A29,DATA_WITHOUT_GENUS!I:I)</f>
        <v>100</v>
      </c>
      <c r="F29" s="97">
        <f>SUMIFS(DATA_WITHOUT_GENUS!M:M,DATA_WITHOUT_GENUS!A:A,A29)/100</f>
        <v>4.49</v>
      </c>
      <c r="G29" s="18">
        <f>COUNTIFS(DATA_WITHOUT_GENUS!A:A,A29,DATA_WITHOUT_GENUS!I:I, "&gt;0")</f>
        <v>10</v>
      </c>
      <c r="H29">
        <f>COUNTIFS(DATA_WITHOUT_GENUS!A:A,A29,DATA_WITHOUT_GENUS!J:J,TRUE)</f>
        <v>1</v>
      </c>
      <c r="I29" s="18">
        <f>SUMIFS(DATA_WITHOUT_GENUS!I:I,DATA_WITHOUT_GENUS!A:A,A29,DATA_WITHOUT_GENUS!J:J,TRUE)</f>
        <v>19</v>
      </c>
      <c r="J29">
        <f>_xlfn.MAXIFS(DATA_WITHOUT_GENUS!I:I,DATA_WITHOUT_GENUS!A:A,A29)</f>
        <v>65</v>
      </c>
      <c r="K29" s="18" t="str" cm="1">
        <f t="array" ref="K29">_xlfn._xlws.FILTER(DATA_WITHOUT_GENUS!D:D,(DATA_WITHOUT_GENUS!A:A=A29)*(DATA_WITHOUT_GENUS!I:I=J29)*ROW(DATA_WITHOUT_GENUS!D:D),0)</f>
        <v>Gammaridae</v>
      </c>
      <c r="L29" s="30">
        <f t="shared" si="10"/>
        <v>6</v>
      </c>
      <c r="M29">
        <f t="shared" si="5"/>
        <v>3</v>
      </c>
      <c r="N29" s="31">
        <f t="shared" si="2"/>
        <v>0</v>
      </c>
      <c r="O29" s="32">
        <f t="shared" si="6"/>
        <v>3</v>
      </c>
      <c r="P29">
        <f t="shared" si="7"/>
        <v>0</v>
      </c>
      <c r="Q29" s="100">
        <f t="shared" si="8"/>
        <v>12</v>
      </c>
      <c r="R29" s="15" t="str">
        <f t="shared" si="9"/>
        <v>Moderately Impaired</v>
      </c>
    </row>
    <row r="30" spans="1:18">
      <c r="A30" t="str">
        <f t="shared" si="11"/>
        <v>BB1_2011-03-19</v>
      </c>
      <c r="B30" t="s">
        <v>30</v>
      </c>
      <c r="C30" s="41">
        <v>40621</v>
      </c>
      <c r="D30">
        <f>SUMIF(DATA_WITHOUT_GENUS!A:A,A30,DATA_WITHOUT_GENUS!E:E)</f>
        <v>121</v>
      </c>
      <c r="E30">
        <f>SUMIF(DATA_WITHOUT_GENUS!A:A,A30,DATA_WITHOUT_GENUS!I:I)</f>
        <v>100</v>
      </c>
      <c r="F30" s="97">
        <f>SUMIFS(DATA_WITHOUT_GENUS!M:M,DATA_WITHOUT_GENUS!A:A,A30)/100</f>
        <v>4.7300000000000004</v>
      </c>
      <c r="G30" s="18">
        <f>COUNTIFS(DATA_WITHOUT_GENUS!A:A,A30,DATA_WITHOUT_GENUS!I:I, "&gt;0")</f>
        <v>10</v>
      </c>
      <c r="H30">
        <f>COUNTIFS(DATA_WITHOUT_GENUS!A:A,A30,DATA_WITHOUT_GENUS!J:J,TRUE)</f>
        <v>1</v>
      </c>
      <c r="I30" s="18">
        <f>SUMIFS(DATA_WITHOUT_GENUS!I:I,DATA_WITHOUT_GENUS!A:A,A30,DATA_WITHOUT_GENUS!J:J,TRUE)</f>
        <v>15</v>
      </c>
      <c r="J30">
        <f>_xlfn.MAXIFS(DATA_WITHOUT_GENUS!I:I,DATA_WITHOUT_GENUS!A:A,A30)</f>
        <v>62</v>
      </c>
      <c r="K30" s="18" t="str" cm="1">
        <f t="array" ref="K30">_xlfn._xlws.FILTER(DATA_WITHOUT_GENUS!D:D,(DATA_WITHOUT_GENUS!A:A=A30)*(DATA_WITHOUT_GENUS!I:I=J30)*ROW(DATA_WITHOUT_GENUS!D:D),0)</f>
        <v>Gammaridae</v>
      </c>
      <c r="L30" s="30">
        <f t="shared" si="10"/>
        <v>6</v>
      </c>
      <c r="M30">
        <f t="shared" si="5"/>
        <v>3</v>
      </c>
      <c r="N30" s="31">
        <f t="shared" si="2"/>
        <v>0</v>
      </c>
      <c r="O30" s="32">
        <f t="shared" si="6"/>
        <v>3</v>
      </c>
      <c r="P30">
        <f t="shared" si="7"/>
        <v>0</v>
      </c>
      <c r="Q30" s="100">
        <f t="shared" si="8"/>
        <v>12</v>
      </c>
      <c r="R30" s="15" t="str">
        <f t="shared" si="9"/>
        <v>Moderately Impaired</v>
      </c>
    </row>
    <row r="31" spans="1:18">
      <c r="A31" t="str">
        <f t="shared" si="11"/>
        <v>BB1_2011-07-23</v>
      </c>
      <c r="B31" t="s">
        <v>30</v>
      </c>
      <c r="C31" s="41">
        <v>40747</v>
      </c>
      <c r="D31">
        <f>SUMIF(DATA_WITHOUT_GENUS!A:A,A31,DATA_WITHOUT_GENUS!E:E)</f>
        <v>114</v>
      </c>
      <c r="E31">
        <f>SUMIF(DATA_WITHOUT_GENUS!A:A,A31,DATA_WITHOUT_GENUS!I:I)</f>
        <v>100</v>
      </c>
      <c r="F31" s="97">
        <f>SUMIFS(DATA_WITHOUT_GENUS!M:M,DATA_WITHOUT_GENUS!A:A,A31)/100</f>
        <v>5.14</v>
      </c>
      <c r="G31" s="18">
        <f>COUNTIFS(DATA_WITHOUT_GENUS!A:A,A31,DATA_WITHOUT_GENUS!I:I, "&gt;0")</f>
        <v>11</v>
      </c>
      <c r="H31">
        <f>COUNTIFS(DATA_WITHOUT_GENUS!A:A,A31,DATA_WITHOUT_GENUS!J:J,TRUE)</f>
        <v>2</v>
      </c>
      <c r="I31" s="18">
        <f>SUMIFS(DATA_WITHOUT_GENUS!I:I,DATA_WITHOUT_GENUS!A:A,A31,DATA_WITHOUT_GENUS!J:J,TRUE)</f>
        <v>22</v>
      </c>
      <c r="J31">
        <f>_xlfn.MAXIFS(DATA_WITHOUT_GENUS!I:I,DATA_WITHOUT_GENUS!A:A,A31)</f>
        <v>46</v>
      </c>
      <c r="K31" s="18" t="str" cm="1">
        <f t="array" ref="K31">_xlfn._xlws.FILTER(DATA_WITHOUT_GENUS!D:D,(DATA_WITHOUT_GENUS!A:A=A31)*(DATA_WITHOUT_GENUS!I:I=J31)*ROW(DATA_WITHOUT_GENUS!D:D),0)</f>
        <v>Gammaridae</v>
      </c>
      <c r="L31" s="30">
        <f t="shared" si="10"/>
        <v>3</v>
      </c>
      <c r="M31">
        <f t="shared" si="5"/>
        <v>6</v>
      </c>
      <c r="N31" s="31">
        <f t="shared" si="2"/>
        <v>0</v>
      </c>
      <c r="O31" s="32">
        <f t="shared" si="6"/>
        <v>3</v>
      </c>
      <c r="P31">
        <f t="shared" si="7"/>
        <v>3</v>
      </c>
      <c r="Q31" s="100">
        <f t="shared" si="8"/>
        <v>15</v>
      </c>
      <c r="R31" s="15" t="str">
        <f t="shared" si="9"/>
        <v>Moderately Impaired</v>
      </c>
    </row>
    <row r="32" spans="1:18">
      <c r="A32" t="str">
        <f t="shared" si="11"/>
        <v>BB1_2011-10-22</v>
      </c>
      <c r="B32" t="s">
        <v>30</v>
      </c>
      <c r="C32" s="41">
        <v>40838</v>
      </c>
      <c r="D32">
        <f>SUMIF(DATA_WITHOUT_GENUS!A:A,A32,DATA_WITHOUT_GENUS!E:E)</f>
        <v>115</v>
      </c>
      <c r="E32">
        <f>SUMIF(DATA_WITHOUT_GENUS!A:A,A32,DATA_WITHOUT_GENUS!I:I)</f>
        <v>100</v>
      </c>
      <c r="F32" s="97">
        <f>SUMIFS(DATA_WITHOUT_GENUS!M:M,DATA_WITHOUT_GENUS!A:A,A32)/100</f>
        <v>4.82</v>
      </c>
      <c r="G32" s="18">
        <f>COUNTIFS(DATA_WITHOUT_GENUS!A:A,A32,DATA_WITHOUT_GENUS!I:I, "&gt;0")</f>
        <v>9</v>
      </c>
      <c r="H32">
        <f>COUNTIFS(DATA_WITHOUT_GENUS!A:A,A32,DATA_WITHOUT_GENUS!J:J,TRUE)</f>
        <v>1</v>
      </c>
      <c r="I32" s="18">
        <f>SUMIFS(DATA_WITHOUT_GENUS!I:I,DATA_WITHOUT_GENUS!A:A,A32,DATA_WITHOUT_GENUS!J:J,TRUE)</f>
        <v>49</v>
      </c>
      <c r="J32">
        <f>_xlfn.MAXIFS(DATA_WITHOUT_GENUS!I:I,DATA_WITHOUT_GENUS!A:A,A32)</f>
        <v>49</v>
      </c>
      <c r="K32" s="18" t="str" cm="1">
        <f t="array" ref="K32">_xlfn._xlws.FILTER(DATA_WITHOUT_GENUS!D:D,(DATA_WITHOUT_GENUS!A:A=A32)*(DATA_WITHOUT_GENUS!I:I=J32)*ROW(DATA_WITHOUT_GENUS!D:D),0)</f>
        <v>Hydropsychidae</v>
      </c>
      <c r="L32" s="30">
        <f t="shared" si="10"/>
        <v>6</v>
      </c>
      <c r="M32">
        <f t="shared" si="5"/>
        <v>3</v>
      </c>
      <c r="N32" s="31">
        <f t="shared" si="2"/>
        <v>0</v>
      </c>
      <c r="O32" s="32">
        <f t="shared" si="6"/>
        <v>6</v>
      </c>
      <c r="P32">
        <f t="shared" si="7"/>
        <v>3</v>
      </c>
      <c r="Q32" s="100">
        <f t="shared" si="8"/>
        <v>18</v>
      </c>
      <c r="R32" s="15" t="str">
        <f t="shared" si="9"/>
        <v>Moderately Impaired</v>
      </c>
    </row>
    <row r="33" spans="1:30">
      <c r="A33" t="str">
        <f t="shared" si="11"/>
        <v>BB1_2012-03-17</v>
      </c>
      <c r="B33" t="s">
        <v>30</v>
      </c>
      <c r="C33" s="41">
        <v>40985</v>
      </c>
      <c r="D33">
        <f>SUMIF(DATA_WITHOUT_GENUS!A:A,A33,DATA_WITHOUT_GENUS!E:E)</f>
        <v>214</v>
      </c>
      <c r="E33">
        <f>SUMIF(DATA_WITHOUT_GENUS!A:A,A33,DATA_WITHOUT_GENUS!I:I)</f>
        <v>100</v>
      </c>
      <c r="F33" s="97">
        <f>SUMIFS(DATA_WITHOUT_GENUS!M:M,DATA_WITHOUT_GENUS!A:A,A33)/100</f>
        <v>4.54</v>
      </c>
      <c r="G33" s="18">
        <f>COUNTIFS(DATA_WITHOUT_GENUS!A:A,A33,DATA_WITHOUT_GENUS!I:I, "&gt;0")</f>
        <v>7</v>
      </c>
      <c r="H33">
        <f>COUNTIFS(DATA_WITHOUT_GENUS!A:A,A33,DATA_WITHOUT_GENUS!J:J,TRUE)</f>
        <v>1</v>
      </c>
      <c r="I33" s="18">
        <f>SUMIFS(DATA_WITHOUT_GENUS!I:I,DATA_WITHOUT_GENUS!A:A,A33,DATA_WITHOUT_GENUS!J:J,TRUE)</f>
        <v>55</v>
      </c>
      <c r="J33">
        <f>_xlfn.MAXIFS(DATA_WITHOUT_GENUS!I:I,DATA_WITHOUT_GENUS!A:A,A33)</f>
        <v>55</v>
      </c>
      <c r="K33" s="18" t="str" cm="1">
        <f t="array" ref="K33">_xlfn._xlws.FILTER(DATA_WITHOUT_GENUS!D:D,(DATA_WITHOUT_GENUS!A:A=A33)*(DATA_WITHOUT_GENUS!I:I=J33)*ROW(DATA_WITHOUT_GENUS!D:D),0)</f>
        <v>Hydropsychidae</v>
      </c>
      <c r="L33" s="30">
        <f t="shared" si="10"/>
        <v>6</v>
      </c>
      <c r="M33">
        <f t="shared" si="5"/>
        <v>3</v>
      </c>
      <c r="N33" s="31">
        <f t="shared" si="2"/>
        <v>0</v>
      </c>
      <c r="O33" s="32">
        <f t="shared" si="6"/>
        <v>6</v>
      </c>
      <c r="P33">
        <f t="shared" si="7"/>
        <v>3</v>
      </c>
      <c r="Q33" s="100">
        <f t="shared" si="8"/>
        <v>18</v>
      </c>
      <c r="R33" s="15" t="str">
        <f t="shared" si="9"/>
        <v>Moderately Impaired</v>
      </c>
    </row>
    <row r="34" spans="1:30">
      <c r="A34" t="str">
        <f t="shared" si="11"/>
        <v>BB1_2012-08-04</v>
      </c>
      <c r="B34" t="s">
        <v>30</v>
      </c>
      <c r="C34" s="41">
        <v>41125</v>
      </c>
      <c r="D34">
        <f>SUMIF(DATA_WITHOUT_GENUS!A:A,A34,DATA_WITHOUT_GENUS!E:E)</f>
        <v>122</v>
      </c>
      <c r="E34">
        <f>SUMIF(DATA_WITHOUT_GENUS!A:A,A34,DATA_WITHOUT_GENUS!I:I)</f>
        <v>100</v>
      </c>
      <c r="F34" s="97">
        <f>SUMIFS(DATA_WITHOUT_GENUS!M:M,DATA_WITHOUT_GENUS!A:A,A34)/100</f>
        <v>6.59</v>
      </c>
      <c r="G34" s="18">
        <f>COUNTIFS(DATA_WITHOUT_GENUS!A:A,A34,DATA_WITHOUT_GENUS!I:I, "&gt;0")</f>
        <v>12</v>
      </c>
      <c r="H34">
        <f>COUNTIFS(DATA_WITHOUT_GENUS!A:A,A34,DATA_WITHOUT_GENUS!J:J,TRUE)</f>
        <v>1</v>
      </c>
      <c r="I34" s="18">
        <f>SUMIFS(DATA_WITHOUT_GENUS!I:I,DATA_WITHOUT_GENUS!A:A,A34,DATA_WITHOUT_GENUS!J:J,TRUE)</f>
        <v>13</v>
      </c>
      <c r="J34">
        <f>_xlfn.MAXIFS(DATA_WITHOUT_GENUS!I:I,DATA_WITHOUT_GENUS!A:A,A34)</f>
        <v>33</v>
      </c>
      <c r="K34" s="18" t="str" cm="1">
        <f t="array" ref="K34">_xlfn._xlws.FILTER(DATA_WITHOUT_GENUS!D:D,(DATA_WITHOUT_GENUS!A:A=A34)*(DATA_WITHOUT_GENUS!I:I=J34)*ROW(DATA_WITHOUT_GENUS!D:D),0)</f>
        <v>Corbiculidae</v>
      </c>
      <c r="L34" s="30">
        <f t="shared" si="10"/>
        <v>3</v>
      </c>
      <c r="M34">
        <f t="shared" si="5"/>
        <v>6</v>
      </c>
      <c r="N34" s="31">
        <f t="shared" si="2"/>
        <v>0</v>
      </c>
      <c r="O34" s="32">
        <f t="shared" si="6"/>
        <v>3</v>
      </c>
      <c r="P34">
        <f t="shared" si="7"/>
        <v>6</v>
      </c>
      <c r="Q34" s="100">
        <f t="shared" si="8"/>
        <v>18</v>
      </c>
      <c r="R34" s="15" t="str">
        <f t="shared" si="9"/>
        <v>Moderately Impaired</v>
      </c>
    </row>
    <row r="35" spans="1:30">
      <c r="A35" t="str">
        <f t="shared" si="11"/>
        <v>BB1_2013-03-25</v>
      </c>
      <c r="B35" t="s">
        <v>30</v>
      </c>
      <c r="C35" s="41">
        <v>41358</v>
      </c>
      <c r="D35">
        <f>SUMIF(DATA_WITHOUT_GENUS!A:A,A35,DATA_WITHOUT_GENUS!E:E)</f>
        <v>111</v>
      </c>
      <c r="E35">
        <f>SUMIF(DATA_WITHOUT_GENUS!A:A,A35,DATA_WITHOUT_GENUS!I:I)</f>
        <v>100</v>
      </c>
      <c r="F35" s="97">
        <f>SUMIFS(DATA_WITHOUT_GENUS!M:M,DATA_WITHOUT_GENUS!A:A,A35)/100</f>
        <v>4.5199999999999996</v>
      </c>
      <c r="G35" s="18">
        <f>COUNTIFS(DATA_WITHOUT_GENUS!A:A,A35,DATA_WITHOUT_GENUS!I:I, "&gt;0")</f>
        <v>9</v>
      </c>
      <c r="H35">
        <f>COUNTIFS(DATA_WITHOUT_GENUS!A:A,A35,DATA_WITHOUT_GENUS!J:J,TRUE)</f>
        <v>1</v>
      </c>
      <c r="I35" s="18">
        <f>SUMIFS(DATA_WITHOUT_GENUS!I:I,DATA_WITHOUT_GENUS!A:A,A35,DATA_WITHOUT_GENUS!J:J,TRUE)</f>
        <v>65</v>
      </c>
      <c r="J35">
        <f>_xlfn.MAXIFS(DATA_WITHOUT_GENUS!I:I,DATA_WITHOUT_GENUS!A:A,A35)</f>
        <v>65</v>
      </c>
      <c r="K35" s="18" t="str" cm="1">
        <f t="array" ref="K35">_xlfn._xlws.FILTER(DATA_WITHOUT_GENUS!D:D,(DATA_WITHOUT_GENUS!A:A=A35)*(DATA_WITHOUT_GENUS!I:I=J35)*ROW(DATA_WITHOUT_GENUS!D:D),0)</f>
        <v>Hydropsychidae</v>
      </c>
      <c r="L35" s="30">
        <f t="shared" si="10"/>
        <v>6</v>
      </c>
      <c r="M35">
        <f t="shared" si="5"/>
        <v>3</v>
      </c>
      <c r="N35" s="31">
        <f t="shared" si="2"/>
        <v>0</v>
      </c>
      <c r="O35" s="32">
        <f t="shared" si="6"/>
        <v>6</v>
      </c>
      <c r="P35">
        <f t="shared" si="7"/>
        <v>0</v>
      </c>
      <c r="Q35" s="100">
        <f t="shared" si="8"/>
        <v>15</v>
      </c>
      <c r="R35" s="15" t="str">
        <f t="shared" si="9"/>
        <v>Moderately Impaired</v>
      </c>
    </row>
    <row r="36" spans="1:30">
      <c r="A36" t="str">
        <f t="shared" si="11"/>
        <v>BB1_2013-07-21</v>
      </c>
      <c r="B36" t="s">
        <v>30</v>
      </c>
      <c r="C36" s="41">
        <v>41476</v>
      </c>
      <c r="D36">
        <f>SUMIF(DATA_WITHOUT_GENUS!A:A,A36,DATA_WITHOUT_GENUS!E:E)</f>
        <v>163</v>
      </c>
      <c r="E36">
        <f>SUMIF(DATA_WITHOUT_GENUS!A:A,A36,DATA_WITHOUT_GENUS!I:I)</f>
        <v>100</v>
      </c>
      <c r="F36" s="97">
        <f>SUMIFS(DATA_WITHOUT_GENUS!M:M,DATA_WITHOUT_GENUS!A:A,A36)/100</f>
        <v>5</v>
      </c>
      <c r="G36" s="18">
        <f>COUNTIFS(DATA_WITHOUT_GENUS!A:A,A36,DATA_WITHOUT_GENUS!I:I, "&gt;0")</f>
        <v>11</v>
      </c>
      <c r="H36">
        <f>COUNTIFS(DATA_WITHOUT_GENUS!A:A,A36,DATA_WITHOUT_GENUS!J:J,TRUE)</f>
        <v>1</v>
      </c>
      <c r="I36" s="18">
        <f>SUMIFS(DATA_WITHOUT_GENUS!I:I,DATA_WITHOUT_GENUS!A:A,A36,DATA_WITHOUT_GENUS!J:J,TRUE)</f>
        <v>44</v>
      </c>
      <c r="J36">
        <f>_xlfn.MAXIFS(DATA_WITHOUT_GENUS!I:I,DATA_WITHOUT_GENUS!A:A,A36)</f>
        <v>44</v>
      </c>
      <c r="K36" s="18" t="str" cm="1">
        <f t="array" ref="K36">_xlfn._xlws.FILTER(DATA_WITHOUT_GENUS!D:D,(DATA_WITHOUT_GENUS!A:A=A36)*(DATA_WITHOUT_GENUS!I:I=J36)*ROW(DATA_WITHOUT_GENUS!D:D),0)</f>
        <v>Hydropsychidae</v>
      </c>
      <c r="L36" s="30">
        <f t="shared" si="10"/>
        <v>3</v>
      </c>
      <c r="M36">
        <f t="shared" si="5"/>
        <v>6</v>
      </c>
      <c r="N36" s="31">
        <f t="shared" si="2"/>
        <v>0</v>
      </c>
      <c r="O36" s="32">
        <f t="shared" si="6"/>
        <v>6</v>
      </c>
      <c r="P36">
        <f t="shared" si="7"/>
        <v>3</v>
      </c>
      <c r="Q36" s="100">
        <f t="shared" si="8"/>
        <v>18</v>
      </c>
      <c r="R36" s="15" t="str">
        <f t="shared" si="9"/>
        <v>Moderately Impaired</v>
      </c>
    </row>
    <row r="37" spans="1:30">
      <c r="A37" t="str">
        <f t="shared" si="11"/>
        <v>BB1_2013-10-26</v>
      </c>
      <c r="B37" t="s">
        <v>30</v>
      </c>
      <c r="C37" s="41">
        <v>41573</v>
      </c>
      <c r="D37">
        <f>SUMIF(DATA_WITHOUT_GENUS!A:A,A37,DATA_WITHOUT_GENUS!E:E)</f>
        <v>114</v>
      </c>
      <c r="E37">
        <f>SUMIF(DATA_WITHOUT_GENUS!A:A,A37,DATA_WITHOUT_GENUS!I:I)</f>
        <v>100</v>
      </c>
      <c r="F37" s="97">
        <f>SUMIFS(DATA_WITHOUT_GENUS!M:M,DATA_WITHOUT_GENUS!A:A,A37)/100</f>
        <v>4.68</v>
      </c>
      <c r="G37" s="18">
        <f>COUNTIFS(DATA_WITHOUT_GENUS!A:A,A37,DATA_WITHOUT_GENUS!I:I, "&gt;0")</f>
        <v>9</v>
      </c>
      <c r="H37">
        <f>COUNTIFS(DATA_WITHOUT_GENUS!A:A,A37,DATA_WITHOUT_GENUS!J:J,TRUE)</f>
        <v>1</v>
      </c>
      <c r="I37" s="18">
        <f>SUMIFS(DATA_WITHOUT_GENUS!I:I,DATA_WITHOUT_GENUS!A:A,A37,DATA_WITHOUT_GENUS!J:J,TRUE)</f>
        <v>10</v>
      </c>
      <c r="J37">
        <f>_xlfn.MAXIFS(DATA_WITHOUT_GENUS!I:I,DATA_WITHOUT_GENUS!A:A,A37)</f>
        <v>66</v>
      </c>
      <c r="K37" s="18" t="str" cm="1">
        <f t="array" ref="K37">_xlfn._xlws.FILTER(DATA_WITHOUT_GENUS!D:D,(DATA_WITHOUT_GENUS!A:A=A37)*(DATA_WITHOUT_GENUS!I:I=J37)*ROW(DATA_WITHOUT_GENUS!D:D),0)</f>
        <v>Gammaridae</v>
      </c>
      <c r="L37" s="30">
        <f t="shared" si="10"/>
        <v>6</v>
      </c>
      <c r="M37">
        <f t="shared" si="5"/>
        <v>3</v>
      </c>
      <c r="N37" s="31">
        <f t="shared" si="2"/>
        <v>0</v>
      </c>
      <c r="O37" s="32">
        <f t="shared" si="6"/>
        <v>3</v>
      </c>
      <c r="P37">
        <f t="shared" si="7"/>
        <v>0</v>
      </c>
      <c r="Q37" s="100">
        <f t="shared" si="8"/>
        <v>12</v>
      </c>
      <c r="R37" s="15" t="str">
        <f t="shared" si="9"/>
        <v>Moderately Impaired</v>
      </c>
    </row>
    <row r="38" spans="1:30">
      <c r="A38" t="str">
        <f t="shared" ref="A38:A46" si="12">B38&amp;"_"&amp;TEXT(C38,"yyyy-mm-dd")</f>
        <v>BB1_2014-03-15</v>
      </c>
      <c r="B38" t="s">
        <v>30</v>
      </c>
      <c r="C38" s="3">
        <v>41713</v>
      </c>
      <c r="D38">
        <f>SUMIF(DATA_WITH_GENUS_OLD!A:A,A38,DATA_WITH_GENUS_OLD!F:F)</f>
        <v>187</v>
      </c>
      <c r="E38">
        <f>SUMIF(DATA_WITH_GENUS_OLD!A:A,A38,DATA_WITH_GENUS_OLD!J:J)</f>
        <v>100</v>
      </c>
      <c r="F38" s="103">
        <f>SUMIFS(DATA_WITH_GENUS_OLD!T:T,DATA_WITH_GENUS_OLD!A:A,A38)/100</f>
        <v>4.6399999999999997</v>
      </c>
      <c r="G38" cm="1">
        <f t="array" ref="G38">COUNTA(_xlfn.UNIQUE(_xlfn._xlws.FILTER(DATA_WITH_GENUS_OLD!A:A&amp;DATA_WITH_GENUS_OLD!D:D&amp;DATA_WITH_GENUS_OLD!J:J,(DATA_WITH_GENUS_OLD!A:A = A38)*(DATA_WITH_GENUS_OLD!J:J&gt;0))))</f>
        <v>10</v>
      </c>
      <c r="H38">
        <f>COUNTIFS(DATA_WITH_GENUS_OLD!A:A,A38,DATA_WITH_GENUS_OLD!K:K,"~*")</f>
        <v>1</v>
      </c>
      <c r="I38">
        <f>SUMIFS(DATA_WITH_GENUS_OLD!J:J,DATA_WITH_GENUS_OLD!A:A,A38,DATA_WITH_GENUS_OLD!K:K,"~*")</f>
        <v>33</v>
      </c>
      <c r="J38">
        <f>_xlfn.MAXIFS(DATA_WITH_GENUS_OLD!J:J,DATA_WITH_GENUS_OLD!A:A,A38)</f>
        <v>45</v>
      </c>
      <c r="K38" s="18" t="str" cm="1">
        <f t="array" ref="K38">_xlfn._xlws.FILTER(DATA_WITH_GENUS_OLD!E:E,(DATA_WITH_GENUS_OLD!A:A=A38)*(DATA_WITH_GENUS_OLD!J:J=J38)*ROW(DATA_WITH_GENUS_OLD!E:E),0)</f>
        <v>Gammaridae</v>
      </c>
      <c r="L38" s="30">
        <f t="shared" ref="L38:L46" si="13">IF(F38="","",IF(F38&gt;7,0,IF(F38&lt;5,6,IF(F38&lt;=7,3))))</f>
        <v>6</v>
      </c>
      <c r="M38">
        <f t="shared" ref="M38:M46" si="14">IF(G38="","",IF(G38&gt;10,6,IF(G38&lt;5,0,IF(G38&lt;=10,3))))</f>
        <v>3</v>
      </c>
      <c r="N38" s="31">
        <f t="shared" si="2"/>
        <v>0</v>
      </c>
      <c r="O38" s="32">
        <f t="shared" ref="O38:O46" si="15">IF(I38="","",IF(I38&gt;35,6,IF(I38&lt;10,0,IF(I38&lt;=35,3,IF(I38&lt;10,0)))))</f>
        <v>3</v>
      </c>
      <c r="P38">
        <f t="shared" ref="P38:P46" si="16">IF(J38="","",IF(J38&gt;60,0,IF(J38&lt;40,6,IF(J38&lt;=60,3))))</f>
        <v>3</v>
      </c>
      <c r="Q38" s="100">
        <f t="shared" ref="Q38:Q46" si="17">SUM(L38:P38)</f>
        <v>15</v>
      </c>
      <c r="R38" s="15" t="str">
        <f t="shared" ref="R38:R46" si="18">IF(Q38&gt;=24, "Non-Impaired", IF(Q38&lt;=6, "Severally Impaired", IF(Q38&gt;=9, "Moderately Impaired","")))</f>
        <v>Moderately Impaired</v>
      </c>
      <c r="S38">
        <f>COUNTIFS(DATA_WITH_GENUS_OLD!A:A,A38,DATA_WITH_GENUS_OLD!J:J, "&gt;0")</f>
        <v>10</v>
      </c>
      <c r="T38">
        <f>COUNTIFS(DATA_WITH_GENUS_OLD!A:A,A38,DATA_WITH_GENUS_OLD!K:K,"~*")</f>
        <v>1</v>
      </c>
      <c r="U38">
        <f>(COUNTIFS(DATA_WITH_GENUS_OLD!A:A,A38,DATA_WITH_GENUS_OLD!L:L,"Ephemeroptera"))/100</f>
        <v>0</v>
      </c>
      <c r="V38">
        <f>SUMIFS(DATA_WITH_GENUS_OLD!U:U,DATA_WITH_GENUS_OLD!A:A,A38)/100</f>
        <v>4.62</v>
      </c>
      <c r="W38">
        <f>(SUMIFS(DATA_WITH_GENUS_OLD!J:J,DATA_WITH_GENUS_OLD!A:A,A38,DATA_WITH_GENUS_OLD!Q:Q,TRUE))</f>
        <v>33</v>
      </c>
      <c r="X38">
        <f t="shared" ref="X38:X43" si="19">IF(S38&gt;25,6,IF(S38&lt;9, 0, IF(S38&gt;=17,4,2)))</f>
        <v>2</v>
      </c>
      <c r="Y38" s="18">
        <f t="shared" ref="Y38:Y43" si="20">IF(T38&gt;9,6,IF(T38&lt;4, 0, IF(T38&gt;=7,4,2)))</f>
        <v>0</v>
      </c>
      <c r="Z38" s="18">
        <f>IF(U38&gt;29,6,IF(U38&lt;10, 0, IF(U38&gt;=20,4,2)))</f>
        <v>0</v>
      </c>
      <c r="AA38" s="18">
        <f t="shared" ref="AA38:AA43" si="21">IF(V38&lt;4.9,6,IF(V38&gt;7.3, 0, IF(V38&gt;6,2,4)))</f>
        <v>6</v>
      </c>
      <c r="AB38" s="18">
        <f t="shared" ref="AB38:AB43" si="22">IF(W38&gt;51,6,IF(W38&lt;17, 0, IF(W38&gt;34,4,2)))</f>
        <v>2</v>
      </c>
      <c r="AC38" s="98">
        <f t="shared" ref="AC38:AC43" si="23">SUM(X38:AB38)</f>
        <v>10</v>
      </c>
      <c r="AD38" s="18" t="str">
        <f>IF(AC38="","",IF(AC38&gt;=22,"Excellent",IF(AC38&lt;6,"Poor",IF(AC38&gt;=12, "Good","Fair"))))</f>
        <v>Fair</v>
      </c>
    </row>
    <row r="39" spans="1:30">
      <c r="A39" t="str">
        <f t="shared" si="12"/>
        <v>BB1_2014-07-29</v>
      </c>
      <c r="B39" t="s">
        <v>30</v>
      </c>
      <c r="C39" s="3">
        <v>41849</v>
      </c>
      <c r="D39">
        <f>SUMIF(DATA_WITH_GENUS_OLD!A:A,A39,DATA_WITH_GENUS_OLD!F:F)</f>
        <v>147</v>
      </c>
      <c r="E39">
        <f>SUMIF(DATA_WITH_GENUS_OLD!A:A,A39,DATA_WITH_GENUS_OLD!J:J)</f>
        <v>100</v>
      </c>
      <c r="F39" s="103">
        <f>SUMIFS(DATA_WITH_GENUS_OLD!T:T,DATA_WITH_GENUS_OLD!A:A,A39)/100</f>
        <v>5.0599999999999996</v>
      </c>
      <c r="G39" cm="1">
        <f t="array" ref="G39">COUNTA(_xlfn.UNIQUE(_xlfn._xlws.FILTER(DATA_WITH_GENUS_OLD!A:A&amp;DATA_WITH_GENUS_OLD!D:D&amp;DATA_WITH_GENUS_OLD!J:J,(DATA_WITH_GENUS_OLD!A:A = A39)*(DATA_WITH_GENUS_OLD!J:J&gt;0))))</f>
        <v>9</v>
      </c>
      <c r="H39">
        <f>COUNTIFS(DATA_WITH_GENUS_OLD!A:A,A39,DATA_WITH_GENUS_OLD!K:K,"~*")</f>
        <v>1</v>
      </c>
      <c r="I39">
        <f>SUMIFS(DATA_WITH_GENUS_OLD!J:J,DATA_WITH_GENUS_OLD!A:A,A39,DATA_WITH_GENUS_OLD!K:K,"~*")</f>
        <v>23</v>
      </c>
      <c r="J39">
        <f>_xlfn.MAXIFS(DATA_WITH_GENUS_OLD!J:J,DATA_WITH_GENUS_OLD!A:A,A39)</f>
        <v>43</v>
      </c>
      <c r="K39" s="18" t="str" cm="1">
        <f t="array" ref="K39">_xlfn._xlws.FILTER(DATA_WITH_GENUS_OLD!E:E,(DATA_WITH_GENUS_OLD!A:A=A39)*(DATA_WITH_GENUS_OLD!J:J=J39)*ROW(DATA_WITH_GENUS_OLD!E:E),0)</f>
        <v>Gammaridae</v>
      </c>
      <c r="L39" s="30">
        <f t="shared" si="13"/>
        <v>3</v>
      </c>
      <c r="M39">
        <f t="shared" si="14"/>
        <v>3</v>
      </c>
      <c r="N39" s="31">
        <f t="shared" ref="N39:N46" si="24">IF(H39="","",IF(H39&gt;5,6,IF(H39&lt;3,0,IF(H39&lt;=5,3))))</f>
        <v>0</v>
      </c>
      <c r="O39" s="32">
        <f t="shared" si="15"/>
        <v>3</v>
      </c>
      <c r="P39">
        <f t="shared" si="16"/>
        <v>3</v>
      </c>
      <c r="Q39" s="100">
        <f t="shared" si="17"/>
        <v>12</v>
      </c>
      <c r="R39" s="15" t="str">
        <f t="shared" si="18"/>
        <v>Moderately Impaired</v>
      </c>
      <c r="S39">
        <f>COUNTIFS(DATA_WITH_GENUS_OLD!A:A,A39,DATA_WITH_GENUS_OLD!J:J, "&gt;0")</f>
        <v>9</v>
      </c>
      <c r="T39">
        <f>COUNTIFS(DATA_WITH_GENUS_OLD!A:A,A39,DATA_WITH_GENUS_OLD!K:K,"~*")</f>
        <v>1</v>
      </c>
      <c r="U39">
        <f>(COUNTIFS(DATA_WITH_GENUS_OLD!A:A,A39,DATA_WITH_GENUS_OLD!L:L,"Ephemeroptera"))/100</f>
        <v>0</v>
      </c>
      <c r="V39">
        <f>SUMIFS(DATA_WITH_GENUS_OLD!U:U,DATA_WITH_GENUS_OLD!A:A,A39)/100</f>
        <v>5</v>
      </c>
      <c r="W39">
        <f>(SUMIFS(DATA_WITH_GENUS_OLD!J:J,DATA_WITH_GENUS_OLD!A:A,A39,DATA_WITH_GENUS_OLD!Q:Q,TRUE))</f>
        <v>25</v>
      </c>
      <c r="X39">
        <f t="shared" si="19"/>
        <v>2</v>
      </c>
      <c r="Y39" s="18">
        <f t="shared" si="20"/>
        <v>0</v>
      </c>
      <c r="Z39" s="18">
        <f t="shared" ref="Z39:Z46" si="25">IF(U39&gt;29,6,IF(U39&lt;10, 0, IF(U39&gt;=20,4,2)))</f>
        <v>0</v>
      </c>
      <c r="AA39" s="18">
        <f t="shared" si="21"/>
        <v>4</v>
      </c>
      <c r="AB39" s="18">
        <f t="shared" si="22"/>
        <v>2</v>
      </c>
      <c r="AC39" s="98">
        <f t="shared" si="23"/>
        <v>8</v>
      </c>
      <c r="AD39" s="18" t="str">
        <f t="shared" ref="AD39:AD46" si="26">IF(AC39="","",IF(AC39&gt;=22,"Excellent",IF(AC39&lt;6,"Poor",IF(AC39&gt;=12, "Good","Fair"))))</f>
        <v>Fair</v>
      </c>
    </row>
    <row r="40" spans="1:30">
      <c r="A40" t="str">
        <f t="shared" si="12"/>
        <v>BB1_2014-10-24</v>
      </c>
      <c r="B40" t="s">
        <v>30</v>
      </c>
      <c r="C40" s="36">
        <v>41936</v>
      </c>
      <c r="D40">
        <f>SUMIF(DATA_WITH_GENUS_OLD!A:A,A40,DATA_WITH_GENUS_OLD!F:F)</f>
        <v>102</v>
      </c>
      <c r="E40">
        <f>SUMIF(DATA_WITH_GENUS_OLD!A:A,A40,DATA_WITH_GENUS_OLD!J:J)</f>
        <v>100</v>
      </c>
      <c r="F40" s="103">
        <f>SUMIFS(DATA_WITH_GENUS_OLD!T:T,DATA_WITH_GENUS_OLD!A:A,A40)/100</f>
        <v>4.57</v>
      </c>
      <c r="G40" cm="1">
        <f t="array" ref="G40">COUNTA(_xlfn.UNIQUE(_xlfn._xlws.FILTER(DATA_WITH_GENUS_OLD!A:A&amp;DATA_WITH_GENUS_OLD!D:D&amp;DATA_WITH_GENUS_OLD!J:J,(DATA_WITH_GENUS_OLD!A:A = A40)*(DATA_WITH_GENUS_OLD!J:J&gt;0))))</f>
        <v>8</v>
      </c>
      <c r="H40">
        <f>COUNTIFS(DATA_WITH_GENUS_OLD!A:A,A40,DATA_WITH_GENUS_OLD!K:K,"~*")</f>
        <v>2</v>
      </c>
      <c r="I40">
        <f>SUMIFS(DATA_WITH_GENUS_OLD!J:J,DATA_WITH_GENUS_OLD!A:A,A40,DATA_WITH_GENUS_OLD!K:K,"~*")</f>
        <v>63</v>
      </c>
      <c r="J40">
        <f>_xlfn.MAXIFS(DATA_WITH_GENUS_OLD!J:J,DATA_WITH_GENUS_OLD!A:A,A40)</f>
        <v>62</v>
      </c>
      <c r="K40" s="18" t="str" cm="1">
        <f t="array" ref="K40">_xlfn._xlws.FILTER(DATA_WITH_GENUS_OLD!E:E,(DATA_WITH_GENUS_OLD!A:A=A40)*(DATA_WITH_GENUS_OLD!J:J=J40)*ROW(DATA_WITH_GENUS_OLD!E:E),0)</f>
        <v>Hydropsychidae</v>
      </c>
      <c r="L40" s="30">
        <f t="shared" si="13"/>
        <v>6</v>
      </c>
      <c r="M40">
        <f t="shared" si="14"/>
        <v>3</v>
      </c>
      <c r="N40" s="31">
        <f t="shared" si="24"/>
        <v>0</v>
      </c>
      <c r="O40" s="32">
        <f t="shared" si="15"/>
        <v>6</v>
      </c>
      <c r="P40">
        <f t="shared" si="16"/>
        <v>0</v>
      </c>
      <c r="Q40" s="100">
        <f t="shared" si="17"/>
        <v>15</v>
      </c>
      <c r="R40" s="15" t="str">
        <f t="shared" si="18"/>
        <v>Moderately Impaired</v>
      </c>
      <c r="S40">
        <f>COUNTIFS(DATA_WITH_GENUS_OLD!A:A,A40,DATA_WITH_GENUS_OLD!J:J, "&gt;0")</f>
        <v>8</v>
      </c>
      <c r="T40">
        <f>COUNTIFS(DATA_WITH_GENUS_OLD!A:A,A40,DATA_WITH_GENUS_OLD!K:K,"~*")</f>
        <v>2</v>
      </c>
      <c r="U40">
        <f>(COUNTIFS(DATA_WITH_GENUS_OLD!A:A,A40,DATA_WITH_GENUS_OLD!L:L,"Ephemeroptera"))/100</f>
        <v>0</v>
      </c>
      <c r="V40">
        <f>SUMIFS(DATA_WITH_GENUS_OLD!U:U,DATA_WITH_GENUS_OLD!A:A,A40)/100</f>
        <v>4.57</v>
      </c>
      <c r="W40">
        <f>(SUMIFS(DATA_WITH_GENUS_OLD!J:J,DATA_WITH_GENUS_OLD!A:A,A40,DATA_WITH_GENUS_OLD!Q:Q,TRUE))</f>
        <v>65</v>
      </c>
      <c r="X40">
        <f t="shared" si="19"/>
        <v>0</v>
      </c>
      <c r="Y40" s="18">
        <f t="shared" si="20"/>
        <v>0</v>
      </c>
      <c r="Z40" s="18">
        <f t="shared" si="25"/>
        <v>0</v>
      </c>
      <c r="AA40" s="18">
        <f t="shared" si="21"/>
        <v>6</v>
      </c>
      <c r="AB40" s="18">
        <f t="shared" si="22"/>
        <v>6</v>
      </c>
      <c r="AC40" s="98">
        <f t="shared" si="23"/>
        <v>12</v>
      </c>
      <c r="AD40" s="18" t="str">
        <f t="shared" si="26"/>
        <v>Good</v>
      </c>
    </row>
    <row r="41" spans="1:30">
      <c r="A41" t="str">
        <f t="shared" si="12"/>
        <v>BB1_2015-03-28</v>
      </c>
      <c r="B41" t="s">
        <v>30</v>
      </c>
      <c r="C41" s="36">
        <v>42091</v>
      </c>
      <c r="D41">
        <f>SUMIF(DATA_WITH_GENUS_OLD!A:A,A41,DATA_WITH_GENUS_OLD!F:F)</f>
        <v>101</v>
      </c>
      <c r="E41">
        <f>SUMIF(DATA_WITH_GENUS_OLD!A:A,A41,DATA_WITH_GENUS_OLD!J:J)</f>
        <v>100</v>
      </c>
      <c r="F41" s="103">
        <f>SUMIFS(DATA_WITH_GENUS_OLD!T:T,DATA_WITH_GENUS_OLD!A:A,A41)/100</f>
        <v>5.88</v>
      </c>
      <c r="G41" cm="1">
        <f t="array" ref="G41">COUNTA(_xlfn.UNIQUE(_xlfn._xlws.FILTER(DATA_WITH_GENUS_OLD!A:A&amp;DATA_WITH_GENUS_OLD!D:D&amp;DATA_WITH_GENUS_OLD!J:J,(DATA_WITH_GENUS_OLD!A:A = A41)*(DATA_WITH_GENUS_OLD!J:J&gt;0))))</f>
        <v>8</v>
      </c>
      <c r="H41">
        <f>COUNTIFS(DATA_WITH_GENUS_OLD!A:A,A41,DATA_WITH_GENUS_OLD!K:K,"~*")</f>
        <v>1</v>
      </c>
      <c r="I41">
        <f>SUMIFS(DATA_WITH_GENUS_OLD!J:J,DATA_WITH_GENUS_OLD!A:A,A41,DATA_WITH_GENUS_OLD!K:K,"~*")</f>
        <v>8</v>
      </c>
      <c r="J41">
        <f>_xlfn.MAXIFS(DATA_WITH_GENUS_OLD!J:J,DATA_WITH_GENUS_OLD!A:A,A41)</f>
        <v>42</v>
      </c>
      <c r="K41" s="18" t="str" cm="1">
        <f t="array" ref="K41">_xlfn._xlws.FILTER(DATA_WITH_GENUS_OLD!E:E,(DATA_WITH_GENUS_OLD!A:A=A41)*(DATA_WITH_GENUS_OLD!J:J=J41)*ROW(DATA_WITH_GENUS_OLD!E:E),0)</f>
        <v>Gammaridae</v>
      </c>
      <c r="L41" s="30">
        <f t="shared" si="13"/>
        <v>3</v>
      </c>
      <c r="M41">
        <f t="shared" si="14"/>
        <v>3</v>
      </c>
      <c r="N41" s="31">
        <f t="shared" si="24"/>
        <v>0</v>
      </c>
      <c r="O41" s="32">
        <f t="shared" si="15"/>
        <v>0</v>
      </c>
      <c r="P41">
        <f t="shared" si="16"/>
        <v>3</v>
      </c>
      <c r="Q41" s="100">
        <f t="shared" si="17"/>
        <v>9</v>
      </c>
      <c r="R41" s="15" t="str">
        <f t="shared" si="18"/>
        <v>Moderately Impaired</v>
      </c>
      <c r="S41">
        <f>COUNTIFS(DATA_WITH_GENUS_OLD!A:A,A41,DATA_WITH_GENUS_OLD!J:J, "&gt;0")</f>
        <v>8</v>
      </c>
      <c r="T41">
        <f>COUNTIFS(DATA_WITH_GENUS_OLD!A:A,A41,DATA_WITH_GENUS_OLD!K:K,"~*")</f>
        <v>1</v>
      </c>
      <c r="U41">
        <f>(COUNTIFS(DATA_WITH_GENUS_OLD!A:A,A41,DATA_WITH_GENUS_OLD!L:L,"Ephemeroptera"))/100</f>
        <v>0</v>
      </c>
      <c r="V41">
        <f>SUMIFS(DATA_WITH_GENUS_OLD!U:U,DATA_WITH_GENUS_OLD!A:A,A41)/100</f>
        <v>6.12</v>
      </c>
      <c r="W41">
        <f>(SUMIFS(DATA_WITH_GENUS_OLD!J:J,DATA_WITH_GENUS_OLD!A:A,A41,DATA_WITH_GENUS_OLD!Q:Q,TRUE))</f>
        <v>8</v>
      </c>
      <c r="X41">
        <f t="shared" si="19"/>
        <v>0</v>
      </c>
      <c r="Y41" s="18">
        <f t="shared" si="20"/>
        <v>0</v>
      </c>
      <c r="Z41" s="18">
        <f t="shared" si="25"/>
        <v>0</v>
      </c>
      <c r="AA41" s="18">
        <f t="shared" si="21"/>
        <v>2</v>
      </c>
      <c r="AB41" s="18">
        <f t="shared" si="22"/>
        <v>0</v>
      </c>
      <c r="AC41" s="98">
        <f t="shared" si="23"/>
        <v>2</v>
      </c>
      <c r="AD41" s="18" t="str">
        <f t="shared" si="26"/>
        <v>Poor</v>
      </c>
    </row>
    <row r="42" spans="1:30">
      <c r="A42" t="str">
        <f t="shared" si="12"/>
        <v>BB1_2015-07-24</v>
      </c>
      <c r="B42" t="s">
        <v>30</v>
      </c>
      <c r="C42" s="36">
        <v>42209</v>
      </c>
      <c r="D42">
        <f>SUMIF(DATA_WITH_GENUS_OLD!A:A,A42,DATA_WITH_GENUS_OLD!F:F)</f>
        <v>115</v>
      </c>
      <c r="E42">
        <f>SUMIF(DATA_WITH_GENUS_OLD!A:A,A42,DATA_WITH_GENUS_OLD!J:J)</f>
        <v>100</v>
      </c>
      <c r="F42" s="103">
        <f>SUMIFS(DATA_WITH_GENUS_OLD!T:T,DATA_WITH_GENUS_OLD!A:A,A42)/100</f>
        <v>5.68</v>
      </c>
      <c r="G42" cm="1">
        <f t="array" ref="G42">COUNTA(_xlfn.UNIQUE(_xlfn._xlws.FILTER(DATA_WITH_GENUS_OLD!A:A&amp;DATA_WITH_GENUS_OLD!D:D&amp;DATA_WITH_GENUS_OLD!J:J,(DATA_WITH_GENUS_OLD!A:A = A42)*(DATA_WITH_GENUS_OLD!J:J&gt;0))))</f>
        <v>11</v>
      </c>
      <c r="H42">
        <f>COUNTIFS(DATA_WITH_GENUS_OLD!A:A,A42,DATA_WITH_GENUS_OLD!K:K,"~*")</f>
        <v>2</v>
      </c>
      <c r="I42">
        <f>SUMIFS(DATA_WITH_GENUS_OLD!J:J,DATA_WITH_GENUS_OLD!A:A,A42,DATA_WITH_GENUS_OLD!K:K,"~*")</f>
        <v>33</v>
      </c>
      <c r="J42">
        <f>_xlfn.MAXIFS(DATA_WITH_GENUS_OLD!J:J,DATA_WITH_GENUS_OLD!A:A,A42)</f>
        <v>32</v>
      </c>
      <c r="K42" s="18" t="str" cm="1">
        <f t="array" ref="K42">_xlfn._xlws.FILTER(DATA_WITH_GENUS_OLD!E:E,(DATA_WITH_GENUS_OLD!A:A=A42)*(DATA_WITH_GENUS_OLD!J:J=J42)*ROW(DATA_WITH_GENUS_OLD!E:E),0)</f>
        <v>Hydropsychidae</v>
      </c>
      <c r="L42" s="30">
        <f t="shared" si="13"/>
        <v>3</v>
      </c>
      <c r="M42">
        <f t="shared" si="14"/>
        <v>6</v>
      </c>
      <c r="N42" s="31">
        <f t="shared" si="24"/>
        <v>0</v>
      </c>
      <c r="O42" s="32">
        <f t="shared" si="15"/>
        <v>3</v>
      </c>
      <c r="P42">
        <f t="shared" si="16"/>
        <v>6</v>
      </c>
      <c r="Q42" s="100">
        <f t="shared" si="17"/>
        <v>18</v>
      </c>
      <c r="R42" s="15" t="str">
        <f t="shared" si="18"/>
        <v>Moderately Impaired</v>
      </c>
      <c r="S42">
        <f>COUNTIFS(DATA_WITH_GENUS_OLD!A:A,A42,DATA_WITH_GENUS_OLD!J:J, "&gt;0")</f>
        <v>11</v>
      </c>
      <c r="T42">
        <f>COUNTIFS(DATA_WITH_GENUS_OLD!A:A,A42,DATA_WITH_GENUS_OLD!K:K,"~*")</f>
        <v>2</v>
      </c>
      <c r="U42">
        <f>(COUNTIFS(DATA_WITH_GENUS_OLD!A:A,A42,DATA_WITH_GENUS_OLD!L:L,"Ephemeroptera"))/100</f>
        <v>0</v>
      </c>
      <c r="V42">
        <f>SUMIFS(DATA_WITH_GENUS_OLD!U:U,DATA_WITH_GENUS_OLD!A:A,A42)/100</f>
        <v>5.72</v>
      </c>
      <c r="W42">
        <f>(SUMIFS(DATA_WITH_GENUS_OLD!J:J,DATA_WITH_GENUS_OLD!A:A,A42,DATA_WITH_GENUS_OLD!Q:Q,TRUE))</f>
        <v>34</v>
      </c>
      <c r="X42">
        <f t="shared" si="19"/>
        <v>2</v>
      </c>
      <c r="Y42" s="18">
        <f t="shared" si="20"/>
        <v>0</v>
      </c>
      <c r="Z42" s="18">
        <f t="shared" si="25"/>
        <v>0</v>
      </c>
      <c r="AA42" s="18">
        <f t="shared" si="21"/>
        <v>4</v>
      </c>
      <c r="AB42" s="18">
        <f t="shared" si="22"/>
        <v>2</v>
      </c>
      <c r="AC42" s="98">
        <f t="shared" si="23"/>
        <v>8</v>
      </c>
      <c r="AD42" s="18" t="str">
        <f t="shared" si="26"/>
        <v>Fair</v>
      </c>
    </row>
    <row r="43" spans="1:30">
      <c r="A43" t="str">
        <f t="shared" si="12"/>
        <v>BB1_2016-04-02</v>
      </c>
      <c r="B43" t="s">
        <v>30</v>
      </c>
      <c r="C43" s="36">
        <v>42462</v>
      </c>
      <c r="D43">
        <f>SUMIF(DATA_WITH_GENUS_OLD!A:A,A43,DATA_WITH_GENUS_OLD!F:F)</f>
        <v>130</v>
      </c>
      <c r="E43">
        <f>SUMIF(DATA_WITH_GENUS_OLD!A:A,A43,DATA_WITH_GENUS_OLD!J:J)</f>
        <v>100</v>
      </c>
      <c r="F43" s="103">
        <f>SUMIFS(DATA_WITH_GENUS_OLD!T:T,DATA_WITH_GENUS_OLD!A:A,A43)/100</f>
        <v>6.17</v>
      </c>
      <c r="G43" cm="1">
        <f t="array" ref="G43">COUNTA(_xlfn.UNIQUE(_xlfn._xlws.FILTER(DATA_WITH_GENUS_OLD!A:A&amp;DATA_WITH_GENUS_OLD!D:D&amp;DATA_WITH_GENUS_OLD!J:J,(DATA_WITH_GENUS_OLD!A:A = A43)*(DATA_WITH_GENUS_OLD!J:J&gt;0))))</f>
        <v>11</v>
      </c>
      <c r="H43">
        <f>COUNTIFS(DATA_WITH_GENUS_OLD!A:A,A43,DATA_WITH_GENUS_OLD!K:K,"~*")</f>
        <v>1</v>
      </c>
      <c r="I43">
        <f>SUMIFS(DATA_WITH_GENUS_OLD!J:J,DATA_WITH_GENUS_OLD!A:A,A43,DATA_WITH_GENUS_OLD!K:K,"~*")</f>
        <v>23</v>
      </c>
      <c r="J43">
        <f>_xlfn.MAXIFS(DATA_WITH_GENUS_OLD!J:J,DATA_WITH_GENUS_OLD!A:A,A43)</f>
        <v>40</v>
      </c>
      <c r="K43" s="18" t="str" cm="1">
        <f t="array" ref="K43">_xlfn._xlws.FILTER(DATA_WITH_GENUS_OLD!E:E,(DATA_WITH_GENUS_OLD!A:A=A43)*(DATA_WITH_GENUS_OLD!J:J=J43)*ROW(DATA_WITH_GENUS_OLD!E:E),0)</f>
        <v>Sphaeriidae</v>
      </c>
      <c r="L43" s="30">
        <f t="shared" si="13"/>
        <v>3</v>
      </c>
      <c r="M43">
        <f t="shared" si="14"/>
        <v>6</v>
      </c>
      <c r="N43" s="31">
        <f t="shared" si="24"/>
        <v>0</v>
      </c>
      <c r="O43" s="32">
        <f t="shared" si="15"/>
        <v>3</v>
      </c>
      <c r="P43">
        <f t="shared" si="16"/>
        <v>3</v>
      </c>
      <c r="Q43" s="100">
        <f t="shared" si="17"/>
        <v>15</v>
      </c>
      <c r="R43" s="15" t="str">
        <f t="shared" si="18"/>
        <v>Moderately Impaired</v>
      </c>
      <c r="S43">
        <f>COUNTIFS(DATA_WITH_GENUS_OLD!A:A,A43,DATA_WITH_GENUS_OLD!J:J, "&gt;0")</f>
        <v>11</v>
      </c>
      <c r="T43">
        <f>COUNTIFS(DATA_WITH_GENUS_OLD!A:A,A43,DATA_WITH_GENUS_OLD!K:K,"~*")</f>
        <v>1</v>
      </c>
      <c r="U43">
        <f>(COUNTIFS(DATA_WITH_GENUS_OLD!A:A,A43,DATA_WITH_GENUS_OLD!L:L,"Ephemeroptera"))/100</f>
        <v>0</v>
      </c>
      <c r="V43">
        <f>SUMIFS(DATA_WITH_GENUS_OLD!U:U,DATA_WITH_GENUS_OLD!A:A,A43)/100</f>
        <v>6.21</v>
      </c>
      <c r="W43">
        <f>(SUMIFS(DATA_WITH_GENUS_OLD!J:J,DATA_WITH_GENUS_OLD!A:A,A43,DATA_WITH_GENUS_OLD!Q:Q,TRUE))</f>
        <v>26</v>
      </c>
      <c r="X43">
        <f t="shared" si="19"/>
        <v>2</v>
      </c>
      <c r="Y43" s="18">
        <f t="shared" si="20"/>
        <v>0</v>
      </c>
      <c r="Z43" s="18">
        <f t="shared" si="25"/>
        <v>0</v>
      </c>
      <c r="AA43" s="18">
        <f t="shared" si="21"/>
        <v>2</v>
      </c>
      <c r="AB43" s="18">
        <f t="shared" si="22"/>
        <v>2</v>
      </c>
      <c r="AC43" s="98">
        <f t="shared" si="23"/>
        <v>6</v>
      </c>
      <c r="AD43" s="18" t="str">
        <f t="shared" si="26"/>
        <v>Fair</v>
      </c>
    </row>
    <row r="44" spans="1:30">
      <c r="A44" t="str">
        <f t="shared" si="12"/>
        <v>BB1_2016-07-23</v>
      </c>
      <c r="B44" t="s">
        <v>30</v>
      </c>
      <c r="C44" s="36">
        <v>42574</v>
      </c>
      <c r="D44">
        <f>SUMIF(DATA_WITH_GENUS_OLD!A:A,A44,DATA_WITH_GENUS_OLD!F:F)</f>
        <v>125</v>
      </c>
      <c r="E44">
        <f>SUMIF(DATA_WITH_GENUS_OLD!A:A,A44,DATA_WITH_GENUS_OLD!J:J)</f>
        <v>100</v>
      </c>
      <c r="F44" s="103">
        <f>SUMIFS(DATA_WITH_GENUS_OLD!T:T,DATA_WITH_GENUS_OLD!A:A,A44)/100</f>
        <v>4.4400000000000004</v>
      </c>
      <c r="G44" cm="1">
        <f t="array" ref="G44">COUNTA(_xlfn.UNIQUE(_xlfn._xlws.FILTER(DATA_WITH_GENUS_OLD!A:A&amp;DATA_WITH_GENUS_OLD!D:D&amp;DATA_WITH_GENUS_OLD!J:J,(DATA_WITH_GENUS_OLD!A:A = A44)*(DATA_WITH_GENUS_OLD!J:J&gt;0))))</f>
        <v>6</v>
      </c>
      <c r="H44">
        <f>COUNTIFS(DATA_WITH_GENUS_OLD!A:A,A44,DATA_WITH_GENUS_OLD!K:K,"~*")</f>
        <v>1</v>
      </c>
      <c r="I44">
        <f>SUMIFS(DATA_WITH_GENUS_OLD!J:J,DATA_WITH_GENUS_OLD!A:A,A44,DATA_WITH_GENUS_OLD!K:K,"~*")</f>
        <v>57</v>
      </c>
      <c r="J44">
        <f>_xlfn.MAXIFS(DATA_WITH_GENUS_OLD!J:J,DATA_WITH_GENUS_OLD!A:A,A44)</f>
        <v>57</v>
      </c>
      <c r="K44" s="18" t="str" cm="1">
        <f t="array" ref="K44">_xlfn._xlws.FILTER(DATA_WITH_GENUS_OLD!E:E,(DATA_WITH_GENUS_OLD!A:A=A44)*(DATA_WITH_GENUS_OLD!J:J=J44)*ROW(DATA_WITH_GENUS_OLD!E:E),0)</f>
        <v>Hydropsychidae</v>
      </c>
      <c r="L44" s="30">
        <f t="shared" si="13"/>
        <v>6</v>
      </c>
      <c r="M44">
        <f t="shared" si="14"/>
        <v>3</v>
      </c>
      <c r="N44" s="31">
        <f t="shared" si="24"/>
        <v>0</v>
      </c>
      <c r="O44" s="32">
        <f t="shared" si="15"/>
        <v>6</v>
      </c>
      <c r="P44">
        <f t="shared" si="16"/>
        <v>3</v>
      </c>
      <c r="Q44" s="100">
        <f t="shared" si="17"/>
        <v>18</v>
      </c>
      <c r="R44" s="15" t="str">
        <f t="shared" si="18"/>
        <v>Moderately Impaired</v>
      </c>
      <c r="S44">
        <f>COUNTIFS(DATA_WITH_GENUS_OLD!A:A,A44,DATA_WITH_GENUS_OLD!J:J, "&gt;0")</f>
        <v>6</v>
      </c>
      <c r="T44">
        <f>COUNTIFS(DATA_WITH_GENUS_OLD!A:A,A44,DATA_WITH_GENUS_OLD!K:K,"~*")</f>
        <v>1</v>
      </c>
      <c r="U44">
        <f>(COUNTIFS(DATA_WITH_GENUS_OLD!A:A,A44,DATA_WITH_GENUS_OLD!L:L,"Ephemeroptera"))/100</f>
        <v>0</v>
      </c>
      <c r="V44">
        <f>SUMIFS(DATA_WITH_GENUS_OLD!U:U,DATA_WITH_GENUS_OLD!A:A,A44)/100</f>
        <v>4.4400000000000004</v>
      </c>
      <c r="W44">
        <f>(SUMIFS(DATA_WITH_GENUS_OLD!J:J,DATA_WITH_GENUS_OLD!A:A,A44,DATA_WITH_GENUS_OLD!Q:Q,TRUE))</f>
        <v>57</v>
      </c>
      <c r="X44">
        <f t="shared" ref="X44:X46" si="27">IF(S44&gt;25,6,IF(S44&lt;9, 0, IF(S44&gt;=17,4,2)))</f>
        <v>0</v>
      </c>
      <c r="Y44" s="18">
        <f t="shared" ref="Y44:Y46" si="28">IF(T44&gt;9,6,IF(T44&lt;4, 0, IF(T44&gt;=7,4,2)))</f>
        <v>0</v>
      </c>
      <c r="Z44" s="18">
        <f t="shared" si="25"/>
        <v>0</v>
      </c>
      <c r="AA44" s="18">
        <f t="shared" ref="AA44:AA46" si="29">IF(V44&lt;4.9,6,IF(V44&gt;7.3, 0, IF(V44&gt;6,2,4)))</f>
        <v>6</v>
      </c>
      <c r="AB44" s="18">
        <f t="shared" ref="AB44:AB46" si="30">IF(W44&gt;51,6,IF(W44&lt;17, 0, IF(W44&gt;34,4,2)))</f>
        <v>6</v>
      </c>
      <c r="AC44" s="98">
        <f t="shared" ref="AC44:AC46" si="31">SUM(X44:AB44)</f>
        <v>12</v>
      </c>
      <c r="AD44" s="18" t="str">
        <f t="shared" si="26"/>
        <v>Good</v>
      </c>
    </row>
    <row r="45" spans="1:30">
      <c r="A45" t="str">
        <f t="shared" si="12"/>
        <v>BB1_2016-10-22</v>
      </c>
      <c r="B45" t="s">
        <v>30</v>
      </c>
      <c r="C45" s="41">
        <v>42665</v>
      </c>
      <c r="D45">
        <f>SUMIF(DATA_WITH_GENUS_OLD!A:A,A45,DATA_WITH_GENUS_OLD!F:F)</f>
        <v>115</v>
      </c>
      <c r="E45">
        <f>SUMIF(DATA_WITH_GENUS_OLD!A:A,A45,DATA_WITH_GENUS_OLD!J:J)</f>
        <v>100</v>
      </c>
      <c r="F45" s="103">
        <f>SUMIFS(DATA_WITH_GENUS_OLD!T:T,DATA_WITH_GENUS_OLD!A:A,A45)/100</f>
        <v>4.9000000000000004</v>
      </c>
      <c r="G45" cm="1">
        <f t="array" ref="G45">COUNTA(_xlfn.UNIQUE(_xlfn._xlws.FILTER(DATA_WITH_GENUS_OLD!A:A&amp;DATA_WITH_GENUS_OLD!D:D&amp;DATA_WITH_GENUS_OLD!J:J,(DATA_WITH_GENUS_OLD!A:A = A45)*(DATA_WITH_GENUS_OLD!J:J&gt;0))))</f>
        <v>9</v>
      </c>
      <c r="H45">
        <f>COUNTIFS(DATA_WITH_GENUS_OLD!A:A,A45,DATA_WITH_GENUS_OLD!K:K,"~*")</f>
        <v>1</v>
      </c>
      <c r="I45">
        <f>SUMIFS(DATA_WITH_GENUS_OLD!J:J,DATA_WITH_GENUS_OLD!A:A,A45,DATA_WITH_GENUS_OLD!K:K,"~*")</f>
        <v>24</v>
      </c>
      <c r="J45">
        <f>_xlfn.MAXIFS(DATA_WITH_GENUS_OLD!J:J,DATA_WITH_GENUS_OLD!A:A,A45)</f>
        <v>51</v>
      </c>
      <c r="K45" s="18" t="str" cm="1">
        <f t="array" ref="K45">_xlfn._xlws.FILTER(DATA_WITH_GENUS_OLD!E:E,(DATA_WITH_GENUS_OLD!A:A=A45)*(DATA_WITH_GENUS_OLD!J:J=J45)*ROW(DATA_WITH_GENUS_OLD!E:E),0)</f>
        <v>Gammaridae</v>
      </c>
      <c r="L45" s="30">
        <f t="shared" si="13"/>
        <v>6</v>
      </c>
      <c r="M45">
        <f t="shared" si="14"/>
        <v>3</v>
      </c>
      <c r="N45" s="31">
        <f t="shared" si="24"/>
        <v>0</v>
      </c>
      <c r="O45" s="32">
        <f t="shared" si="15"/>
        <v>3</v>
      </c>
      <c r="P45">
        <f t="shared" si="16"/>
        <v>3</v>
      </c>
      <c r="Q45" s="100">
        <f t="shared" si="17"/>
        <v>15</v>
      </c>
      <c r="R45" s="15" t="str">
        <f t="shared" si="18"/>
        <v>Moderately Impaired</v>
      </c>
      <c r="S45">
        <f>COUNTIFS(DATA_WITH_GENUS_OLD!A:A,A45,DATA_WITH_GENUS_OLD!J:J, "&gt;0")</f>
        <v>9</v>
      </c>
      <c r="T45">
        <f>COUNTIFS(DATA_WITH_GENUS_OLD!A:A,A45,DATA_WITH_GENUS_OLD!K:K,"~*")</f>
        <v>1</v>
      </c>
      <c r="U45">
        <f>(COUNTIFS(DATA_WITH_GENUS_OLD!A:A,A45,DATA_WITH_GENUS_OLD!L:L,"Ephemeroptera"))/100</f>
        <v>0</v>
      </c>
      <c r="V45">
        <f>SUMIFS(DATA_WITH_GENUS_OLD!U:U,DATA_WITH_GENUS_OLD!A:A,A45)/100</f>
        <v>4.92</v>
      </c>
      <c r="W45">
        <f>(SUMIFS(DATA_WITH_GENUS_OLD!J:J,DATA_WITH_GENUS_OLD!A:A,A45,DATA_WITH_GENUS_OLD!Q:Q,TRUE))</f>
        <v>24</v>
      </c>
      <c r="X45">
        <f t="shared" si="27"/>
        <v>2</v>
      </c>
      <c r="Y45" s="18">
        <f t="shared" si="28"/>
        <v>0</v>
      </c>
      <c r="Z45" s="18">
        <f t="shared" si="25"/>
        <v>0</v>
      </c>
      <c r="AA45" s="18">
        <f t="shared" si="29"/>
        <v>4</v>
      </c>
      <c r="AB45" s="18">
        <f t="shared" si="30"/>
        <v>2</v>
      </c>
      <c r="AC45" s="98">
        <f t="shared" si="31"/>
        <v>8</v>
      </c>
      <c r="AD45" s="18" t="str">
        <f t="shared" si="26"/>
        <v>Fair</v>
      </c>
    </row>
    <row r="46" spans="1:30">
      <c r="A46" t="str">
        <f t="shared" si="12"/>
        <v>BB1_2017-04-01</v>
      </c>
      <c r="B46" t="s">
        <v>30</v>
      </c>
      <c r="C46" s="41">
        <v>42826</v>
      </c>
      <c r="D46">
        <f>SUMIF(DATA_WITH_GENUS_OLD!A:A,A46,DATA_WITH_GENUS_OLD!F:F)</f>
        <v>122</v>
      </c>
      <c r="E46">
        <f>SUMIF(DATA_WITH_GENUS_OLD!A:A,A46,DATA_WITH_GENUS_OLD!J:J)</f>
        <v>100</v>
      </c>
      <c r="F46" s="103">
        <f>SUMIFS(DATA_WITH_GENUS_OLD!T:T,DATA_WITH_GENUS_OLD!A:A,A46)/100</f>
        <v>5.5</v>
      </c>
      <c r="G46" cm="1">
        <f t="array" ref="G46">COUNTA(_xlfn.UNIQUE(_xlfn._xlws.FILTER(DATA_WITH_GENUS_OLD!A:A&amp;DATA_WITH_GENUS_OLD!D:D&amp;DATA_WITH_GENUS_OLD!J:J,(DATA_WITH_GENUS_OLD!A:A = A46)*(DATA_WITH_GENUS_OLD!J:J&gt;0))))</f>
        <v>10</v>
      </c>
      <c r="H46">
        <f>COUNTIFS(DATA_WITH_GENUS_OLD!A:A,A46,DATA_WITH_GENUS_OLD!K:K,"~*")</f>
        <v>1</v>
      </c>
      <c r="I46">
        <f>SUMIFS(DATA_WITH_GENUS_OLD!J:J,DATA_WITH_GENUS_OLD!A:A,A46,DATA_WITH_GENUS_OLD!K:K,"~*")</f>
        <v>25</v>
      </c>
      <c r="J46">
        <f>_xlfn.MAXIFS(DATA_WITH_GENUS_OLD!J:J,DATA_WITH_GENUS_OLD!A:A,A46)</f>
        <v>33</v>
      </c>
      <c r="K46" s="18" t="str" cm="1">
        <f t="array" ref="K46">_xlfn._xlws.FILTER(DATA_WITH_GENUS_OLD!E:E,(DATA_WITH_GENUS_OLD!A:A=A46)*(DATA_WITH_GENUS_OLD!J:J=J46)*ROW(DATA_WITH_GENUS_OLD!E:E),0)</f>
        <v>Gammaridae</v>
      </c>
      <c r="L46" s="30">
        <f t="shared" si="13"/>
        <v>3</v>
      </c>
      <c r="M46">
        <f t="shared" si="14"/>
        <v>3</v>
      </c>
      <c r="N46" s="31">
        <f t="shared" si="24"/>
        <v>0</v>
      </c>
      <c r="O46" s="32">
        <f t="shared" si="15"/>
        <v>3</v>
      </c>
      <c r="P46">
        <f t="shared" si="16"/>
        <v>6</v>
      </c>
      <c r="Q46" s="100">
        <f t="shared" si="17"/>
        <v>15</v>
      </c>
      <c r="R46" s="15" t="str">
        <f t="shared" si="18"/>
        <v>Moderately Impaired</v>
      </c>
      <c r="S46">
        <f>COUNTIFS(DATA_WITH_GENUS_OLD!A:A,A46,DATA_WITH_GENUS_OLD!J:J, "&gt;0")</f>
        <v>10</v>
      </c>
      <c r="T46">
        <f>COUNTIFS(DATA_WITH_GENUS_OLD!A:A,A46,DATA_WITH_GENUS_OLD!K:K,"~*")</f>
        <v>1</v>
      </c>
      <c r="U46">
        <f>(COUNTIFS(DATA_WITH_GENUS_OLD!A:A,A46,DATA_WITH_GENUS_OLD!L:L,"Ephemeroptera"))/100</f>
        <v>0</v>
      </c>
      <c r="V46">
        <f>SUMIFS(DATA_WITH_GENUS_OLD!U:U,DATA_WITH_GENUS_OLD!A:A,A46)/100</f>
        <v>5.58</v>
      </c>
      <c r="W46">
        <f>(SUMIFS(DATA_WITH_GENUS_OLD!J:J,DATA_WITH_GENUS_OLD!A:A,A46,DATA_WITH_GENUS_OLD!Q:Q,TRUE))</f>
        <v>28</v>
      </c>
      <c r="X46">
        <f t="shared" si="27"/>
        <v>2</v>
      </c>
      <c r="Y46" s="18">
        <f t="shared" si="28"/>
        <v>0</v>
      </c>
      <c r="Z46" s="18">
        <f t="shared" si="25"/>
        <v>0</v>
      </c>
      <c r="AA46" s="18">
        <f t="shared" si="29"/>
        <v>4</v>
      </c>
      <c r="AB46" s="18">
        <f t="shared" si="30"/>
        <v>2</v>
      </c>
      <c r="AC46" s="98">
        <f t="shared" si="31"/>
        <v>8</v>
      </c>
      <c r="AD46" s="18" t="str">
        <f t="shared" si="26"/>
        <v>Fair</v>
      </c>
    </row>
  </sheetData>
  <phoneticPr fontId="28" type="noConversion"/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62232-412E-4564-A51B-A0E94BA51A28}">
  <sheetPr>
    <tabColor rgb="FFFF0000"/>
  </sheetPr>
  <dimension ref="A1:AN29"/>
  <sheetViews>
    <sheetView topLeftCell="AC1" zoomScale="85" workbookViewId="0">
      <selection activeCell="AP4" sqref="AP4"/>
    </sheetView>
  </sheetViews>
  <sheetFormatPr baseColWidth="10" defaultColWidth="8.83203125" defaultRowHeight="15"/>
  <cols>
    <col min="1" max="1" width="16.6640625" customWidth="1"/>
    <col min="3" max="5" width="13.33203125" customWidth="1"/>
    <col min="6" max="6" width="8.83203125" style="98"/>
    <col min="7" max="9" width="10.83203125" customWidth="1"/>
    <col min="10" max="10" width="13.33203125" customWidth="1"/>
    <col min="11" max="11" width="19.5" customWidth="1"/>
    <col min="13" max="13" width="10.83203125" customWidth="1"/>
    <col min="15" max="15" width="11.83203125" customWidth="1"/>
    <col min="16" max="16" width="12.33203125" customWidth="1"/>
    <col min="17" max="17" width="8.83203125" style="98"/>
    <col min="18" max="18" width="18" customWidth="1"/>
    <col min="19" max="19" width="12.5" customWidth="1"/>
    <col min="20" max="20" width="17.5" customWidth="1"/>
    <col min="21" max="21" width="16" customWidth="1"/>
    <col min="22" max="22" width="10" customWidth="1"/>
    <col min="23" max="23" width="11.6640625" customWidth="1"/>
    <col min="24" max="24" width="11.5" customWidth="1"/>
    <col min="25" max="25" width="10.5" customWidth="1"/>
    <col min="26" max="26" width="16" customWidth="1"/>
    <col min="27" max="27" width="12.5" customWidth="1"/>
    <col min="28" max="28" width="15.5" customWidth="1"/>
    <col min="29" max="29" width="11.33203125" customWidth="1"/>
    <col min="30" max="30" width="12.5" customWidth="1"/>
    <col min="31" max="31" width="13.1640625" style="98" customWidth="1"/>
    <col min="32" max="32" width="13.1640625" customWidth="1"/>
    <col min="33" max="33" width="11" customWidth="1"/>
    <col min="34" max="34" width="11.83203125" customWidth="1"/>
    <col min="35" max="35" width="14.83203125" customWidth="1"/>
    <col min="36" max="36" width="11.6640625" customWidth="1"/>
    <col min="37" max="37" width="14.1640625" customWidth="1"/>
    <col min="38" max="38" width="14.33203125" customWidth="1"/>
    <col min="39" max="39" width="13.5" style="98" customWidth="1"/>
    <col min="40" max="40" width="11.83203125" customWidth="1"/>
  </cols>
  <sheetData>
    <row r="1" spans="1:40" s="58" customFormat="1" ht="64">
      <c r="A1" s="48" t="s">
        <v>0</v>
      </c>
      <c r="B1" s="49" t="s">
        <v>1</v>
      </c>
      <c r="C1" s="49" t="s">
        <v>2</v>
      </c>
      <c r="D1" s="48" t="s">
        <v>3</v>
      </c>
      <c r="E1" s="48" t="s">
        <v>4</v>
      </c>
      <c r="F1" s="96" t="s">
        <v>5</v>
      </c>
      <c r="G1" s="50" t="s">
        <v>2966</v>
      </c>
      <c r="H1" s="51" t="s">
        <v>7</v>
      </c>
      <c r="I1" s="50" t="s">
        <v>8</v>
      </c>
      <c r="J1" s="52" t="s">
        <v>9</v>
      </c>
      <c r="K1" s="53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99" t="s">
        <v>16</v>
      </c>
      <c r="R1" s="17" t="s">
        <v>17</v>
      </c>
      <c r="S1" s="40" t="s">
        <v>31</v>
      </c>
      <c r="T1" s="53" t="s">
        <v>32</v>
      </c>
      <c r="U1" s="53" t="s">
        <v>33</v>
      </c>
      <c r="V1" s="52" t="s">
        <v>21</v>
      </c>
      <c r="W1" s="51" t="s">
        <v>34</v>
      </c>
      <c r="X1" s="51" t="s">
        <v>35</v>
      </c>
      <c r="Y1" s="51" t="s">
        <v>36</v>
      </c>
      <c r="Z1" s="54" t="s">
        <v>37</v>
      </c>
      <c r="AA1" s="55" t="s">
        <v>38</v>
      </c>
      <c r="AB1" s="55" t="s">
        <v>39</v>
      </c>
      <c r="AC1" s="56" t="s">
        <v>40</v>
      </c>
      <c r="AD1" s="55" t="s">
        <v>2637</v>
      </c>
      <c r="AE1" s="101" t="s">
        <v>41</v>
      </c>
      <c r="AF1" s="54" t="s">
        <v>42</v>
      </c>
      <c r="AG1" s="51" t="s">
        <v>43</v>
      </c>
      <c r="AH1" s="51" t="s">
        <v>44</v>
      </c>
      <c r="AI1" s="53" t="s">
        <v>33</v>
      </c>
      <c r="AJ1" s="51" t="s">
        <v>45</v>
      </c>
      <c r="AK1" s="57" t="s">
        <v>46</v>
      </c>
      <c r="AL1" s="54" t="s">
        <v>47</v>
      </c>
      <c r="AM1" s="101" t="s">
        <v>48</v>
      </c>
      <c r="AN1" s="107" t="s">
        <v>42</v>
      </c>
    </row>
    <row r="2" spans="1:40">
      <c r="A2" t="str">
        <f t="shared" ref="A2:A9" si="0">B2&amp;"_"&amp;TEXT(C2,"yyyy-mm-dd")</f>
        <v>BD1_1996-11-16</v>
      </c>
      <c r="B2" t="s">
        <v>2629</v>
      </c>
      <c r="C2" s="36">
        <v>35385</v>
      </c>
      <c r="D2">
        <f>SUMIF(DATA_WITHOUT_GENUS!A:A,A2,DATA_WITHOUT_GENUS!E:E)</f>
        <v>106</v>
      </c>
      <c r="E2">
        <f>SUMIF(DATA_WITHOUT_GENUS!A:A,A2,DATA_WITHOUT_GENUS!I:I)</f>
        <v>100</v>
      </c>
      <c r="F2" s="97">
        <f>SUMIFS(DATA_WITHOUT_GENUS!M:M,DATA_WITHOUT_GENUS!A:A,A2)/100</f>
        <v>5.59</v>
      </c>
      <c r="G2" s="18">
        <f>COUNTIFS(DATA_WITHOUT_GENUS!A:A,A2,DATA_WITHOUT_GENUS!I:I, "&gt;0")</f>
        <v>10</v>
      </c>
      <c r="H2">
        <f>COUNTIFS(DATA_WITHOUT_GENUS!A:A,A2,DATA_WITHOUT_GENUS!J:J,TRUE)</f>
        <v>2</v>
      </c>
      <c r="I2" s="18">
        <f>SUMIFS(DATA_WITHOUT_GENUS!I:I,DATA_WITHOUT_GENUS!A:A,A2,DATA_WITHOUT_GENUS!J:J,TRUE)</f>
        <v>8</v>
      </c>
      <c r="J2">
        <f>_xlfn.MAXIFS(DATA_WITHOUT_GENUS!I:I,DATA_WITHOUT_GENUS!A:A,A2)</f>
        <v>28</v>
      </c>
      <c r="K2" s="18" t="str" cm="1">
        <f t="array" ref="K2">_xlfn._xlws.FILTER(DATA_WITHOUT_GENUS!D:D,(DATA_WITHOUT_GENUS!A:A=A2)*(DATA_WITHOUT_GENUS!I:I=J2)*ROW(DATA_WITHOUT_GENUS!D:D),0)</f>
        <v>BloodRed Chironomidae</v>
      </c>
      <c r="L2" s="30">
        <f>IF(F2="","",IF(F2&gt;7,0,IF(F2&lt;5,6,IF(F2&lt;=7,3))))</f>
        <v>3</v>
      </c>
      <c r="M2">
        <f>IF(G2="","",IF(G2&gt;10,6,IF(G2&lt;5,0,IF(G2&lt;=10,3))))</f>
        <v>3</v>
      </c>
      <c r="N2" s="31">
        <f>IF(H2="","",IF(H2&gt;5,6,IF(H2&lt;3,0,IF(H2&lt;=5,3))))</f>
        <v>0</v>
      </c>
      <c r="O2" s="32">
        <f>IF(I2="","",IF(I2&gt;35,6,IF(I2&lt;10,0,IF(I2&lt;=35,3,IF(I2&lt;10,0)))))</f>
        <v>0</v>
      </c>
      <c r="P2">
        <f>IF(J2="","",IF(J2&gt;60,0,IF(J2&lt;40,6,IF(J2&lt;=60,3))))</f>
        <v>6</v>
      </c>
      <c r="Q2" s="100">
        <f>SUM(L2:P2)</f>
        <v>12</v>
      </c>
      <c r="R2" s="15" t="str">
        <f>IF(Q2&gt;=24, "Non-Impaired", IF(Q2&lt;=6, "Severally Impaired", IF(Q2&gt;=9, "Moderately Impaired","")))</f>
        <v>Moderately Impaired</v>
      </c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00"/>
      <c r="AF2" s="15"/>
      <c r="AG2">
        <f>H2</f>
        <v>2</v>
      </c>
      <c r="AH2">
        <f>ROUND((((COUNTIFS(DATA_WITHOUT_GENUS!A:A,A2,DATA_WITHOUT_GENUS!N:N,FALSE))/G2)*100),1)</f>
        <v>30</v>
      </c>
      <c r="AI2" s="23">
        <f>SUMIFS(DATA_WITHOUT_GENUS!I:I,DATA_WITHOUT_GENUS!A:A,A2,DATA_WITHOUT_GENUS!O:O,TRUE)</f>
        <v>7</v>
      </c>
      <c r="AJ2">
        <f>COUNTIFS(DATA_WITHOUT_GENUS!A:A,A2,DATA_WITHOUT_GENUS!P:P,TRUE)</f>
        <v>2</v>
      </c>
      <c r="AK2">
        <f>F2+4.19-(3.636+0.615*(LOG10(128.6359653)))</f>
        <v>4.8467421179358965</v>
      </c>
      <c r="AL2">
        <f>(AI2)+35.15-(45.59-11.59*(LOG10(128.6359653)))</f>
        <v>21.007510330281256</v>
      </c>
      <c r="AM2" s="98">
        <f>((100*AG2/12) +(100*(70-(AH2))/63)+(100*AL2/67)+(100*AJ2/6)+(100*(7-AK2)/4))/5</f>
        <v>39.735600714787324</v>
      </c>
      <c r="AN2" t="str">
        <f>IF(AM2&gt;=63, "Excellent", IF(AM2&lt;21, "Poor", IF(AM2&lt;42, "Fair","Good")))</f>
        <v>Fair</v>
      </c>
    </row>
    <row r="3" spans="1:40">
      <c r="A3" t="str">
        <f t="shared" si="0"/>
        <v>BD1_1997-03-22</v>
      </c>
      <c r="B3" t="s">
        <v>2629</v>
      </c>
      <c r="C3" s="3">
        <v>35511</v>
      </c>
      <c r="D3">
        <f>SUMIF(DATA_WITHOUT_GENUS!A:A,A3,DATA_WITHOUT_GENUS!E:E)</f>
        <v>101</v>
      </c>
      <c r="E3">
        <f>SUMIF(DATA_WITHOUT_GENUS!A:A,A3,DATA_WITHOUT_GENUS!I:I)</f>
        <v>100</v>
      </c>
      <c r="F3" s="97">
        <f>SUMIFS(DATA_WITHOUT_GENUS!M:M,DATA_WITHOUT_GENUS!A:A,A3)/100</f>
        <v>5.93</v>
      </c>
      <c r="G3" s="18">
        <f>COUNTIFS(DATA_WITHOUT_GENUS!A:A,A3,DATA_WITHOUT_GENUS!I:I, "&gt;0")</f>
        <v>9</v>
      </c>
      <c r="H3">
        <f>COUNTIFS(DATA_WITHOUT_GENUS!A:A,A3,DATA_WITHOUT_GENUS!J:J,TRUE)</f>
        <v>2</v>
      </c>
      <c r="I3" s="18">
        <f>SUMIFS(DATA_WITHOUT_GENUS!I:I,DATA_WITHOUT_GENUS!A:A,A3,DATA_WITHOUT_GENUS!J:J,TRUE)</f>
        <v>2</v>
      </c>
      <c r="J3">
        <f>_xlfn.MAXIFS(DATA_WITHOUT_GENUS!I:I,DATA_WITHOUT_GENUS!A:A,A3)</f>
        <v>78</v>
      </c>
      <c r="K3" s="18" t="str" cm="1">
        <f t="array" ref="K3">_xlfn._xlws.FILTER(DATA_WITHOUT_GENUS!D:D,(DATA_WITHOUT_GENUS!A:A=A3)*(DATA_WITHOUT_GENUS!I:I=J3)*ROW(DATA_WITHOUT_GENUS!D:D),0)</f>
        <v>Chironomidae</v>
      </c>
      <c r="L3" s="30">
        <f>IF(F3="","",IF(F3&gt;7,0,IF(F3&lt;5,6,IF(F3&lt;=7,3))))</f>
        <v>3</v>
      </c>
      <c r="M3">
        <f>IF(G3="","",IF(G3&gt;10,6,IF(G3&lt;5,0,IF(G3&lt;=10,3))))</f>
        <v>3</v>
      </c>
      <c r="N3" s="31">
        <f>IF(H3="","",IF(H3&gt;5,6,IF(H3&lt;3,0,IF(H3&lt;=5,3))))</f>
        <v>0</v>
      </c>
      <c r="O3" s="32">
        <f>IF(I3="","",IF(I3&gt;35,6,IF(I3&lt;10,0,IF(I3&lt;=35,3,IF(I3&lt;10,0)))))</f>
        <v>0</v>
      </c>
      <c r="P3">
        <f>IF(J3="","",IF(J3&gt;60,0,IF(J3&lt;40,6,IF(J3&lt;=60,3))))</f>
        <v>0</v>
      </c>
      <c r="Q3" s="100">
        <f>SUM(L3:P3)</f>
        <v>6</v>
      </c>
      <c r="R3" s="15" t="str">
        <f>IF(Q3&gt;=24, "Non-Impaired", IF(Q3&lt;=6, "Severally Impaired", IF(Q3&gt;=9, "Moderately Impaired","")))</f>
        <v>Severally Impaired</v>
      </c>
      <c r="S3" s="15"/>
      <c r="T3" s="20"/>
      <c r="U3" s="23"/>
      <c r="W3" s="18"/>
      <c r="X3" s="18"/>
      <c r="AG3">
        <f>H3</f>
        <v>2</v>
      </c>
      <c r="AH3">
        <f>ROUND((((COUNTIFS(DATA_WITHOUT_GENUS!A:A,A3,DATA_WITHOUT_GENUS!N:N,FALSE))/G3)*100),1)</f>
        <v>22.2</v>
      </c>
      <c r="AI3" s="23">
        <f>SUMIFS(DATA_WITHOUT_GENUS!I:I,DATA_WITHOUT_GENUS!A:A,A3,DATA_WITHOUT_GENUS!O:O,TRUE)</f>
        <v>1</v>
      </c>
      <c r="AJ3">
        <f>COUNTIFS(DATA_WITHOUT_GENUS!A:A,A3,DATA_WITHOUT_GENUS!P:P,TRUE)</f>
        <v>2</v>
      </c>
      <c r="AK3">
        <f>F3+4.19-(3.636+0.615*(LOG10(128.6359653)))</f>
        <v>5.1867421179358963</v>
      </c>
      <c r="AL3">
        <f t="shared" ref="AL3:AL29" si="1">(AI3)+35.15-(45.59-11.59*(LOG10(128.6359653)))</f>
        <v>15.007510330281256</v>
      </c>
      <c r="AM3" s="98">
        <f t="shared" ref="AM3:AM29" si="2">((100*AG3/12) +(100*(70-(AH3))/63)+(100*AL3/67)+(100*AJ3/6)+(100*(7-AK3)/4))/5</f>
        <v>38.720746414858397</v>
      </c>
      <c r="AN3" t="str">
        <f>IF(AM3&gt;=63, "Excellent", IF(AM3&lt;21, "Poor", IF(AM3&lt;42, "Fair","Good")))</f>
        <v>Fair</v>
      </c>
    </row>
    <row r="4" spans="1:40">
      <c r="A4" t="str">
        <f t="shared" si="0"/>
        <v>BD1_1997-08-02</v>
      </c>
      <c r="B4" t="s">
        <v>2629</v>
      </c>
      <c r="C4" s="3">
        <v>35644</v>
      </c>
      <c r="D4">
        <f>SUMIF(DATA_WITHOUT_GENUS!A:A,A4,DATA_WITHOUT_GENUS!E:E)</f>
        <v>100</v>
      </c>
      <c r="E4">
        <f>SUMIF(DATA_WITHOUT_GENUS!A:A,A4,DATA_WITHOUT_GENUS!I:I)</f>
        <v>100</v>
      </c>
      <c r="F4" s="97">
        <f>SUMIFS(DATA_WITHOUT_GENUS!M:M,DATA_WITHOUT_GENUS!A:A,A4)/100</f>
        <v>5.27</v>
      </c>
      <c r="G4" s="18">
        <f>COUNTIFS(DATA_WITHOUT_GENUS!A:A,A4,DATA_WITHOUT_GENUS!I:I, "&gt;0")</f>
        <v>16</v>
      </c>
      <c r="H4">
        <f>COUNTIFS(DATA_WITHOUT_GENUS!A:A,A4,DATA_WITHOUT_GENUS!J:J,TRUE)</f>
        <v>3</v>
      </c>
      <c r="I4" s="18">
        <f>SUMIFS(DATA_WITHOUT_GENUS!I:I,DATA_WITHOUT_GENUS!A:A,A4,DATA_WITHOUT_GENUS!J:J,TRUE)</f>
        <v>11</v>
      </c>
      <c r="J4">
        <f>_xlfn.MAXIFS(DATA_WITHOUT_GENUS!I:I,DATA_WITHOUT_GENUS!A:A,A4)</f>
        <v>31</v>
      </c>
      <c r="K4" s="18" t="str" cm="1">
        <f t="array" ref="K4">_xlfn._xlws.FILTER(DATA_WITHOUT_GENUS!D:D,(DATA_WITHOUT_GENUS!A:A=A4)*(DATA_WITHOUT_GENUS!I:I=J4)*ROW(DATA_WITHOUT_GENUS!D:D),0)</f>
        <v>Gammaridae</v>
      </c>
      <c r="L4" s="30">
        <f>IF(F4="","",IF(F4&gt;7,0,IF(F4&lt;5,6,IF(F4&lt;=7,3))))</f>
        <v>3</v>
      </c>
      <c r="M4">
        <f>IF(G4="","",IF(G4&gt;10,6,IF(G4&lt;5,0,IF(G4&lt;=10,3))))</f>
        <v>6</v>
      </c>
      <c r="N4" s="31">
        <f>IF(H4="","",IF(H4&gt;5,6,IF(H4&lt;3,0,IF(H4&lt;=5,3))))</f>
        <v>3</v>
      </c>
      <c r="O4" s="32">
        <f>IF(I4="","",IF(I4&gt;35,6,IF(I4&lt;10,0,IF(I4&lt;=35,3,IF(I4&lt;10,0)))))</f>
        <v>3</v>
      </c>
      <c r="P4">
        <f>IF(J4="","",IF(J4&gt;60,0,IF(J4&lt;40,6,IF(J4&lt;=60,3))))</f>
        <v>6</v>
      </c>
      <c r="Q4" s="100">
        <f>SUM(L4:P4)</f>
        <v>21</v>
      </c>
      <c r="R4" s="15" t="str">
        <f>IF(Q4&gt;=24, "Non-Impaired", IF(Q4&lt;=6, "Severally Impaired", IF(Q4&gt;=9, "Moderately Impaired","")))</f>
        <v>Moderately Impaired</v>
      </c>
      <c r="S4" s="15"/>
      <c r="T4" s="20"/>
      <c r="U4" s="23"/>
      <c r="W4" s="18"/>
      <c r="X4" s="18"/>
      <c r="AG4">
        <f>H4</f>
        <v>3</v>
      </c>
      <c r="AH4">
        <f>ROUND((((COUNTIFS(DATA_WITHOUT_GENUS!A:A,A4,DATA_WITHOUT_GENUS!N:N,FALSE))/G4)*100),1)</f>
        <v>37.5</v>
      </c>
      <c r="AI4" s="23">
        <f>SUMIFS(DATA_WITHOUT_GENUS!I:I,DATA_WITHOUT_GENUS!A:A,A4,DATA_WITHOUT_GENUS!O:O,TRUE)</f>
        <v>8</v>
      </c>
      <c r="AJ4">
        <f>COUNTIFS(DATA_WITHOUT_GENUS!A:A,A4,DATA_WITHOUT_GENUS!P:P,TRUE)</f>
        <v>3</v>
      </c>
      <c r="AK4">
        <f>F4+4.19-(3.636+0.615*(LOG10(128.6359653)))</f>
        <v>4.5267421179358962</v>
      </c>
      <c r="AL4">
        <f t="shared" si="1"/>
        <v>22.007510330281256</v>
      </c>
      <c r="AM4" s="98">
        <f t="shared" si="2"/>
        <v>44.253155796521511</v>
      </c>
      <c r="AN4" t="str">
        <f>IF(AM4&gt;=63, "Excellent", IF(AM4&lt;21, "Poor", IF(AM4&lt;42, "Fair","Good")))</f>
        <v>Good</v>
      </c>
    </row>
    <row r="5" spans="1:40">
      <c r="A5" t="str">
        <f t="shared" si="0"/>
        <v>BD1_1998-10-23</v>
      </c>
      <c r="B5" t="s">
        <v>2629</v>
      </c>
      <c r="C5" s="3">
        <v>36091</v>
      </c>
      <c r="D5">
        <f>SUMIF(DATA_WITHOUT_GENUS!A:A,A5,DATA_WITHOUT_GENUS!E:E)</f>
        <v>102</v>
      </c>
      <c r="E5">
        <f>SUMIF(DATA_WITHOUT_GENUS!A:A,A5,DATA_WITHOUT_GENUS!I:I)</f>
        <v>100</v>
      </c>
      <c r="F5" s="97">
        <f>SUMIFS(DATA_WITHOUT_GENUS!M:M,DATA_WITHOUT_GENUS!A:A,A5)/100</f>
        <v>4.17</v>
      </c>
      <c r="G5" s="18">
        <f>COUNTIFS(DATA_WITHOUT_GENUS!A:A,A5,DATA_WITHOUT_GENUS!I:I, "&gt;0")</f>
        <v>9</v>
      </c>
      <c r="H5">
        <f>COUNTIFS(DATA_WITHOUT_GENUS!A:A,A5,DATA_WITHOUT_GENUS!J:J,TRUE)</f>
        <v>0</v>
      </c>
      <c r="I5" s="18">
        <f>SUMIFS(DATA_WITHOUT_GENUS!I:I,DATA_WITHOUT_GENUS!A:A,A5,DATA_WITHOUT_GENUS!J:J,TRUE)</f>
        <v>0</v>
      </c>
      <c r="J5">
        <f>_xlfn.MAXIFS(DATA_WITHOUT_GENUS!I:I,DATA_WITHOUT_GENUS!A:A,A5)</f>
        <v>43</v>
      </c>
      <c r="K5" s="33" t="s">
        <v>2769</v>
      </c>
      <c r="L5" s="30">
        <f t="shared" ref="L5:L29" si="3">IF(F5="","",IF(F5&gt;7,0,IF(F5&lt;5,6,IF(F5&lt;=7,3))))</f>
        <v>6</v>
      </c>
      <c r="M5">
        <f t="shared" ref="M5:M29" si="4">IF(G5="","",IF(G5&gt;10,6,IF(G5&lt;5,0,IF(G5&lt;=10,3))))</f>
        <v>3</v>
      </c>
      <c r="N5" s="31">
        <f t="shared" ref="N5:N29" si="5">IF(H5="","",IF(H5&gt;5,6,IF(H5&lt;3,0,IF(H5&lt;=5,3))))</f>
        <v>0</v>
      </c>
      <c r="O5" s="32">
        <f t="shared" ref="O5:O29" si="6">IF(I5="","",IF(I5&gt;35,6,IF(I5&lt;10,0,IF(I5&lt;=35,3,IF(I5&lt;10,0)))))</f>
        <v>0</v>
      </c>
      <c r="P5">
        <f t="shared" ref="P5:P29" si="7">IF(J5="","",IF(J5&gt;60,0,IF(J5&lt;40,6,IF(J5&lt;=60,3))))</f>
        <v>3</v>
      </c>
      <c r="Q5" s="100">
        <f t="shared" ref="Q5:Q29" si="8">SUM(L5:P5)</f>
        <v>12</v>
      </c>
      <c r="R5" s="15" t="str">
        <f t="shared" ref="R5:R29" si="9">IF(Q5&gt;=24, "Non-Impaired", IF(Q5&lt;=6, "Severally Impaired", IF(Q5&gt;=9, "Moderately Impaired","")))</f>
        <v>Moderately Impaired</v>
      </c>
      <c r="S5" s="15"/>
      <c r="T5" s="20"/>
      <c r="U5" s="23"/>
      <c r="W5" s="18"/>
      <c r="X5" s="18"/>
      <c r="AG5">
        <f t="shared" ref="AG5:AG29" si="10">H5</f>
        <v>0</v>
      </c>
      <c r="AH5">
        <f>ROUND((((COUNTIFS(DATA_WITHOUT_GENUS!A:A,A5,DATA_WITHOUT_GENUS!N:N,FALSE))/G5)*100),1)</f>
        <v>33.299999999999997</v>
      </c>
      <c r="AI5" s="23">
        <f>SUMIFS(DATA_WITHOUT_GENUS!I:I,DATA_WITHOUT_GENUS!A:A,A5,DATA_WITHOUT_GENUS!O:O,TRUE)</f>
        <v>0</v>
      </c>
      <c r="AJ5">
        <f>COUNTIFS(DATA_WITHOUT_GENUS!A:A,A5,DATA_WITHOUT_GENUS!P:P,TRUE)</f>
        <v>2</v>
      </c>
      <c r="AK5">
        <f t="shared" ref="AK5:AK29" si="11">F5+4.19-(3.636+0.615*(LOG10(128.6359653)))</f>
        <v>3.4267421179358948</v>
      </c>
      <c r="AL5">
        <f t="shared" si="1"/>
        <v>14.007510330281256</v>
      </c>
      <c r="AM5" s="98">
        <f t="shared" si="2"/>
        <v>40.365096095028981</v>
      </c>
      <c r="AN5" t="str">
        <f t="shared" ref="AN5:AN29" si="12">IF(AM5&gt;=63, "Excellent", IF(AM5&lt;21, "Poor", IF(AM5&lt;42, "Fair","Good")))</f>
        <v>Fair</v>
      </c>
    </row>
    <row r="6" spans="1:40">
      <c r="A6" t="str">
        <f t="shared" si="0"/>
        <v>BD1_1999-04-10</v>
      </c>
      <c r="B6" t="s">
        <v>2629</v>
      </c>
      <c r="C6" s="3">
        <v>36260</v>
      </c>
      <c r="D6">
        <f>SUMIF(DATA_WITHOUT_GENUS!A:A,A6,DATA_WITHOUT_GENUS!E:E)</f>
        <v>101</v>
      </c>
      <c r="E6">
        <f>SUMIF(DATA_WITHOUT_GENUS!A:A,A6,DATA_WITHOUT_GENUS!I:I)</f>
        <v>100</v>
      </c>
      <c r="F6" s="97">
        <f>SUMIFS(DATA_WITHOUT_GENUS!M:M,DATA_WITHOUT_GENUS!A:A,A6)/100</f>
        <v>6.55</v>
      </c>
      <c r="G6" s="18">
        <f>COUNTIFS(DATA_WITHOUT_GENUS!A:A,A6,DATA_WITHOUT_GENUS!I:I, "&gt;0")</f>
        <v>10</v>
      </c>
      <c r="H6">
        <f>COUNTIFS(DATA_WITHOUT_GENUS!A:A,A6,DATA_WITHOUT_GENUS!J:J,TRUE)</f>
        <v>0</v>
      </c>
      <c r="I6" s="18">
        <f>SUMIFS(DATA_WITHOUT_GENUS!I:I,DATA_WITHOUT_GENUS!A:A,A6,DATA_WITHOUT_GENUS!J:J,TRUE)</f>
        <v>0</v>
      </c>
      <c r="J6">
        <f>_xlfn.MAXIFS(DATA_WITHOUT_GENUS!I:I,DATA_WITHOUT_GENUS!A:A,A6)</f>
        <v>32</v>
      </c>
      <c r="K6" s="18" t="str" cm="1">
        <f t="array" ref="K6">_xlfn._xlws.FILTER(DATA_WITHOUT_GENUS!D:D,(DATA_WITHOUT_GENUS!A:A=A6)*(DATA_WITHOUT_GENUS!I:I=J6)*ROW(DATA_WITHOUT_GENUS!D:D),0)</f>
        <v>BloodRed Chironomidae</v>
      </c>
      <c r="L6" s="30">
        <f t="shared" si="3"/>
        <v>3</v>
      </c>
      <c r="M6">
        <f t="shared" si="4"/>
        <v>3</v>
      </c>
      <c r="N6" s="31">
        <f t="shared" si="5"/>
        <v>0</v>
      </c>
      <c r="O6" s="32">
        <f t="shared" si="6"/>
        <v>0</v>
      </c>
      <c r="P6">
        <f t="shared" si="7"/>
        <v>6</v>
      </c>
      <c r="Q6" s="100">
        <f t="shared" si="8"/>
        <v>12</v>
      </c>
      <c r="R6" s="15" t="str">
        <f t="shared" si="9"/>
        <v>Moderately Impaired</v>
      </c>
      <c r="S6" s="15"/>
      <c r="T6" s="20"/>
      <c r="U6" s="23"/>
      <c r="W6" s="18"/>
      <c r="X6" s="18"/>
      <c r="AG6">
        <f t="shared" si="10"/>
        <v>0</v>
      </c>
      <c r="AH6">
        <f>ROUND((((COUNTIFS(DATA_WITHOUT_GENUS!A:A,A6,DATA_WITHOUT_GENUS!N:N,FALSE))/G6)*100),1)</f>
        <v>50</v>
      </c>
      <c r="AI6" s="23">
        <f>SUMIFS(DATA_WITHOUT_GENUS!I:I,DATA_WITHOUT_GENUS!A:A,A6,DATA_WITHOUT_GENUS!O:O,TRUE)</f>
        <v>0</v>
      </c>
      <c r="AJ6">
        <f>COUNTIFS(DATA_WITHOUT_GENUS!A:A,A6,DATA_WITHOUT_GENUS!P:P,TRUE)</f>
        <v>3</v>
      </c>
      <c r="AK6">
        <f t="shared" si="11"/>
        <v>5.8067421179358956</v>
      </c>
      <c r="AL6">
        <f t="shared" si="1"/>
        <v>14.007510330281256</v>
      </c>
      <c r="AM6" s="98">
        <f t="shared" si="2"/>
        <v>26.496842126775004</v>
      </c>
      <c r="AN6" t="str">
        <f t="shared" si="12"/>
        <v>Fair</v>
      </c>
    </row>
    <row r="7" spans="1:40">
      <c r="A7" t="str">
        <f t="shared" si="0"/>
        <v>BD1_1999-07-20</v>
      </c>
      <c r="B7" t="s">
        <v>2629</v>
      </c>
      <c r="C7" s="3">
        <v>36361</v>
      </c>
      <c r="D7">
        <f>SUMIF(DATA_WITHOUT_GENUS!A:A,A7,DATA_WITHOUT_GENUS!E:E)</f>
        <v>131</v>
      </c>
      <c r="E7">
        <f>SUMIF(DATA_WITHOUT_GENUS!A:A,A7,DATA_WITHOUT_GENUS!I:I)</f>
        <v>100</v>
      </c>
      <c r="F7" s="97">
        <f>SUMIFS(DATA_WITHOUT_GENUS!M:M,DATA_WITHOUT_GENUS!A:A,A7)/100</f>
        <v>4.24</v>
      </c>
      <c r="G7" s="18">
        <f>COUNTIFS(DATA_WITHOUT_GENUS!A:A,A7,DATA_WITHOUT_GENUS!I:I, "&gt;0")</f>
        <v>11</v>
      </c>
      <c r="H7">
        <f>COUNTIFS(DATA_WITHOUT_GENUS!A:A,A7,DATA_WITHOUT_GENUS!J:J,TRUE)</f>
        <v>3</v>
      </c>
      <c r="I7" s="18">
        <f>SUMIFS(DATA_WITHOUT_GENUS!I:I,DATA_WITHOUT_GENUS!A:A,A7,DATA_WITHOUT_GENUS!J:J,TRUE)</f>
        <v>33</v>
      </c>
      <c r="J7">
        <f>_xlfn.MAXIFS(DATA_WITHOUT_GENUS!I:I,DATA_WITHOUT_GENUS!A:A,A7)</f>
        <v>39</v>
      </c>
      <c r="K7" s="18" t="str" cm="1">
        <f t="array" ref="K7">_xlfn._xlws.FILTER(DATA_WITHOUT_GENUS!D:D,(DATA_WITHOUT_GENUS!A:A=A7)*(DATA_WITHOUT_GENUS!I:I=J7)*ROW(DATA_WITHOUT_GENUS!D:D),0)</f>
        <v>Gammaridae</v>
      </c>
      <c r="L7" s="30">
        <f t="shared" si="3"/>
        <v>6</v>
      </c>
      <c r="M7">
        <f t="shared" si="4"/>
        <v>6</v>
      </c>
      <c r="N7" s="31">
        <f t="shared" si="5"/>
        <v>3</v>
      </c>
      <c r="O7" s="32">
        <f t="shared" si="6"/>
        <v>3</v>
      </c>
      <c r="P7">
        <f t="shared" si="7"/>
        <v>6</v>
      </c>
      <c r="Q7" s="100">
        <f t="shared" si="8"/>
        <v>24</v>
      </c>
      <c r="R7" s="15" t="str">
        <f t="shared" si="9"/>
        <v>Non-Impaired</v>
      </c>
      <c r="S7" s="15"/>
      <c r="T7" s="20"/>
      <c r="U7" s="23"/>
      <c r="W7" s="18"/>
      <c r="X7" s="18"/>
      <c r="AG7">
        <f t="shared" si="10"/>
        <v>3</v>
      </c>
      <c r="AH7">
        <f>ROUND((((COUNTIFS(DATA_WITHOUT_GENUS!A:A,A7,DATA_WITHOUT_GENUS!N:N,FALSE))/G7)*100),1)</f>
        <v>27.3</v>
      </c>
      <c r="AI7" s="23">
        <f>SUMIFS(DATA_WITHOUT_GENUS!I:I,DATA_WITHOUT_GENUS!A:A,A7,DATA_WITHOUT_GENUS!O:O,TRUE)</f>
        <v>1</v>
      </c>
      <c r="AJ7">
        <f>COUNTIFS(DATA_WITHOUT_GENUS!A:A,A7,DATA_WITHOUT_GENUS!P:P,TRUE)</f>
        <v>3</v>
      </c>
      <c r="AK7">
        <f t="shared" si="11"/>
        <v>3.4967421179358951</v>
      </c>
      <c r="AL7">
        <f t="shared" si="1"/>
        <v>15.007510330281256</v>
      </c>
      <c r="AM7" s="98">
        <f t="shared" si="2"/>
        <v>50.551698795810779</v>
      </c>
      <c r="AN7" t="str">
        <f t="shared" si="12"/>
        <v>Good</v>
      </c>
    </row>
    <row r="8" spans="1:40">
      <c r="A8" t="str">
        <f t="shared" si="0"/>
        <v>BD1_1999-10-13</v>
      </c>
      <c r="B8" t="s">
        <v>2629</v>
      </c>
      <c r="C8" s="3">
        <v>36446</v>
      </c>
      <c r="D8" s="102">
        <f>SUMIF(DATA_WITHOUT_GENUS!A:A,A8,DATA_WITHOUT_GENUS!E:E)</f>
        <v>54</v>
      </c>
      <c r="F8" s="97"/>
      <c r="G8" s="18"/>
      <c r="I8" s="18"/>
      <c r="K8" s="18"/>
      <c r="L8" s="30"/>
      <c r="N8" s="31"/>
      <c r="O8" s="32"/>
      <c r="Q8" s="100"/>
      <c r="R8" s="15"/>
      <c r="S8" s="15"/>
      <c r="T8" s="20"/>
      <c r="U8" s="23"/>
      <c r="W8" s="18"/>
      <c r="X8" s="18"/>
      <c r="AI8" s="23"/>
    </row>
    <row r="9" spans="1:40">
      <c r="A9" t="str">
        <f t="shared" si="0"/>
        <v>BD1_2000-07-22</v>
      </c>
      <c r="B9" t="s">
        <v>2629</v>
      </c>
      <c r="C9" s="3">
        <v>36729</v>
      </c>
      <c r="D9">
        <f>SUMIF(DATA_WITHOUT_GENUS!A:A,A9,DATA_WITHOUT_GENUS!E:E)</f>
        <v>102</v>
      </c>
      <c r="E9">
        <f>SUMIF(DATA_WITHOUT_GENUS!A:A,A9,DATA_WITHOUT_GENUS!I:I)</f>
        <v>100</v>
      </c>
      <c r="F9" s="97">
        <f>SUMIFS(DATA_WITHOUT_GENUS!M:M,DATA_WITHOUT_GENUS!A:A,A9)/100</f>
        <v>4.18</v>
      </c>
      <c r="G9" s="18">
        <f>COUNTIFS(DATA_WITHOUT_GENUS!A:A,A9,DATA_WITHOUT_GENUS!I:I, "&gt;0")</f>
        <v>10</v>
      </c>
      <c r="H9">
        <f>COUNTIFS(DATA_WITHOUT_GENUS!A:A,A9,DATA_WITHOUT_GENUS!J:J,TRUE)</f>
        <v>3</v>
      </c>
      <c r="I9" s="18">
        <f>SUMIFS(DATA_WITHOUT_GENUS!I:I,DATA_WITHOUT_GENUS!A:A,A9,DATA_WITHOUT_GENUS!J:J,TRUE)</f>
        <v>70</v>
      </c>
      <c r="J9">
        <f>_xlfn.MAXIFS(DATA_WITHOUT_GENUS!I:I,DATA_WITHOUT_GENUS!A:A,A9)</f>
        <v>68</v>
      </c>
      <c r="K9" s="18" t="str" cm="1">
        <f t="array" ref="K9">_xlfn._xlws.FILTER(DATA_WITHOUT_GENUS!D:D,(DATA_WITHOUT_GENUS!A:A=A9)*(DATA_WITHOUT_GENUS!I:I=J9)*ROW(DATA_WITHOUT_GENUS!D:D),0)</f>
        <v>Hydropsychidae</v>
      </c>
      <c r="L9" s="30">
        <f t="shared" si="3"/>
        <v>6</v>
      </c>
      <c r="M9">
        <f t="shared" si="4"/>
        <v>3</v>
      </c>
      <c r="N9" s="31">
        <f t="shared" si="5"/>
        <v>3</v>
      </c>
      <c r="O9" s="32">
        <f t="shared" si="6"/>
        <v>6</v>
      </c>
      <c r="P9">
        <f t="shared" si="7"/>
        <v>0</v>
      </c>
      <c r="Q9" s="100">
        <f t="shared" si="8"/>
        <v>18</v>
      </c>
      <c r="R9" s="15" t="str">
        <f t="shared" si="9"/>
        <v>Moderately Impaired</v>
      </c>
      <c r="S9" s="15"/>
      <c r="T9" s="20"/>
      <c r="U9" s="23"/>
      <c r="W9" s="18"/>
      <c r="X9" s="18"/>
      <c r="AG9">
        <f t="shared" si="10"/>
        <v>3</v>
      </c>
      <c r="AH9">
        <f>ROUND((((COUNTIFS(DATA_WITHOUT_GENUS!A:A,A9,DATA_WITHOUT_GENUS!N:N,FALSE))/G9)*100),1)</f>
        <v>30</v>
      </c>
      <c r="AI9" s="23">
        <f>SUMIFS(DATA_WITHOUT_GENUS!I:I,DATA_WITHOUT_GENUS!A:A,A9,DATA_WITHOUT_GENUS!O:O,TRUE)</f>
        <v>2</v>
      </c>
      <c r="AJ9">
        <f>COUNTIFS(DATA_WITHOUT_GENUS!A:A,A9,DATA_WITHOUT_GENUS!P:P,TRUE)</f>
        <v>3</v>
      </c>
      <c r="AK9">
        <f t="shared" si="11"/>
        <v>3.4367421179358963</v>
      </c>
      <c r="AL9">
        <f t="shared" si="1"/>
        <v>16.007510330281256</v>
      </c>
      <c r="AM9" s="98">
        <f t="shared" si="2"/>
        <v>50.293063401354487</v>
      </c>
      <c r="AN9" t="str">
        <f t="shared" si="12"/>
        <v>Good</v>
      </c>
    </row>
    <row r="10" spans="1:40">
      <c r="A10" t="str">
        <f t="shared" ref="A10:A29" si="13">B10&amp;"_"&amp;TEXT(C10,"yyyy-mm-dd")</f>
        <v>BD1_2000-10-21</v>
      </c>
      <c r="B10" t="s">
        <v>2629</v>
      </c>
      <c r="C10" s="3">
        <v>36820</v>
      </c>
      <c r="D10">
        <f>SUMIF(DATA_WITHOUT_GENUS!A:A,A10,DATA_WITHOUT_GENUS!E:E)</f>
        <v>103</v>
      </c>
      <c r="E10">
        <f>SUMIF(DATA_WITHOUT_GENUS!A:A,A10,DATA_WITHOUT_GENUS!I:I)</f>
        <v>100</v>
      </c>
      <c r="F10" s="97">
        <f>SUMIFS(DATA_WITHOUT_GENUS!M:M,DATA_WITHOUT_GENUS!A:A,A10)/100</f>
        <v>4.0599999999999996</v>
      </c>
      <c r="G10" s="18">
        <f>COUNTIFS(DATA_WITHOUT_GENUS!A:A,A10,DATA_WITHOUT_GENUS!I:I, "&gt;0")</f>
        <v>10</v>
      </c>
      <c r="H10">
        <f>COUNTIFS(DATA_WITHOUT_GENUS!A:A,A10,DATA_WITHOUT_GENUS!J:J,TRUE)</f>
        <v>3</v>
      </c>
      <c r="I10" s="18">
        <f>SUMIFS(DATA_WITHOUT_GENUS!I:I,DATA_WITHOUT_GENUS!A:A,A10,DATA_WITHOUT_GENUS!J:J,TRUE)</f>
        <v>28</v>
      </c>
      <c r="J10">
        <f>_xlfn.MAXIFS(DATA_WITHOUT_GENUS!I:I,DATA_WITHOUT_GENUS!A:A,A10)</f>
        <v>33</v>
      </c>
      <c r="K10" s="18" t="str" cm="1">
        <f t="array" ref="K10">_xlfn._xlws.FILTER(DATA_WITHOUT_GENUS!D:D,(DATA_WITHOUT_GENUS!A:A=A10)*(DATA_WITHOUT_GENUS!I:I=J10)*ROW(DATA_WITHOUT_GENUS!D:D),0)</f>
        <v>Psephenidae</v>
      </c>
      <c r="L10" s="30">
        <f t="shared" si="3"/>
        <v>6</v>
      </c>
      <c r="M10">
        <f t="shared" si="4"/>
        <v>3</v>
      </c>
      <c r="N10" s="31">
        <f t="shared" si="5"/>
        <v>3</v>
      </c>
      <c r="O10" s="32">
        <f t="shared" si="6"/>
        <v>3</v>
      </c>
      <c r="P10">
        <f t="shared" si="7"/>
        <v>6</v>
      </c>
      <c r="Q10" s="100">
        <f t="shared" si="8"/>
        <v>21</v>
      </c>
      <c r="R10" s="15" t="str">
        <f t="shared" si="9"/>
        <v>Moderately Impaired</v>
      </c>
      <c r="S10" s="15"/>
      <c r="T10" s="20"/>
      <c r="U10" s="23"/>
      <c r="W10" s="18"/>
      <c r="X10" s="18"/>
      <c r="AG10">
        <f t="shared" si="10"/>
        <v>3</v>
      </c>
      <c r="AH10">
        <f>ROUND((((COUNTIFS(DATA_WITHOUT_GENUS!A:A,A10,DATA_WITHOUT_GENUS!N:N,FALSE))/G10)*100),1)</f>
        <v>30</v>
      </c>
      <c r="AI10" s="23">
        <f>SUMIFS(DATA_WITHOUT_GENUS!I:I,DATA_WITHOUT_GENUS!A:A,A10,DATA_WITHOUT_GENUS!O:O,TRUE)</f>
        <v>15</v>
      </c>
      <c r="AJ10">
        <f>COUNTIFS(DATA_WITHOUT_GENUS!A:A,A10,DATA_WITHOUT_GENUS!P:P,TRUE)</f>
        <v>2</v>
      </c>
      <c r="AK10">
        <f t="shared" si="11"/>
        <v>3.3167421179358954</v>
      </c>
      <c r="AL10">
        <f t="shared" si="1"/>
        <v>29.007510330281256</v>
      </c>
      <c r="AM10" s="98">
        <f t="shared" si="2"/>
        <v>51.440327082946531</v>
      </c>
      <c r="AN10" t="str">
        <f t="shared" si="12"/>
        <v>Good</v>
      </c>
    </row>
    <row r="11" spans="1:40">
      <c r="A11" t="str">
        <f t="shared" si="13"/>
        <v>BD1_2001-07-21</v>
      </c>
      <c r="B11" t="s">
        <v>2629</v>
      </c>
      <c r="C11" s="3">
        <v>37093</v>
      </c>
      <c r="D11">
        <f>SUMIF(DATA_WITHOUT_GENUS!A:A,A11,DATA_WITHOUT_GENUS!E:E)</f>
        <v>107</v>
      </c>
      <c r="E11">
        <f>SUMIF(DATA_WITHOUT_GENUS!A:A,A11,DATA_WITHOUT_GENUS!I:I)</f>
        <v>100</v>
      </c>
      <c r="F11" s="97">
        <f>SUMIFS(DATA_WITHOUT_GENUS!M:M,DATA_WITHOUT_GENUS!A:A,A11)/100</f>
        <v>3.87</v>
      </c>
      <c r="G11" s="18">
        <f>COUNTIFS(DATA_WITHOUT_GENUS!A:A,A11,DATA_WITHOUT_GENUS!I:I, "&gt;0")</f>
        <v>7</v>
      </c>
      <c r="H11">
        <f>COUNTIFS(DATA_WITHOUT_GENUS!A:A,A11,DATA_WITHOUT_GENUS!J:J,TRUE)</f>
        <v>2</v>
      </c>
      <c r="I11" s="18">
        <f>SUMIFS(DATA_WITHOUT_GENUS!I:I,DATA_WITHOUT_GENUS!A:A,A11,DATA_WITHOUT_GENUS!J:J,TRUE)</f>
        <v>57</v>
      </c>
      <c r="J11">
        <f>_xlfn.MAXIFS(DATA_WITHOUT_GENUS!I:I,DATA_WITHOUT_GENUS!A:A,A11)</f>
        <v>50</v>
      </c>
      <c r="K11" s="18" t="str" cm="1">
        <f t="array" ref="K11">_xlfn._xlws.FILTER(DATA_WITHOUT_GENUS!D:D,(DATA_WITHOUT_GENUS!A:A=A11)*(DATA_WITHOUT_GENUS!I:I=J11)*ROW(DATA_WITHOUT_GENUS!D:D),0)</f>
        <v>Hydropsychidae</v>
      </c>
      <c r="L11" s="30">
        <f t="shared" si="3"/>
        <v>6</v>
      </c>
      <c r="M11">
        <f t="shared" si="4"/>
        <v>3</v>
      </c>
      <c r="N11" s="31">
        <f t="shared" si="5"/>
        <v>0</v>
      </c>
      <c r="O11" s="32">
        <f t="shared" si="6"/>
        <v>6</v>
      </c>
      <c r="P11">
        <f t="shared" si="7"/>
        <v>3</v>
      </c>
      <c r="Q11" s="100">
        <f t="shared" si="8"/>
        <v>18</v>
      </c>
      <c r="R11" s="15" t="str">
        <f t="shared" si="9"/>
        <v>Moderately Impaired</v>
      </c>
      <c r="S11" s="15"/>
      <c r="T11" s="20"/>
      <c r="U11" s="23"/>
      <c r="W11" s="18"/>
      <c r="X11" s="18"/>
      <c r="AG11">
        <f t="shared" si="10"/>
        <v>2</v>
      </c>
      <c r="AH11">
        <f>ROUND((((COUNTIFS(DATA_WITHOUT_GENUS!A:A,A11,DATA_WITHOUT_GENUS!N:N,FALSE))/G11)*100),1)</f>
        <v>28.6</v>
      </c>
      <c r="AI11" s="23">
        <f>SUMIFS(DATA_WITHOUT_GENUS!I:I,DATA_WITHOUT_GENUS!A:A,A11,DATA_WITHOUT_GENUS!O:O,TRUE)</f>
        <v>7</v>
      </c>
      <c r="AJ11">
        <f>COUNTIFS(DATA_WITHOUT_GENUS!A:A,A11,DATA_WITHOUT_GENUS!P:P,TRUE)</f>
        <v>2</v>
      </c>
      <c r="AK11">
        <f t="shared" si="11"/>
        <v>3.1267421179358958</v>
      </c>
      <c r="AL11">
        <f t="shared" si="1"/>
        <v>21.007510330281256</v>
      </c>
      <c r="AM11" s="98">
        <f t="shared" si="2"/>
        <v>48.780045159231769</v>
      </c>
      <c r="AN11" t="str">
        <f t="shared" si="12"/>
        <v>Good</v>
      </c>
    </row>
    <row r="12" spans="1:40">
      <c r="A12" t="str">
        <f t="shared" si="13"/>
        <v>BD1_2002-03-23</v>
      </c>
      <c r="B12" t="s">
        <v>2629</v>
      </c>
      <c r="C12" s="3">
        <v>37338</v>
      </c>
      <c r="D12">
        <f>SUMIF(DATA_WITHOUT_GENUS!A:A,A12,DATA_WITHOUT_GENUS!E:E)</f>
        <v>130</v>
      </c>
      <c r="E12">
        <f>SUMIF(DATA_WITHOUT_GENUS!A:A,A12,DATA_WITHOUT_GENUS!I:I)</f>
        <v>100</v>
      </c>
      <c r="F12" s="97">
        <f>SUMIFS(DATA_WITHOUT_GENUS!M:M,DATA_WITHOUT_GENUS!A:A,A12)/100</f>
        <v>5.36</v>
      </c>
      <c r="G12" s="18">
        <f>COUNTIFS(DATA_WITHOUT_GENUS!A:A,A12,DATA_WITHOUT_GENUS!I:I, "&gt;0")</f>
        <v>9</v>
      </c>
      <c r="H12">
        <f>COUNTIFS(DATA_WITHOUT_GENUS!A:A,A12,DATA_WITHOUT_GENUS!J:J,TRUE)</f>
        <v>4</v>
      </c>
      <c r="I12" s="18">
        <f>SUMIFS(DATA_WITHOUT_GENUS!I:I,DATA_WITHOUT_GENUS!A:A,A12,DATA_WITHOUT_GENUS!J:J,TRUE)</f>
        <v>26</v>
      </c>
      <c r="J12">
        <f>_xlfn.MAXIFS(DATA_WITHOUT_GENUS!I:I,DATA_WITHOUT_GENUS!A:A,A12)</f>
        <v>66</v>
      </c>
      <c r="K12" s="18" t="str" cm="1">
        <f t="array" ref="K12">_xlfn._xlws.FILTER(DATA_WITHOUT_GENUS!D:D,(DATA_WITHOUT_GENUS!A:A=A12)*(DATA_WITHOUT_GENUS!I:I=J12)*ROW(DATA_WITHOUT_GENUS!D:D),0)</f>
        <v>Chironomidae</v>
      </c>
      <c r="L12" s="30">
        <f t="shared" si="3"/>
        <v>3</v>
      </c>
      <c r="M12">
        <f t="shared" si="4"/>
        <v>3</v>
      </c>
      <c r="N12" s="31">
        <f t="shared" si="5"/>
        <v>3</v>
      </c>
      <c r="O12" s="32">
        <f t="shared" si="6"/>
        <v>3</v>
      </c>
      <c r="P12">
        <f t="shared" si="7"/>
        <v>0</v>
      </c>
      <c r="Q12" s="100">
        <f t="shared" si="8"/>
        <v>12</v>
      </c>
      <c r="R12" s="15" t="str">
        <f t="shared" si="9"/>
        <v>Moderately Impaired</v>
      </c>
      <c r="S12" s="15"/>
      <c r="T12" s="20"/>
      <c r="U12" s="23"/>
      <c r="W12" s="18"/>
      <c r="X12" s="18"/>
      <c r="AG12">
        <f t="shared" si="10"/>
        <v>4</v>
      </c>
      <c r="AH12">
        <f>ROUND((((COUNTIFS(DATA_WITHOUT_GENUS!A:A,A12,DATA_WITHOUT_GENUS!N:N,FALSE))/G12)*100),1)</f>
        <v>33.299999999999997</v>
      </c>
      <c r="AI12" s="23">
        <f>SUMIFS(DATA_WITHOUT_GENUS!I:I,DATA_WITHOUT_GENUS!A:A,A12,DATA_WITHOUT_GENUS!O:O,TRUE)</f>
        <v>4</v>
      </c>
      <c r="AJ12">
        <f>COUNTIFS(DATA_WITHOUT_GENUS!A:A,A12,DATA_WITHOUT_GENUS!P:P,TRUE)</f>
        <v>1</v>
      </c>
      <c r="AK12">
        <f t="shared" si="11"/>
        <v>4.6167421179358961</v>
      </c>
      <c r="AL12">
        <f t="shared" si="1"/>
        <v>18.007510330281256</v>
      </c>
      <c r="AM12" s="98">
        <f t="shared" si="2"/>
        <v>38.942459279108576</v>
      </c>
      <c r="AN12" t="str">
        <f t="shared" si="12"/>
        <v>Fair</v>
      </c>
    </row>
    <row r="13" spans="1:40">
      <c r="A13" t="str">
        <f t="shared" si="13"/>
        <v>BD1_2002-07-27</v>
      </c>
      <c r="B13" t="s">
        <v>2629</v>
      </c>
      <c r="C13" s="3">
        <v>37464</v>
      </c>
      <c r="D13">
        <f>SUMIF(DATA_WITHOUT_GENUS!A:A,A13,DATA_WITHOUT_GENUS!E:E)</f>
        <v>108</v>
      </c>
      <c r="E13">
        <f>SUMIF(DATA_WITHOUT_GENUS!A:A,A13,DATA_WITHOUT_GENUS!I:I)</f>
        <v>100</v>
      </c>
      <c r="F13" s="97"/>
      <c r="G13" s="18">
        <f>COUNTIFS(DATA_WITHOUT_GENUS!A:A,A13,DATA_WITHOUT_GENUS!I:I, "&gt;0")</f>
        <v>9</v>
      </c>
      <c r="H13">
        <f>COUNTIFS(DATA_WITHOUT_GENUS!A:A,A13,DATA_WITHOUT_GENUS!J:J,TRUE)</f>
        <v>5</v>
      </c>
      <c r="I13" s="18">
        <f>SUMIFS(DATA_WITHOUT_GENUS!I:I,DATA_WITHOUT_GENUS!A:A,A13,DATA_WITHOUT_GENUS!J:J,TRUE)</f>
        <v>77</v>
      </c>
      <c r="J13">
        <f>_xlfn.MAXIFS(DATA_WITHOUT_GENUS!I:I,DATA_WITHOUT_GENUS!A:A,A13)</f>
        <v>68</v>
      </c>
      <c r="K13" s="18" t="str" cm="1">
        <f t="array" ref="K13">_xlfn._xlws.FILTER(DATA_WITHOUT_GENUS!D:D,(DATA_WITHOUT_GENUS!A:A=A13)*(DATA_WITHOUT_GENUS!I:I=J13)*ROW(DATA_WITHOUT_GENUS!D:D),0)</f>
        <v>Hydropsychidae</v>
      </c>
      <c r="L13" s="30" t="str">
        <f t="shared" si="3"/>
        <v/>
      </c>
      <c r="M13">
        <f t="shared" si="4"/>
        <v>3</v>
      </c>
      <c r="N13" s="31">
        <f t="shared" si="5"/>
        <v>3</v>
      </c>
      <c r="O13" s="32">
        <f t="shared" si="6"/>
        <v>6</v>
      </c>
      <c r="P13">
        <f t="shared" si="7"/>
        <v>0</v>
      </c>
      <c r="Q13" s="100">
        <f t="shared" si="8"/>
        <v>12</v>
      </c>
      <c r="R13" s="15" t="str">
        <f t="shared" si="9"/>
        <v>Moderately Impaired</v>
      </c>
      <c r="S13" s="15"/>
      <c r="T13" s="20"/>
      <c r="U13" s="23"/>
      <c r="W13" s="18"/>
      <c r="X13" s="18"/>
      <c r="AG13">
        <f t="shared" si="10"/>
        <v>5</v>
      </c>
      <c r="AH13">
        <f>ROUND((((COUNTIFS(DATA_WITHOUT_GENUS!A:A,A13,DATA_WITHOUT_GENUS!N:N,FALSE))/G13)*100),1)</f>
        <v>33.299999999999997</v>
      </c>
      <c r="AI13" s="23">
        <f>SUMIFS(DATA_WITHOUT_GENUS!I:I,DATA_WITHOUT_GENUS!A:A,A13,DATA_WITHOUT_GENUS!O:O,TRUE)</f>
        <v>9</v>
      </c>
      <c r="AJ13">
        <f>COUNTIFS(DATA_WITHOUT_GENUS!A:A,A13,DATA_WITHOUT_GENUS!P:P,TRUE)</f>
        <v>1</v>
      </c>
      <c r="AK13">
        <f t="shared" si="11"/>
        <v>-0.74325788206410426</v>
      </c>
      <c r="AL13">
        <f t="shared" si="1"/>
        <v>23.007510330281256</v>
      </c>
      <c r="AM13" s="98">
        <f t="shared" si="2"/>
        <v>68.901663259208078</v>
      </c>
      <c r="AN13" t="str">
        <f t="shared" si="12"/>
        <v>Excellent</v>
      </c>
    </row>
    <row r="14" spans="1:40">
      <c r="A14" t="str">
        <f t="shared" si="13"/>
        <v>BD1_2003-03-22</v>
      </c>
      <c r="B14" t="s">
        <v>2629</v>
      </c>
      <c r="C14" s="3">
        <v>37702</v>
      </c>
      <c r="D14">
        <f>SUMIF(DATA_WITHOUT_GENUS!A:A,A14,DATA_WITHOUT_GENUS!E:E)</f>
        <v>103</v>
      </c>
      <c r="E14">
        <f>SUMIF(DATA_WITHOUT_GENUS!A:A,A14,DATA_WITHOUT_GENUS!I:I)</f>
        <v>100</v>
      </c>
      <c r="F14" s="97">
        <f>SUMIFS(DATA_WITHOUT_GENUS!M:M,DATA_WITHOUT_GENUS!A:A,A14)/100</f>
        <v>5.93</v>
      </c>
      <c r="G14" s="18">
        <f>COUNTIFS(DATA_WITHOUT_GENUS!A:A,A14,DATA_WITHOUT_GENUS!I:I, "&gt;0")</f>
        <v>11</v>
      </c>
      <c r="H14">
        <f>COUNTIFS(DATA_WITHOUT_GENUS!A:A,A14,DATA_WITHOUT_GENUS!J:J,TRUE)</f>
        <v>2</v>
      </c>
      <c r="I14" s="18">
        <f>SUMIFS(DATA_WITHOUT_GENUS!I:I,DATA_WITHOUT_GENUS!A:A,A14,DATA_WITHOUT_GENUS!J:J,TRUE)</f>
        <v>2</v>
      </c>
      <c r="J14">
        <f>_xlfn.MAXIFS(DATA_WITHOUT_GENUS!I:I,DATA_WITHOUT_GENUS!A:A,A14)</f>
        <v>80</v>
      </c>
      <c r="K14" s="18" t="str" cm="1">
        <f t="array" ref="K14">_xlfn._xlws.FILTER(DATA_WITHOUT_GENUS!D:D,(DATA_WITHOUT_GENUS!A:A=A14)*(DATA_WITHOUT_GENUS!I:I=J14)*ROW(DATA_WITHOUT_GENUS!D:D),0)</f>
        <v>Chironomidae</v>
      </c>
      <c r="L14" s="30">
        <f t="shared" si="3"/>
        <v>3</v>
      </c>
      <c r="M14">
        <f t="shared" si="4"/>
        <v>6</v>
      </c>
      <c r="N14" s="31">
        <f t="shared" si="5"/>
        <v>0</v>
      </c>
      <c r="O14" s="32">
        <f t="shared" si="6"/>
        <v>0</v>
      </c>
      <c r="P14">
        <f t="shared" si="7"/>
        <v>0</v>
      </c>
      <c r="Q14" s="100">
        <f t="shared" si="8"/>
        <v>9</v>
      </c>
      <c r="R14" s="15" t="str">
        <f t="shared" si="9"/>
        <v>Moderately Impaired</v>
      </c>
      <c r="S14" s="15"/>
      <c r="T14" s="20"/>
      <c r="U14" s="23"/>
      <c r="W14" s="18"/>
      <c r="X14" s="18"/>
      <c r="AG14">
        <f t="shared" si="10"/>
        <v>2</v>
      </c>
      <c r="AH14">
        <f>ROUND((((COUNTIFS(DATA_WITHOUT_GENUS!A:A,A14,DATA_WITHOUT_GENUS!N:N,FALSE))/G14)*100),1)</f>
        <v>45.5</v>
      </c>
      <c r="AI14" s="23">
        <f>SUMIFS(DATA_WITHOUT_GENUS!I:I,DATA_WITHOUT_GENUS!A:A,A14,DATA_WITHOUT_GENUS!O:O,TRUE)</f>
        <v>2</v>
      </c>
      <c r="AJ14">
        <f>COUNTIFS(DATA_WITHOUT_GENUS!A:A,A14,DATA_WITHOUT_GENUS!P:P,TRUE)</f>
        <v>3</v>
      </c>
      <c r="AK14">
        <f t="shared" si="11"/>
        <v>5.1867421179358963</v>
      </c>
      <c r="AL14">
        <f t="shared" si="1"/>
        <v>16.007510330281256</v>
      </c>
      <c r="AM14" s="98">
        <f t="shared" si="2"/>
        <v>34.955761814052906</v>
      </c>
      <c r="AN14" t="str">
        <f t="shared" si="12"/>
        <v>Fair</v>
      </c>
    </row>
    <row r="15" spans="1:40">
      <c r="A15" t="str">
        <f t="shared" si="13"/>
        <v>BD1_2003-07-19</v>
      </c>
      <c r="B15" t="s">
        <v>2629</v>
      </c>
      <c r="C15" s="3">
        <v>37821</v>
      </c>
      <c r="D15">
        <f>SUMIF(DATA_WITHOUT_GENUS!A:A,A15,DATA_WITHOUT_GENUS!E:E)</f>
        <v>132</v>
      </c>
      <c r="E15">
        <f>SUMIF(DATA_WITHOUT_GENUS!A:A,A15,DATA_WITHOUT_GENUS!I:I)</f>
        <v>100</v>
      </c>
      <c r="F15" s="97">
        <f>SUMIFS(DATA_WITHOUT_GENUS!M:M,DATA_WITHOUT_GENUS!A:A,A15)/100</f>
        <v>4.5199999999999996</v>
      </c>
      <c r="G15" s="18">
        <f>COUNTIFS(DATA_WITHOUT_GENUS!A:A,A15,DATA_WITHOUT_GENUS!I:I, "&gt;0")</f>
        <v>11</v>
      </c>
      <c r="H15">
        <f>COUNTIFS(DATA_WITHOUT_GENUS!A:A,A15,DATA_WITHOUT_GENUS!J:J,TRUE)</f>
        <v>3</v>
      </c>
      <c r="I15" s="18">
        <f>SUMIFS(DATA_WITHOUT_GENUS!I:I,DATA_WITHOUT_GENUS!A:A,A15,DATA_WITHOUT_GENUS!J:J,TRUE)</f>
        <v>19</v>
      </c>
      <c r="J15">
        <f>_xlfn.MAXIFS(DATA_WITHOUT_GENUS!I:I,DATA_WITHOUT_GENUS!A:A,A15)</f>
        <v>31</v>
      </c>
      <c r="K15" s="18" t="str" cm="1">
        <f t="array" ref="K15">_xlfn._xlws.FILTER(DATA_WITHOUT_GENUS!D:D,(DATA_WITHOUT_GENUS!A:A=A15)*(DATA_WITHOUT_GENUS!I:I=J15)*ROW(DATA_WITHOUT_GENUS!D:D),0)</f>
        <v>Elmidae</v>
      </c>
      <c r="L15" s="30">
        <f t="shared" si="3"/>
        <v>6</v>
      </c>
      <c r="M15">
        <f t="shared" si="4"/>
        <v>6</v>
      </c>
      <c r="N15" s="31">
        <f t="shared" si="5"/>
        <v>3</v>
      </c>
      <c r="O15" s="32">
        <f t="shared" si="6"/>
        <v>3</v>
      </c>
      <c r="P15">
        <f t="shared" si="7"/>
        <v>6</v>
      </c>
      <c r="Q15" s="100">
        <f t="shared" si="8"/>
        <v>24</v>
      </c>
      <c r="R15" s="15" t="str">
        <f t="shared" si="9"/>
        <v>Non-Impaired</v>
      </c>
      <c r="S15" s="15"/>
      <c r="T15" s="20"/>
      <c r="U15" s="23"/>
      <c r="W15" s="18"/>
      <c r="X15" s="18"/>
      <c r="AG15">
        <f t="shared" si="10"/>
        <v>3</v>
      </c>
      <c r="AH15">
        <f>ROUND((((COUNTIFS(DATA_WITHOUT_GENUS!A:A,A15,DATA_WITHOUT_GENUS!N:N,FALSE))/G15)*100),1)</f>
        <v>36.4</v>
      </c>
      <c r="AI15" s="23">
        <f>SUMIFS(DATA_WITHOUT_GENUS!I:I,DATA_WITHOUT_GENUS!A:A,A15,DATA_WITHOUT_GENUS!O:O,TRUE)</f>
        <v>9</v>
      </c>
      <c r="AJ15">
        <f>COUNTIFS(DATA_WITHOUT_GENUS!A:A,A15,DATA_WITHOUT_GENUS!P:P,TRUE)</f>
        <v>2</v>
      </c>
      <c r="AK15">
        <f t="shared" si="11"/>
        <v>3.7767421179358962</v>
      </c>
      <c r="AL15">
        <f t="shared" si="1"/>
        <v>23.007510330281256</v>
      </c>
      <c r="AM15" s="98">
        <f t="shared" si="2"/>
        <v>45.317536275081096</v>
      </c>
      <c r="AN15" t="str">
        <f t="shared" si="12"/>
        <v>Good</v>
      </c>
    </row>
    <row r="16" spans="1:40">
      <c r="A16" t="str">
        <f t="shared" si="13"/>
        <v>BD1_2003-10-18</v>
      </c>
      <c r="B16" t="s">
        <v>2629</v>
      </c>
      <c r="C16" s="3">
        <v>37912</v>
      </c>
      <c r="D16">
        <f>SUMIF(DATA_WITHOUT_GENUS!A:A,A16,DATA_WITHOUT_GENUS!E:E)</f>
        <v>146</v>
      </c>
      <c r="E16">
        <f>SUMIF(DATA_WITHOUT_GENUS!A:A,A16,DATA_WITHOUT_GENUS!I:I)</f>
        <v>100</v>
      </c>
      <c r="F16" s="97">
        <f>SUMIFS(DATA_WITHOUT_GENUS!M:M,DATA_WITHOUT_GENUS!A:A,A16)/100</f>
        <v>4.12</v>
      </c>
      <c r="G16" s="18">
        <f>COUNTIFS(DATA_WITHOUT_GENUS!A:A,A16,DATA_WITHOUT_GENUS!I:I, "&gt;0")</f>
        <v>10</v>
      </c>
      <c r="H16">
        <f>COUNTIFS(DATA_WITHOUT_GENUS!A:A,A16,DATA_WITHOUT_GENUS!J:J,TRUE)</f>
        <v>2</v>
      </c>
      <c r="I16" s="18">
        <f>SUMIFS(DATA_WITHOUT_GENUS!I:I,DATA_WITHOUT_GENUS!A:A,A16,DATA_WITHOUT_GENUS!J:J,TRUE)</f>
        <v>15</v>
      </c>
      <c r="J16">
        <f>_xlfn.MAXIFS(DATA_WITHOUT_GENUS!I:I,DATA_WITHOUT_GENUS!A:A,A16)</f>
        <v>45</v>
      </c>
      <c r="K16" s="18" t="str" cm="1">
        <f t="array" ref="K16">_xlfn._xlws.FILTER(DATA_WITHOUT_GENUS!D:D,(DATA_WITHOUT_GENUS!A:A=A16)*(DATA_WITHOUT_GENUS!I:I=J16)*ROW(DATA_WITHOUT_GENUS!D:D),0)</f>
        <v>Psephenidae</v>
      </c>
      <c r="L16" s="30">
        <f t="shared" si="3"/>
        <v>6</v>
      </c>
      <c r="M16">
        <f t="shared" si="4"/>
        <v>3</v>
      </c>
      <c r="N16" s="31">
        <f t="shared" si="5"/>
        <v>0</v>
      </c>
      <c r="O16" s="32">
        <f t="shared" si="6"/>
        <v>3</v>
      </c>
      <c r="P16">
        <f t="shared" si="7"/>
        <v>3</v>
      </c>
      <c r="Q16" s="100">
        <f t="shared" si="8"/>
        <v>15</v>
      </c>
      <c r="R16" s="15" t="str">
        <f t="shared" si="9"/>
        <v>Moderately Impaired</v>
      </c>
      <c r="S16" s="15"/>
      <c r="T16" s="20"/>
      <c r="U16" s="23"/>
      <c r="W16" s="18"/>
      <c r="X16" s="18"/>
      <c r="AG16">
        <f t="shared" si="10"/>
        <v>2</v>
      </c>
      <c r="AH16">
        <f>ROUND((((COUNTIFS(DATA_WITHOUT_GENUS!A:A,A16,DATA_WITHOUT_GENUS!N:N,FALSE))/G16)*100),1)</f>
        <v>40</v>
      </c>
      <c r="AI16" s="23">
        <f>SUMIFS(DATA_WITHOUT_GENUS!I:I,DATA_WITHOUT_GENUS!A:A,A16,DATA_WITHOUT_GENUS!O:O,TRUE)</f>
        <v>1</v>
      </c>
      <c r="AJ16">
        <f>COUNTIFS(DATA_WITHOUT_GENUS!A:A,A16,DATA_WITHOUT_GENUS!P:P,TRUE)</f>
        <v>2</v>
      </c>
      <c r="AK16">
        <f t="shared" si="11"/>
        <v>3.3767421179358958</v>
      </c>
      <c r="AL16">
        <f t="shared" si="1"/>
        <v>15.007510330281256</v>
      </c>
      <c r="AM16" s="98">
        <f t="shared" si="2"/>
        <v>42.119952764064749</v>
      </c>
      <c r="AN16" t="str">
        <f t="shared" si="12"/>
        <v>Good</v>
      </c>
    </row>
    <row r="17" spans="1:40">
      <c r="A17" t="str">
        <f t="shared" si="13"/>
        <v>BD1_2004-10-16</v>
      </c>
      <c r="B17" t="s">
        <v>2629</v>
      </c>
      <c r="C17" s="3">
        <v>38276</v>
      </c>
      <c r="D17">
        <f>SUMIF(DATA_WITHOUT_GENUS!A:A,A17,DATA_WITHOUT_GENUS!E:E)</f>
        <v>101</v>
      </c>
      <c r="E17">
        <f>SUMIF(DATA_WITHOUT_GENUS!A:A,A17,DATA_WITHOUT_GENUS!I:I)</f>
        <v>100</v>
      </c>
      <c r="F17" s="97">
        <f>SUMIFS(DATA_WITHOUT_GENUS!M:M,DATA_WITHOUT_GENUS!A:A,A17)/100</f>
        <v>4.26</v>
      </c>
      <c r="G17" s="18">
        <f>COUNTIFS(DATA_WITHOUT_GENUS!A:A,A17,DATA_WITHOUT_GENUS!I:I, "&gt;0")</f>
        <v>14</v>
      </c>
      <c r="H17">
        <f>COUNTIFS(DATA_WITHOUT_GENUS!A:A,A17,DATA_WITHOUT_GENUS!J:J,TRUE)</f>
        <v>4</v>
      </c>
      <c r="I17" s="18">
        <f>SUMIFS(DATA_WITHOUT_GENUS!I:I,DATA_WITHOUT_GENUS!A:A,A17,DATA_WITHOUT_GENUS!J:J,TRUE)</f>
        <v>15</v>
      </c>
      <c r="J17">
        <f>_xlfn.MAXIFS(DATA_WITHOUT_GENUS!I:I,DATA_WITHOUT_GENUS!A:A,A17)</f>
        <v>35</v>
      </c>
      <c r="K17" s="18" t="str" cm="1">
        <f t="array" ref="K17">_xlfn._xlws.FILTER(DATA_WITHOUT_GENUS!D:D,(DATA_WITHOUT_GENUS!A:A=A17)*(DATA_WITHOUT_GENUS!I:I=J17)*ROW(DATA_WITHOUT_GENUS!D:D),0)</f>
        <v>Gammaridae</v>
      </c>
      <c r="L17" s="30">
        <f t="shared" si="3"/>
        <v>6</v>
      </c>
      <c r="M17">
        <f t="shared" si="4"/>
        <v>6</v>
      </c>
      <c r="N17" s="31">
        <f t="shared" si="5"/>
        <v>3</v>
      </c>
      <c r="O17" s="32">
        <f t="shared" si="6"/>
        <v>3</v>
      </c>
      <c r="P17">
        <f t="shared" si="7"/>
        <v>6</v>
      </c>
      <c r="Q17" s="100">
        <f t="shared" si="8"/>
        <v>24</v>
      </c>
      <c r="R17" s="15" t="str">
        <f t="shared" si="9"/>
        <v>Non-Impaired</v>
      </c>
      <c r="S17" s="15"/>
      <c r="T17" s="20"/>
      <c r="U17" s="23"/>
      <c r="W17" s="18"/>
      <c r="X17" s="18"/>
      <c r="AG17">
        <f t="shared" si="10"/>
        <v>4</v>
      </c>
      <c r="AH17">
        <f>ROUND((((COUNTIFS(DATA_WITHOUT_GENUS!A:A,A17,DATA_WITHOUT_GENUS!N:N,FALSE))/G17)*100),1)</f>
        <v>28.6</v>
      </c>
      <c r="AI17" s="23">
        <f>SUMIFS(DATA_WITHOUT_GENUS!I:I,DATA_WITHOUT_GENUS!A:A,A17,DATA_WITHOUT_GENUS!O:O,TRUE)</f>
        <v>6</v>
      </c>
      <c r="AJ17">
        <f>COUNTIFS(DATA_WITHOUT_GENUS!A:A,A17,DATA_WITHOUT_GENUS!P:P,TRUE)</f>
        <v>3</v>
      </c>
      <c r="AK17">
        <f t="shared" si="11"/>
        <v>3.5167421179358946</v>
      </c>
      <c r="AL17">
        <f t="shared" si="1"/>
        <v>20.007510330281256</v>
      </c>
      <c r="AM17" s="98">
        <f t="shared" si="2"/>
        <v>53.198204363211872</v>
      </c>
      <c r="AN17" t="str">
        <f t="shared" si="12"/>
        <v>Good</v>
      </c>
    </row>
    <row r="18" spans="1:40">
      <c r="A18" t="str">
        <f t="shared" si="13"/>
        <v>BD1_2005-03-19</v>
      </c>
      <c r="B18" t="s">
        <v>2629</v>
      </c>
      <c r="C18" s="3">
        <v>38430</v>
      </c>
      <c r="D18">
        <f>SUMIF(DATA_WITHOUT_GENUS!A:A,A18,DATA_WITHOUT_GENUS!E:E)</f>
        <v>110</v>
      </c>
      <c r="E18">
        <f>SUMIF(DATA_WITHOUT_GENUS!A:A,A18,DATA_WITHOUT_GENUS!I:I)</f>
        <v>100</v>
      </c>
      <c r="F18" s="97">
        <f>SUMIFS(DATA_WITHOUT_GENUS!M:M,DATA_WITHOUT_GENUS!A:A,A18)/100</f>
        <v>5.85</v>
      </c>
      <c r="G18" s="18">
        <f>COUNTIFS(DATA_WITHOUT_GENUS!A:A,A18,DATA_WITHOUT_GENUS!I:I, "&gt;0")</f>
        <v>7</v>
      </c>
      <c r="H18">
        <f>COUNTIFS(DATA_WITHOUT_GENUS!A:A,A18,DATA_WITHOUT_GENUS!J:J,TRUE)</f>
        <v>0</v>
      </c>
      <c r="I18" s="18">
        <f>SUMIFS(DATA_WITHOUT_GENUS!I:I,DATA_WITHOUT_GENUS!A:A,A18,DATA_WITHOUT_GENUS!J:J,TRUE)</f>
        <v>0</v>
      </c>
      <c r="J18">
        <f>_xlfn.MAXIFS(DATA_WITHOUT_GENUS!I:I,DATA_WITHOUT_GENUS!A:A,A18)</f>
        <v>67</v>
      </c>
      <c r="K18" s="18" t="str" cm="1">
        <f t="array" ref="K18">_xlfn._xlws.FILTER(DATA_WITHOUT_GENUS!D:D,(DATA_WITHOUT_GENUS!A:A=A18)*(DATA_WITHOUT_GENUS!I:I=J18)*ROW(DATA_WITHOUT_GENUS!D:D),0)</f>
        <v>Chironomidae</v>
      </c>
      <c r="L18" s="30">
        <f t="shared" si="3"/>
        <v>3</v>
      </c>
      <c r="M18">
        <f t="shared" si="4"/>
        <v>3</v>
      </c>
      <c r="N18" s="31">
        <f t="shared" si="5"/>
        <v>0</v>
      </c>
      <c r="O18" s="32">
        <f t="shared" si="6"/>
        <v>0</v>
      </c>
      <c r="P18">
        <f t="shared" si="7"/>
        <v>0</v>
      </c>
      <c r="Q18" s="100">
        <f t="shared" si="8"/>
        <v>6</v>
      </c>
      <c r="R18" s="15" t="str">
        <f t="shared" si="9"/>
        <v>Severally Impaired</v>
      </c>
      <c r="S18" s="15"/>
      <c r="T18" s="20"/>
      <c r="U18" s="23"/>
      <c r="W18" s="18"/>
      <c r="X18" s="18"/>
      <c r="AG18">
        <f t="shared" si="10"/>
        <v>0</v>
      </c>
      <c r="AH18">
        <f>ROUND((((COUNTIFS(DATA_WITHOUT_GENUS!A:A,A18,DATA_WITHOUT_GENUS!N:N,FALSE))/G18)*100),1)</f>
        <v>57.1</v>
      </c>
      <c r="AI18" s="23">
        <f>SUMIFS(DATA_WITHOUT_GENUS!I:I,DATA_WITHOUT_GENUS!A:A,A18,DATA_WITHOUT_GENUS!O:O,TRUE)</f>
        <v>0</v>
      </c>
      <c r="AJ18">
        <f>COUNTIFS(DATA_WITHOUT_GENUS!A:A,A18,DATA_WITHOUT_GENUS!P:P,TRUE)</f>
        <v>2</v>
      </c>
      <c r="AK18">
        <f t="shared" si="11"/>
        <v>5.1067421179358945</v>
      </c>
      <c r="AL18">
        <f t="shared" si="1"/>
        <v>14.007510330281256</v>
      </c>
      <c r="AM18" s="98">
        <f t="shared" si="2"/>
        <v>24.409540539473422</v>
      </c>
      <c r="AN18" t="str">
        <f t="shared" si="12"/>
        <v>Fair</v>
      </c>
    </row>
    <row r="19" spans="1:40">
      <c r="A19" t="str">
        <f t="shared" si="13"/>
        <v>BD1_2005-07-23</v>
      </c>
      <c r="B19" t="s">
        <v>2629</v>
      </c>
      <c r="C19" s="3">
        <v>38556</v>
      </c>
      <c r="D19" s="102">
        <f>SUMIF(DATA_WITHOUT_GENUS!A:A,A19,DATA_WITHOUT_GENUS!E:E)</f>
        <v>75</v>
      </c>
      <c r="F19" s="97"/>
      <c r="G19" s="18"/>
      <c r="I19" s="18"/>
      <c r="K19" s="18"/>
      <c r="L19" s="30"/>
      <c r="N19" s="31"/>
      <c r="O19" s="32"/>
      <c r="Q19" s="100"/>
      <c r="R19" s="15"/>
      <c r="S19" s="15"/>
      <c r="T19" s="20"/>
      <c r="U19" s="23"/>
      <c r="W19" s="18"/>
      <c r="X19" s="18"/>
      <c r="AI19" s="23"/>
    </row>
    <row r="20" spans="1:40">
      <c r="A20" t="str">
        <f t="shared" si="13"/>
        <v>BD1_2005-10-28</v>
      </c>
      <c r="B20" t="s">
        <v>2629</v>
      </c>
      <c r="C20" s="3">
        <v>38653</v>
      </c>
      <c r="D20">
        <f>SUMIF(DATA_WITHOUT_GENUS!A:A,A20,DATA_WITHOUT_GENUS!E:E)</f>
        <v>111</v>
      </c>
      <c r="E20">
        <f>SUMIF(DATA_WITHOUT_GENUS!A:A,A20,DATA_WITHOUT_GENUS!I:I)</f>
        <v>100</v>
      </c>
      <c r="F20" s="97">
        <f>SUMIFS(DATA_WITHOUT_GENUS!M:M,DATA_WITHOUT_GENUS!A:A,A20)/100</f>
        <v>5.35</v>
      </c>
      <c r="G20" s="18">
        <f>COUNTIFS(DATA_WITHOUT_GENUS!A:A,A20,DATA_WITHOUT_GENUS!I:I, "&gt;0")</f>
        <v>13</v>
      </c>
      <c r="H20">
        <f>COUNTIFS(DATA_WITHOUT_GENUS!A:A,A20,DATA_WITHOUT_GENUS!J:J,TRUE)</f>
        <v>1</v>
      </c>
      <c r="I20" s="18">
        <f>SUMIFS(DATA_WITHOUT_GENUS!I:I,DATA_WITHOUT_GENUS!A:A,A20,DATA_WITHOUT_GENUS!J:J,TRUE)</f>
        <v>3</v>
      </c>
      <c r="J20">
        <f>_xlfn.MAXIFS(DATA_WITHOUT_GENUS!I:I,DATA_WITHOUT_GENUS!A:A,A20)</f>
        <v>39</v>
      </c>
      <c r="K20" s="18" t="str" cm="1">
        <f t="array" ref="K20">_xlfn._xlws.FILTER(DATA_WITHOUT_GENUS!D:D,(DATA_WITHOUT_GENUS!A:A=A20)*(DATA_WITHOUT_GENUS!I:I=J20)*ROW(DATA_WITHOUT_GENUS!D:D),0)</f>
        <v>Psephenidae</v>
      </c>
      <c r="L20" s="30">
        <f t="shared" si="3"/>
        <v>3</v>
      </c>
      <c r="M20">
        <f t="shared" si="4"/>
        <v>6</v>
      </c>
      <c r="N20" s="31">
        <f t="shared" si="5"/>
        <v>0</v>
      </c>
      <c r="O20" s="32">
        <f t="shared" si="6"/>
        <v>0</v>
      </c>
      <c r="P20">
        <f t="shared" si="7"/>
        <v>6</v>
      </c>
      <c r="Q20" s="100">
        <f t="shared" si="8"/>
        <v>15</v>
      </c>
      <c r="R20" s="15" t="str">
        <f t="shared" si="9"/>
        <v>Moderately Impaired</v>
      </c>
      <c r="S20" s="15"/>
      <c r="T20" s="20"/>
      <c r="U20" s="23"/>
      <c r="W20" s="18"/>
      <c r="X20" s="18"/>
      <c r="AG20">
        <f t="shared" si="10"/>
        <v>1</v>
      </c>
      <c r="AH20">
        <f>ROUND((((COUNTIFS(DATA_WITHOUT_GENUS!A:A,A20,DATA_WITHOUT_GENUS!N:N,FALSE))/G20)*100),1)</f>
        <v>53.8</v>
      </c>
      <c r="AI20" s="23">
        <f>SUMIFS(DATA_WITHOUT_GENUS!I:I,DATA_WITHOUT_GENUS!A:A,A20,DATA_WITHOUT_GENUS!O:O,TRUE)</f>
        <v>3</v>
      </c>
      <c r="AJ20">
        <f>COUNTIFS(DATA_WITHOUT_GENUS!A:A,A20,DATA_WITHOUT_GENUS!P:P,TRUE)</f>
        <v>3</v>
      </c>
      <c r="AK20">
        <f t="shared" si="11"/>
        <v>4.6067421179358945</v>
      </c>
      <c r="AL20">
        <f t="shared" si="1"/>
        <v>17.007510330281256</v>
      </c>
      <c r="AM20" s="98">
        <f t="shared" si="2"/>
        <v>33.85268197515218</v>
      </c>
      <c r="AN20" t="str">
        <f t="shared" si="12"/>
        <v>Fair</v>
      </c>
    </row>
    <row r="21" spans="1:40">
      <c r="A21" t="str">
        <f t="shared" si="13"/>
        <v>BD1_2006-03-18</v>
      </c>
      <c r="B21" t="s">
        <v>2629</v>
      </c>
      <c r="C21" s="3">
        <v>38794</v>
      </c>
      <c r="D21">
        <f>SUMIF(DATA_WITHOUT_GENUS!A:A,A21,DATA_WITHOUT_GENUS!E:E)</f>
        <v>130</v>
      </c>
      <c r="E21">
        <f>SUMIF(DATA_WITHOUT_GENUS!A:A,A21,DATA_WITHOUT_GENUS!I:I)</f>
        <v>100</v>
      </c>
      <c r="F21" s="97">
        <f>SUMIFS(DATA_WITHOUT_GENUS!M:M,DATA_WITHOUT_GENUS!A:A,A21)/100</f>
        <v>5.96</v>
      </c>
      <c r="G21" s="18">
        <f>COUNTIFS(DATA_WITHOUT_GENUS!A:A,A21,DATA_WITHOUT_GENUS!I:I, "&gt;0")</f>
        <v>5</v>
      </c>
      <c r="H21">
        <f>COUNTIFS(DATA_WITHOUT_GENUS!A:A,A21,DATA_WITHOUT_GENUS!J:J,TRUE)</f>
        <v>2</v>
      </c>
      <c r="I21" s="18">
        <f>SUMIFS(DATA_WITHOUT_GENUS!I:I,DATA_WITHOUT_GENUS!A:A,A21,DATA_WITHOUT_GENUS!J:J,TRUE)</f>
        <v>2</v>
      </c>
      <c r="J21">
        <f>_xlfn.MAXIFS(DATA_WITHOUT_GENUS!I:I,DATA_WITHOUT_GENUS!A:A,A21)</f>
        <v>95</v>
      </c>
      <c r="K21" s="18" t="str" cm="1">
        <f t="array" ref="K21">_xlfn._xlws.FILTER(DATA_WITHOUT_GENUS!D:D,(DATA_WITHOUT_GENUS!A:A=A21)*(DATA_WITHOUT_GENUS!I:I=J21)*ROW(DATA_WITHOUT_GENUS!D:D),0)</f>
        <v>Chironomidae</v>
      </c>
      <c r="L21" s="30">
        <f t="shared" si="3"/>
        <v>3</v>
      </c>
      <c r="M21">
        <f t="shared" si="4"/>
        <v>3</v>
      </c>
      <c r="N21" s="31">
        <f t="shared" si="5"/>
        <v>0</v>
      </c>
      <c r="O21" s="32">
        <f t="shared" si="6"/>
        <v>0</v>
      </c>
      <c r="P21">
        <f t="shared" si="7"/>
        <v>0</v>
      </c>
      <c r="Q21" s="100">
        <f t="shared" si="8"/>
        <v>6</v>
      </c>
      <c r="R21" s="15" t="str">
        <f t="shared" si="9"/>
        <v>Severally Impaired</v>
      </c>
      <c r="S21" s="15"/>
      <c r="T21" s="20"/>
      <c r="U21" s="23"/>
      <c r="W21" s="18"/>
      <c r="X21" s="18"/>
      <c r="AG21">
        <f t="shared" si="10"/>
        <v>2</v>
      </c>
      <c r="AH21">
        <f>ROUND((((COUNTIFS(DATA_WITHOUT_GENUS!A:A,A21,DATA_WITHOUT_GENUS!N:N,FALSE))/G21)*100),1)</f>
        <v>20</v>
      </c>
      <c r="AI21" s="23">
        <f>SUMIFS(DATA_WITHOUT_GENUS!I:I,DATA_WITHOUT_GENUS!A:A,A21,DATA_WITHOUT_GENUS!O:O,TRUE)</f>
        <v>2</v>
      </c>
      <c r="AJ21">
        <f>COUNTIFS(DATA_WITHOUT_GENUS!A:A,A21,DATA_WITHOUT_GENUS!P:P,TRUE)</f>
        <v>1</v>
      </c>
      <c r="AK21">
        <f t="shared" si="11"/>
        <v>5.2167421179358957</v>
      </c>
      <c r="AL21">
        <f t="shared" si="1"/>
        <v>16.007510330281256</v>
      </c>
      <c r="AM21" s="98">
        <f t="shared" si="2"/>
        <v>36.234333242624338</v>
      </c>
      <c r="AN21" t="str">
        <f t="shared" si="12"/>
        <v>Fair</v>
      </c>
    </row>
    <row r="22" spans="1:40">
      <c r="A22" t="str">
        <f t="shared" si="13"/>
        <v>BD1_2006-07-15</v>
      </c>
      <c r="B22" t="s">
        <v>2629</v>
      </c>
      <c r="C22" s="3">
        <v>38913</v>
      </c>
      <c r="D22">
        <f>SUMIF(DATA_WITHOUT_GENUS!A:A,A22,DATA_WITHOUT_GENUS!E:E)</f>
        <v>147</v>
      </c>
      <c r="E22">
        <f>SUMIF(DATA_WITHOUT_GENUS!A:A,A22,DATA_WITHOUT_GENUS!I:I)</f>
        <v>100</v>
      </c>
      <c r="F22" s="97">
        <f>SUMIFS(DATA_WITHOUT_GENUS!M:M,DATA_WITHOUT_GENUS!A:A,A22)/100</f>
        <v>5.15</v>
      </c>
      <c r="G22" s="18">
        <f>COUNTIFS(DATA_WITHOUT_GENUS!A:A,A22,DATA_WITHOUT_GENUS!I:I, "&gt;0")</f>
        <v>15</v>
      </c>
      <c r="H22">
        <f>COUNTIFS(DATA_WITHOUT_GENUS!A:A,A22,DATA_WITHOUT_GENUS!J:J,TRUE)</f>
        <v>3</v>
      </c>
      <c r="I22" s="18">
        <f>SUMIFS(DATA_WITHOUT_GENUS!I:I,DATA_WITHOUT_GENUS!A:A,A22,DATA_WITHOUT_GENUS!J:J,TRUE)</f>
        <v>16</v>
      </c>
      <c r="J22">
        <f>_xlfn.MAXIFS(DATA_WITHOUT_GENUS!I:I,DATA_WITHOUT_GENUS!A:A,A22)</f>
        <v>19</v>
      </c>
      <c r="K22" s="18" t="str" cm="1">
        <f t="array" ref="K22">_xlfn._xlws.FILTER(DATA_WITHOUT_GENUS!D:D,(DATA_WITHOUT_GENUS!A:A=A22)*(DATA_WITHOUT_GENUS!I:I=J22)*ROW(DATA_WITHOUT_GENUS!D:D),0)</f>
        <v>Gammaridae</v>
      </c>
      <c r="L22" s="30">
        <f t="shared" si="3"/>
        <v>3</v>
      </c>
      <c r="M22">
        <f t="shared" si="4"/>
        <v>6</v>
      </c>
      <c r="N22" s="31">
        <f t="shared" si="5"/>
        <v>3</v>
      </c>
      <c r="O22" s="32">
        <f t="shared" si="6"/>
        <v>3</v>
      </c>
      <c r="P22">
        <f t="shared" si="7"/>
        <v>6</v>
      </c>
      <c r="Q22" s="100">
        <f t="shared" si="8"/>
        <v>21</v>
      </c>
      <c r="R22" s="15" t="str">
        <f t="shared" si="9"/>
        <v>Moderately Impaired</v>
      </c>
      <c r="S22" s="15"/>
      <c r="T22" s="20"/>
      <c r="U22" s="23"/>
      <c r="W22" s="18"/>
      <c r="X22" s="18"/>
      <c r="AG22">
        <f t="shared" si="10"/>
        <v>3</v>
      </c>
      <c r="AH22">
        <f>ROUND((((COUNTIFS(DATA_WITHOUT_GENUS!A:A,A22,DATA_WITHOUT_GENUS!N:N,FALSE))/G22)*100),1)</f>
        <v>26.7</v>
      </c>
      <c r="AI22" s="23">
        <f>SUMIFS(DATA_WITHOUT_GENUS!I:I,DATA_WITHOUT_GENUS!A:A,A22,DATA_WITHOUT_GENUS!O:O,TRUE)</f>
        <v>13</v>
      </c>
      <c r="AJ22">
        <f>COUNTIFS(DATA_WITHOUT_GENUS!A:A,A22,DATA_WITHOUT_GENUS!P:P,TRUE)</f>
        <v>4</v>
      </c>
      <c r="AK22">
        <f t="shared" si="11"/>
        <v>4.4067421179358952</v>
      </c>
      <c r="AL22">
        <f t="shared" si="1"/>
        <v>27.007510330281256</v>
      </c>
      <c r="AM22" s="98">
        <f t="shared" si="2"/>
        <v>53.107597871859113</v>
      </c>
      <c r="AN22" t="str">
        <f t="shared" si="12"/>
        <v>Good</v>
      </c>
    </row>
    <row r="23" spans="1:40">
      <c r="A23" t="str">
        <f t="shared" si="13"/>
        <v>BD1_2007-03-17</v>
      </c>
      <c r="B23" t="s">
        <v>2629</v>
      </c>
      <c r="C23" s="3">
        <v>39158</v>
      </c>
      <c r="D23">
        <f>SUMIF(DATA_WITHOUT_GENUS!A:A,A23,DATA_WITHOUT_GENUS!E:E)</f>
        <v>100</v>
      </c>
      <c r="E23">
        <f>SUMIF(DATA_WITHOUT_GENUS!A:A,A23,DATA_WITHOUT_GENUS!I:I)</f>
        <v>100</v>
      </c>
      <c r="F23" s="97">
        <f>SUMIFS(DATA_WITHOUT_GENUS!M:M,DATA_WITHOUT_GENUS!A:A,A23)/100</f>
        <v>5.13</v>
      </c>
      <c r="G23" s="18">
        <f>COUNTIFS(DATA_WITHOUT_GENUS!A:A,A23,DATA_WITHOUT_GENUS!I:I, "&gt;0")</f>
        <v>12</v>
      </c>
      <c r="H23">
        <f>COUNTIFS(DATA_WITHOUT_GENUS!A:A,A23,DATA_WITHOUT_GENUS!J:J,TRUE)</f>
        <v>3</v>
      </c>
      <c r="I23" s="18">
        <f>SUMIFS(DATA_WITHOUT_GENUS!I:I,DATA_WITHOUT_GENUS!A:A,A23,DATA_WITHOUT_GENUS!J:J,TRUE)</f>
        <v>3</v>
      </c>
      <c r="J23">
        <f>_xlfn.MAXIFS(DATA_WITHOUT_GENUS!I:I,DATA_WITHOUT_GENUS!A:A,A23)</f>
        <v>50</v>
      </c>
      <c r="K23" s="18" t="str" cm="1">
        <f t="array" ref="K23">_xlfn._xlws.FILTER(DATA_WITHOUT_GENUS!D:D,(DATA_WITHOUT_GENUS!A:A=A23)*(DATA_WITHOUT_GENUS!I:I=J23)*ROW(DATA_WITHOUT_GENUS!D:D),0)</f>
        <v>Chironomidae</v>
      </c>
      <c r="L23" s="30">
        <f t="shared" si="3"/>
        <v>3</v>
      </c>
      <c r="M23">
        <f t="shared" si="4"/>
        <v>6</v>
      </c>
      <c r="N23" s="31">
        <f t="shared" si="5"/>
        <v>3</v>
      </c>
      <c r="O23" s="32">
        <f t="shared" si="6"/>
        <v>0</v>
      </c>
      <c r="P23">
        <f t="shared" si="7"/>
        <v>3</v>
      </c>
      <c r="Q23" s="100">
        <f t="shared" si="8"/>
        <v>15</v>
      </c>
      <c r="R23" s="15" t="str">
        <f t="shared" si="9"/>
        <v>Moderately Impaired</v>
      </c>
      <c r="S23" s="15"/>
      <c r="T23" s="20"/>
      <c r="U23" s="23"/>
      <c r="W23" s="18"/>
      <c r="X23" s="18"/>
      <c r="AG23">
        <f t="shared" si="10"/>
        <v>3</v>
      </c>
      <c r="AH23">
        <f>ROUND((((COUNTIFS(DATA_WITHOUT_GENUS!A:A,A23,DATA_WITHOUT_GENUS!N:N,FALSE))/G23)*100),1)</f>
        <v>41.7</v>
      </c>
      <c r="AI23" s="23">
        <f>SUMIFS(DATA_WITHOUT_GENUS!I:I,DATA_WITHOUT_GENUS!A:A,A23,DATA_WITHOUT_GENUS!O:O,TRUE)</f>
        <v>3</v>
      </c>
      <c r="AJ23">
        <f>COUNTIFS(DATA_WITHOUT_GENUS!A:A,A23,DATA_WITHOUT_GENUS!P:P,TRUE)</f>
        <v>2</v>
      </c>
      <c r="AK23">
        <f t="shared" si="11"/>
        <v>4.3867421179358956</v>
      </c>
      <c r="AL23">
        <f t="shared" si="1"/>
        <v>17.007510330281256</v>
      </c>
      <c r="AM23" s="98">
        <f t="shared" si="2"/>
        <v>38.793951816422009</v>
      </c>
      <c r="AN23" t="str">
        <f t="shared" si="12"/>
        <v>Fair</v>
      </c>
    </row>
    <row r="24" spans="1:40">
      <c r="A24" t="str">
        <f t="shared" si="13"/>
        <v>BD1_2007-07-21</v>
      </c>
      <c r="B24" t="s">
        <v>2629</v>
      </c>
      <c r="C24" s="3">
        <v>39284</v>
      </c>
      <c r="D24">
        <f>SUMIF(DATA_WITHOUT_GENUS!A:A,A24,DATA_WITHOUT_GENUS!E:E)</f>
        <v>103</v>
      </c>
      <c r="E24">
        <f>SUMIF(DATA_WITHOUT_GENUS!A:A,A24,DATA_WITHOUT_GENUS!I:I)</f>
        <v>100</v>
      </c>
      <c r="F24" s="97">
        <f>SUMIFS(DATA_WITHOUT_GENUS!M:M,DATA_WITHOUT_GENUS!A:A,A24)/100</f>
        <v>4.7300000000000004</v>
      </c>
      <c r="G24" s="18">
        <f>COUNTIFS(DATA_WITHOUT_GENUS!A:A,A24,DATA_WITHOUT_GENUS!I:I, "&gt;0")</f>
        <v>12</v>
      </c>
      <c r="H24">
        <f>COUNTIFS(DATA_WITHOUT_GENUS!A:A,A24,DATA_WITHOUT_GENUS!J:J,TRUE)</f>
        <v>5</v>
      </c>
      <c r="I24" s="18">
        <f>SUMIFS(DATA_WITHOUT_GENUS!I:I,DATA_WITHOUT_GENUS!A:A,A24,DATA_WITHOUT_GENUS!J:J,TRUE)</f>
        <v>22</v>
      </c>
      <c r="J24">
        <f>_xlfn.MAXIFS(DATA_WITHOUT_GENUS!I:I,DATA_WITHOUT_GENUS!A:A,A24)</f>
        <v>44</v>
      </c>
      <c r="K24" s="18" t="str" cm="1">
        <f t="array" ref="K24">_xlfn._xlws.FILTER(DATA_WITHOUT_GENUS!D:D,(DATA_WITHOUT_GENUS!A:A=A24)*(DATA_WITHOUT_GENUS!I:I=J24)*ROW(DATA_WITHOUT_GENUS!D:D),0)</f>
        <v>Elmidae</v>
      </c>
      <c r="L24" s="30">
        <f t="shared" si="3"/>
        <v>6</v>
      </c>
      <c r="M24">
        <f t="shared" si="4"/>
        <v>6</v>
      </c>
      <c r="N24" s="31">
        <f t="shared" si="5"/>
        <v>3</v>
      </c>
      <c r="O24" s="32">
        <f t="shared" si="6"/>
        <v>3</v>
      </c>
      <c r="P24">
        <f t="shared" si="7"/>
        <v>3</v>
      </c>
      <c r="Q24" s="100">
        <f t="shared" si="8"/>
        <v>21</v>
      </c>
      <c r="R24" s="15" t="str">
        <f t="shared" si="9"/>
        <v>Moderately Impaired</v>
      </c>
      <c r="S24" s="15"/>
      <c r="T24" s="20"/>
      <c r="U24" s="23"/>
      <c r="W24" s="18"/>
      <c r="X24" s="18"/>
      <c r="AG24">
        <f t="shared" si="10"/>
        <v>5</v>
      </c>
      <c r="AH24">
        <f>ROUND((((COUNTIFS(DATA_WITHOUT_GENUS!A:A,A24,DATA_WITHOUT_GENUS!N:N,FALSE))/G24)*100),1)</f>
        <v>25</v>
      </c>
      <c r="AI24" s="23">
        <f>SUMIFS(DATA_WITHOUT_GENUS!I:I,DATA_WITHOUT_GENUS!A:A,A24,DATA_WITHOUT_GENUS!O:O,TRUE)</f>
        <v>18</v>
      </c>
      <c r="AJ24">
        <f>COUNTIFS(DATA_WITHOUT_GENUS!A:A,A24,DATA_WITHOUT_GENUS!P:P,TRUE)</f>
        <v>2</v>
      </c>
      <c r="AK24">
        <f t="shared" si="11"/>
        <v>3.9867421179358971</v>
      </c>
      <c r="AL24">
        <f t="shared" si="1"/>
        <v>32.007510330281256</v>
      </c>
      <c r="AM24" s="98">
        <f t="shared" si="2"/>
        <v>53.90648439164115</v>
      </c>
      <c r="AN24" t="str">
        <f t="shared" si="12"/>
        <v>Good</v>
      </c>
    </row>
    <row r="25" spans="1:40">
      <c r="A25" t="str">
        <f t="shared" si="13"/>
        <v>BD1_2008-07-19</v>
      </c>
      <c r="B25" t="s">
        <v>2629</v>
      </c>
      <c r="C25" s="3">
        <v>39648</v>
      </c>
      <c r="D25">
        <f>SUMIF(DATA_WITHOUT_GENUS!A:A,A25,DATA_WITHOUT_GENUS!E:E)</f>
        <v>117</v>
      </c>
      <c r="E25">
        <f>SUMIF(DATA_WITHOUT_GENUS!A:A,A25,DATA_WITHOUT_GENUS!I:I)</f>
        <v>100</v>
      </c>
      <c r="F25" s="97">
        <f>SUMIFS(DATA_WITHOUT_GENUS!M:M,DATA_WITHOUT_GENUS!A:A,A25)/100</f>
        <v>4.74</v>
      </c>
      <c r="G25" s="18">
        <f>COUNTIFS(DATA_WITHOUT_GENUS!A:A,A25,DATA_WITHOUT_GENUS!I:I, "&gt;0")</f>
        <v>7</v>
      </c>
      <c r="H25">
        <f>COUNTIFS(DATA_WITHOUT_GENUS!A:A,A25,DATA_WITHOUT_GENUS!J:J,TRUE)</f>
        <v>2</v>
      </c>
      <c r="I25" s="18">
        <f>SUMIFS(DATA_WITHOUT_GENUS!I:I,DATA_WITHOUT_GENUS!A:A,A25,DATA_WITHOUT_GENUS!J:J,TRUE)</f>
        <v>26</v>
      </c>
      <c r="J25">
        <f>_xlfn.MAXIFS(DATA_WITHOUT_GENUS!I:I,DATA_WITHOUT_GENUS!A:A,A25)</f>
        <v>62</v>
      </c>
      <c r="K25" s="18" t="str" cm="1">
        <f t="array" ref="K25">_xlfn._xlws.FILTER(DATA_WITHOUT_GENUS!D:D,(DATA_WITHOUT_GENUS!A:A=A25)*(DATA_WITHOUT_GENUS!I:I=J25)*ROW(DATA_WITHOUT_GENUS!D:D),0)</f>
        <v>Gammaridae</v>
      </c>
      <c r="L25" s="30">
        <f t="shared" si="3"/>
        <v>6</v>
      </c>
      <c r="M25">
        <f t="shared" si="4"/>
        <v>3</v>
      </c>
      <c r="N25" s="31">
        <f t="shared" si="5"/>
        <v>0</v>
      </c>
      <c r="O25" s="32">
        <f t="shared" si="6"/>
        <v>3</v>
      </c>
      <c r="P25">
        <f t="shared" si="7"/>
        <v>0</v>
      </c>
      <c r="Q25" s="100">
        <f t="shared" si="8"/>
        <v>12</v>
      </c>
      <c r="R25" s="15" t="str">
        <f t="shared" si="9"/>
        <v>Moderately Impaired</v>
      </c>
      <c r="S25" s="15"/>
      <c r="T25" s="20"/>
      <c r="U25" s="23"/>
      <c r="W25" s="18"/>
      <c r="X25" s="18"/>
      <c r="AG25">
        <f t="shared" si="10"/>
        <v>2</v>
      </c>
      <c r="AH25">
        <f>ROUND((((COUNTIFS(DATA_WITHOUT_GENUS!A:A,A25,DATA_WITHOUT_GENUS!N:N,FALSE))/G25)*100),1)</f>
        <v>42.9</v>
      </c>
      <c r="AI25" s="23">
        <f>SUMIFS(DATA_WITHOUT_GENUS!I:I,DATA_WITHOUT_GENUS!A:A,A25,DATA_WITHOUT_GENUS!O:O,TRUE)</f>
        <v>26</v>
      </c>
      <c r="AJ25">
        <f>COUNTIFS(DATA_WITHOUT_GENUS!A:A,A25,DATA_WITHOUT_GENUS!P:P,TRUE)</f>
        <v>2</v>
      </c>
      <c r="AK25">
        <f t="shared" si="11"/>
        <v>3.9967421179358951</v>
      </c>
      <c r="AL25">
        <f t="shared" si="1"/>
        <v>40.007510330281256</v>
      </c>
      <c r="AM25" s="98">
        <f t="shared" si="2"/>
        <v>45.562004410594014</v>
      </c>
      <c r="AN25" t="str">
        <f t="shared" si="12"/>
        <v>Good</v>
      </c>
    </row>
    <row r="26" spans="1:40">
      <c r="A26" t="str">
        <f t="shared" si="13"/>
        <v>BD1_2008-10-18</v>
      </c>
      <c r="B26" t="s">
        <v>2629</v>
      </c>
      <c r="C26" s="3">
        <v>39739</v>
      </c>
      <c r="D26">
        <f>SUMIF(DATA_WITHOUT_GENUS!A:A,A26,DATA_WITHOUT_GENUS!E:E)</f>
        <v>139</v>
      </c>
      <c r="E26">
        <f>SUMIF(DATA_WITHOUT_GENUS!A:A,A26,DATA_WITHOUT_GENUS!I:I)</f>
        <v>100</v>
      </c>
      <c r="F26" s="97">
        <f>SUMIFS(DATA_WITHOUT_GENUS!M:M,DATA_WITHOUT_GENUS!A:A,A26)/100</f>
        <v>4.6100000000000003</v>
      </c>
      <c r="G26" s="18">
        <f>COUNTIFS(DATA_WITHOUT_GENUS!A:A,A26,DATA_WITHOUT_GENUS!I:I, "&gt;0")</f>
        <v>18</v>
      </c>
      <c r="H26">
        <f>COUNTIFS(DATA_WITHOUT_GENUS!A:A,A26,DATA_WITHOUT_GENUS!J:J,TRUE)</f>
        <v>3</v>
      </c>
      <c r="I26" s="18">
        <f>SUMIFS(DATA_WITHOUT_GENUS!I:I,DATA_WITHOUT_GENUS!A:A,A26,DATA_WITHOUT_GENUS!J:J,TRUE)</f>
        <v>3</v>
      </c>
      <c r="J26">
        <f>_xlfn.MAXIFS(DATA_WITHOUT_GENUS!I:I,DATA_WITHOUT_GENUS!A:A,A26)</f>
        <v>34</v>
      </c>
      <c r="K26" s="18" t="str" cm="1">
        <f t="array" ref="K26">_xlfn._xlws.FILTER(DATA_WITHOUT_GENUS!D:D,(DATA_WITHOUT_GENUS!A:A=A26)*(DATA_WITHOUT_GENUS!I:I=J26)*ROW(DATA_WITHOUT_GENUS!D:D),0)</f>
        <v>Gammaridae</v>
      </c>
      <c r="L26" s="30">
        <f t="shared" si="3"/>
        <v>6</v>
      </c>
      <c r="M26">
        <f t="shared" si="4"/>
        <v>6</v>
      </c>
      <c r="N26" s="31">
        <f t="shared" si="5"/>
        <v>3</v>
      </c>
      <c r="O26" s="32">
        <f t="shared" si="6"/>
        <v>0</v>
      </c>
      <c r="P26">
        <f t="shared" si="7"/>
        <v>6</v>
      </c>
      <c r="Q26" s="100">
        <f t="shared" si="8"/>
        <v>21</v>
      </c>
      <c r="R26" s="15" t="str">
        <f t="shared" si="9"/>
        <v>Moderately Impaired</v>
      </c>
      <c r="S26" s="15"/>
      <c r="T26" s="20"/>
      <c r="U26" s="23"/>
      <c r="W26" s="18"/>
      <c r="X26" s="18"/>
      <c r="AG26">
        <f t="shared" si="10"/>
        <v>3</v>
      </c>
      <c r="AH26">
        <f>ROUND((((COUNTIFS(DATA_WITHOUT_GENUS!A:A,A26,DATA_WITHOUT_GENUS!N:N,FALSE))/G26)*100),1)</f>
        <v>50</v>
      </c>
      <c r="AI26" s="23">
        <f>SUMIFS(DATA_WITHOUT_GENUS!I:I,DATA_WITHOUT_GENUS!A:A,A26,DATA_WITHOUT_GENUS!O:O,TRUE)</f>
        <v>2</v>
      </c>
      <c r="AJ26">
        <f>COUNTIFS(DATA_WITHOUT_GENUS!A:A,A26,DATA_WITHOUT_GENUS!P:P,TRUE)</f>
        <v>4</v>
      </c>
      <c r="AK26">
        <f t="shared" si="11"/>
        <v>3.8667421179358961</v>
      </c>
      <c r="AL26">
        <f t="shared" si="1"/>
        <v>16.007510330281256</v>
      </c>
      <c r="AM26" s="98">
        <f t="shared" si="2"/>
        <v>45.12719038548147</v>
      </c>
      <c r="AN26" t="str">
        <f t="shared" si="12"/>
        <v>Good</v>
      </c>
    </row>
    <row r="27" spans="1:40">
      <c r="A27" t="str">
        <f t="shared" si="13"/>
        <v>BD1_2009-03-28</v>
      </c>
      <c r="B27" t="s">
        <v>2629</v>
      </c>
      <c r="C27" s="3">
        <v>39900</v>
      </c>
      <c r="D27">
        <f>SUMIF(DATA_WITHOUT_GENUS!A:A,A27,DATA_WITHOUT_GENUS!E:E)</f>
        <v>101</v>
      </c>
      <c r="E27">
        <f>SUMIF(DATA_WITHOUT_GENUS!A:A,A27,DATA_WITHOUT_GENUS!I:I)</f>
        <v>100</v>
      </c>
      <c r="F27" s="97">
        <f>SUMIFS(DATA_WITHOUT_GENUS!M:M,DATA_WITHOUT_GENUS!A:A,A27)/100</f>
        <v>5.87</v>
      </c>
      <c r="G27" s="18">
        <f>COUNTIFS(DATA_WITHOUT_GENUS!A:A,A27,DATA_WITHOUT_GENUS!I:I, "&gt;0")</f>
        <v>7</v>
      </c>
      <c r="H27">
        <f>COUNTIFS(DATA_WITHOUT_GENUS!A:A,A27,DATA_WITHOUT_GENUS!J:J,TRUE)</f>
        <v>0</v>
      </c>
      <c r="I27" s="18">
        <f>SUMIFS(DATA_WITHOUT_GENUS!I:I,DATA_WITHOUT_GENUS!A:A,A27,DATA_WITHOUT_GENUS!J:J,TRUE)</f>
        <v>0</v>
      </c>
      <c r="J27">
        <f>_xlfn.MAXIFS(DATA_WITHOUT_GENUS!I:I,DATA_WITHOUT_GENUS!A:A,A27)</f>
        <v>79</v>
      </c>
      <c r="K27" s="18" t="str" cm="1">
        <f t="array" ref="K27">_xlfn._xlws.FILTER(DATA_WITHOUT_GENUS!D:D,(DATA_WITHOUT_GENUS!A:A=A27)*(DATA_WITHOUT_GENUS!I:I=J27)*ROW(DATA_WITHOUT_GENUS!D:D),0)</f>
        <v>Chironomidae</v>
      </c>
      <c r="L27" s="30">
        <f t="shared" si="3"/>
        <v>3</v>
      </c>
      <c r="M27">
        <f t="shared" si="4"/>
        <v>3</v>
      </c>
      <c r="N27" s="31">
        <f t="shared" si="5"/>
        <v>0</v>
      </c>
      <c r="O27" s="32">
        <f t="shared" si="6"/>
        <v>0</v>
      </c>
      <c r="P27">
        <f t="shared" si="7"/>
        <v>0</v>
      </c>
      <c r="Q27" s="100">
        <f t="shared" si="8"/>
        <v>6</v>
      </c>
      <c r="R27" s="15" t="str">
        <f t="shared" si="9"/>
        <v>Severally Impaired</v>
      </c>
      <c r="S27" s="15"/>
      <c r="T27" s="20"/>
      <c r="U27" s="23"/>
      <c r="W27" s="18"/>
      <c r="X27" s="18"/>
      <c r="AG27">
        <f t="shared" si="10"/>
        <v>0</v>
      </c>
      <c r="AH27">
        <f>ROUND((((COUNTIFS(DATA_WITHOUT_GENUS!A:A,A27,DATA_WITHOUT_GENUS!N:N,FALSE))/G27)*100),1)</f>
        <v>28.6</v>
      </c>
      <c r="AI27" s="23">
        <f>SUMIFS(DATA_WITHOUT_GENUS!I:I,DATA_WITHOUT_GENUS!A:A,A27,DATA_WITHOUT_GENUS!O:O,TRUE)</f>
        <v>0</v>
      </c>
      <c r="AJ27">
        <f>COUNTIFS(DATA_WITHOUT_GENUS!A:A,A27,DATA_WITHOUT_GENUS!P:P,TRUE)</f>
        <v>1</v>
      </c>
      <c r="AK27">
        <f t="shared" si="11"/>
        <v>5.1267421179358958</v>
      </c>
      <c r="AL27">
        <f t="shared" si="1"/>
        <v>14.007510330281256</v>
      </c>
      <c r="AM27" s="98">
        <f t="shared" si="2"/>
        <v>30.023826253759132</v>
      </c>
      <c r="AN27" t="str">
        <f t="shared" si="12"/>
        <v>Fair</v>
      </c>
    </row>
    <row r="28" spans="1:40">
      <c r="A28" t="str">
        <f t="shared" si="13"/>
        <v>BD1_2009-07-18</v>
      </c>
      <c r="B28" t="s">
        <v>2629</v>
      </c>
      <c r="C28" s="3">
        <v>40012</v>
      </c>
      <c r="D28">
        <f>SUMIF(DATA_WITHOUT_GENUS!A:A,A28,DATA_WITHOUT_GENUS!E:E)</f>
        <v>109</v>
      </c>
      <c r="E28">
        <f>SUMIF(DATA_WITHOUT_GENUS!A:A,A28,DATA_WITHOUT_GENUS!I:I)</f>
        <v>100</v>
      </c>
      <c r="F28" s="97">
        <f>SUMIFS(DATA_WITHOUT_GENUS!M:M,DATA_WITHOUT_GENUS!A:A,A28)/100</f>
        <v>4.9000000000000004</v>
      </c>
      <c r="G28" s="18">
        <f>COUNTIFS(DATA_WITHOUT_GENUS!A:A,A28,DATA_WITHOUT_GENUS!I:I, "&gt;0")</f>
        <v>10</v>
      </c>
      <c r="H28">
        <f>COUNTIFS(DATA_WITHOUT_GENUS!A:A,A28,DATA_WITHOUT_GENUS!J:J,TRUE)</f>
        <v>2</v>
      </c>
      <c r="I28" s="18">
        <f>SUMIFS(DATA_WITHOUT_GENUS!I:I,DATA_WITHOUT_GENUS!A:A,A28,DATA_WITHOUT_GENUS!J:J,TRUE)</f>
        <v>4</v>
      </c>
      <c r="J28">
        <f>_xlfn.MAXIFS(DATA_WITHOUT_GENUS!I:I,DATA_WITHOUT_GENUS!A:A,A28)</f>
        <v>48</v>
      </c>
      <c r="K28" s="18" t="str" cm="1">
        <f t="array" ref="K28">_xlfn._xlws.FILTER(DATA_WITHOUT_GENUS!D:D,(DATA_WITHOUT_GENUS!A:A=A28)*(DATA_WITHOUT_GENUS!I:I=J28)*ROW(DATA_WITHOUT_GENUS!D:D),0)</f>
        <v>Elmidae</v>
      </c>
      <c r="L28" s="30">
        <f t="shared" si="3"/>
        <v>6</v>
      </c>
      <c r="M28">
        <f t="shared" si="4"/>
        <v>3</v>
      </c>
      <c r="N28" s="31">
        <f t="shared" si="5"/>
        <v>0</v>
      </c>
      <c r="O28" s="32">
        <f t="shared" si="6"/>
        <v>0</v>
      </c>
      <c r="P28">
        <f t="shared" si="7"/>
        <v>3</v>
      </c>
      <c r="Q28" s="100">
        <f t="shared" si="8"/>
        <v>12</v>
      </c>
      <c r="R28" s="15" t="str">
        <f t="shared" si="9"/>
        <v>Moderately Impaired</v>
      </c>
      <c r="S28" s="15"/>
      <c r="T28" s="20"/>
      <c r="U28" s="23"/>
      <c r="W28" s="18"/>
      <c r="X28" s="18"/>
      <c r="AG28">
        <f t="shared" si="10"/>
        <v>2</v>
      </c>
      <c r="AH28">
        <f>ROUND((((COUNTIFS(DATA_WITHOUT_GENUS!A:A,A28,DATA_WITHOUT_GENUS!N:N,FALSE))/G28)*100),1)</f>
        <v>40</v>
      </c>
      <c r="AI28" s="23">
        <f>SUMIFS(DATA_WITHOUT_GENUS!I:I,DATA_WITHOUT_GENUS!A:A,A28,DATA_WITHOUT_GENUS!O:O,TRUE)</f>
        <v>2</v>
      </c>
      <c r="AJ28">
        <f>COUNTIFS(DATA_WITHOUT_GENUS!A:A,A28,DATA_WITHOUT_GENUS!P:P,TRUE)</f>
        <v>2</v>
      </c>
      <c r="AK28">
        <f t="shared" si="11"/>
        <v>4.1567421179358952</v>
      </c>
      <c r="AL28">
        <f t="shared" si="1"/>
        <v>16.007510330281256</v>
      </c>
      <c r="AM28" s="98">
        <f t="shared" si="2"/>
        <v>38.518460226751316</v>
      </c>
      <c r="AN28" t="str">
        <f t="shared" si="12"/>
        <v>Fair</v>
      </c>
    </row>
    <row r="29" spans="1:40">
      <c r="A29" t="str">
        <f t="shared" si="13"/>
        <v>BD1_2011-07-23</v>
      </c>
      <c r="B29" t="s">
        <v>2629</v>
      </c>
      <c r="C29" s="3">
        <v>40747</v>
      </c>
      <c r="D29">
        <f>SUMIF(DATA_WITHOUT_GENUS!A:A,A29,DATA_WITHOUT_GENUS!E:E)</f>
        <v>109</v>
      </c>
      <c r="E29">
        <f>SUMIF(DATA_WITHOUT_GENUS!A:A,A29,DATA_WITHOUT_GENUS!I:I)</f>
        <v>100</v>
      </c>
      <c r="F29" s="97">
        <f>SUMIFS(DATA_WITHOUT_GENUS!M:M,DATA_WITHOUT_GENUS!A:A,A29)/100</f>
        <v>4.97</v>
      </c>
      <c r="G29" s="18">
        <f>COUNTIFS(DATA_WITHOUT_GENUS!A:A,A29,DATA_WITHOUT_GENUS!I:I, "&gt;0")</f>
        <v>9</v>
      </c>
      <c r="H29">
        <f>COUNTIFS(DATA_WITHOUT_GENUS!A:A,A29,DATA_WITHOUT_GENUS!J:J,TRUE)</f>
        <v>1</v>
      </c>
      <c r="I29" s="18">
        <f>SUMIFS(DATA_WITHOUT_GENUS!I:I,DATA_WITHOUT_GENUS!A:A,A29,DATA_WITHOUT_GENUS!J:J,TRUE)</f>
        <v>1</v>
      </c>
      <c r="J29">
        <f>_xlfn.MAXIFS(DATA_WITHOUT_GENUS!I:I,DATA_WITHOUT_GENUS!A:A,A29)</f>
        <v>43</v>
      </c>
      <c r="K29" s="18" t="str" cm="1">
        <f t="array" ref="K29">_xlfn._xlws.FILTER(DATA_WITHOUT_GENUS!D:D,(DATA_WITHOUT_GENUS!A:A=A29)*(DATA_WITHOUT_GENUS!I:I=J29)*ROW(DATA_WITHOUT_GENUS!D:D),0)</f>
        <v>Gammaridae</v>
      </c>
      <c r="L29" s="30">
        <f t="shared" si="3"/>
        <v>6</v>
      </c>
      <c r="M29">
        <f t="shared" si="4"/>
        <v>3</v>
      </c>
      <c r="N29" s="31">
        <f t="shared" si="5"/>
        <v>0</v>
      </c>
      <c r="O29" s="32">
        <f t="shared" si="6"/>
        <v>0</v>
      </c>
      <c r="P29">
        <f t="shared" si="7"/>
        <v>3</v>
      </c>
      <c r="Q29" s="100">
        <f t="shared" si="8"/>
        <v>12</v>
      </c>
      <c r="R29" s="15" t="str">
        <f t="shared" si="9"/>
        <v>Moderately Impaired</v>
      </c>
      <c r="S29" s="15"/>
      <c r="T29" s="20"/>
      <c r="U29" s="23"/>
      <c r="W29" s="18"/>
      <c r="X29" s="18"/>
      <c r="AG29">
        <f t="shared" si="10"/>
        <v>1</v>
      </c>
      <c r="AH29">
        <f>ROUND((((COUNTIFS(DATA_WITHOUT_GENUS!A:A,A29,DATA_WITHOUT_GENUS!N:N,FALSE))/G29)*100),1)</f>
        <v>33.299999999999997</v>
      </c>
      <c r="AI29" s="23">
        <f>SUMIFS(DATA_WITHOUT_GENUS!I:I,DATA_WITHOUT_GENUS!A:A,A29,DATA_WITHOUT_GENUS!O:O,TRUE)</f>
        <v>1</v>
      </c>
      <c r="AJ29">
        <f>COUNTIFS(DATA_WITHOUT_GENUS!A:A,A29,DATA_WITHOUT_GENUS!P:P,TRUE)</f>
        <v>1</v>
      </c>
      <c r="AK29">
        <f t="shared" si="11"/>
        <v>4.2267421179358955</v>
      </c>
      <c r="AL29">
        <f t="shared" si="1"/>
        <v>15.007510330281256</v>
      </c>
      <c r="AM29" s="98">
        <f t="shared" si="2"/>
        <v>34.996936891048883</v>
      </c>
      <c r="AN29" t="str">
        <f t="shared" si="12"/>
        <v>Fair</v>
      </c>
    </row>
  </sheetData>
  <phoneticPr fontId="2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F3DB-DEBA-4D3F-AAB2-78C8AB033A4F}">
  <sheetPr>
    <tabColor rgb="FFFF0000"/>
  </sheetPr>
  <dimension ref="A1:AN58"/>
  <sheetViews>
    <sheetView topLeftCell="V1" zoomScale="89" workbookViewId="0">
      <selection activeCell="AQ9" sqref="AQ9"/>
    </sheetView>
  </sheetViews>
  <sheetFormatPr baseColWidth="10" defaultColWidth="8.83203125" defaultRowHeight="15"/>
  <cols>
    <col min="1" max="1" width="16.6640625" customWidth="1"/>
    <col min="3" max="5" width="13.33203125" customWidth="1"/>
    <col min="6" max="6" width="8.83203125" style="98"/>
    <col min="7" max="7" width="10.5" customWidth="1"/>
    <col min="8" max="8" width="11" customWidth="1"/>
    <col min="9" max="9" width="11.5" customWidth="1"/>
    <col min="10" max="10" width="13.83203125" customWidth="1"/>
    <col min="11" max="11" width="16.83203125" customWidth="1"/>
    <col min="13" max="13" width="10.83203125" customWidth="1"/>
    <col min="15" max="15" width="11.83203125" customWidth="1"/>
    <col min="16" max="16" width="12.33203125" customWidth="1"/>
    <col min="17" max="17" width="8.83203125" style="98"/>
    <col min="18" max="18" width="18" customWidth="1"/>
    <col min="19" max="19" width="15.5" customWidth="1"/>
    <col min="20" max="20" width="15.33203125" customWidth="1"/>
    <col min="21" max="21" width="14.1640625" customWidth="1"/>
    <col min="22" max="22" width="11" customWidth="1"/>
    <col min="23" max="23" width="11.6640625" customWidth="1"/>
    <col min="24" max="24" width="12" customWidth="1"/>
    <col min="25" max="25" width="11.33203125" customWidth="1"/>
    <col min="26" max="26" width="16" customWidth="1"/>
    <col min="27" max="27" width="12.5" customWidth="1"/>
    <col min="28" max="28" width="15.33203125" customWidth="1"/>
    <col min="29" max="29" width="11.33203125" customWidth="1"/>
    <col min="30" max="30" width="12.5" customWidth="1"/>
    <col min="31" max="31" width="13.1640625" style="98" customWidth="1"/>
    <col min="32" max="32" width="13.1640625" customWidth="1"/>
    <col min="33" max="33" width="9.5" customWidth="1"/>
    <col min="34" max="34" width="9.33203125" bestFit="1" customWidth="1"/>
    <col min="35" max="35" width="13.5" customWidth="1"/>
    <col min="36" max="36" width="9.33203125" bestFit="1" customWidth="1"/>
    <col min="37" max="37" width="11.6640625" customWidth="1"/>
    <col min="38" max="38" width="14.1640625" customWidth="1"/>
    <col min="39" max="39" width="14.33203125" style="98" customWidth="1"/>
    <col min="40" max="40" width="13.5" customWidth="1"/>
  </cols>
  <sheetData>
    <row r="1" spans="1:40" s="58" customFormat="1" ht="64">
      <c r="A1" s="48" t="s">
        <v>0</v>
      </c>
      <c r="B1" s="49" t="s">
        <v>1</v>
      </c>
      <c r="C1" s="49" t="s">
        <v>2</v>
      </c>
      <c r="D1" s="48" t="s">
        <v>3</v>
      </c>
      <c r="E1" s="48" t="s">
        <v>4</v>
      </c>
      <c r="F1" s="96" t="s">
        <v>5</v>
      </c>
      <c r="G1" s="50" t="s">
        <v>2966</v>
      </c>
      <c r="H1" s="51" t="s">
        <v>7</v>
      </c>
      <c r="I1" s="50" t="s">
        <v>8</v>
      </c>
      <c r="J1" s="52" t="s">
        <v>9</v>
      </c>
      <c r="K1" s="53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99" t="s">
        <v>16</v>
      </c>
      <c r="R1" s="17" t="s">
        <v>17</v>
      </c>
      <c r="S1" s="40" t="s">
        <v>31</v>
      </c>
      <c r="T1" s="53" t="s">
        <v>32</v>
      </c>
      <c r="U1" s="53" t="s">
        <v>33</v>
      </c>
      <c r="V1" s="52" t="s">
        <v>21</v>
      </c>
      <c r="W1" s="51" t="s">
        <v>34</v>
      </c>
      <c r="X1" s="51" t="s">
        <v>35</v>
      </c>
      <c r="Y1" s="51" t="s">
        <v>36</v>
      </c>
      <c r="Z1" s="54" t="s">
        <v>37</v>
      </c>
      <c r="AA1" s="55" t="s">
        <v>38</v>
      </c>
      <c r="AB1" s="55" t="s">
        <v>39</v>
      </c>
      <c r="AC1" s="56" t="s">
        <v>40</v>
      </c>
      <c r="AD1" s="55" t="s">
        <v>2637</v>
      </c>
      <c r="AE1" s="101" t="s">
        <v>41</v>
      </c>
      <c r="AF1" s="54" t="s">
        <v>42</v>
      </c>
      <c r="AG1" s="51" t="s">
        <v>43</v>
      </c>
      <c r="AH1" s="51" t="s">
        <v>44</v>
      </c>
      <c r="AI1" s="51" t="s">
        <v>33</v>
      </c>
      <c r="AJ1" s="51" t="s">
        <v>45</v>
      </c>
      <c r="AK1" s="57" t="s">
        <v>46</v>
      </c>
      <c r="AL1" s="54" t="s">
        <v>47</v>
      </c>
      <c r="AM1" s="101" t="s">
        <v>48</v>
      </c>
      <c r="AN1" s="107" t="s">
        <v>2995</v>
      </c>
    </row>
    <row r="2" spans="1:40" s="58" customFormat="1">
      <c r="A2" t="str">
        <f t="shared" ref="A2:A8" si="0">B2&amp;"_"&amp;TEXT(C2,"yyyy-mm-dd")</f>
        <v>BD3_1997-07-26</v>
      </c>
      <c r="B2" t="s">
        <v>49</v>
      </c>
      <c r="C2" s="36">
        <v>35637</v>
      </c>
      <c r="D2" s="102">
        <f>SUMIF(DATA_WITHOUT_GENUS!A:A,A2,DATA_WITHOUT_GENUS!E:E)</f>
        <v>92</v>
      </c>
      <c r="E2"/>
      <c r="F2" s="97"/>
      <c r="G2" s="18"/>
      <c r="H2"/>
      <c r="I2" s="18"/>
      <c r="J2"/>
      <c r="K2" s="18"/>
      <c r="L2" s="30"/>
      <c r="M2"/>
      <c r="N2" s="31"/>
      <c r="O2" s="32"/>
      <c r="P2"/>
      <c r="Q2" s="100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00"/>
      <c r="AF2" s="15"/>
      <c r="AG2"/>
      <c r="AH2"/>
      <c r="AI2" s="23"/>
      <c r="AJ2"/>
      <c r="AK2"/>
      <c r="AL2"/>
      <c r="AM2" s="98"/>
      <c r="AN2"/>
    </row>
    <row r="3" spans="1:40" s="58" customFormat="1">
      <c r="A3" t="str">
        <f t="shared" si="0"/>
        <v>BD3_1997-11-08</v>
      </c>
      <c r="B3" t="s">
        <v>49</v>
      </c>
      <c r="C3" s="36">
        <v>35742</v>
      </c>
      <c r="D3">
        <f>SUMIF(DATA_WITHOUT_GENUS!A:A,A3,DATA_WITHOUT_GENUS!E:E)</f>
        <v>130</v>
      </c>
      <c r="E3">
        <f>SUMIF(DATA_WITHOUT_GENUS!A:A,A3,DATA_WITHOUT_GENUS!I:I)</f>
        <v>100</v>
      </c>
      <c r="F3" s="97">
        <f>SUMIFS(DATA_WITHOUT_GENUS!M:M,DATA_WITHOUT_GENUS!A:A,A3)/100</f>
        <v>4.68</v>
      </c>
      <c r="G3" s="18">
        <f>COUNTIFS(DATA_WITHOUT_GENUS!A:A,A3,DATA_WITHOUT_GENUS!I:I, "&gt;0")</f>
        <v>12</v>
      </c>
      <c r="H3">
        <f>COUNTIFS(DATA_WITHOUT_GENUS!A:A,A3,DATA_WITHOUT_GENUS!J:J,TRUE)</f>
        <v>2</v>
      </c>
      <c r="I3" s="18">
        <f>SUMIFS(DATA_WITHOUT_GENUS!I:I,DATA_WITHOUT_GENUS!A:A,A3,DATA_WITHOUT_GENUS!J:J,TRUE)</f>
        <v>44</v>
      </c>
      <c r="J3">
        <f>_xlfn.MAXIFS(DATA_WITHOUT_GENUS!I:I,DATA_WITHOUT_GENUS!A:A,A3)</f>
        <v>42</v>
      </c>
      <c r="K3" s="18" t="str" cm="1">
        <f t="array" ref="K3">_xlfn._xlws.FILTER(DATA_WITHOUT_GENUS!D:D,(DATA_WITHOUT_GENUS!A:A=A3)*(DATA_WITHOUT_GENUS!I:I=J3)*ROW(DATA_WITHOUT_GENUS!D:D),0)</f>
        <v>Hydropsychidae</v>
      </c>
      <c r="L3" s="30">
        <f>IF(F3="","",IF(F3&gt;7,0,IF(F3&lt;5,6,IF(F3&lt;=7,3))))</f>
        <v>6</v>
      </c>
      <c r="M3">
        <f>IF(G3="","",IF(G3&gt;10,6,IF(G3&lt;5,0,IF(G3&lt;=10,3))))</f>
        <v>6</v>
      </c>
      <c r="N3" s="31">
        <f>IF(H3="","",IF(H3&gt;5,6,IF(H3&lt;3,0,IF(H3&lt;=5,3))))</f>
        <v>0</v>
      </c>
      <c r="O3" s="32">
        <f>IF(I3="","",IF(I3&gt;35,6,IF(I3&lt;10,0,IF(I3&lt;=35,3,IF(I3&lt;10,0)))))</f>
        <v>6</v>
      </c>
      <c r="P3">
        <f>IF(J3="","",IF(J3&gt;60,0,IF(J3&lt;40,6,IF(J3&lt;=60,3))))</f>
        <v>3</v>
      </c>
      <c r="Q3" s="100">
        <f>SUM(L3:P3)</f>
        <v>21</v>
      </c>
      <c r="R3" s="15" t="str">
        <f>IF(Q3&gt;=24, "Non-Impaired", IF(Q3&lt;=6, "Severally Impaired", IF(Q3&gt;=9, "Moderately Impaired","")))</f>
        <v>Moderately Impaired</v>
      </c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00"/>
      <c r="AF3" s="15"/>
      <c r="AG3">
        <f>H3</f>
        <v>2</v>
      </c>
      <c r="AH3">
        <f>ROUND((((COUNTIFS(DATA_WITHOUT_GENUS!A:A,A3,DATA_WITHOUT_GENUS!N:N,FALSE))/G3)*100),1)</f>
        <v>25</v>
      </c>
      <c r="AI3" s="23">
        <f>SUMIFS(DATA_WITHOUT_GENUS!I:I,DATA_WITHOUT_GENUS!A:A,A3,DATA_WITHOUT_GENUS!O:O,TRUE)</f>
        <v>2</v>
      </c>
      <c r="AJ3">
        <f>COUNTIFS(DATA_WITHOUT_GENUS!A:A,A3,DATA_WITHOUT_GENUS!P:P,TRUE)</f>
        <v>3</v>
      </c>
      <c r="AK3">
        <f>F3+4.19-(3.636+0.615*(LOG10(128.6359653)))</f>
        <v>3.9367421179358963</v>
      </c>
      <c r="AL3">
        <f>(AI3)+35.15-(45.59-11.59*(LOG10(128.6359653)))</f>
        <v>16.007510330281256</v>
      </c>
      <c r="AM3" s="98">
        <f>((100*AG3/12) +(100*(70-(AH3))/63)+(100*AL3/67)+(100*AJ3/6)+(100*(7-AK3)/4))/5</f>
        <v>47.713698321989412</v>
      </c>
      <c r="AN3" t="str">
        <f>IF(AM3&gt;=63, "Excellent", IF(AM3&lt;21, "Poor", IF(AM3&lt;42, "Fair","Good")))</f>
        <v>Good</v>
      </c>
    </row>
    <row r="4" spans="1:40" s="58" customFormat="1">
      <c r="A4" t="str">
        <f t="shared" si="0"/>
        <v>BD3_1998-08-05</v>
      </c>
      <c r="B4" t="s">
        <v>49</v>
      </c>
      <c r="C4" s="36">
        <v>36012</v>
      </c>
      <c r="D4">
        <f>SUMIF(DATA_WITHOUT_GENUS!A:A,A4,DATA_WITHOUT_GENUS!E:E)</f>
        <v>99</v>
      </c>
      <c r="E4">
        <f>SUMIF(DATA_WITHOUT_GENUS!A:A,A4,DATA_WITHOUT_GENUS!I:I)</f>
        <v>99</v>
      </c>
      <c r="F4" s="97">
        <f>SUMIFS(DATA_WITHOUT_GENUS!M:M,DATA_WITHOUT_GENUS!A:A,A4)/100</f>
        <v>4.41</v>
      </c>
      <c r="G4" s="18">
        <f>COUNTIFS(DATA_WITHOUT_GENUS!A:A,A4,DATA_WITHOUT_GENUS!I:I, "&gt;0")</f>
        <v>12</v>
      </c>
      <c r="H4">
        <f>COUNTIFS(DATA_WITHOUT_GENUS!A:A,A4,DATA_WITHOUT_GENUS!J:J,TRUE)</f>
        <v>4</v>
      </c>
      <c r="I4" s="18">
        <f>SUMIFS(DATA_WITHOUT_GENUS!I:I,DATA_WITHOUT_GENUS!A:A,A4,DATA_WITHOUT_GENUS!J:J,TRUE)</f>
        <v>62</v>
      </c>
      <c r="J4">
        <f>_xlfn.MAXIFS(DATA_WITHOUT_GENUS!I:I,DATA_WITHOUT_GENUS!A:A,A4)</f>
        <v>59</v>
      </c>
      <c r="K4" s="18" t="str" cm="1">
        <f t="array" ref="K4">_xlfn._xlws.FILTER(DATA_WITHOUT_GENUS!D:D,(DATA_WITHOUT_GENUS!A:A=A4)*(DATA_WITHOUT_GENUS!I:I=J4)*ROW(DATA_WITHOUT_GENUS!D:D),0)</f>
        <v>Hydropsychidae</v>
      </c>
      <c r="L4" s="30">
        <f>IF(F4="","",IF(F4&gt;7,0,IF(F4&lt;5,6,IF(F4&lt;=7,3))))</f>
        <v>6</v>
      </c>
      <c r="M4">
        <f>IF(G4="","",IF(G4&gt;10,6,IF(G4&lt;5,0,IF(G4&lt;=10,3))))</f>
        <v>6</v>
      </c>
      <c r="N4" s="31">
        <f>IF(H4="","",IF(H4&gt;5,6,IF(H4&lt;3,0,IF(H4&lt;=5,3))))</f>
        <v>3</v>
      </c>
      <c r="O4" s="32">
        <f>IF(I4="","",IF(I4&gt;35,6,IF(I4&lt;10,0,IF(I4&lt;=35,3,IF(I4&lt;10,0)))))</f>
        <v>6</v>
      </c>
      <c r="P4">
        <f>IF(J4="","",IF(J4&gt;60,0,IF(J4&lt;40,6,IF(J4&lt;=60,3))))</f>
        <v>3</v>
      </c>
      <c r="Q4" s="100">
        <f>SUM(L4:P4)</f>
        <v>24</v>
      </c>
      <c r="R4" s="15" t="str">
        <f>IF(Q4&gt;=24, "Non-Impaired", IF(Q4&lt;=6, "Severally Impaired", IF(Q4&gt;=9, "Moderately Impaired","")))</f>
        <v>Non-Impaired</v>
      </c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00"/>
      <c r="AF4" s="15"/>
      <c r="AG4">
        <f>H4</f>
        <v>4</v>
      </c>
      <c r="AH4">
        <f>ROUND((((COUNTIFS(DATA_WITHOUT_GENUS!A:A,A4,DATA_WITHOUT_GENUS!N:N,FALSE))/G4)*100),1)</f>
        <v>16.7</v>
      </c>
      <c r="AI4" s="23">
        <f>SUMIFS(DATA_WITHOUT_GENUS!I:I,DATA_WITHOUT_GENUS!A:A,A4,DATA_WITHOUT_GENUS!O:O,TRUE)</f>
        <v>3</v>
      </c>
      <c r="AJ4">
        <f>COUNTIFS(DATA_WITHOUT_GENUS!A:A,A4,DATA_WITHOUT_GENUS!P:P,TRUE)</f>
        <v>4</v>
      </c>
      <c r="AK4">
        <f>F4+4.19-(3.636+0.615*(LOG10(128.6359653)))</f>
        <v>3.6667421179358968</v>
      </c>
      <c r="AL4">
        <f>(AI4/100)+35.15-(45.59-11.59*(LOG10(128.6359653)))</f>
        <v>14.037510330281258</v>
      </c>
      <c r="AM4" s="98">
        <f t="shared" ref="AM4:AM34" si="1">((100*AG4/12) +(100*(70-(AH4))/63)+(100*AL4/67)+(100*AJ4/6)+(100*(7-AK4)/4))/5</f>
        <v>57.777225922084178</v>
      </c>
      <c r="AN4" t="str">
        <f>IF(AM4&gt;=63, "Excellent", IF(AM4&lt;21, "Poor", IF(AM4&lt;42, "Fair","Good")))</f>
        <v>Good</v>
      </c>
    </row>
    <row r="5" spans="1:40" s="58" customFormat="1">
      <c r="A5" t="str">
        <f t="shared" si="0"/>
        <v>BD3_1998-10-27</v>
      </c>
      <c r="B5" t="s">
        <v>49</v>
      </c>
      <c r="C5" s="36">
        <v>36095</v>
      </c>
      <c r="D5">
        <f>SUMIF(DATA_WITHOUT_GENUS!A:A,A5,DATA_WITHOUT_GENUS!E:E)</f>
        <v>129</v>
      </c>
      <c r="E5">
        <f>SUMIF(DATA_WITHOUT_GENUS!A:A,A5,DATA_WITHOUT_GENUS!I:I)</f>
        <v>100</v>
      </c>
      <c r="F5" s="97">
        <f>SUMIFS(DATA_WITHOUT_GENUS!M:M,DATA_WITHOUT_GENUS!A:A,A5)/100</f>
        <v>5.28</v>
      </c>
      <c r="G5" s="18">
        <f>COUNTIFS(DATA_WITHOUT_GENUS!A:A,A5,DATA_WITHOUT_GENUS!I:I, "&gt;0")</f>
        <v>13</v>
      </c>
      <c r="H5">
        <f>COUNTIFS(DATA_WITHOUT_GENUS!A:A,A5,DATA_WITHOUT_GENUS!J:J,TRUE)</f>
        <v>2</v>
      </c>
      <c r="I5" s="18">
        <f>SUMIFS(DATA_WITHOUT_GENUS!I:I,DATA_WITHOUT_GENUS!A:A,A5,DATA_WITHOUT_GENUS!J:J,TRUE)</f>
        <v>6</v>
      </c>
      <c r="J5">
        <f>_xlfn.MAXIFS(DATA_WITHOUT_GENUS!I:I,DATA_WITHOUT_GENUS!A:A,A5)</f>
        <v>28</v>
      </c>
      <c r="K5" s="18" t="str" cm="1">
        <f t="array" ref="K5">_xlfn._xlws.FILTER(DATA_WITHOUT_GENUS!D:D,(DATA_WITHOUT_GENUS!A:A=A5)*(DATA_WITHOUT_GENUS!I:I=J5)*ROW(DATA_WITHOUT_GENUS!D:D),0)</f>
        <v>Psephenidae</v>
      </c>
      <c r="L5" s="30">
        <f t="shared" ref="L5:L6" si="2">IF(F5="","",IF(F5&gt;7,0,IF(F5&lt;5,6,IF(F5&lt;=7,3))))</f>
        <v>3</v>
      </c>
      <c r="M5">
        <f t="shared" ref="M5:M6" si="3">IF(G5="","",IF(G5&gt;10,6,IF(G5&lt;5,0,IF(G5&lt;=10,3))))</f>
        <v>6</v>
      </c>
      <c r="N5" s="31">
        <f t="shared" ref="N5:N6" si="4">IF(H5="","",IF(H5&gt;5,6,IF(H5&lt;3,0,IF(H5&lt;=5,3))))</f>
        <v>0</v>
      </c>
      <c r="O5" s="32">
        <f t="shared" ref="O5:O6" si="5">IF(I5="","",IF(I5&gt;35,6,IF(I5&lt;10,0,IF(I5&lt;=35,3,IF(I5&lt;10,0)))))</f>
        <v>0</v>
      </c>
      <c r="P5">
        <f t="shared" ref="P5:P6" si="6">IF(J5="","",IF(J5&gt;60,0,IF(J5&lt;40,6,IF(J5&lt;=60,3))))</f>
        <v>6</v>
      </c>
      <c r="Q5" s="100">
        <f t="shared" ref="Q5:Q6" si="7">SUM(L5:P5)</f>
        <v>15</v>
      </c>
      <c r="R5" s="15" t="str">
        <f t="shared" ref="R5:R6" si="8">IF(Q5&gt;=24, "Non-Impaired", IF(Q5&lt;=6, "Severally Impaired", IF(Q5&gt;=9, "Moderately Impaired","")))</f>
        <v>Moderately Impaired</v>
      </c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00"/>
      <c r="AF5" s="15"/>
      <c r="AG5">
        <f t="shared" ref="AG5:AG6" si="9">H5</f>
        <v>2</v>
      </c>
      <c r="AH5">
        <f>ROUND((((COUNTIFS(DATA_WITHOUT_GENUS!A:A,A5,DATA_WITHOUT_GENUS!N:N,FALSE))/G5)*100),1)</f>
        <v>38.5</v>
      </c>
      <c r="AI5" s="23">
        <f>SUMIFS(DATA_WITHOUT_GENUS!I:I,DATA_WITHOUT_GENUS!A:A,A5,DATA_WITHOUT_GENUS!O:O,TRUE)</f>
        <v>1</v>
      </c>
      <c r="AJ5">
        <f>COUNTIFS(DATA_WITHOUT_GENUS!A:A,A5,DATA_WITHOUT_GENUS!P:P,TRUE)</f>
        <v>4</v>
      </c>
      <c r="AK5">
        <f t="shared" ref="AK5:AK6" si="10">F5+4.19-(3.636+0.615*(LOG10(128.6359653)))</f>
        <v>4.536742117935896</v>
      </c>
      <c r="AL5">
        <f t="shared" ref="AL5:AL6" si="11">(AI5/100)+35.15-(45.59-11.59*(LOG10(128.6359653)))</f>
        <v>14.017510330281254</v>
      </c>
      <c r="AM5" s="98">
        <f t="shared" si="1"/>
        <v>43.167287518862189</v>
      </c>
      <c r="AN5" t="str">
        <f t="shared" ref="AN5:AN6" si="12">IF(AM5&gt;=63, "Excellent", IF(AM5&lt;21, "Poor", IF(AM5&lt;42, "Fair","Good")))</f>
        <v>Good</v>
      </c>
    </row>
    <row r="6" spans="1:40" s="58" customFormat="1">
      <c r="A6" t="str">
        <f t="shared" si="0"/>
        <v>BD3_1999-07-24</v>
      </c>
      <c r="B6" t="s">
        <v>49</v>
      </c>
      <c r="C6" s="36">
        <v>36365</v>
      </c>
      <c r="D6">
        <f>SUMIF(DATA_WITHOUT_GENUS!A:A,A6,DATA_WITHOUT_GENUS!E:E)</f>
        <v>109</v>
      </c>
      <c r="E6">
        <f>SUMIF(DATA_WITHOUT_GENUS!A:A,A6,DATA_WITHOUT_GENUS!I:I)</f>
        <v>100</v>
      </c>
      <c r="F6" s="97">
        <f>SUMIFS(DATA_WITHOUT_GENUS!M:M,DATA_WITHOUT_GENUS!A:A,A6)/100</f>
        <v>5.37</v>
      </c>
      <c r="G6" s="18">
        <f>COUNTIFS(DATA_WITHOUT_GENUS!A:A,A6,DATA_WITHOUT_GENUS!I:I, "&gt;0")</f>
        <v>13</v>
      </c>
      <c r="H6">
        <f>COUNTIFS(DATA_WITHOUT_GENUS!A:A,A6,DATA_WITHOUT_GENUS!J:J,TRUE)</f>
        <v>4</v>
      </c>
      <c r="I6" s="18">
        <f>SUMIFS(DATA_WITHOUT_GENUS!I:I,DATA_WITHOUT_GENUS!A:A,A6,DATA_WITHOUT_GENUS!J:J,TRUE)</f>
        <v>12</v>
      </c>
      <c r="J6">
        <f>_xlfn.MAXIFS(DATA_WITHOUT_GENUS!I:I,DATA_WITHOUT_GENUS!A:A,A6)</f>
        <v>28</v>
      </c>
      <c r="K6" s="18" t="str" cm="1">
        <f t="array" ref="K6">_xlfn._xlws.FILTER(DATA_WITHOUT_GENUS!D:D,(DATA_WITHOUT_GENUS!A:A=A6)*(DATA_WITHOUT_GENUS!I:I=J6)*ROW(DATA_WITHOUT_GENUS!D:D),0)</f>
        <v>Gammaridae</v>
      </c>
      <c r="L6" s="30">
        <f t="shared" si="2"/>
        <v>3</v>
      </c>
      <c r="M6">
        <f t="shared" si="3"/>
        <v>6</v>
      </c>
      <c r="N6" s="31">
        <f t="shared" si="4"/>
        <v>3</v>
      </c>
      <c r="O6" s="32">
        <f t="shared" si="5"/>
        <v>3</v>
      </c>
      <c r="P6">
        <f t="shared" si="6"/>
        <v>6</v>
      </c>
      <c r="Q6" s="100">
        <f t="shared" si="7"/>
        <v>21</v>
      </c>
      <c r="R6" s="15" t="str">
        <f t="shared" si="8"/>
        <v>Moderately Impaired</v>
      </c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00"/>
      <c r="AF6" s="15"/>
      <c r="AG6">
        <f t="shared" si="9"/>
        <v>4</v>
      </c>
      <c r="AH6">
        <f>ROUND((((COUNTIFS(DATA_WITHOUT_GENUS!A:A,A6,DATA_WITHOUT_GENUS!N:N,FALSE))/G6)*100),1)</f>
        <v>23.1</v>
      </c>
      <c r="AI6" s="23">
        <f>SUMIFS(DATA_WITHOUT_GENUS!I:I,DATA_WITHOUT_GENUS!A:A,A6,DATA_WITHOUT_GENUS!O:O,TRUE)</f>
        <v>3</v>
      </c>
      <c r="AJ6">
        <f>COUNTIFS(DATA_WITHOUT_GENUS!A:A,A6,DATA_WITHOUT_GENUS!P:P,TRUE)</f>
        <v>4</v>
      </c>
      <c r="AK6">
        <f t="shared" si="10"/>
        <v>4.6267421179358958</v>
      </c>
      <c r="AL6">
        <f t="shared" si="11"/>
        <v>14.037510330281258</v>
      </c>
      <c r="AM6" s="98">
        <f t="shared" si="1"/>
        <v>50.945479890338142</v>
      </c>
      <c r="AN6" t="str">
        <f t="shared" si="12"/>
        <v>Good</v>
      </c>
    </row>
    <row r="7" spans="1:40" s="58" customFormat="1">
      <c r="A7" t="str">
        <f t="shared" si="0"/>
        <v>BD3_2000-11-14</v>
      </c>
      <c r="B7" t="s">
        <v>49</v>
      </c>
      <c r="C7" s="36">
        <v>36844</v>
      </c>
      <c r="D7">
        <f>SUMIF(DATA_WITHOUT_GENUS!A:A,A7,DATA_WITHOUT_GENUS!E:E)</f>
        <v>116</v>
      </c>
      <c r="E7">
        <f>SUMIF(DATA_WITHOUT_GENUS!A:A,A7,DATA_WITHOUT_GENUS!I:I)</f>
        <v>100</v>
      </c>
      <c r="F7" s="97">
        <f>SUMIFS(DATA_WITHOUT_GENUS!M:M,DATA_WITHOUT_GENUS!A:A,A7)/100</f>
        <v>4.76</v>
      </c>
      <c r="G7" s="18">
        <f>COUNTIFS(DATA_WITHOUT_GENUS!A:A,A7,DATA_WITHOUT_GENUS!I:I, "&gt;0")</f>
        <v>11</v>
      </c>
      <c r="H7">
        <f>COUNTIFS(DATA_WITHOUT_GENUS!A:A,A7,DATA_WITHOUT_GENUS!J:J,TRUE)</f>
        <v>1</v>
      </c>
      <c r="I7" s="18">
        <f>SUMIFS(DATA_WITHOUT_GENUS!I:I,DATA_WITHOUT_GENUS!A:A,A7,DATA_WITHOUT_GENUS!J:J,TRUE)</f>
        <v>8</v>
      </c>
      <c r="J7">
        <f>_xlfn.MAXIFS(DATA_WITHOUT_GENUS!I:I,DATA_WITHOUT_GENUS!A:A,A7)</f>
        <v>62</v>
      </c>
      <c r="K7" s="18" t="str" cm="1">
        <f t="array" ref="K7">_xlfn._xlws.FILTER(DATA_WITHOUT_GENUS!D:D,(DATA_WITHOUT_GENUS!A:A=A7)*(DATA_WITHOUT_GENUS!I:I=J7)*ROW(DATA_WITHOUT_GENUS!D:D),0)</f>
        <v>Gammaridae</v>
      </c>
      <c r="L7" s="30">
        <f t="shared" ref="L7" si="13">IF(F7="","",IF(F7&gt;7,0,IF(F7&lt;5,6,IF(F7&lt;=7,3))))</f>
        <v>6</v>
      </c>
      <c r="M7">
        <f t="shared" ref="M7" si="14">IF(G7="","",IF(G7&gt;10,6,IF(G7&lt;5,0,IF(G7&lt;=10,3))))</f>
        <v>6</v>
      </c>
      <c r="N7" s="31">
        <f t="shared" ref="N7" si="15">IF(H7="","",IF(H7&gt;5,6,IF(H7&lt;3,0,IF(H7&lt;=5,3))))</f>
        <v>0</v>
      </c>
      <c r="O7" s="32">
        <f t="shared" ref="O7" si="16">IF(I7="","",IF(I7&gt;35,6,IF(I7&lt;10,0,IF(I7&lt;=35,3,IF(I7&lt;10,0)))))</f>
        <v>0</v>
      </c>
      <c r="P7">
        <f t="shared" ref="P7" si="17">IF(J7="","",IF(J7&gt;60,0,IF(J7&lt;40,6,IF(J7&lt;=60,3))))</f>
        <v>0</v>
      </c>
      <c r="Q7" s="100">
        <f t="shared" ref="Q7" si="18">SUM(L7:P7)</f>
        <v>12</v>
      </c>
      <c r="R7" s="15" t="str">
        <f t="shared" ref="R7" si="19">IF(Q7&gt;=24, "Non-Impaired", IF(Q7&lt;=6, "Severally Impaired", IF(Q7&gt;=9, "Moderately Impaired","")))</f>
        <v>Moderately Impaired</v>
      </c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00"/>
      <c r="AF7" s="15"/>
      <c r="AG7">
        <f t="shared" ref="AG7" si="20">H7</f>
        <v>1</v>
      </c>
      <c r="AH7">
        <f>ROUND((((COUNTIFS(DATA_WITHOUT_GENUS!A:A,A7,DATA_WITHOUT_GENUS!N:N,FALSE))/G7)*100),1)</f>
        <v>27.3</v>
      </c>
      <c r="AI7" s="23">
        <f>SUMIFS(DATA_WITHOUT_GENUS!I:I,DATA_WITHOUT_GENUS!A:A,A7,DATA_WITHOUT_GENUS!O:O,TRUE)</f>
        <v>0</v>
      </c>
      <c r="AJ7">
        <f>COUNTIFS(DATA_WITHOUT_GENUS!A:A,A7,DATA_WITHOUT_GENUS!P:P,TRUE)</f>
        <v>1</v>
      </c>
      <c r="AK7">
        <f t="shared" ref="AK7" si="21">F7+4.19-(3.636+0.615*(LOG10(128.6359653)))</f>
        <v>4.0167421179358946</v>
      </c>
      <c r="AL7">
        <f t="shared" ref="AL7" si="22">(AI7/100)+35.15-(45.59-11.59*(LOG10(128.6359653)))</f>
        <v>14.007510330281256</v>
      </c>
      <c r="AM7" s="98">
        <f t="shared" si="1"/>
        <v>37.653191333124219</v>
      </c>
      <c r="AN7" t="str">
        <f t="shared" ref="AN7" si="23">IF(AM7&gt;=63, "Excellent", IF(AM7&lt;21, "Poor", IF(AM7&lt;42, "Fair","Good")))</f>
        <v>Fair</v>
      </c>
    </row>
    <row r="8" spans="1:40" s="58" customFormat="1">
      <c r="A8" t="str">
        <f t="shared" si="0"/>
        <v>BD3_2001-07-21</v>
      </c>
      <c r="B8" t="s">
        <v>49</v>
      </c>
      <c r="C8" s="36">
        <v>37093</v>
      </c>
      <c r="D8">
        <f>SUMIF(DATA_WITHOUT_GENUS!A:A,A8,DATA_WITHOUT_GENUS!E:E)</f>
        <v>118</v>
      </c>
      <c r="E8">
        <f>SUMIF(DATA_WITHOUT_GENUS!A:A,A8,DATA_WITHOUT_GENUS!I:I)</f>
        <v>100</v>
      </c>
      <c r="F8" s="97">
        <f>SUMIFS(DATA_WITHOUT_GENUS!M:M,DATA_WITHOUT_GENUS!A:A,A8)/100</f>
        <v>4.4000000000000004</v>
      </c>
      <c r="G8" s="18">
        <f>COUNTIFS(DATA_WITHOUT_GENUS!A:A,A8,DATA_WITHOUT_GENUS!I:I, "&gt;0")</f>
        <v>9</v>
      </c>
      <c r="H8">
        <f>COUNTIFS(DATA_WITHOUT_GENUS!A:A,A8,DATA_WITHOUT_GENUS!J:J,TRUE)</f>
        <v>4</v>
      </c>
      <c r="I8" s="18">
        <f>SUMIFS(DATA_WITHOUT_GENUS!I:I,DATA_WITHOUT_GENUS!A:A,A8,DATA_WITHOUT_GENUS!J:J,TRUE)</f>
        <v>47</v>
      </c>
      <c r="J8">
        <f>_xlfn.MAXIFS(DATA_WITHOUT_GENUS!I:I,DATA_WITHOUT_GENUS!A:A,A8)</f>
        <v>42</v>
      </c>
      <c r="K8" s="18" t="str" cm="1">
        <f t="array" ref="K8">_xlfn._xlws.FILTER(DATA_WITHOUT_GENUS!D:D,(DATA_WITHOUT_GENUS!A:A=A8)*(DATA_WITHOUT_GENUS!I:I=J8)*ROW(DATA_WITHOUT_GENUS!D:D),0)</f>
        <v>Hydropsychidae</v>
      </c>
      <c r="L8" s="30">
        <f t="shared" ref="L8" si="24">IF(F8="","",IF(F8&gt;7,0,IF(F8&lt;5,6,IF(F8&lt;=7,3))))</f>
        <v>6</v>
      </c>
      <c r="M8">
        <f t="shared" ref="M8" si="25">IF(G8="","",IF(G8&gt;10,6,IF(G8&lt;5,0,IF(G8&lt;=10,3))))</f>
        <v>3</v>
      </c>
      <c r="N8" s="31">
        <f t="shared" ref="N8" si="26">IF(H8="","",IF(H8&gt;5,6,IF(H8&lt;3,0,IF(H8&lt;=5,3))))</f>
        <v>3</v>
      </c>
      <c r="O8" s="32">
        <f t="shared" ref="O8" si="27">IF(I8="","",IF(I8&gt;35,6,IF(I8&lt;10,0,IF(I8&lt;=35,3,IF(I8&lt;10,0)))))</f>
        <v>6</v>
      </c>
      <c r="P8">
        <f t="shared" ref="P8" si="28">IF(J8="","",IF(J8&gt;60,0,IF(J8&lt;40,6,IF(J8&lt;=60,3))))</f>
        <v>3</v>
      </c>
      <c r="Q8" s="100">
        <f t="shared" ref="Q8" si="29">SUM(L8:P8)</f>
        <v>21</v>
      </c>
      <c r="R8" s="15" t="str">
        <f t="shared" ref="R8" si="30">IF(Q8&gt;=24, "Non-Impaired", IF(Q8&lt;=6, "Severally Impaired", IF(Q8&gt;=9, "Moderately Impaired","")))</f>
        <v>Moderately Impaired</v>
      </c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00"/>
      <c r="AF8" s="15"/>
      <c r="AG8">
        <f t="shared" ref="AG8" si="31">H8</f>
        <v>4</v>
      </c>
      <c r="AH8">
        <f>ROUND((((COUNTIFS(DATA_WITHOUT_GENUS!A:A,A8,DATA_WITHOUT_GENUS!N:N,FALSE))/G8)*100),1)</f>
        <v>11.1</v>
      </c>
      <c r="AI8" s="23">
        <f>SUMIFS(DATA_WITHOUT_GENUS!I:I,DATA_WITHOUT_GENUS!A:A,A8,DATA_WITHOUT_GENUS!O:O,TRUE)</f>
        <v>5</v>
      </c>
      <c r="AJ8">
        <f>COUNTIFS(DATA_WITHOUT_GENUS!A:A,A8,DATA_WITHOUT_GENUS!P:P,TRUE)</f>
        <v>2</v>
      </c>
      <c r="AK8">
        <f t="shared" ref="AK8" si="32">F8+4.19-(3.636+0.615*(LOG10(128.6359653)))</f>
        <v>3.6567421179358952</v>
      </c>
      <c r="AL8">
        <f t="shared" ref="AL8" si="33">(AI8/100)+35.15-(45.59-11.59*(LOG10(128.6359653)))</f>
        <v>14.057510330281254</v>
      </c>
      <c r="AM8" s="98">
        <f t="shared" si="1"/>
        <v>52.94430718244903</v>
      </c>
      <c r="AN8" t="str">
        <f t="shared" ref="AN8" si="34">IF(AM8&gt;=63, "Excellent", IF(AM8&lt;21, "Poor", IF(AM8&lt;42, "Fair","Good")))</f>
        <v>Good</v>
      </c>
    </row>
    <row r="9" spans="1:40" s="58" customFormat="1">
      <c r="A9" t="str">
        <f t="shared" ref="A9:A35" si="35">B9&amp;"_"&amp;TEXT(C9,"yyyy-mm-dd")</f>
        <v>BD3_2001-10-20</v>
      </c>
      <c r="B9" t="s">
        <v>49</v>
      </c>
      <c r="C9" s="36">
        <v>37184</v>
      </c>
      <c r="D9">
        <f>SUMIF(DATA_WITHOUT_GENUS!A:A,A9,DATA_WITHOUT_GENUS!E:E)</f>
        <v>135</v>
      </c>
      <c r="E9">
        <f>SUMIF(DATA_WITHOUT_GENUS!A:A,A9,DATA_WITHOUT_GENUS!I:I)</f>
        <v>100</v>
      </c>
      <c r="F9" s="97">
        <f>SUMIFS(DATA_WITHOUT_GENUS!M:M,DATA_WITHOUT_GENUS!A:A,A9)/100</f>
        <v>3.98</v>
      </c>
      <c r="G9" s="18">
        <f>COUNTIFS(DATA_WITHOUT_GENUS!A:A,A9,DATA_WITHOUT_GENUS!I:I, "&gt;0")</f>
        <v>9</v>
      </c>
      <c r="H9">
        <f>COUNTIFS(DATA_WITHOUT_GENUS!A:A,A9,DATA_WITHOUT_GENUS!J:J,TRUE)</f>
        <v>3</v>
      </c>
      <c r="I9" s="18">
        <f>SUMIFS(DATA_WITHOUT_GENUS!I:I,DATA_WITHOUT_GENUS!A:A,A9,DATA_WITHOUT_GENUS!J:J,TRUE)</f>
        <v>9</v>
      </c>
      <c r="J9">
        <f>_xlfn.MAXIFS(DATA_WITHOUT_GENUS!I:I,DATA_WITHOUT_GENUS!A:A,A9)</f>
        <v>70</v>
      </c>
      <c r="K9" s="18" t="str" cm="1">
        <f t="array" ref="K9">_xlfn._xlws.FILTER(DATA_WITHOUT_GENUS!D:D,(DATA_WITHOUT_GENUS!A:A=A9)*(DATA_WITHOUT_GENUS!I:I=J9)*ROW(DATA_WITHOUT_GENUS!D:D),0)</f>
        <v>Elmidae</v>
      </c>
      <c r="L9" s="30">
        <f t="shared" ref="L9:L11" si="36">IF(F9="","",IF(F9&gt;7,0,IF(F9&lt;5,6,IF(F9&lt;=7,3))))</f>
        <v>6</v>
      </c>
      <c r="M9">
        <f t="shared" ref="M9:M11" si="37">IF(G9="","",IF(G9&gt;10,6,IF(G9&lt;5,0,IF(G9&lt;=10,3))))</f>
        <v>3</v>
      </c>
      <c r="N9" s="31">
        <f t="shared" ref="N9:N11" si="38">IF(H9="","",IF(H9&gt;5,6,IF(H9&lt;3,0,IF(H9&lt;=5,3))))</f>
        <v>3</v>
      </c>
      <c r="O9" s="32">
        <f t="shared" ref="O9:O11" si="39">IF(I9="","",IF(I9&gt;35,6,IF(I9&lt;10,0,IF(I9&lt;=35,3,IF(I9&lt;10,0)))))</f>
        <v>0</v>
      </c>
      <c r="P9">
        <f t="shared" ref="P9:P11" si="40">IF(J9="","",IF(J9&gt;60,0,IF(J9&lt;40,6,IF(J9&lt;=60,3))))</f>
        <v>0</v>
      </c>
      <c r="Q9" s="100">
        <f t="shared" ref="Q9:Q11" si="41">SUM(L9:P9)</f>
        <v>12</v>
      </c>
      <c r="R9" s="15" t="str">
        <f t="shared" ref="R9:R11" si="42">IF(Q9&gt;=24, "Non-Impaired", IF(Q9&lt;=6, "Severally Impaired", IF(Q9&gt;=9, "Moderately Impaired","")))</f>
        <v>Moderately Impaired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00"/>
      <c r="AF9" s="15"/>
      <c r="AG9">
        <f t="shared" ref="AG9:AG11" si="43">H9</f>
        <v>3</v>
      </c>
      <c r="AH9">
        <f>ROUND((((COUNTIFS(DATA_WITHOUT_GENUS!A:A,A9,DATA_WITHOUT_GENUS!N:N,FALSE))/G9)*100),1)</f>
        <v>33.299999999999997</v>
      </c>
      <c r="AI9" s="23">
        <f>SUMIFS(DATA_WITHOUT_GENUS!I:I,DATA_WITHOUT_GENUS!A:A,A9,DATA_WITHOUT_GENUS!O:O,TRUE)</f>
        <v>2</v>
      </c>
      <c r="AJ9">
        <f>COUNTIFS(DATA_WITHOUT_GENUS!A:A,A9,DATA_WITHOUT_GENUS!P:P,TRUE)</f>
        <v>2</v>
      </c>
      <c r="AK9">
        <f t="shared" ref="AK9:AK11" si="44">F9+4.19-(3.636+0.615*(LOG10(128.6359653)))</f>
        <v>3.2367421179358953</v>
      </c>
      <c r="AL9">
        <f t="shared" ref="AL9:AL11" si="45">(AI9/100)+35.15-(45.59-11.59*(LOG10(128.6359653)))</f>
        <v>14.02751033028126</v>
      </c>
      <c r="AM9" s="98">
        <f t="shared" si="1"/>
        <v>46.321066244282711</v>
      </c>
      <c r="AN9" t="str">
        <f t="shared" ref="AN9:AN11" si="46">IF(AM9&gt;=63, "Excellent", IF(AM9&lt;21, "Poor", IF(AM9&lt;42, "Fair","Good")))</f>
        <v>Good</v>
      </c>
    </row>
    <row r="10" spans="1:40" s="58" customFormat="1">
      <c r="A10" t="str">
        <f t="shared" si="35"/>
        <v>BD3_2002-03-23</v>
      </c>
      <c r="B10" t="s">
        <v>49</v>
      </c>
      <c r="C10" s="36">
        <v>37338</v>
      </c>
      <c r="D10">
        <f>SUMIF(DATA_WITHOUT_GENUS!A:A,A10,DATA_WITHOUT_GENUS!E:E)</f>
        <v>131</v>
      </c>
      <c r="E10">
        <f>SUMIF(DATA_WITHOUT_GENUS!A:A,A10,DATA_WITHOUT_GENUS!I:I)</f>
        <v>100</v>
      </c>
      <c r="F10" s="97">
        <f>SUMIFS(DATA_WITHOUT_GENUS!M:M,DATA_WITHOUT_GENUS!A:A,A10)/100</f>
        <v>4.91</v>
      </c>
      <c r="G10" s="18">
        <f>COUNTIFS(DATA_WITHOUT_GENUS!A:A,A10,DATA_WITHOUT_GENUS!I:I, "&gt;0")</f>
        <v>6</v>
      </c>
      <c r="H10">
        <f>COUNTIFS(DATA_WITHOUT_GENUS!A:A,A10,DATA_WITHOUT_GENUS!J:J,TRUE)</f>
        <v>1</v>
      </c>
      <c r="I10" s="18">
        <f>SUMIFS(DATA_WITHOUT_GENUS!I:I,DATA_WITHOUT_GENUS!A:A,A10,DATA_WITHOUT_GENUS!J:J,TRUE)</f>
        <v>2</v>
      </c>
      <c r="J10">
        <f>_xlfn.MAXIFS(DATA_WITHOUT_GENUS!I:I,DATA_WITHOUT_GENUS!A:A,A10)</f>
        <v>46</v>
      </c>
      <c r="K10" s="18" t="str" cm="1">
        <f t="array" ref="K10">_xlfn._xlws.FILTER(DATA_WITHOUT_GENUS!D:D,(DATA_WITHOUT_GENUS!A:A=A10)*(DATA_WITHOUT_GENUS!I:I=J10)*ROW(DATA_WITHOUT_GENUS!D:D),0)</f>
        <v>Elmidae</v>
      </c>
      <c r="L10" s="30">
        <f t="shared" si="36"/>
        <v>6</v>
      </c>
      <c r="M10">
        <f t="shared" si="37"/>
        <v>3</v>
      </c>
      <c r="N10" s="31">
        <f t="shared" si="38"/>
        <v>0</v>
      </c>
      <c r="O10" s="32">
        <f t="shared" si="39"/>
        <v>0</v>
      </c>
      <c r="P10">
        <f t="shared" si="40"/>
        <v>3</v>
      </c>
      <c r="Q10" s="100">
        <f t="shared" si="41"/>
        <v>12</v>
      </c>
      <c r="R10" s="15" t="str">
        <f t="shared" si="42"/>
        <v>Moderately Impaired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00"/>
      <c r="AF10" s="15"/>
      <c r="AG10">
        <f t="shared" si="43"/>
        <v>1</v>
      </c>
      <c r="AH10">
        <f>ROUND((((COUNTIFS(DATA_WITHOUT_GENUS!A:A,A10,DATA_WITHOUT_GENUS!N:N,FALSE))/G10)*100),1)</f>
        <v>33.299999999999997</v>
      </c>
      <c r="AI10" s="23">
        <f>SUMIFS(DATA_WITHOUT_GENUS!I:I,DATA_WITHOUT_GENUS!A:A,A10,DATA_WITHOUT_GENUS!O:O,TRUE)</f>
        <v>0</v>
      </c>
      <c r="AJ10">
        <f>COUNTIFS(DATA_WITHOUT_GENUS!A:A,A10,DATA_WITHOUT_GENUS!P:P,TRUE)</f>
        <v>3</v>
      </c>
      <c r="AK10">
        <f t="shared" si="44"/>
        <v>4.1667421179358968</v>
      </c>
      <c r="AL10">
        <f t="shared" si="45"/>
        <v>14.007510330281256</v>
      </c>
      <c r="AM10" s="98">
        <f t="shared" si="1"/>
        <v>41.665096095028971</v>
      </c>
      <c r="AN10" t="str">
        <f t="shared" si="46"/>
        <v>Fair</v>
      </c>
    </row>
    <row r="11" spans="1:40" s="58" customFormat="1">
      <c r="A11" t="str">
        <f t="shared" si="35"/>
        <v>BD3_2002-07-27</v>
      </c>
      <c r="B11" t="s">
        <v>49</v>
      </c>
      <c r="C11" s="36">
        <v>37464</v>
      </c>
      <c r="D11">
        <f>SUMIF(DATA_WITHOUT_GENUS!A:A,A11,DATA_WITHOUT_GENUS!E:E)</f>
        <v>125</v>
      </c>
      <c r="E11">
        <f>SUMIF(DATA_WITHOUT_GENUS!A:A,A11,DATA_WITHOUT_GENUS!I:I)</f>
        <v>100</v>
      </c>
      <c r="F11" s="97">
        <f>SUMIFS(DATA_WITHOUT_GENUS!M:M,DATA_WITHOUT_GENUS!A:A,A11)/100</f>
        <v>5.1100000000000003</v>
      </c>
      <c r="G11" s="18">
        <f>COUNTIFS(DATA_WITHOUT_GENUS!A:A,A11,DATA_WITHOUT_GENUS!I:I, "&gt;0")</f>
        <v>11</v>
      </c>
      <c r="H11">
        <f>COUNTIFS(DATA_WITHOUT_GENUS!A:A,A11,DATA_WITHOUT_GENUS!J:J,TRUE)</f>
        <v>3</v>
      </c>
      <c r="I11" s="18">
        <f>SUMIFS(DATA_WITHOUT_GENUS!I:I,DATA_WITHOUT_GENUS!A:A,A11,DATA_WITHOUT_GENUS!J:J,TRUE)</f>
        <v>11</v>
      </c>
      <c r="J11">
        <f>_xlfn.MAXIFS(DATA_WITHOUT_GENUS!I:I,DATA_WITHOUT_GENUS!A:A,A11)</f>
        <v>41</v>
      </c>
      <c r="K11" s="18" t="str" cm="1">
        <f t="array" ref="K11">_xlfn._xlws.FILTER(DATA_WITHOUT_GENUS!D:D,(DATA_WITHOUT_GENUS!A:A=A11)*(DATA_WITHOUT_GENUS!I:I=J11)*ROW(DATA_WITHOUT_GENUS!D:D),0)</f>
        <v>Elmidae</v>
      </c>
      <c r="L11" s="30">
        <f t="shared" si="36"/>
        <v>3</v>
      </c>
      <c r="M11">
        <f t="shared" si="37"/>
        <v>6</v>
      </c>
      <c r="N11" s="31">
        <f t="shared" si="38"/>
        <v>3</v>
      </c>
      <c r="O11" s="32">
        <f t="shared" si="39"/>
        <v>3</v>
      </c>
      <c r="P11">
        <f t="shared" si="40"/>
        <v>3</v>
      </c>
      <c r="Q11" s="100">
        <f t="shared" si="41"/>
        <v>18</v>
      </c>
      <c r="R11" s="15" t="str">
        <f t="shared" si="42"/>
        <v>Moderately Impaired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00"/>
      <c r="AF11" s="15"/>
      <c r="AG11">
        <f t="shared" si="43"/>
        <v>3</v>
      </c>
      <c r="AH11">
        <f>ROUND((((COUNTIFS(DATA_WITHOUT_GENUS!A:A,A11,DATA_WITHOUT_GENUS!N:N,FALSE))/G11)*100),1)</f>
        <v>45.5</v>
      </c>
      <c r="AI11" s="23">
        <f>SUMIFS(DATA_WITHOUT_GENUS!I:I,DATA_WITHOUT_GENUS!A:A,A11,DATA_WITHOUT_GENUS!O:O,TRUE)</f>
        <v>9</v>
      </c>
      <c r="AJ11">
        <f>COUNTIFS(DATA_WITHOUT_GENUS!A:A,A11,DATA_WITHOUT_GENUS!P:P,TRUE)</f>
        <v>2</v>
      </c>
      <c r="AK11">
        <f t="shared" si="44"/>
        <v>4.3667421179358961</v>
      </c>
      <c r="AL11">
        <f t="shared" si="45"/>
        <v>14.09751033028126</v>
      </c>
      <c r="AM11" s="98">
        <f t="shared" si="1"/>
        <v>36.818945893654892</v>
      </c>
      <c r="AN11" t="str">
        <f t="shared" si="46"/>
        <v>Fair</v>
      </c>
    </row>
    <row r="12" spans="1:40" s="58" customFormat="1">
      <c r="A12" t="str">
        <f t="shared" si="35"/>
        <v>BD3_2002-10-19</v>
      </c>
      <c r="B12" t="s">
        <v>49</v>
      </c>
      <c r="C12" s="36">
        <v>37548</v>
      </c>
      <c r="D12">
        <f>SUMIF(DATA_WITHOUT_GENUS!A:A,A12,DATA_WITHOUT_GENUS!E:E)</f>
        <v>141</v>
      </c>
      <c r="E12">
        <f>SUMIF(DATA_WITHOUT_GENUS!A:A,A12,DATA_WITHOUT_GENUS!I:I)</f>
        <v>100</v>
      </c>
      <c r="F12" s="97">
        <f>SUMIFS(DATA_WITHOUT_GENUS!M:M,DATA_WITHOUT_GENUS!A:A,A12)/100</f>
        <v>4.9400000000000004</v>
      </c>
      <c r="G12" s="18">
        <f>COUNTIFS(DATA_WITHOUT_GENUS!A:A,A12,DATA_WITHOUT_GENUS!I:I, "&gt;0")</f>
        <v>15</v>
      </c>
      <c r="H12">
        <f>COUNTIFS(DATA_WITHOUT_GENUS!A:A,A12,DATA_WITHOUT_GENUS!J:J,TRUE)</f>
        <v>3</v>
      </c>
      <c r="I12" s="18">
        <f>SUMIFS(DATA_WITHOUT_GENUS!I:I,DATA_WITHOUT_GENUS!A:A,A12,DATA_WITHOUT_GENUS!J:J,TRUE)</f>
        <v>5</v>
      </c>
      <c r="J12">
        <f>_xlfn.MAXIFS(DATA_WITHOUT_GENUS!I:I,DATA_WITHOUT_GENUS!A:A,A12)</f>
        <v>45</v>
      </c>
      <c r="K12" s="18" t="str" cm="1">
        <f t="array" ref="K12">_xlfn._xlws.FILTER(DATA_WITHOUT_GENUS!D:D,(DATA_WITHOUT_GENUS!A:A=A12)*(DATA_WITHOUT_GENUS!I:I=J12)*ROW(DATA_WITHOUT_GENUS!D:D),0)</f>
        <v>Elmidae</v>
      </c>
      <c r="L12" s="30">
        <f t="shared" ref="L12:L13" si="47">IF(F12="","",IF(F12&gt;7,0,IF(F12&lt;5,6,IF(F12&lt;=7,3))))</f>
        <v>6</v>
      </c>
      <c r="M12">
        <f t="shared" ref="M12:M13" si="48">IF(G12="","",IF(G12&gt;10,6,IF(G12&lt;5,0,IF(G12&lt;=10,3))))</f>
        <v>6</v>
      </c>
      <c r="N12" s="31">
        <f t="shared" ref="N12:N13" si="49">IF(H12="","",IF(H12&gt;5,6,IF(H12&lt;3,0,IF(H12&lt;=5,3))))</f>
        <v>3</v>
      </c>
      <c r="O12" s="32">
        <f t="shared" ref="O12:O13" si="50">IF(I12="","",IF(I12&gt;35,6,IF(I12&lt;10,0,IF(I12&lt;=35,3,IF(I12&lt;10,0)))))</f>
        <v>0</v>
      </c>
      <c r="P12">
        <f t="shared" ref="P12:P13" si="51">IF(J12="","",IF(J12&gt;60,0,IF(J12&lt;40,6,IF(J12&lt;=60,3))))</f>
        <v>3</v>
      </c>
      <c r="Q12" s="100">
        <f t="shared" ref="Q12:Q13" si="52">SUM(L12:P12)</f>
        <v>18</v>
      </c>
      <c r="R12" s="15" t="str">
        <f t="shared" ref="R12:R13" si="53">IF(Q12&gt;=24, "Non-Impaired", IF(Q12&lt;=6, "Severally Impaired", IF(Q12&gt;=9, "Moderately Impaired","")))</f>
        <v>Moderately Impaired</v>
      </c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00"/>
      <c r="AF12" s="15"/>
      <c r="AG12">
        <f t="shared" ref="AG12:AG13" si="54">H12</f>
        <v>3</v>
      </c>
      <c r="AH12">
        <f>ROUND((((COUNTIFS(DATA_WITHOUT_GENUS!A:A,A12,DATA_WITHOUT_GENUS!N:N,FALSE))/G12)*100),1)</f>
        <v>40</v>
      </c>
      <c r="AI12" s="23">
        <f>SUMIFS(DATA_WITHOUT_GENUS!I:I,DATA_WITHOUT_GENUS!A:A,A12,DATA_WITHOUT_GENUS!O:O,TRUE)</f>
        <v>4</v>
      </c>
      <c r="AJ12">
        <f>COUNTIFS(DATA_WITHOUT_GENUS!A:A,A12,DATA_WITHOUT_GENUS!P:P,TRUE)</f>
        <v>3</v>
      </c>
      <c r="AK12">
        <f t="shared" ref="AK12:AK13" si="55">F12+4.19-(3.636+0.615*(LOG10(128.6359653)))</f>
        <v>4.1967421179358961</v>
      </c>
      <c r="AL12">
        <f t="shared" ref="AL12:AL13" si="56">(AI12/100)+35.15-(45.59-11.59*(LOG10(128.6359653)))</f>
        <v>14.047510330281256</v>
      </c>
      <c r="AM12" s="98">
        <f t="shared" si="1"/>
        <v>42.733385599885636</v>
      </c>
      <c r="AN12" t="str">
        <f t="shared" ref="AN12:AN13" si="57">IF(AM12&gt;=63, "Excellent", IF(AM12&lt;21, "Poor", IF(AM12&lt;42, "Fair","Good")))</f>
        <v>Good</v>
      </c>
    </row>
    <row r="13" spans="1:40" s="58" customFormat="1">
      <c r="A13" t="str">
        <f t="shared" si="35"/>
        <v>BD3_2003-03-22</v>
      </c>
      <c r="B13" t="s">
        <v>49</v>
      </c>
      <c r="C13" s="36">
        <v>37702</v>
      </c>
      <c r="D13">
        <f>SUMIF(DATA_WITHOUT_GENUS!A:A,A13,DATA_WITHOUT_GENUS!E:E)</f>
        <v>136</v>
      </c>
      <c r="E13">
        <f>SUMIF(DATA_WITHOUT_GENUS!A:A,A13,DATA_WITHOUT_GENUS!I:I)</f>
        <v>100</v>
      </c>
      <c r="F13" s="97">
        <f>SUMIFS(DATA_WITHOUT_GENUS!M:M,DATA_WITHOUT_GENUS!A:A,A13)/100</f>
        <v>4.6399999999999997</v>
      </c>
      <c r="G13" s="18">
        <f>COUNTIFS(DATA_WITHOUT_GENUS!A:A,A13,DATA_WITHOUT_GENUS!I:I, "&gt;0")</f>
        <v>11</v>
      </c>
      <c r="H13">
        <f>COUNTIFS(DATA_WITHOUT_GENUS!A:A,A13,DATA_WITHOUT_GENUS!J:J,TRUE)</f>
        <v>1</v>
      </c>
      <c r="I13" s="18">
        <f>SUMIFS(DATA_WITHOUT_GENUS!I:I,DATA_WITHOUT_GENUS!A:A,A13,DATA_WITHOUT_GENUS!J:J,TRUE)</f>
        <v>2</v>
      </c>
      <c r="J13">
        <f>_xlfn.MAXIFS(DATA_WITHOUT_GENUS!I:I,DATA_WITHOUT_GENUS!A:A,A13)</f>
        <v>55</v>
      </c>
      <c r="K13" s="18" t="str" cm="1">
        <f t="array" ref="K13">_xlfn._xlws.FILTER(DATA_WITHOUT_GENUS!D:D,(DATA_WITHOUT_GENUS!A:A=A13)*(DATA_WITHOUT_GENUS!I:I=J13)*ROW(DATA_WITHOUT_GENUS!D:D),0)</f>
        <v>Elmidae</v>
      </c>
      <c r="L13" s="30">
        <f t="shared" si="47"/>
        <v>6</v>
      </c>
      <c r="M13">
        <f t="shared" si="48"/>
        <v>6</v>
      </c>
      <c r="N13" s="31">
        <f t="shared" si="49"/>
        <v>0</v>
      </c>
      <c r="O13" s="32">
        <f t="shared" si="50"/>
        <v>0</v>
      </c>
      <c r="P13">
        <f t="shared" si="51"/>
        <v>3</v>
      </c>
      <c r="Q13" s="100">
        <f t="shared" si="52"/>
        <v>15</v>
      </c>
      <c r="R13" s="15" t="str">
        <f t="shared" si="53"/>
        <v>Moderately Impaired</v>
      </c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00"/>
      <c r="AF13" s="15"/>
      <c r="AG13">
        <f t="shared" si="54"/>
        <v>1</v>
      </c>
      <c r="AH13">
        <f>ROUND((((COUNTIFS(DATA_WITHOUT_GENUS!A:A,A13,DATA_WITHOUT_GENUS!N:N,FALSE))/G13)*100),1)</f>
        <v>36.4</v>
      </c>
      <c r="AI13" s="23">
        <f>SUMIFS(DATA_WITHOUT_GENUS!I:I,DATA_WITHOUT_GENUS!A:A,A13,DATA_WITHOUT_GENUS!O:O,TRUE)</f>
        <v>0</v>
      </c>
      <c r="AJ13">
        <f>COUNTIFS(DATA_WITHOUT_GENUS!A:A,A13,DATA_WITHOUT_GENUS!P:P,TRUE)</f>
        <v>2</v>
      </c>
      <c r="AK13">
        <f t="shared" si="55"/>
        <v>3.8967421179358954</v>
      </c>
      <c r="AL13">
        <f t="shared" si="56"/>
        <v>14.007510330281256</v>
      </c>
      <c r="AM13" s="98">
        <f t="shared" si="1"/>
        <v>38.697635777568657</v>
      </c>
      <c r="AN13" t="str">
        <f t="shared" si="57"/>
        <v>Fair</v>
      </c>
    </row>
    <row r="14" spans="1:40" s="58" customFormat="1">
      <c r="A14" t="str">
        <f t="shared" si="35"/>
        <v>BD3_2003-07-19</v>
      </c>
      <c r="B14" t="s">
        <v>49</v>
      </c>
      <c r="C14" s="36">
        <v>37821</v>
      </c>
      <c r="D14">
        <f>SUMIF(DATA_WITHOUT_GENUS!A:A,A14,DATA_WITHOUT_GENUS!E:E)</f>
        <v>162</v>
      </c>
      <c r="E14">
        <f>SUMIF(DATA_WITHOUT_GENUS!A:A,A14,DATA_WITHOUT_GENUS!I:I)</f>
        <v>100</v>
      </c>
      <c r="F14" s="97">
        <f>SUMIFS(DATA_WITHOUT_GENUS!M:M,DATA_WITHOUT_GENUS!A:A,A14)/100</f>
        <v>4.1399999999999997</v>
      </c>
      <c r="G14" s="18">
        <f>COUNTIFS(DATA_WITHOUT_GENUS!A:A,A14,DATA_WITHOUT_GENUS!I:I, "&gt;0")</f>
        <v>9</v>
      </c>
      <c r="H14">
        <f>COUNTIFS(DATA_WITHOUT_GENUS!A:A,A14,DATA_WITHOUT_GENUS!J:J,TRUE)</f>
        <v>4</v>
      </c>
      <c r="I14" s="18">
        <f>SUMIFS(DATA_WITHOUT_GENUS!I:I,DATA_WITHOUT_GENUS!A:A,A14,DATA_WITHOUT_GENUS!J:J,TRUE)</f>
        <v>59</v>
      </c>
      <c r="J14">
        <f>_xlfn.MAXIFS(DATA_WITHOUT_GENUS!I:I,DATA_WITHOUT_GENUS!A:A,A14)</f>
        <v>56</v>
      </c>
      <c r="K14" s="18" t="str" cm="1">
        <f t="array" ref="K14">_xlfn._xlws.FILTER(DATA_WITHOUT_GENUS!D:D,(DATA_WITHOUT_GENUS!A:A=A14)*(DATA_WITHOUT_GENUS!I:I=J14)*ROW(DATA_WITHOUT_GENUS!D:D),0)</f>
        <v>Hydropsychidae</v>
      </c>
      <c r="L14" s="30">
        <f t="shared" ref="L14" si="58">IF(F14="","",IF(F14&gt;7,0,IF(F14&lt;5,6,IF(F14&lt;=7,3))))</f>
        <v>6</v>
      </c>
      <c r="M14">
        <f t="shared" ref="M14" si="59">IF(G14="","",IF(G14&gt;10,6,IF(G14&lt;5,0,IF(G14&lt;=10,3))))</f>
        <v>3</v>
      </c>
      <c r="N14" s="31">
        <f t="shared" ref="N14" si="60">IF(H14="","",IF(H14&gt;5,6,IF(H14&lt;3,0,IF(H14&lt;=5,3))))</f>
        <v>3</v>
      </c>
      <c r="O14" s="32">
        <f t="shared" ref="O14" si="61">IF(I14="","",IF(I14&gt;35,6,IF(I14&lt;10,0,IF(I14&lt;=35,3,IF(I14&lt;10,0)))))</f>
        <v>6</v>
      </c>
      <c r="P14">
        <f t="shared" ref="P14" si="62">IF(J14="","",IF(J14&gt;60,0,IF(J14&lt;40,6,IF(J14&lt;=60,3))))</f>
        <v>3</v>
      </c>
      <c r="Q14" s="100">
        <f t="shared" ref="Q14" si="63">SUM(L14:P14)</f>
        <v>21</v>
      </c>
      <c r="R14" s="15" t="str">
        <f t="shared" ref="R14" si="64">IF(Q14&gt;=24, "Non-Impaired", IF(Q14&lt;=6, "Severally Impaired", IF(Q14&gt;=9, "Moderately Impaired","")))</f>
        <v>Moderately Impaired</v>
      </c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00"/>
      <c r="AF14" s="15"/>
      <c r="AG14">
        <f t="shared" ref="AG14" si="65">H14</f>
        <v>4</v>
      </c>
      <c r="AH14">
        <f>ROUND((((COUNTIFS(DATA_WITHOUT_GENUS!A:A,A14,DATA_WITHOUT_GENUS!N:N,FALSE))/G14)*100),1)</f>
        <v>22.2</v>
      </c>
      <c r="AI14" s="23">
        <f>SUMIFS(DATA_WITHOUT_GENUS!I:I,DATA_WITHOUT_GENUS!A:A,A14,DATA_WITHOUT_GENUS!O:O,TRUE)</f>
        <v>3</v>
      </c>
      <c r="AJ14">
        <f>COUNTIFS(DATA_WITHOUT_GENUS!A:A,A14,DATA_WITHOUT_GENUS!P:P,TRUE)</f>
        <v>3</v>
      </c>
      <c r="AK14">
        <f t="shared" ref="AK14" si="66">F14+4.19-(3.636+0.615*(LOG10(128.6359653)))</f>
        <v>3.3967421179358954</v>
      </c>
      <c r="AL14">
        <f t="shared" ref="AL14" si="67">(AI14/100)+35.15-(45.59-11.59*(LOG10(128.6359653)))</f>
        <v>14.037510330281258</v>
      </c>
      <c r="AM14" s="98">
        <f t="shared" si="1"/>
        <v>54.047860842719103</v>
      </c>
      <c r="AN14" t="str">
        <f t="shared" ref="AN14" si="68">IF(AM14&gt;=63, "Excellent", IF(AM14&lt;21, "Poor", IF(AM14&lt;42, "Fair","Good")))</f>
        <v>Good</v>
      </c>
    </row>
    <row r="15" spans="1:40" s="58" customFormat="1">
      <c r="A15" t="str">
        <f t="shared" si="35"/>
        <v>BD3_2003-10-18</v>
      </c>
      <c r="B15" t="s">
        <v>49</v>
      </c>
      <c r="C15" s="36">
        <v>37912</v>
      </c>
      <c r="D15">
        <f>SUMIF(DATA_WITHOUT_GENUS!A:A,A15,DATA_WITHOUT_GENUS!E:E)</f>
        <v>112</v>
      </c>
      <c r="E15">
        <f>SUMIF(DATA_WITHOUT_GENUS!A:A,A15,DATA_WITHOUT_GENUS!I:I)</f>
        <v>100</v>
      </c>
      <c r="F15" s="97">
        <f>SUMIFS(DATA_WITHOUT_GENUS!M:M,DATA_WITHOUT_GENUS!A:A,A15)/100</f>
        <v>4.4400000000000004</v>
      </c>
      <c r="G15" s="18">
        <f>COUNTIFS(DATA_WITHOUT_GENUS!A:A,A15,DATA_WITHOUT_GENUS!I:I, "&gt;0")</f>
        <v>9</v>
      </c>
      <c r="H15">
        <f>COUNTIFS(DATA_WITHOUT_GENUS!A:A,A15,DATA_WITHOUT_GENUS!J:J,TRUE)</f>
        <v>2</v>
      </c>
      <c r="I15" s="18">
        <f>SUMIFS(DATA_WITHOUT_GENUS!I:I,DATA_WITHOUT_GENUS!A:A,A15,DATA_WITHOUT_GENUS!J:J,TRUE)</f>
        <v>55</v>
      </c>
      <c r="J15">
        <f>_xlfn.MAXIFS(DATA_WITHOUT_GENUS!I:I,DATA_WITHOUT_GENUS!A:A,A15)</f>
        <v>50</v>
      </c>
      <c r="K15" s="18" t="str" cm="1">
        <f t="array" ref="K15">_xlfn._xlws.FILTER(DATA_WITHOUT_GENUS!D:D,(DATA_WITHOUT_GENUS!A:A=A15)*(DATA_WITHOUT_GENUS!I:I=J15)*ROW(DATA_WITHOUT_GENUS!D:D),0)</f>
        <v>Hydropsychidae</v>
      </c>
      <c r="L15" s="30">
        <f t="shared" ref="L15" si="69">IF(F15="","",IF(F15&gt;7,0,IF(F15&lt;5,6,IF(F15&lt;=7,3))))</f>
        <v>6</v>
      </c>
      <c r="M15">
        <f t="shared" ref="M15" si="70">IF(G15="","",IF(G15&gt;10,6,IF(G15&lt;5,0,IF(G15&lt;=10,3))))</f>
        <v>3</v>
      </c>
      <c r="N15" s="31">
        <f t="shared" ref="N15" si="71">IF(H15="","",IF(H15&gt;5,6,IF(H15&lt;3,0,IF(H15&lt;=5,3))))</f>
        <v>0</v>
      </c>
      <c r="O15" s="32">
        <f t="shared" ref="O15" si="72">IF(I15="","",IF(I15&gt;35,6,IF(I15&lt;10,0,IF(I15&lt;=35,3,IF(I15&lt;10,0)))))</f>
        <v>6</v>
      </c>
      <c r="P15">
        <f t="shared" ref="P15" si="73">IF(J15="","",IF(J15&gt;60,0,IF(J15&lt;40,6,IF(J15&lt;=60,3))))</f>
        <v>3</v>
      </c>
      <c r="Q15" s="100">
        <f t="shared" ref="Q15" si="74">SUM(L15:P15)</f>
        <v>18</v>
      </c>
      <c r="R15" s="15" t="str">
        <f t="shared" ref="R15" si="75">IF(Q15&gt;=24, "Non-Impaired", IF(Q15&lt;=6, "Severally Impaired", IF(Q15&gt;=9, "Moderately Impaired","")))</f>
        <v>Moderately Impaired</v>
      </c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00"/>
      <c r="AF15" s="15"/>
      <c r="AG15">
        <f t="shared" ref="AG15" si="76">H15</f>
        <v>2</v>
      </c>
      <c r="AH15">
        <f>ROUND((((COUNTIFS(DATA_WITHOUT_GENUS!A:A,A15,DATA_WITHOUT_GENUS!N:N,FALSE))/G15)*100),1)</f>
        <v>33.299999999999997</v>
      </c>
      <c r="AI15" s="23">
        <f>SUMIFS(DATA_WITHOUT_GENUS!I:I,DATA_WITHOUT_GENUS!A:A,A15,DATA_WITHOUT_GENUS!O:O,TRUE)</f>
        <v>5</v>
      </c>
      <c r="AJ15">
        <f>COUNTIFS(DATA_WITHOUT_GENUS!A:A,A15,DATA_WITHOUT_GENUS!P:P,TRUE)</f>
        <v>2</v>
      </c>
      <c r="AK15">
        <f t="shared" ref="AK15" si="77">F15+4.19-(3.636+0.615*(LOG10(128.6359653)))</f>
        <v>3.6967421179358961</v>
      </c>
      <c r="AL15">
        <f t="shared" ref="AL15" si="78">(AI15/100)+35.15-(45.59-11.59*(LOG10(128.6359653)))</f>
        <v>14.057510330281254</v>
      </c>
      <c r="AM15" s="98">
        <f t="shared" si="1"/>
        <v>42.363354801496641</v>
      </c>
      <c r="AN15" t="str">
        <f t="shared" ref="AN15" si="79">IF(AM15&gt;=63, "Excellent", IF(AM15&lt;21, "Poor", IF(AM15&lt;42, "Fair","Good")))</f>
        <v>Good</v>
      </c>
    </row>
    <row r="16" spans="1:40" s="58" customFormat="1">
      <c r="A16" t="str">
        <f t="shared" si="35"/>
        <v>BD3_2004-03-20</v>
      </c>
      <c r="B16" t="s">
        <v>49</v>
      </c>
      <c r="C16" s="36">
        <v>38066</v>
      </c>
      <c r="D16">
        <f>SUMIF(DATA_WITHOUT_GENUS!A:A,A16,DATA_WITHOUT_GENUS!E:E)</f>
        <v>193</v>
      </c>
      <c r="E16">
        <f>SUMIF(DATA_WITHOUT_GENUS!A:A,A16,DATA_WITHOUT_GENUS!I:I)</f>
        <v>100</v>
      </c>
      <c r="F16" s="97">
        <f>SUMIFS(DATA_WITHOUT_GENUS!M:M,DATA_WITHOUT_GENUS!A:A,A16)/100</f>
        <v>4.99</v>
      </c>
      <c r="G16" s="18">
        <f>COUNTIFS(DATA_WITHOUT_GENUS!A:A,A16,DATA_WITHOUT_GENUS!I:I, "&gt;0")</f>
        <v>14</v>
      </c>
      <c r="H16">
        <f>COUNTIFS(DATA_WITHOUT_GENUS!A:A,A16,DATA_WITHOUT_GENUS!J:J,TRUE)</f>
        <v>3</v>
      </c>
      <c r="I16" s="18">
        <f>SUMIFS(DATA_WITHOUT_GENUS!I:I,DATA_WITHOUT_GENUS!A:A,A16,DATA_WITHOUT_GENUS!J:J,TRUE)</f>
        <v>54</v>
      </c>
      <c r="J16">
        <f>_xlfn.MAXIFS(DATA_WITHOUT_GENUS!I:I,DATA_WITHOUT_GENUS!A:A,A16)</f>
        <v>52</v>
      </c>
      <c r="K16" s="18" t="str" cm="1">
        <f t="array" ref="K16">_xlfn._xlws.FILTER(DATA_WITHOUT_GENUS!D:D,(DATA_WITHOUT_GENUS!A:A=A16)*(DATA_WITHOUT_GENUS!I:I=J16)*ROW(DATA_WITHOUT_GENUS!D:D),0)</f>
        <v>Hydropsychidae</v>
      </c>
      <c r="L16" s="30">
        <f t="shared" ref="L16:L19" si="80">IF(F16="","",IF(F16&gt;7,0,IF(F16&lt;5,6,IF(F16&lt;=7,3))))</f>
        <v>6</v>
      </c>
      <c r="M16">
        <f t="shared" ref="M16:M19" si="81">IF(G16="","",IF(G16&gt;10,6,IF(G16&lt;5,0,IF(G16&lt;=10,3))))</f>
        <v>6</v>
      </c>
      <c r="N16" s="31">
        <f t="shared" ref="N16:N19" si="82">IF(H16="","",IF(H16&gt;5,6,IF(H16&lt;3,0,IF(H16&lt;=5,3))))</f>
        <v>3</v>
      </c>
      <c r="O16" s="32">
        <f t="shared" ref="O16:O19" si="83">IF(I16="","",IF(I16&gt;35,6,IF(I16&lt;10,0,IF(I16&lt;=35,3,IF(I16&lt;10,0)))))</f>
        <v>6</v>
      </c>
      <c r="P16">
        <f t="shared" ref="P16:P19" si="84">IF(J16="","",IF(J16&gt;60,0,IF(J16&lt;40,6,IF(J16&lt;=60,3))))</f>
        <v>3</v>
      </c>
      <c r="Q16" s="100">
        <f t="shared" ref="Q16:Q19" si="85">SUM(L16:P16)</f>
        <v>24</v>
      </c>
      <c r="R16" s="15" t="str">
        <f t="shared" ref="R16:R19" si="86">IF(Q16&gt;=24, "Non-Impaired", IF(Q16&lt;=6, "Severally Impaired", IF(Q16&gt;=9, "Moderately Impaired","")))</f>
        <v>Non-Impaired</v>
      </c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00"/>
      <c r="AF16" s="15"/>
      <c r="AG16">
        <f t="shared" ref="AG16:AG19" si="87">H16</f>
        <v>3</v>
      </c>
      <c r="AH16">
        <f>ROUND((((COUNTIFS(DATA_WITHOUT_GENUS!A:A,A16,DATA_WITHOUT_GENUS!N:N,FALSE))/G16)*100),1)</f>
        <v>35.700000000000003</v>
      </c>
      <c r="AI16" s="23">
        <f>SUMIFS(DATA_WITHOUT_GENUS!I:I,DATA_WITHOUT_GENUS!A:A,A16,DATA_WITHOUT_GENUS!O:O,TRUE)</f>
        <v>2</v>
      </c>
      <c r="AJ16">
        <f>COUNTIFS(DATA_WITHOUT_GENUS!A:A,A16,DATA_WITHOUT_GENUS!P:P,TRUE)</f>
        <v>3</v>
      </c>
      <c r="AK16">
        <f t="shared" ref="AK16:AK19" si="88">F16+4.19-(3.636+0.615*(LOG10(128.6359653)))</f>
        <v>4.2467421179358951</v>
      </c>
      <c r="AL16">
        <f t="shared" ref="AL16:AL19" si="89">(AI16/100)+35.15-(45.59-11.59*(LOG10(128.6359653)))</f>
        <v>14.02751033028126</v>
      </c>
      <c r="AM16" s="98">
        <f t="shared" si="1"/>
        <v>43.842494815711277</v>
      </c>
      <c r="AN16" t="str">
        <f t="shared" ref="AN16:AN19" si="90">IF(AM16&gt;=63, "Excellent", IF(AM16&lt;21, "Poor", IF(AM16&lt;42, "Fair","Good")))</f>
        <v>Good</v>
      </c>
    </row>
    <row r="17" spans="1:40" s="58" customFormat="1">
      <c r="A17" t="str">
        <f t="shared" si="35"/>
        <v>BD3_2004-07-24</v>
      </c>
      <c r="B17" t="s">
        <v>49</v>
      </c>
      <c r="C17" s="36">
        <v>38192</v>
      </c>
      <c r="D17">
        <f>SUMIF(DATA_WITHOUT_GENUS!A:A,A17,DATA_WITHOUT_GENUS!E:E)</f>
        <v>174</v>
      </c>
      <c r="E17">
        <f>SUMIF(DATA_WITHOUT_GENUS!A:A,A17,DATA_WITHOUT_GENUS!I:I)</f>
        <v>100</v>
      </c>
      <c r="F17" s="97">
        <f>SUMIFS(DATA_WITHOUT_GENUS!M:M,DATA_WITHOUT_GENUS!A:A,A17)/100</f>
        <v>5.68</v>
      </c>
      <c r="G17" s="18">
        <f>COUNTIFS(DATA_WITHOUT_GENUS!A:A,A17,DATA_WITHOUT_GENUS!I:I, "&gt;0")</f>
        <v>12</v>
      </c>
      <c r="H17">
        <f>COUNTIFS(DATA_WITHOUT_GENUS!A:A,A17,DATA_WITHOUT_GENUS!J:J,TRUE)</f>
        <v>2</v>
      </c>
      <c r="I17" s="18">
        <f>SUMIFS(DATA_WITHOUT_GENUS!I:I,DATA_WITHOUT_GENUS!A:A,A17,DATA_WITHOUT_GENUS!J:J,TRUE)</f>
        <v>13</v>
      </c>
      <c r="J17">
        <f>_xlfn.MAXIFS(DATA_WITHOUT_GENUS!I:I,DATA_WITHOUT_GENUS!A:A,A17)</f>
        <v>34</v>
      </c>
      <c r="K17" s="18" t="str" cm="1">
        <f t="array" ref="K17">_xlfn._xlws.FILTER(DATA_WITHOUT_GENUS!D:D,(DATA_WITHOUT_GENUS!A:A=A17)*(DATA_WITHOUT_GENUS!I:I=J17)*ROW(DATA_WITHOUT_GENUS!D:D),0)</f>
        <v>Leech (Hirudinea)</v>
      </c>
      <c r="L17" s="30">
        <f t="shared" si="80"/>
        <v>3</v>
      </c>
      <c r="M17">
        <f t="shared" si="81"/>
        <v>6</v>
      </c>
      <c r="N17" s="31">
        <f t="shared" si="82"/>
        <v>0</v>
      </c>
      <c r="O17" s="32">
        <f t="shared" si="83"/>
        <v>3</v>
      </c>
      <c r="P17">
        <f t="shared" si="84"/>
        <v>6</v>
      </c>
      <c r="Q17" s="100">
        <f t="shared" si="85"/>
        <v>18</v>
      </c>
      <c r="R17" s="15" t="str">
        <f t="shared" si="86"/>
        <v>Moderately Impaired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00"/>
      <c r="AF17" s="15"/>
      <c r="AG17">
        <f t="shared" si="87"/>
        <v>2</v>
      </c>
      <c r="AH17">
        <f>ROUND((((COUNTIFS(DATA_WITHOUT_GENUS!A:A,A17,DATA_WITHOUT_GENUS!N:N,FALSE))/G17)*100),1)</f>
        <v>41.7</v>
      </c>
      <c r="AI17" s="23">
        <f>SUMIFS(DATA_WITHOUT_GENUS!I:I,DATA_WITHOUT_GENUS!A:A,A17,DATA_WITHOUT_GENUS!O:O,TRUE)</f>
        <v>9</v>
      </c>
      <c r="AJ17">
        <f>COUNTIFS(DATA_WITHOUT_GENUS!A:A,A17,DATA_WITHOUT_GENUS!P:P,TRUE)</f>
        <v>3</v>
      </c>
      <c r="AK17">
        <f t="shared" si="88"/>
        <v>4.9367421179358963</v>
      </c>
      <c r="AL17">
        <f t="shared" si="89"/>
        <v>14.09751033028126</v>
      </c>
      <c r="AM17" s="98">
        <f t="shared" si="1"/>
        <v>36.841961766670764</v>
      </c>
      <c r="AN17" t="str">
        <f t="shared" si="90"/>
        <v>Fair</v>
      </c>
    </row>
    <row r="18" spans="1:40" s="58" customFormat="1">
      <c r="A18" t="str">
        <f t="shared" si="35"/>
        <v>BD3_2004-10-16</v>
      </c>
      <c r="B18" t="s">
        <v>49</v>
      </c>
      <c r="C18" s="36">
        <v>38276</v>
      </c>
      <c r="D18">
        <f>SUMIF(DATA_WITHOUT_GENUS!A:A,A18,DATA_WITHOUT_GENUS!E:E)</f>
        <v>114</v>
      </c>
      <c r="E18">
        <f>SUMIF(DATA_WITHOUT_GENUS!A:A,A18,DATA_WITHOUT_GENUS!I:I)</f>
        <v>100</v>
      </c>
      <c r="F18" s="97">
        <f>SUMIFS(DATA_WITHOUT_GENUS!M:M,DATA_WITHOUT_GENUS!A:A,A18)/100</f>
        <v>4.57</v>
      </c>
      <c r="G18" s="18">
        <f>COUNTIFS(DATA_WITHOUT_GENUS!A:A,A18,DATA_WITHOUT_GENUS!I:I, "&gt;0")</f>
        <v>8</v>
      </c>
      <c r="H18">
        <f>COUNTIFS(DATA_WITHOUT_GENUS!A:A,A18,DATA_WITHOUT_GENUS!J:J,TRUE)</f>
        <v>2</v>
      </c>
      <c r="I18" s="18">
        <f>SUMIFS(DATA_WITHOUT_GENUS!I:I,DATA_WITHOUT_GENUS!A:A,A18,DATA_WITHOUT_GENUS!J:J,TRUE)</f>
        <v>59</v>
      </c>
      <c r="J18">
        <f>_xlfn.MAXIFS(DATA_WITHOUT_GENUS!I:I,DATA_WITHOUT_GENUS!A:A,A18)</f>
        <v>49</v>
      </c>
      <c r="K18" s="18" t="str" cm="1">
        <f t="array" ref="K18">_xlfn._xlws.FILTER(DATA_WITHOUT_GENUS!D:D,(DATA_WITHOUT_GENUS!A:A=A18)*(DATA_WITHOUT_GENUS!I:I=J18)*ROW(DATA_WITHOUT_GENUS!D:D),0)</f>
        <v>Hydropsychidae</v>
      </c>
      <c r="L18" s="30">
        <f t="shared" si="80"/>
        <v>6</v>
      </c>
      <c r="M18">
        <f t="shared" si="81"/>
        <v>3</v>
      </c>
      <c r="N18" s="31">
        <f t="shared" si="82"/>
        <v>0</v>
      </c>
      <c r="O18" s="32">
        <f t="shared" si="83"/>
        <v>6</v>
      </c>
      <c r="P18">
        <f t="shared" si="84"/>
        <v>3</v>
      </c>
      <c r="Q18" s="100">
        <f t="shared" si="85"/>
        <v>18</v>
      </c>
      <c r="R18" s="15" t="str">
        <f t="shared" si="86"/>
        <v>Moderately Impaired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00"/>
      <c r="AF18" s="15"/>
      <c r="AG18">
        <f t="shared" si="87"/>
        <v>2</v>
      </c>
      <c r="AH18">
        <f>ROUND((((COUNTIFS(DATA_WITHOUT_GENUS!A:A,A18,DATA_WITHOUT_GENUS!N:N,FALSE))/G18)*100),1)</f>
        <v>37.5</v>
      </c>
      <c r="AI18" s="23">
        <f>SUMIFS(DATA_WITHOUT_GENUS!I:I,DATA_WITHOUT_GENUS!A:A,A18,DATA_WITHOUT_GENUS!O:O,TRUE)</f>
        <v>10</v>
      </c>
      <c r="AJ18">
        <f>COUNTIFS(DATA_WITHOUT_GENUS!A:A,A18,DATA_WITHOUT_GENUS!P:P,TRUE)</f>
        <v>2</v>
      </c>
      <c r="AK18">
        <f t="shared" si="88"/>
        <v>3.8267421179358969</v>
      </c>
      <c r="AL18">
        <f t="shared" si="89"/>
        <v>14.107510330281258</v>
      </c>
      <c r="AM18" s="98">
        <f t="shared" si="1"/>
        <v>40.394946841297624</v>
      </c>
      <c r="AN18" t="str">
        <f t="shared" si="90"/>
        <v>Fair</v>
      </c>
    </row>
    <row r="19" spans="1:40" s="58" customFormat="1">
      <c r="A19" t="str">
        <f t="shared" si="35"/>
        <v>BD3_2005-03-19</v>
      </c>
      <c r="B19" t="s">
        <v>49</v>
      </c>
      <c r="C19" s="36">
        <v>38430</v>
      </c>
      <c r="D19">
        <f>SUMIF(DATA_WITHOUT_GENUS!A:A,A19,DATA_WITHOUT_GENUS!E:E)</f>
        <v>119</v>
      </c>
      <c r="E19">
        <f>SUMIF(DATA_WITHOUT_GENUS!A:A,A19,DATA_WITHOUT_GENUS!I:I)</f>
        <v>100</v>
      </c>
      <c r="F19" s="97">
        <f>SUMIFS(DATA_WITHOUT_GENUS!M:M,DATA_WITHOUT_GENUS!A:A,A19)/100</f>
        <v>5.62</v>
      </c>
      <c r="G19" s="18">
        <f>COUNTIFS(DATA_WITHOUT_GENUS!A:A,A19,DATA_WITHOUT_GENUS!I:I, "&gt;0")</f>
        <v>11</v>
      </c>
      <c r="H19">
        <f>COUNTIFS(DATA_WITHOUT_GENUS!A:A,A19,DATA_WITHOUT_GENUS!J:J,TRUE)</f>
        <v>3</v>
      </c>
      <c r="I19" s="18">
        <f>SUMIFS(DATA_WITHOUT_GENUS!I:I,DATA_WITHOUT_GENUS!A:A,A19,DATA_WITHOUT_GENUS!J:J,TRUE)</f>
        <v>15</v>
      </c>
      <c r="J19">
        <f>_xlfn.MAXIFS(DATA_WITHOUT_GENUS!I:I,DATA_WITHOUT_GENUS!A:A,A19)</f>
        <v>53</v>
      </c>
      <c r="K19" s="18" t="str" cm="1">
        <f t="array" ref="K19">_xlfn._xlws.FILTER(DATA_WITHOUT_GENUS!D:D,(DATA_WITHOUT_GENUS!A:A=A19)*(DATA_WITHOUT_GENUS!I:I=J19)*ROW(DATA_WITHOUT_GENUS!D:D),0)</f>
        <v>Chironomidae</v>
      </c>
      <c r="L19" s="30">
        <f t="shared" si="80"/>
        <v>3</v>
      </c>
      <c r="M19">
        <f t="shared" si="81"/>
        <v>6</v>
      </c>
      <c r="N19" s="31">
        <f t="shared" si="82"/>
        <v>3</v>
      </c>
      <c r="O19" s="32">
        <f t="shared" si="83"/>
        <v>3</v>
      </c>
      <c r="P19">
        <f t="shared" si="84"/>
        <v>3</v>
      </c>
      <c r="Q19" s="100">
        <f t="shared" si="85"/>
        <v>18</v>
      </c>
      <c r="R19" s="15" t="str">
        <f t="shared" si="86"/>
        <v>Moderately Impaired</v>
      </c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00"/>
      <c r="AF19" s="15"/>
      <c r="AG19">
        <f t="shared" si="87"/>
        <v>3</v>
      </c>
      <c r="AH19">
        <f>ROUND((((COUNTIFS(DATA_WITHOUT_GENUS!A:A,A19,DATA_WITHOUT_GENUS!N:N,FALSE))/G19)*100),1)</f>
        <v>27.3</v>
      </c>
      <c r="AI19" s="23">
        <f>SUMIFS(DATA_WITHOUT_GENUS!I:I,DATA_WITHOUT_GENUS!A:A,A19,DATA_WITHOUT_GENUS!O:O,TRUE)</f>
        <v>3</v>
      </c>
      <c r="AJ19">
        <f>COUNTIFS(DATA_WITHOUT_GENUS!A:A,A19,DATA_WITHOUT_GENUS!P:P,TRUE)</f>
        <v>2</v>
      </c>
      <c r="AK19">
        <f t="shared" si="88"/>
        <v>4.8767421179358958</v>
      </c>
      <c r="AL19">
        <f t="shared" si="89"/>
        <v>14.037510330281258</v>
      </c>
      <c r="AM19" s="98">
        <f t="shared" si="1"/>
        <v>40.02881322367147</v>
      </c>
      <c r="AN19" t="str">
        <f t="shared" si="90"/>
        <v>Fair</v>
      </c>
    </row>
    <row r="20" spans="1:40" s="58" customFormat="1">
      <c r="A20" t="str">
        <f t="shared" si="35"/>
        <v>BD3_2005-10-15</v>
      </c>
      <c r="B20" t="s">
        <v>49</v>
      </c>
      <c r="C20" s="36">
        <v>38640</v>
      </c>
      <c r="D20">
        <f>SUMIF(DATA_WITHOUT_GENUS!A:A,A20,DATA_WITHOUT_GENUS!E:E)</f>
        <v>222</v>
      </c>
      <c r="E20">
        <f>SUMIF(DATA_WITHOUT_GENUS!A:A,A20,DATA_WITHOUT_GENUS!I:I)</f>
        <v>100</v>
      </c>
      <c r="F20" s="97">
        <f>SUMIFS(DATA_WITHOUT_GENUS!M:M,DATA_WITHOUT_GENUS!A:A,A20)/100</f>
        <v>4.46</v>
      </c>
      <c r="G20" s="18">
        <f>COUNTIFS(DATA_WITHOUT_GENUS!A:A,A20,DATA_WITHOUT_GENUS!I:I, "&gt;0")</f>
        <v>9</v>
      </c>
      <c r="H20">
        <f>COUNTIFS(DATA_WITHOUT_GENUS!A:A,A20,DATA_WITHOUT_GENUS!J:J,TRUE)</f>
        <v>2</v>
      </c>
      <c r="I20" s="18">
        <f>SUMIFS(DATA_WITHOUT_GENUS!I:I,DATA_WITHOUT_GENUS!A:A,A20,DATA_WITHOUT_GENUS!J:J,TRUE)</f>
        <v>11</v>
      </c>
      <c r="J20">
        <f>_xlfn.MAXIFS(DATA_WITHOUT_GENUS!I:I,DATA_WITHOUT_GENUS!A:A,A20)</f>
        <v>59</v>
      </c>
      <c r="K20" s="18" t="str" cm="1">
        <f t="array" ref="K20">_xlfn._xlws.FILTER(DATA_WITHOUT_GENUS!D:D,(DATA_WITHOUT_GENUS!A:A=A20)*(DATA_WITHOUT_GENUS!I:I=J20)*ROW(DATA_WITHOUT_GENUS!D:D),0)</f>
        <v>Elmidae</v>
      </c>
      <c r="L20" s="30">
        <f t="shared" ref="L20" si="91">IF(F20="","",IF(F20&gt;7,0,IF(F20&lt;5,6,IF(F20&lt;=7,3))))</f>
        <v>6</v>
      </c>
      <c r="M20">
        <f t="shared" ref="M20" si="92">IF(G20="","",IF(G20&gt;10,6,IF(G20&lt;5,0,IF(G20&lt;=10,3))))</f>
        <v>3</v>
      </c>
      <c r="N20" s="31">
        <f t="shared" ref="N20" si="93">IF(H20="","",IF(H20&gt;5,6,IF(H20&lt;3,0,IF(H20&lt;=5,3))))</f>
        <v>0</v>
      </c>
      <c r="O20" s="32">
        <f t="shared" ref="O20" si="94">IF(I20="","",IF(I20&gt;35,6,IF(I20&lt;10,0,IF(I20&lt;=35,3,IF(I20&lt;10,0)))))</f>
        <v>3</v>
      </c>
      <c r="P20">
        <f t="shared" ref="P20" si="95">IF(J20="","",IF(J20&gt;60,0,IF(J20&lt;40,6,IF(J20&lt;=60,3))))</f>
        <v>3</v>
      </c>
      <c r="Q20" s="100">
        <f t="shared" ref="Q20" si="96">SUM(L20:P20)</f>
        <v>15</v>
      </c>
      <c r="R20" s="15" t="str">
        <f t="shared" ref="R20" si="97">IF(Q20&gt;=24, "Non-Impaired", IF(Q20&lt;=6, "Severally Impaired", IF(Q20&gt;=9, "Moderately Impaired","")))</f>
        <v>Moderately Impaired</v>
      </c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00"/>
      <c r="AF20" s="15"/>
      <c r="AG20">
        <f t="shared" ref="AG20" si="98">H20</f>
        <v>2</v>
      </c>
      <c r="AH20">
        <f>ROUND((((COUNTIFS(DATA_WITHOUT_GENUS!A:A,A20,DATA_WITHOUT_GENUS!N:N,FALSE))/G20)*100),1)</f>
        <v>55.6</v>
      </c>
      <c r="AI20" s="23">
        <f>SUMIFS(DATA_WITHOUT_GENUS!I:I,DATA_WITHOUT_GENUS!A:A,A20,DATA_WITHOUT_GENUS!O:O,TRUE)</f>
        <v>2</v>
      </c>
      <c r="AJ20">
        <f>COUNTIFS(DATA_WITHOUT_GENUS!A:A,A20,DATA_WITHOUT_GENUS!P:P,TRUE)</f>
        <v>2</v>
      </c>
      <c r="AK20">
        <f t="shared" ref="AK20" si="99">F20+4.19-(3.636+0.615*(LOG10(128.6359653)))</f>
        <v>3.7167421179358957</v>
      </c>
      <c r="AL20">
        <f t="shared" ref="AL20" si="100">(AI20/100)+35.15-(45.59-11.59*(LOG10(128.6359653)))</f>
        <v>14.02751033028126</v>
      </c>
      <c r="AM20" s="98">
        <f t="shared" si="1"/>
        <v>35.175034498250966</v>
      </c>
      <c r="AN20" t="str">
        <f t="shared" ref="AN20" si="101">IF(AM20&gt;=63, "Excellent", IF(AM20&lt;21, "Poor", IF(AM20&lt;42, "Fair","Good")))</f>
        <v>Fair</v>
      </c>
    </row>
    <row r="21" spans="1:40" s="58" customFormat="1">
      <c r="A21" t="str">
        <f t="shared" si="35"/>
        <v>BD3_2006-03-18</v>
      </c>
      <c r="B21" t="s">
        <v>49</v>
      </c>
      <c r="C21" s="36">
        <v>38794</v>
      </c>
      <c r="D21">
        <f>SUMIF(DATA_WITHOUT_GENUS!A:A,A21,DATA_WITHOUT_GENUS!E:E)</f>
        <v>125</v>
      </c>
      <c r="E21">
        <f>SUMIF(DATA_WITHOUT_GENUS!A:A,A21,DATA_WITHOUT_GENUS!I:I)</f>
        <v>100</v>
      </c>
      <c r="F21" s="97">
        <f>SUMIFS(DATA_WITHOUT_GENUS!M:M,DATA_WITHOUT_GENUS!A:A,A21)/100</f>
        <v>6.04</v>
      </c>
      <c r="G21" s="18">
        <f>COUNTIFS(DATA_WITHOUT_GENUS!A:A,A21,DATA_WITHOUT_GENUS!I:I, "&gt;0")</f>
        <v>13</v>
      </c>
      <c r="H21">
        <f>COUNTIFS(DATA_WITHOUT_GENUS!A:A,A21,DATA_WITHOUT_GENUS!J:J,TRUE)</f>
        <v>3</v>
      </c>
      <c r="I21" s="18">
        <f>SUMIFS(DATA_WITHOUT_GENUS!I:I,DATA_WITHOUT_GENUS!A:A,A21,DATA_WITHOUT_GENUS!J:J,TRUE)</f>
        <v>3</v>
      </c>
      <c r="J21">
        <f>_xlfn.MAXIFS(DATA_WITHOUT_GENUS!I:I,DATA_WITHOUT_GENUS!A:A,A21)</f>
        <v>25</v>
      </c>
      <c r="K21" s="18" t="str" cm="1">
        <f t="array" ref="K21">_xlfn._xlws.FILTER(DATA_WITHOUT_GENUS!D:D,(DATA_WITHOUT_GENUS!A:A=A21)*(DATA_WITHOUT_GENUS!I:I=J21)*ROW(DATA_WITHOUT_GENUS!D:D),0)</f>
        <v>BloodRed Chironomidae</v>
      </c>
      <c r="L21" s="30">
        <f t="shared" ref="L21:L28" si="102">IF(F21="","",IF(F21&gt;7,0,IF(F21&lt;5,6,IF(F21&lt;=7,3))))</f>
        <v>3</v>
      </c>
      <c r="M21">
        <f t="shared" ref="M21:M28" si="103">IF(G21="","",IF(G21&gt;10,6,IF(G21&lt;5,0,IF(G21&lt;=10,3))))</f>
        <v>6</v>
      </c>
      <c r="N21" s="31">
        <f t="shared" ref="N21:N28" si="104">IF(H21="","",IF(H21&gt;5,6,IF(H21&lt;3,0,IF(H21&lt;=5,3))))</f>
        <v>3</v>
      </c>
      <c r="O21" s="32">
        <f t="shared" ref="O21:O28" si="105">IF(I21="","",IF(I21&gt;35,6,IF(I21&lt;10,0,IF(I21&lt;=35,3,IF(I21&lt;10,0)))))</f>
        <v>0</v>
      </c>
      <c r="P21">
        <f t="shared" ref="P21:P28" si="106">IF(J21="","",IF(J21&gt;60,0,IF(J21&lt;40,6,IF(J21&lt;=60,3))))</f>
        <v>6</v>
      </c>
      <c r="Q21" s="100">
        <f t="shared" ref="Q21:Q28" si="107">SUM(L21:P21)</f>
        <v>18</v>
      </c>
      <c r="R21" s="15" t="str">
        <f t="shared" ref="R21:R28" si="108">IF(Q21&gt;=24, "Non-Impaired", IF(Q21&lt;=6, "Severally Impaired", IF(Q21&gt;=9, "Moderately Impaired","")))</f>
        <v>Moderately Impaired</v>
      </c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00"/>
      <c r="AF21" s="15"/>
      <c r="AG21">
        <f t="shared" ref="AG21:AG28" si="109">H21</f>
        <v>3</v>
      </c>
      <c r="AH21">
        <f>ROUND((((COUNTIFS(DATA_WITHOUT_GENUS!A:A,A21,DATA_WITHOUT_GENUS!N:N,FALSE))/G21)*100),1)</f>
        <v>23.1</v>
      </c>
      <c r="AI21" s="23">
        <f>SUMIFS(DATA_WITHOUT_GENUS!I:I,DATA_WITHOUT_GENUS!A:A,A21,DATA_WITHOUT_GENUS!O:O,TRUE)</f>
        <v>2</v>
      </c>
      <c r="AJ21">
        <f>COUNTIFS(DATA_WITHOUT_GENUS!A:A,A21,DATA_WITHOUT_GENUS!P:P,TRUE)</f>
        <v>2</v>
      </c>
      <c r="AK21">
        <f t="shared" ref="AK21:AK28" si="110">F21+4.19-(3.636+0.615*(LOG10(128.6359653)))</f>
        <v>5.2967421179358958</v>
      </c>
      <c r="AL21">
        <f t="shared" ref="AL21:AL28" si="111">(AI21/100)+35.15-(45.59-11.59*(LOG10(128.6359653)))</f>
        <v>14.02751033028126</v>
      </c>
      <c r="AM21" s="98">
        <f t="shared" si="1"/>
        <v>39.259161482377941</v>
      </c>
      <c r="AN21" t="str">
        <f t="shared" ref="AN21:AN28" si="112">IF(AM21&gt;=63, "Excellent", IF(AM21&lt;21, "Poor", IF(AM21&lt;42, "Fair","Good")))</f>
        <v>Fair</v>
      </c>
    </row>
    <row r="22" spans="1:40" s="58" customFormat="1">
      <c r="A22" t="str">
        <f t="shared" si="35"/>
        <v>BD3_2006-07-15</v>
      </c>
      <c r="B22" t="s">
        <v>49</v>
      </c>
      <c r="C22" s="36">
        <v>38913</v>
      </c>
      <c r="D22">
        <f>SUMIF(DATA_WITHOUT_GENUS!A:A,A22,DATA_WITHOUT_GENUS!E:E)</f>
        <v>199</v>
      </c>
      <c r="E22">
        <f>SUMIF(DATA_WITHOUT_GENUS!A:A,A22,DATA_WITHOUT_GENUS!I:I)</f>
        <v>100</v>
      </c>
      <c r="F22" s="97">
        <f>SUMIFS(DATA_WITHOUT_GENUS!M:M,DATA_WITHOUT_GENUS!A:A,A22)/100</f>
        <v>4.2</v>
      </c>
      <c r="G22" s="18">
        <f>COUNTIFS(DATA_WITHOUT_GENUS!A:A,A22,DATA_WITHOUT_GENUS!I:I, "&gt;0")</f>
        <v>7</v>
      </c>
      <c r="H22">
        <f>COUNTIFS(DATA_WITHOUT_GENUS!A:A,A22,DATA_WITHOUT_GENUS!J:J,TRUE)</f>
        <v>2</v>
      </c>
      <c r="I22" s="18">
        <f>SUMIFS(DATA_WITHOUT_GENUS!I:I,DATA_WITHOUT_GENUS!A:A,A22,DATA_WITHOUT_GENUS!J:J,TRUE)</f>
        <v>58</v>
      </c>
      <c r="J22">
        <f>_xlfn.MAXIFS(DATA_WITHOUT_GENUS!I:I,DATA_WITHOUT_GENUS!A:A,A22)</f>
        <v>56</v>
      </c>
      <c r="K22" s="18" t="str" cm="1">
        <f t="array" ref="K22">_xlfn._xlws.FILTER(DATA_WITHOUT_GENUS!D:D,(DATA_WITHOUT_GENUS!A:A=A22)*(DATA_WITHOUT_GENUS!I:I=J22)*ROW(DATA_WITHOUT_GENUS!D:D),0)</f>
        <v>Hydropsychidae</v>
      </c>
      <c r="L22" s="30">
        <f t="shared" si="102"/>
        <v>6</v>
      </c>
      <c r="M22">
        <f t="shared" si="103"/>
        <v>3</v>
      </c>
      <c r="N22" s="31">
        <f t="shared" si="104"/>
        <v>0</v>
      </c>
      <c r="O22" s="32">
        <f t="shared" si="105"/>
        <v>6</v>
      </c>
      <c r="P22">
        <f t="shared" si="106"/>
        <v>3</v>
      </c>
      <c r="Q22" s="100">
        <f t="shared" si="107"/>
        <v>18</v>
      </c>
      <c r="R22" s="15" t="str">
        <f t="shared" si="108"/>
        <v>Moderately Impaired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00"/>
      <c r="AF22" s="15"/>
      <c r="AG22">
        <f t="shared" si="109"/>
        <v>2</v>
      </c>
      <c r="AH22">
        <f>ROUND((((COUNTIFS(DATA_WITHOUT_GENUS!A:A,A22,DATA_WITHOUT_GENUS!N:N,FALSE))/G22)*100),1)</f>
        <v>42.9</v>
      </c>
      <c r="AI22" s="23">
        <f>SUMIFS(DATA_WITHOUT_GENUS!I:I,DATA_WITHOUT_GENUS!A:A,A22,DATA_WITHOUT_GENUS!O:O,TRUE)</f>
        <v>2</v>
      </c>
      <c r="AJ22">
        <f>COUNTIFS(DATA_WITHOUT_GENUS!A:A,A22,DATA_WITHOUT_GENUS!P:P,TRUE)</f>
        <v>2</v>
      </c>
      <c r="AK22">
        <f t="shared" si="110"/>
        <v>3.4567421179358959</v>
      </c>
      <c r="AL22">
        <f t="shared" si="111"/>
        <v>14.02751033028126</v>
      </c>
      <c r="AM22" s="98">
        <f t="shared" si="1"/>
        <v>40.506780529996988</v>
      </c>
      <c r="AN22" t="str">
        <f t="shared" si="112"/>
        <v>Fair</v>
      </c>
    </row>
    <row r="23" spans="1:40" s="58" customFormat="1">
      <c r="A23" t="str">
        <f t="shared" si="35"/>
        <v>BD3_2006-10-30</v>
      </c>
      <c r="B23" t="s">
        <v>49</v>
      </c>
      <c r="C23" s="36">
        <v>39020</v>
      </c>
      <c r="D23">
        <f>SUMIF(DATA_WITHOUT_GENUS!A:A,A23,DATA_WITHOUT_GENUS!E:E)</f>
        <v>114</v>
      </c>
      <c r="E23">
        <f>SUMIF(DATA_WITHOUT_GENUS!A:A,A23,DATA_WITHOUT_GENUS!I:I)</f>
        <v>100</v>
      </c>
      <c r="F23" s="97">
        <f>SUMIFS(DATA_WITHOUT_GENUS!M:M,DATA_WITHOUT_GENUS!A:A,A23)/100</f>
        <v>5.0599999999999996</v>
      </c>
      <c r="G23" s="18">
        <f>COUNTIFS(DATA_WITHOUT_GENUS!A:A,A23,DATA_WITHOUT_GENUS!I:I, "&gt;0")</f>
        <v>17</v>
      </c>
      <c r="H23">
        <f>COUNTIFS(DATA_WITHOUT_GENUS!A:A,A23,DATA_WITHOUT_GENUS!J:J,TRUE)</f>
        <v>5</v>
      </c>
      <c r="I23" s="18">
        <f>SUMIFS(DATA_WITHOUT_GENUS!I:I,DATA_WITHOUT_GENUS!A:A,A23,DATA_WITHOUT_GENUS!J:J,TRUE)</f>
        <v>18</v>
      </c>
      <c r="J23">
        <f>_xlfn.MAXIFS(DATA_WITHOUT_GENUS!I:I,DATA_WITHOUT_GENUS!A:A,A23)</f>
        <v>24</v>
      </c>
      <c r="K23" s="18" t="str" cm="1">
        <f t="array" ref="K23">_xlfn._xlws.FILTER(DATA_WITHOUT_GENUS!D:D,(DATA_WITHOUT_GENUS!A:A=A23)*(DATA_WITHOUT_GENUS!I:I=J23)*ROW(DATA_WITHOUT_GENUS!D:D),0)</f>
        <v>Psephenidae</v>
      </c>
      <c r="L23" s="30">
        <f t="shared" si="102"/>
        <v>3</v>
      </c>
      <c r="M23">
        <f t="shared" si="103"/>
        <v>6</v>
      </c>
      <c r="N23" s="31">
        <f t="shared" si="104"/>
        <v>3</v>
      </c>
      <c r="O23" s="32">
        <f t="shared" si="105"/>
        <v>3</v>
      </c>
      <c r="P23">
        <f t="shared" si="106"/>
        <v>6</v>
      </c>
      <c r="Q23" s="100">
        <f t="shared" si="107"/>
        <v>21</v>
      </c>
      <c r="R23" s="15" t="str">
        <f t="shared" si="108"/>
        <v>Moderately Impaired</v>
      </c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00"/>
      <c r="AF23" s="15"/>
      <c r="AG23">
        <f t="shared" si="109"/>
        <v>5</v>
      </c>
      <c r="AH23">
        <f>ROUND((((COUNTIFS(DATA_WITHOUT_GENUS!A:A,A23,DATA_WITHOUT_GENUS!N:N,FALSE))/G23)*100),1)</f>
        <v>29.4</v>
      </c>
      <c r="AI23" s="23">
        <f>SUMIFS(DATA_WITHOUT_GENUS!I:I,DATA_WITHOUT_GENUS!A:A,A23,DATA_WITHOUT_GENUS!O:O,TRUE)</f>
        <v>13</v>
      </c>
      <c r="AJ23">
        <f>COUNTIFS(DATA_WITHOUT_GENUS!A:A,A23,DATA_WITHOUT_GENUS!P:P,TRUE)</f>
        <v>3</v>
      </c>
      <c r="AK23">
        <f t="shared" si="110"/>
        <v>4.3167421179358954</v>
      </c>
      <c r="AL23">
        <f t="shared" si="111"/>
        <v>14.137510330281259</v>
      </c>
      <c r="AM23" s="98">
        <f t="shared" si="1"/>
        <v>48.858663969940139</v>
      </c>
      <c r="AN23" t="str">
        <f t="shared" si="112"/>
        <v>Good</v>
      </c>
    </row>
    <row r="24" spans="1:40" s="58" customFormat="1">
      <c r="A24" t="str">
        <f t="shared" si="35"/>
        <v>BD3_2007-03-17</v>
      </c>
      <c r="B24" t="s">
        <v>49</v>
      </c>
      <c r="C24" s="36">
        <v>39158</v>
      </c>
      <c r="D24">
        <f>SUMIF(DATA_WITHOUT_GENUS!A:A,A24,DATA_WITHOUT_GENUS!E:E)</f>
        <v>136</v>
      </c>
      <c r="E24">
        <f>SUMIF(DATA_WITHOUT_GENUS!A:A,A24,DATA_WITHOUT_GENUS!I:I)</f>
        <v>100</v>
      </c>
      <c r="F24" s="97">
        <f>SUMIFS(DATA_WITHOUT_GENUS!M:M,DATA_WITHOUT_GENUS!A:A,A24)/100</f>
        <v>5.21</v>
      </c>
      <c r="G24" s="18">
        <f>COUNTIFS(DATA_WITHOUT_GENUS!A:A,A24,DATA_WITHOUT_GENUS!I:I, "&gt;0")</f>
        <v>18</v>
      </c>
      <c r="H24">
        <f>COUNTIFS(DATA_WITHOUT_GENUS!A:A,A24,DATA_WITHOUT_GENUS!J:J,TRUE)</f>
        <v>6</v>
      </c>
      <c r="I24" s="18">
        <f>SUMIFS(DATA_WITHOUT_GENUS!I:I,DATA_WITHOUT_GENUS!A:A,A24,DATA_WITHOUT_GENUS!J:J,TRUE)</f>
        <v>20</v>
      </c>
      <c r="J24">
        <f>_xlfn.MAXIFS(DATA_WITHOUT_GENUS!I:I,DATA_WITHOUT_GENUS!A:A,A24)</f>
        <v>41</v>
      </c>
      <c r="K24" s="18" t="str" cm="1">
        <f t="array" ref="K24">_xlfn._xlws.FILTER(DATA_WITHOUT_GENUS!D:D,(DATA_WITHOUT_GENUS!A:A=A24)*(DATA_WITHOUT_GENUS!I:I=J24)*ROW(DATA_WITHOUT_GENUS!D:D),0)</f>
        <v>Chironomidae</v>
      </c>
      <c r="L24" s="30">
        <f t="shared" si="102"/>
        <v>3</v>
      </c>
      <c r="M24">
        <f t="shared" si="103"/>
        <v>6</v>
      </c>
      <c r="N24" s="31">
        <f t="shared" si="104"/>
        <v>6</v>
      </c>
      <c r="O24" s="32">
        <f t="shared" si="105"/>
        <v>3</v>
      </c>
      <c r="P24">
        <f t="shared" si="106"/>
        <v>3</v>
      </c>
      <c r="Q24" s="100">
        <f t="shared" si="107"/>
        <v>21</v>
      </c>
      <c r="R24" s="15" t="str">
        <f t="shared" si="108"/>
        <v>Moderately Impaired</v>
      </c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00"/>
      <c r="AF24" s="15"/>
      <c r="AG24">
        <f t="shared" si="109"/>
        <v>6</v>
      </c>
      <c r="AH24">
        <f>ROUND((((COUNTIFS(DATA_WITHOUT_GENUS!A:A,A24,DATA_WITHOUT_GENUS!N:N,FALSE))/G24)*100),1)</f>
        <v>33.299999999999997</v>
      </c>
      <c r="AI24" s="23">
        <f>SUMIFS(DATA_WITHOUT_GENUS!I:I,DATA_WITHOUT_GENUS!A:A,A24,DATA_WITHOUT_GENUS!O:O,TRUE)</f>
        <v>7</v>
      </c>
      <c r="AJ24">
        <f>COUNTIFS(DATA_WITHOUT_GENUS!A:A,A24,DATA_WITHOUT_GENUS!P:P,TRUE)</f>
        <v>2</v>
      </c>
      <c r="AK24">
        <f t="shared" si="110"/>
        <v>4.4667421179358957</v>
      </c>
      <c r="AL24">
        <f t="shared" si="111"/>
        <v>14.077510330281257</v>
      </c>
      <c r="AM24" s="98">
        <f t="shared" si="1"/>
        <v>45.185991617417038</v>
      </c>
      <c r="AN24" t="str">
        <f t="shared" si="112"/>
        <v>Good</v>
      </c>
    </row>
    <row r="25" spans="1:40" s="58" customFormat="1">
      <c r="A25" t="str">
        <f t="shared" si="35"/>
        <v>BD3_2008-10-18</v>
      </c>
      <c r="B25" t="s">
        <v>49</v>
      </c>
      <c r="C25" s="36">
        <v>39739</v>
      </c>
      <c r="D25" s="102">
        <f>SUMIF(DATA_WITHOUT_GENUS!A:A,A25,DATA_WITHOUT_GENUS!E:E)</f>
        <v>51</v>
      </c>
      <c r="E25"/>
      <c r="F25" s="97"/>
      <c r="G25" s="18"/>
      <c r="H25"/>
      <c r="I25" s="18"/>
      <c r="J25"/>
      <c r="K25" s="18"/>
      <c r="L25" s="30"/>
      <c r="M25"/>
      <c r="N25" s="31"/>
      <c r="O25" s="32"/>
      <c r="P25"/>
      <c r="Q25" s="100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00"/>
      <c r="AF25" s="15"/>
      <c r="AG25"/>
      <c r="AH25"/>
      <c r="AI25" s="23"/>
      <c r="AJ25"/>
      <c r="AK25"/>
      <c r="AL25"/>
      <c r="AM25" s="98"/>
      <c r="AN25"/>
    </row>
    <row r="26" spans="1:40" s="58" customFormat="1">
      <c r="A26" t="str">
        <f t="shared" si="35"/>
        <v>BD3_2009-03-28</v>
      </c>
      <c r="B26" t="s">
        <v>49</v>
      </c>
      <c r="C26" s="36">
        <v>39900</v>
      </c>
      <c r="D26">
        <f>SUMIF(DATA_WITHOUT_GENUS!A:A,A26,DATA_WITHOUT_GENUS!E:E)</f>
        <v>104</v>
      </c>
      <c r="E26">
        <f>SUMIF(DATA_WITHOUT_GENUS!A:A,A26,DATA_WITHOUT_GENUS!I:I)</f>
        <v>100</v>
      </c>
      <c r="F26" s="97">
        <f>SUMIFS(DATA_WITHOUT_GENUS!M:M,DATA_WITHOUT_GENUS!A:A,A26)/100</f>
        <v>5.81</v>
      </c>
      <c r="G26" s="18">
        <f>COUNTIFS(DATA_WITHOUT_GENUS!A:A,A26,DATA_WITHOUT_GENUS!I:I, "&gt;0")</f>
        <v>10</v>
      </c>
      <c r="H26">
        <f>COUNTIFS(DATA_WITHOUT_GENUS!A:A,A26,DATA_WITHOUT_GENUS!J:J,TRUE)</f>
        <v>1</v>
      </c>
      <c r="I26" s="18">
        <f>SUMIFS(DATA_WITHOUT_GENUS!I:I,DATA_WITHOUT_GENUS!A:A,A26,DATA_WITHOUT_GENUS!J:J,TRUE)</f>
        <v>2</v>
      </c>
      <c r="J26">
        <f>_xlfn.MAXIFS(DATA_WITHOUT_GENUS!I:I,DATA_WITHOUT_GENUS!A:A,A26)</f>
        <v>73</v>
      </c>
      <c r="K26" s="18" t="str" cm="1">
        <f t="array" ref="K26">_xlfn._xlws.FILTER(DATA_WITHOUT_GENUS!D:D,(DATA_WITHOUT_GENUS!A:A=A26)*(DATA_WITHOUT_GENUS!I:I=J26)*ROW(DATA_WITHOUT_GENUS!D:D),0)</f>
        <v>Chironomidae</v>
      </c>
      <c r="L26" s="30">
        <f t="shared" si="102"/>
        <v>3</v>
      </c>
      <c r="M26">
        <f t="shared" si="103"/>
        <v>3</v>
      </c>
      <c r="N26" s="31">
        <f t="shared" si="104"/>
        <v>0</v>
      </c>
      <c r="O26" s="32">
        <f t="shared" si="105"/>
        <v>0</v>
      </c>
      <c r="P26">
        <f t="shared" si="106"/>
        <v>0</v>
      </c>
      <c r="Q26" s="100">
        <f t="shared" si="107"/>
        <v>6</v>
      </c>
      <c r="R26" s="15" t="str">
        <f t="shared" si="108"/>
        <v>Severally Impaired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00"/>
      <c r="AF26" s="15"/>
      <c r="AG26">
        <f t="shared" si="109"/>
        <v>1</v>
      </c>
      <c r="AH26">
        <f>ROUND((((COUNTIFS(DATA_WITHOUT_GENUS!A:A,A26,DATA_WITHOUT_GENUS!N:N,FALSE))/G26)*100),1)</f>
        <v>60</v>
      </c>
      <c r="AI26" s="23">
        <f>SUMIFS(DATA_WITHOUT_GENUS!I:I,DATA_WITHOUT_GENUS!A:A,A26,DATA_WITHOUT_GENUS!O:O,TRUE)</f>
        <v>2</v>
      </c>
      <c r="AJ26">
        <f>COUNTIFS(DATA_WITHOUT_GENUS!A:A,A26,DATA_WITHOUT_GENUS!P:P,TRUE)</f>
        <v>2</v>
      </c>
      <c r="AK26">
        <f t="shared" si="110"/>
        <v>5.0667421179358954</v>
      </c>
      <c r="AL26">
        <f t="shared" si="111"/>
        <v>14.02751033028126</v>
      </c>
      <c r="AM26" s="98">
        <f t="shared" si="1"/>
        <v>25.361542434758899</v>
      </c>
      <c r="AN26" t="str">
        <f t="shared" si="112"/>
        <v>Fair</v>
      </c>
    </row>
    <row r="27" spans="1:40" s="58" customFormat="1">
      <c r="A27" t="str">
        <f t="shared" si="35"/>
        <v>BD3_2009-10-17</v>
      </c>
      <c r="B27" t="s">
        <v>49</v>
      </c>
      <c r="C27" s="36">
        <v>40103</v>
      </c>
      <c r="D27">
        <f>SUMIF(DATA_WITHOUT_GENUS!A:A,A27,DATA_WITHOUT_GENUS!E:E)</f>
        <v>102</v>
      </c>
      <c r="E27">
        <f>SUMIF(DATA_WITHOUT_GENUS!A:A,A27,DATA_WITHOUT_GENUS!I:I)</f>
        <v>100</v>
      </c>
      <c r="F27" s="97">
        <f>SUMIFS(DATA_WITHOUT_GENUS!M:M,DATA_WITHOUT_GENUS!A:A,A27)/100</f>
        <v>4.2699999999999996</v>
      </c>
      <c r="G27" s="18">
        <f>COUNTIFS(DATA_WITHOUT_GENUS!A:A,A27,DATA_WITHOUT_GENUS!I:I, "&gt;0")</f>
        <v>9</v>
      </c>
      <c r="H27">
        <f>COUNTIFS(DATA_WITHOUT_GENUS!A:A,A27,DATA_WITHOUT_GENUS!J:J,TRUE)</f>
        <v>2</v>
      </c>
      <c r="I27" s="18">
        <f>SUMIFS(DATA_WITHOUT_GENUS!I:I,DATA_WITHOUT_GENUS!A:A,A27,DATA_WITHOUT_GENUS!J:J,TRUE)</f>
        <v>53</v>
      </c>
      <c r="J27">
        <f>_xlfn.MAXIFS(DATA_WITHOUT_GENUS!I:I,DATA_WITHOUT_GENUS!A:A,A27)</f>
        <v>51</v>
      </c>
      <c r="K27" s="18" t="str" cm="1">
        <f t="array" ref="K27">_xlfn._xlws.FILTER(DATA_WITHOUT_GENUS!D:D,(DATA_WITHOUT_GENUS!A:A=A27)*(DATA_WITHOUT_GENUS!I:I=J27)*ROW(DATA_WITHOUT_GENUS!D:D),0)</f>
        <v>Hydropsychidae</v>
      </c>
      <c r="L27" s="30">
        <f t="shared" si="102"/>
        <v>6</v>
      </c>
      <c r="M27">
        <f t="shared" si="103"/>
        <v>3</v>
      </c>
      <c r="N27" s="31">
        <f t="shared" si="104"/>
        <v>0</v>
      </c>
      <c r="O27" s="32">
        <f t="shared" si="105"/>
        <v>6</v>
      </c>
      <c r="P27">
        <f t="shared" si="106"/>
        <v>3</v>
      </c>
      <c r="Q27" s="100">
        <f t="shared" si="107"/>
        <v>18</v>
      </c>
      <c r="R27" s="15" t="str">
        <f t="shared" si="108"/>
        <v>Moderately Impaired</v>
      </c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00"/>
      <c r="AF27" s="15"/>
      <c r="AG27">
        <f t="shared" si="109"/>
        <v>2</v>
      </c>
      <c r="AH27">
        <f>ROUND((((COUNTIFS(DATA_WITHOUT_GENUS!A:A,A27,DATA_WITHOUT_GENUS!N:N,FALSE))/G27)*100),1)</f>
        <v>33.299999999999997</v>
      </c>
      <c r="AI27" s="23">
        <f>SUMIFS(DATA_WITHOUT_GENUS!I:I,DATA_WITHOUT_GENUS!A:A,A27,DATA_WITHOUT_GENUS!O:O,TRUE)</f>
        <v>2</v>
      </c>
      <c r="AJ27">
        <f>COUNTIFS(DATA_WITHOUT_GENUS!A:A,A27,DATA_WITHOUT_GENUS!P:P,TRUE)</f>
        <v>2</v>
      </c>
      <c r="AK27">
        <f t="shared" si="110"/>
        <v>3.5267421179358962</v>
      </c>
      <c r="AL27">
        <f t="shared" si="111"/>
        <v>14.02751033028126</v>
      </c>
      <c r="AM27" s="98">
        <f t="shared" si="1"/>
        <v>43.204399577616037</v>
      </c>
      <c r="AN27" t="str">
        <f t="shared" si="112"/>
        <v>Good</v>
      </c>
    </row>
    <row r="28" spans="1:40" s="58" customFormat="1">
      <c r="A28" t="str">
        <f t="shared" si="35"/>
        <v>BD3_2011-03-19</v>
      </c>
      <c r="B28" t="s">
        <v>49</v>
      </c>
      <c r="C28" s="36">
        <v>40621</v>
      </c>
      <c r="D28">
        <f>SUMIF(DATA_WITHOUT_GENUS!A:A,A28,DATA_WITHOUT_GENUS!E:E)</f>
        <v>104</v>
      </c>
      <c r="E28">
        <f>SUMIF(DATA_WITHOUT_GENUS!A:A,A28,DATA_WITHOUT_GENUS!I:I)</f>
        <v>100</v>
      </c>
      <c r="F28" s="97">
        <f>SUMIFS(DATA_WITHOUT_GENUS!M:M,DATA_WITHOUT_GENUS!A:A,A28)/100</f>
        <v>5.95</v>
      </c>
      <c r="G28" s="18">
        <f>COUNTIFS(DATA_WITHOUT_GENUS!A:A,A28,DATA_WITHOUT_GENUS!I:I, "&gt;0")</f>
        <v>16</v>
      </c>
      <c r="H28">
        <f>COUNTIFS(DATA_WITHOUT_GENUS!A:A,A28,DATA_WITHOUT_GENUS!J:J,TRUE)</f>
        <v>4</v>
      </c>
      <c r="I28" s="18">
        <f>SUMIFS(DATA_WITHOUT_GENUS!I:I,DATA_WITHOUT_GENUS!A:A,A28,DATA_WITHOUT_GENUS!J:J,TRUE)</f>
        <v>11</v>
      </c>
      <c r="J28">
        <f>_xlfn.MAXIFS(DATA_WITHOUT_GENUS!I:I,DATA_WITHOUT_GENUS!A:A,A28)</f>
        <v>23</v>
      </c>
      <c r="K28" s="18" t="str" cm="1">
        <f t="array" ref="K28">_xlfn._xlws.FILTER(DATA_WITHOUT_GENUS!D:D,(DATA_WITHOUT_GENUS!A:A=A28)*(DATA_WITHOUT_GENUS!I:I=J28)*ROW(DATA_WITHOUT_GENUS!D:D),0)</f>
        <v>BloodRed Chironomidae</v>
      </c>
      <c r="L28" s="30">
        <f t="shared" si="102"/>
        <v>3</v>
      </c>
      <c r="M28">
        <f t="shared" si="103"/>
        <v>6</v>
      </c>
      <c r="N28" s="31">
        <f t="shared" si="104"/>
        <v>3</v>
      </c>
      <c r="O28" s="32">
        <f t="shared" si="105"/>
        <v>3</v>
      </c>
      <c r="P28">
        <f t="shared" si="106"/>
        <v>6</v>
      </c>
      <c r="Q28" s="100">
        <f t="shared" si="107"/>
        <v>21</v>
      </c>
      <c r="R28" s="15" t="str">
        <f t="shared" si="108"/>
        <v>Moderately Impaired</v>
      </c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00"/>
      <c r="AF28" s="15"/>
      <c r="AG28">
        <f t="shared" si="109"/>
        <v>4</v>
      </c>
      <c r="AH28">
        <f>ROUND((((COUNTIFS(DATA_WITHOUT_GENUS!A:A,A28,DATA_WITHOUT_GENUS!N:N,FALSE))/G28)*100),1)</f>
        <v>31.3</v>
      </c>
      <c r="AI28" s="23">
        <f>SUMIFS(DATA_WITHOUT_GENUS!I:I,DATA_WITHOUT_GENUS!A:A,A28,DATA_WITHOUT_GENUS!O:O,TRUE)</f>
        <v>11</v>
      </c>
      <c r="AJ28">
        <f>COUNTIFS(DATA_WITHOUT_GENUS!A:A,A28,DATA_WITHOUT_GENUS!P:P,TRUE)</f>
        <v>3</v>
      </c>
      <c r="AK28">
        <f t="shared" si="110"/>
        <v>5.2067421179358959</v>
      </c>
      <c r="AL28">
        <f t="shared" si="111"/>
        <v>14.117510330281256</v>
      </c>
      <c r="AM28" s="98">
        <f t="shared" si="1"/>
        <v>42.132852550845129</v>
      </c>
      <c r="AN28" t="str">
        <f t="shared" si="112"/>
        <v>Good</v>
      </c>
    </row>
    <row r="29" spans="1:40" s="58" customFormat="1">
      <c r="A29" t="str">
        <f>B29&amp;"_"&amp;TEXT(C29,"yyyy-mm-dd")</f>
        <v>BD3_2011-07-23</v>
      </c>
      <c r="B29" t="s">
        <v>49</v>
      </c>
      <c r="C29" s="36">
        <v>40747</v>
      </c>
      <c r="D29">
        <f>SUMIF(DATA_WITHOUT_GENUS!A:A,A29,DATA_WITHOUT_GENUS!E:E)</f>
        <v>122</v>
      </c>
      <c r="E29">
        <f>SUMIF(DATA_WITHOUT_GENUS!A:A,A29,DATA_WITHOUT_GENUS!I:I)</f>
        <v>100</v>
      </c>
      <c r="F29" s="97">
        <f>SUMIFS(DATA_WITHOUT_GENUS!M:M,DATA_WITHOUT_GENUS!A:A,A29)/100</f>
        <v>4.3899999999999997</v>
      </c>
      <c r="G29" s="18">
        <f>COUNTIFS(DATA_WITHOUT_GENUS!A:A,A29,DATA_WITHOUT_GENUS!I:I, "&gt;0")</f>
        <v>16</v>
      </c>
      <c r="H29">
        <f>COUNTIFS(DATA_WITHOUT_GENUS!A:A,A29,DATA_WITHOUT_GENUS!J:J,TRUE)</f>
        <v>3</v>
      </c>
      <c r="I29" s="18">
        <f>SUMIFS(DATA_WITHOUT_GENUS!I:I,DATA_WITHOUT_GENUS!A:A,A29,DATA_WITHOUT_GENUS!J:J,TRUE)</f>
        <v>28</v>
      </c>
      <c r="J29">
        <f>_xlfn.MAXIFS(DATA_WITHOUT_GENUS!I:I,DATA_WITHOUT_GENUS!A:A,A29)</f>
        <v>27</v>
      </c>
      <c r="K29" s="18" t="str" cm="1">
        <f t="array" ref="K29">_xlfn._xlws.FILTER(DATA_WITHOUT_GENUS!D:D,(DATA_WITHOUT_GENUS!A:A=A29)*(DATA_WITHOUT_GENUS!I:I=J29)*ROW(DATA_WITHOUT_GENUS!D:D),0)</f>
        <v>Gammaridae</v>
      </c>
      <c r="L29" s="30">
        <f t="shared" ref="L29:L31" si="113">IF(F29="","",IF(F29&gt;7,0,IF(F29&lt;5,6,IF(F29&lt;=7,3))))</f>
        <v>6</v>
      </c>
      <c r="M29">
        <f t="shared" ref="M29:M31" si="114">IF(G29="","",IF(G29&gt;10,6,IF(G29&lt;5,0,IF(G29&lt;=10,3))))</f>
        <v>6</v>
      </c>
      <c r="N29" s="31">
        <f t="shared" ref="N29:N31" si="115">IF(H29="","",IF(H29&gt;5,6,IF(H29&lt;3,0,IF(H29&lt;=5,3))))</f>
        <v>3</v>
      </c>
      <c r="O29" s="32">
        <f t="shared" ref="O29:O31" si="116">IF(I29="","",IF(I29&gt;35,6,IF(I29&lt;10,0,IF(I29&lt;=35,3,IF(I29&lt;10,0)))))</f>
        <v>3</v>
      </c>
      <c r="P29">
        <f t="shared" ref="P29:P31" si="117">IF(J29="","",IF(J29&gt;60,0,IF(J29&lt;40,6,IF(J29&lt;=60,3))))</f>
        <v>6</v>
      </c>
      <c r="Q29" s="100">
        <f t="shared" ref="Q29:Q34" si="118">SUM(L29:P29)</f>
        <v>24</v>
      </c>
      <c r="R29" s="15" t="str">
        <f t="shared" ref="R29:R34" si="119">IF(Q29&gt;=24, "Non-Impaired", IF(Q29&lt;=6, "Severally Impaired", IF(Q29&gt;=9, "Moderately Impaired","")))</f>
        <v>Non-Impaired</v>
      </c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00"/>
      <c r="AF29" s="15"/>
      <c r="AG29">
        <f t="shared" ref="AG29:AG31" si="120">H29</f>
        <v>3</v>
      </c>
      <c r="AH29">
        <f>ROUND((((COUNTIFS(DATA_WITHOUT_GENUS!A:A,A29,DATA_WITHOUT_GENUS!N:N,FALSE))/G29)*100),1)</f>
        <v>43.8</v>
      </c>
      <c r="AI29" s="23">
        <f>SUMIFS(DATA_WITHOUT_GENUS!I:I,DATA_WITHOUT_GENUS!A:A,A29,DATA_WITHOUT_GENUS!O:O,TRUE)</f>
        <v>9</v>
      </c>
      <c r="AJ29">
        <f>COUNTIFS(DATA_WITHOUT_GENUS!A:A,A29,DATA_WITHOUT_GENUS!P:P,TRUE)</f>
        <v>3</v>
      </c>
      <c r="AK29">
        <f t="shared" ref="AK29:AK31" si="121">F29+4.19-(3.636+0.615*(LOG10(128.6359653)))</f>
        <v>3.6467421179358954</v>
      </c>
      <c r="AL29">
        <f t="shared" ref="AL29:AL31" si="122">(AI29/100)+35.15-(45.59-11.59*(LOG10(128.6359653)))</f>
        <v>14.09751033028126</v>
      </c>
      <c r="AM29" s="98">
        <f t="shared" si="1"/>
        <v>44.291961766670774</v>
      </c>
      <c r="AN29" t="str">
        <f t="shared" ref="AN29:AN31" si="123">IF(AM29&gt;=63, "Excellent", IF(AM29&lt;21, "Poor", IF(AM29&lt;42, "Fair","Good")))</f>
        <v>Good</v>
      </c>
    </row>
    <row r="30" spans="1:40" s="58" customFormat="1">
      <c r="A30" t="str">
        <f>B30&amp;"_"&amp;TEXT(C30,"yyyy-mm-dd")</f>
        <v>BD3_2011-10-22</v>
      </c>
      <c r="B30" t="s">
        <v>49</v>
      </c>
      <c r="C30" s="36">
        <v>40838</v>
      </c>
      <c r="D30">
        <f>SUMIF(DATA_WITHOUT_GENUS!A:A,A30,DATA_WITHOUT_GENUS!E:E)</f>
        <v>109</v>
      </c>
      <c r="E30">
        <f>SUMIF(DATA_WITHOUT_GENUS!A:A,A30,DATA_WITHOUT_GENUS!I:I)</f>
        <v>100</v>
      </c>
      <c r="F30" s="97">
        <f>SUMIFS(DATA_WITHOUT_GENUS!M:M,DATA_WITHOUT_GENUS!A:A,A30)/100</f>
        <v>4.1100000000000003</v>
      </c>
      <c r="G30" s="18">
        <f>COUNTIFS(DATA_WITHOUT_GENUS!A:A,A30,DATA_WITHOUT_GENUS!I:I, "&gt;0")</f>
        <v>10</v>
      </c>
      <c r="H30">
        <f>COUNTIFS(DATA_WITHOUT_GENUS!A:A,A30,DATA_WITHOUT_GENUS!J:J,TRUE)</f>
        <v>3</v>
      </c>
      <c r="I30" s="18">
        <f>SUMIFS(DATA_WITHOUT_GENUS!I:I,DATA_WITHOUT_GENUS!A:A,A30,DATA_WITHOUT_GENUS!J:J,TRUE)</f>
        <v>61</v>
      </c>
      <c r="J30">
        <f>_xlfn.MAXIFS(DATA_WITHOUT_GENUS!I:I,DATA_WITHOUT_GENUS!A:A,A30)</f>
        <v>47</v>
      </c>
      <c r="K30" s="18" t="str" cm="1">
        <f t="array" ref="K30">_xlfn._xlws.FILTER(DATA_WITHOUT_GENUS!D:D,(DATA_WITHOUT_GENUS!A:A=A30)*(DATA_WITHOUT_GENUS!I:I=J30)*ROW(DATA_WITHOUT_GENUS!D:D),0)</f>
        <v>Hydropsychidae</v>
      </c>
      <c r="L30" s="30">
        <f t="shared" si="113"/>
        <v>6</v>
      </c>
      <c r="M30">
        <f t="shared" si="114"/>
        <v>3</v>
      </c>
      <c r="N30" s="31">
        <f t="shared" si="115"/>
        <v>3</v>
      </c>
      <c r="O30" s="32">
        <f t="shared" si="116"/>
        <v>6</v>
      </c>
      <c r="P30">
        <f t="shared" si="117"/>
        <v>3</v>
      </c>
      <c r="Q30" s="100">
        <f t="shared" si="118"/>
        <v>21</v>
      </c>
      <c r="R30" s="15" t="str">
        <f t="shared" si="119"/>
        <v>Moderately Impaired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00"/>
      <c r="AF30" s="15"/>
      <c r="AG30">
        <f t="shared" si="120"/>
        <v>3</v>
      </c>
      <c r="AH30">
        <f>ROUND((((COUNTIFS(DATA_WITHOUT_GENUS!A:A,A30,DATA_WITHOUT_GENUS!N:N,FALSE))/G30)*100),1)</f>
        <v>30</v>
      </c>
      <c r="AI30" s="23">
        <f>SUMIFS(DATA_WITHOUT_GENUS!I:I,DATA_WITHOUT_GENUS!A:A,A30,DATA_WITHOUT_GENUS!O:O,TRUE)</f>
        <v>14</v>
      </c>
      <c r="AJ30">
        <f>COUNTIFS(DATA_WITHOUT_GENUS!A:A,A30,DATA_WITHOUT_GENUS!P:P,TRUE)</f>
        <v>2</v>
      </c>
      <c r="AK30">
        <f t="shared" si="121"/>
        <v>3.3667421179358961</v>
      </c>
      <c r="AL30">
        <f t="shared" si="122"/>
        <v>14.147510330281257</v>
      </c>
      <c r="AM30" s="98">
        <f t="shared" si="1"/>
        <v>46.754506187424141</v>
      </c>
      <c r="AN30" t="str">
        <f t="shared" si="123"/>
        <v>Good</v>
      </c>
    </row>
    <row r="31" spans="1:40" s="58" customFormat="1">
      <c r="A31" t="str">
        <f t="shared" si="35"/>
        <v>BD3_2012-03-17</v>
      </c>
      <c r="B31" t="s">
        <v>49</v>
      </c>
      <c r="C31" s="36">
        <v>40985</v>
      </c>
      <c r="D31">
        <f>SUMIF(DATA_WITHOUT_GENUS!A:A,A31,DATA_WITHOUT_GENUS!E:E)</f>
        <v>134</v>
      </c>
      <c r="E31">
        <f>SUMIF(DATA_WITHOUT_GENUS!A:A,A31,DATA_WITHOUT_GENUS!I:I)</f>
        <v>100</v>
      </c>
      <c r="F31" s="97">
        <f>SUMIFS(DATA_WITHOUT_GENUS!M:M,DATA_WITHOUT_GENUS!A:A,A31)/100</f>
        <v>4.42</v>
      </c>
      <c r="G31" s="18">
        <f>COUNTIFS(DATA_WITHOUT_GENUS!A:A,A31,DATA_WITHOUT_GENUS!I:I, "&gt;0")</f>
        <v>12</v>
      </c>
      <c r="H31">
        <f>COUNTIFS(DATA_WITHOUT_GENUS!A:A,A31,DATA_WITHOUT_GENUS!J:J,TRUE)</f>
        <v>3</v>
      </c>
      <c r="I31" s="18">
        <f>SUMIFS(DATA_WITHOUT_GENUS!I:I,DATA_WITHOUT_GENUS!A:A,A31,DATA_WITHOUT_GENUS!J:J,TRUE)</f>
        <v>47</v>
      </c>
      <c r="J31">
        <f>_xlfn.MAXIFS(DATA_WITHOUT_GENUS!I:I,DATA_WITHOUT_GENUS!A:A,A31)</f>
        <v>23</v>
      </c>
      <c r="K31" t="s">
        <v>2840</v>
      </c>
      <c r="L31" s="30">
        <f t="shared" si="113"/>
        <v>6</v>
      </c>
      <c r="M31">
        <f t="shared" si="114"/>
        <v>6</v>
      </c>
      <c r="N31" s="31">
        <f t="shared" si="115"/>
        <v>3</v>
      </c>
      <c r="O31" s="32">
        <f t="shared" si="116"/>
        <v>6</v>
      </c>
      <c r="P31">
        <f t="shared" si="117"/>
        <v>6</v>
      </c>
      <c r="Q31" s="100">
        <f t="shared" si="118"/>
        <v>27</v>
      </c>
      <c r="R31" s="15" t="str">
        <f t="shared" si="119"/>
        <v>Non-Impaired</v>
      </c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00"/>
      <c r="AF31" s="15"/>
      <c r="AG31">
        <f t="shared" si="120"/>
        <v>3</v>
      </c>
      <c r="AH31">
        <f>ROUND((((COUNTIFS(DATA_WITHOUT_GENUS!A:A,A31,DATA_WITHOUT_GENUS!N:N,FALSE))/G31)*100),1)</f>
        <v>41.7</v>
      </c>
      <c r="AI31" s="23">
        <f>SUMIFS(DATA_WITHOUT_GENUS!I:I,DATA_WITHOUT_GENUS!A:A,A31,DATA_WITHOUT_GENUS!O:O,TRUE)</f>
        <v>24</v>
      </c>
      <c r="AJ31">
        <f>COUNTIFS(DATA_WITHOUT_GENUS!A:A,A31,DATA_WITHOUT_GENUS!P:P,TRUE)</f>
        <v>1</v>
      </c>
      <c r="AK31">
        <f t="shared" si="121"/>
        <v>3.6767421179358948</v>
      </c>
      <c r="AL31">
        <f t="shared" si="122"/>
        <v>14.247510330281258</v>
      </c>
      <c r="AM31" s="98">
        <f t="shared" si="1"/>
        <v>38.18673788607375</v>
      </c>
      <c r="AN31" t="str">
        <f t="shared" si="123"/>
        <v>Fair</v>
      </c>
    </row>
    <row r="32" spans="1:40" s="58" customFormat="1">
      <c r="A32" t="str">
        <f t="shared" si="35"/>
        <v>BD3_2012-08-04</v>
      </c>
      <c r="B32" t="s">
        <v>49</v>
      </c>
      <c r="C32" s="36">
        <v>41125</v>
      </c>
      <c r="D32" s="102">
        <f>SUMIF(DATA_WITHOUT_GENUS!A:A,A32,DATA_WITHOUT_GENUS!E:E)</f>
        <v>83</v>
      </c>
      <c r="E32"/>
      <c r="F32" s="97"/>
      <c r="G32" s="18"/>
      <c r="H32"/>
      <c r="I32" s="18"/>
      <c r="J32"/>
      <c r="K32" s="18"/>
      <c r="L32" s="30"/>
      <c r="M32"/>
      <c r="N32" s="31"/>
      <c r="O32" s="32"/>
      <c r="P32"/>
      <c r="Q32" s="100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00"/>
      <c r="AF32" s="15"/>
      <c r="AG32"/>
      <c r="AH32"/>
      <c r="AI32" s="23"/>
      <c r="AJ32"/>
      <c r="AK32"/>
      <c r="AL32"/>
      <c r="AM32" s="98"/>
      <c r="AN32"/>
    </row>
    <row r="33" spans="1:40" s="58" customFormat="1">
      <c r="A33" t="str">
        <f t="shared" si="35"/>
        <v>BD3_2012-10-08</v>
      </c>
      <c r="B33" t="s">
        <v>49</v>
      </c>
      <c r="C33" s="36">
        <v>41190</v>
      </c>
      <c r="D33">
        <f>SUMIF(DATA_WITHOUT_GENUS!A:A,A33,DATA_WITHOUT_GENUS!E:E)</f>
        <v>141</v>
      </c>
      <c r="E33">
        <f>SUMIF(DATA_WITHOUT_GENUS!A:A,A33,DATA_WITHOUT_GENUS!I:I)</f>
        <v>100</v>
      </c>
      <c r="F33" s="97">
        <f>SUMIFS(DATA_WITHOUT_GENUS!M:M,DATA_WITHOUT_GENUS!A:A,A33)/100</f>
        <v>4.83</v>
      </c>
      <c r="G33" s="18">
        <f>COUNTIFS(DATA_WITHOUT_GENUS!A:A,A33,DATA_WITHOUT_GENUS!I:I, "&gt;0")</f>
        <v>11</v>
      </c>
      <c r="H33">
        <f>COUNTIFS(DATA_WITHOUT_GENUS!A:A,A33,DATA_WITHOUT_GENUS!J:J,TRUE)</f>
        <v>2</v>
      </c>
      <c r="I33" s="18">
        <f>SUMIFS(DATA_WITHOUT_GENUS!I:I,DATA_WITHOUT_GENUS!A:A,A33,DATA_WITHOUT_GENUS!J:J,TRUE)</f>
        <v>54</v>
      </c>
      <c r="J33">
        <f>_xlfn.MAXIFS(DATA_WITHOUT_GENUS!I:I,DATA_WITHOUT_GENUS!A:A,A33)</f>
        <v>31</v>
      </c>
      <c r="K33" s="18" t="str" cm="1">
        <f t="array" ref="K33">_xlfn._xlws.FILTER(DATA_WITHOUT_GENUS!D:D,(DATA_WITHOUT_GENUS!A:A=A33)*(DATA_WITHOUT_GENUS!I:I=J33)*ROW(DATA_WITHOUT_GENUS!D:D),0)</f>
        <v>Philopotamidae</v>
      </c>
      <c r="L33" s="30">
        <f t="shared" ref="L33:L34" si="124">IF(F33="","",IF(F33&gt;7,0,IF(F33&lt;5,6,IF(F33&lt;=7,3))))</f>
        <v>6</v>
      </c>
      <c r="M33">
        <f t="shared" ref="M33:M34" si="125">IF(G33="","",IF(G33&gt;10,6,IF(G33&lt;5,0,IF(G33&lt;=10,3))))</f>
        <v>6</v>
      </c>
      <c r="N33" s="31">
        <f t="shared" ref="N33:N34" si="126">IF(H33="","",IF(H33&gt;5,6,IF(H33&lt;3,0,IF(H33&lt;=5,3))))</f>
        <v>0</v>
      </c>
      <c r="O33" s="32">
        <f t="shared" ref="O33:O34" si="127">IF(I33="","",IF(I33&gt;35,6,IF(I33&lt;10,0,IF(I33&lt;=35,3,IF(I33&lt;10,0)))))</f>
        <v>6</v>
      </c>
      <c r="P33">
        <f t="shared" ref="P33:P34" si="128">IF(J33="","",IF(J33&gt;60,0,IF(J33&lt;40,6,IF(J33&lt;=60,3))))</f>
        <v>6</v>
      </c>
      <c r="Q33" s="100">
        <f t="shared" si="118"/>
        <v>24</v>
      </c>
      <c r="R33" s="15" t="str">
        <f t="shared" si="119"/>
        <v>Non-Impaired</v>
      </c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00"/>
      <c r="AF33" s="15"/>
      <c r="AG33">
        <f t="shared" ref="AG33:AG34" si="129">H33</f>
        <v>2</v>
      </c>
      <c r="AH33">
        <f>ROUND((((COUNTIFS(DATA_WITHOUT_GENUS!A:A,A33,DATA_WITHOUT_GENUS!N:N,FALSE))/G33)*100),1)</f>
        <v>45.5</v>
      </c>
      <c r="AI33" s="23">
        <f>SUMIFS(DATA_WITHOUT_GENUS!I:I,DATA_WITHOUT_GENUS!A:A,A33,DATA_WITHOUT_GENUS!O:O,TRUE)</f>
        <v>31</v>
      </c>
      <c r="AJ33">
        <f>COUNTIFS(DATA_WITHOUT_GENUS!A:A,A33,DATA_WITHOUT_GENUS!P:P,TRUE)</f>
        <v>2</v>
      </c>
      <c r="AK33">
        <f t="shared" ref="AK33:AK34" si="130">F33+4.19-(3.636+0.615*(LOG10(128.6359653)))</f>
        <v>4.0867421179358949</v>
      </c>
      <c r="AL33">
        <f t="shared" ref="AL33:AL34" si="131">(AI33/100)+35.15-(45.59-11.59*(LOG10(128.6359653)))</f>
        <v>14.317510330281259</v>
      </c>
      <c r="AM33" s="98">
        <f t="shared" si="1"/>
        <v>36.617950868779275</v>
      </c>
      <c r="AN33" t="str">
        <f t="shared" ref="AN33:AN34" si="132">IF(AM33&gt;=63, "Excellent", IF(AM33&lt;21, "Poor", IF(AM33&lt;42, "Fair","Good")))</f>
        <v>Fair</v>
      </c>
    </row>
    <row r="34" spans="1:40" s="58" customFormat="1">
      <c r="A34" t="str">
        <f t="shared" si="35"/>
        <v>BD3_2013-07-23</v>
      </c>
      <c r="B34" t="s">
        <v>49</v>
      </c>
      <c r="C34" s="36">
        <v>41478</v>
      </c>
      <c r="D34">
        <f>SUMIF(DATA_WITHOUT_GENUS!A:A,A34,DATA_WITHOUT_GENUS!E:E)</f>
        <v>153</v>
      </c>
      <c r="E34">
        <f>SUMIF(DATA_WITHOUT_GENUS!A:A,A34,DATA_WITHOUT_GENUS!I:I)</f>
        <v>100</v>
      </c>
      <c r="F34" s="97">
        <f>SUMIFS(DATA_WITHOUT_GENUS!M:M,DATA_WITHOUT_GENUS!A:A,A34)/100</f>
        <v>4.38</v>
      </c>
      <c r="G34" s="18">
        <f>COUNTIFS(DATA_WITHOUT_GENUS!A:A,A34,DATA_WITHOUT_GENUS!I:I, "&gt;0")</f>
        <v>11</v>
      </c>
      <c r="H34">
        <f>COUNTIFS(DATA_WITHOUT_GENUS!A:A,A34,DATA_WITHOUT_GENUS!J:J,TRUE)</f>
        <v>3</v>
      </c>
      <c r="I34" s="18">
        <f>SUMIFS(DATA_WITHOUT_GENUS!I:I,DATA_WITHOUT_GENUS!A:A,A34,DATA_WITHOUT_GENUS!J:J,TRUE)</f>
        <v>66</v>
      </c>
      <c r="J34">
        <f>_xlfn.MAXIFS(DATA_WITHOUT_GENUS!I:I,DATA_WITHOUT_GENUS!A:A,A34)</f>
        <v>35</v>
      </c>
      <c r="K34" s="18" t="str" cm="1">
        <f t="array" ref="K34">_xlfn._xlws.FILTER(DATA_WITHOUT_GENUS!D:D,(DATA_WITHOUT_GENUS!A:A=A34)*(DATA_WITHOUT_GENUS!I:I=J34)*ROW(DATA_WITHOUT_GENUS!D:D),0)</f>
        <v>Philopotamidae</v>
      </c>
      <c r="L34" s="30">
        <f t="shared" si="124"/>
        <v>6</v>
      </c>
      <c r="M34">
        <f t="shared" si="125"/>
        <v>6</v>
      </c>
      <c r="N34" s="31">
        <f t="shared" si="126"/>
        <v>3</v>
      </c>
      <c r="O34" s="32">
        <f t="shared" si="127"/>
        <v>6</v>
      </c>
      <c r="P34">
        <f t="shared" si="128"/>
        <v>6</v>
      </c>
      <c r="Q34" s="100">
        <f t="shared" si="118"/>
        <v>27</v>
      </c>
      <c r="R34" s="15" t="str">
        <f t="shared" si="119"/>
        <v>Non-Impaired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00"/>
      <c r="AF34" s="15"/>
      <c r="AG34">
        <f t="shared" si="129"/>
        <v>3</v>
      </c>
      <c r="AH34">
        <f>ROUND((((COUNTIFS(DATA_WITHOUT_GENUS!A:A,A34,DATA_WITHOUT_GENUS!N:N,FALSE))/G34)*100),1)</f>
        <v>45.5</v>
      </c>
      <c r="AI34" s="23">
        <f>SUMIFS(DATA_WITHOUT_GENUS!I:I,DATA_WITHOUT_GENUS!A:A,A34,DATA_WITHOUT_GENUS!O:O,TRUE)</f>
        <v>37</v>
      </c>
      <c r="AJ34">
        <f>COUNTIFS(DATA_WITHOUT_GENUS!A:A,A34,DATA_WITHOUT_GENUS!P:P,TRUE)</f>
        <v>2</v>
      </c>
      <c r="AK34">
        <f t="shared" si="130"/>
        <v>3.6367421179358956</v>
      </c>
      <c r="AL34">
        <f t="shared" si="131"/>
        <v>14.377510330281254</v>
      </c>
      <c r="AM34" s="98">
        <f t="shared" si="1"/>
        <v>40.552527983207128</v>
      </c>
      <c r="AN34" t="str">
        <f t="shared" si="132"/>
        <v>Fair</v>
      </c>
    </row>
    <row r="35" spans="1:40" ht="14" customHeight="1">
      <c r="A35" t="str">
        <f t="shared" si="35"/>
        <v>BD3_2014-03-22</v>
      </c>
      <c r="B35" t="s">
        <v>49</v>
      </c>
      <c r="C35" s="36">
        <v>41720</v>
      </c>
      <c r="D35">
        <f>SUMIF(DATA_WITH_GENUS_OLD!A:A,A35,DATA_WITH_GENUS_OLD!F:F)</f>
        <v>250</v>
      </c>
      <c r="E35">
        <f>SUMIF(DATA_WITH_GENUS_OLD!A:A,A35,DATA_WITH_GENUS_OLD!J:J)</f>
        <v>100</v>
      </c>
      <c r="F35" s="98">
        <f>SUMIFS(DATA_WITH_GENUS_OLD!T:T,DATA_WITH_GENUS_OLD!A:A,A35)/100</f>
        <v>5.56</v>
      </c>
      <c r="G35" cm="1">
        <f t="array" ref="G35">COUNTA(_xlfn.UNIQUE(_xlfn._xlws.FILTER(DATA_WITH_GENUS_OLD!A:A&amp;DATA_WITH_GENUS_OLD!D:D,(DATA_WITH_GENUS_OLD!A:A = A35)*(DATA_WITH_GENUS_OLD!J:J&gt;0))))</f>
        <v>11</v>
      </c>
      <c r="H35">
        <f>COUNTIFS(DATA_WITH_GENUS_OLD!A:A,A35,DATA_WITH_GENUS_OLD!K:K,"~*")</f>
        <v>2</v>
      </c>
      <c r="I35">
        <f>COUNTIFS(DATA_WITH_GENUS_OLD!A:A,A35,DATA_WITH_GENUS_OLD!K:K,"~*")</f>
        <v>2</v>
      </c>
      <c r="J35">
        <f>_xlfn.MAXIFS(DATA_WITH_GENUS_OLD!J:J,DATA_WITH_GENUS_OLD!A:A,A35)</f>
        <v>23</v>
      </c>
      <c r="K35" s="18" t="str" cm="1">
        <f t="array" ref="K35">_xlfn._xlws.FILTER(DATA_WITH_GENUS_OLD!E:E,(DATA_WITH_GENUS_OLD!A:A=A35)*(DATA_WITH_GENUS_OLD!J:J=J35)*ROW(DATA_WITH_GENUS_OLD!E:E),0)</f>
        <v>Hydrophilidae</v>
      </c>
      <c r="L35" s="11">
        <f>IF(F35="","",IF(F35&gt;7,0,IF(F35&lt;5,6,IF(F35&lt;=7,3))))</f>
        <v>3</v>
      </c>
      <c r="M35">
        <f>IF(G35="","",IF(G35&gt;10,6,IF(G35&lt;5,0,IF(G35&lt;=10,3))))</f>
        <v>6</v>
      </c>
      <c r="N35" s="13">
        <f>IF(H35="","",IF(H35&gt;5,6,IF(H35&lt;3,0,IF(H35&lt;=5,3))))</f>
        <v>0</v>
      </c>
      <c r="O35" s="14">
        <f>IF(I35="","",IF(I35&gt;35,6,IF(I35&lt;1,0,IF(I35&lt;=35,3,IF(I35&lt;1,0)))))</f>
        <v>3</v>
      </c>
      <c r="P35">
        <f>IF(J35="","",IF(J35&gt;60,0,IF(J35&lt;40,6,IF(J35&lt;=60,3))))</f>
        <v>6</v>
      </c>
      <c r="Q35" s="100">
        <f>SUM(L35:P35)</f>
        <v>18</v>
      </c>
      <c r="R35" s="15" t="str">
        <f>IF(Q35&gt;=24, "Non-Impaired", IF(Q35&lt;=6, "Severally Impaired", IF(Q35&gt;=9, "Moderately Impaired","")))</f>
        <v>Moderately Impaired</v>
      </c>
      <c r="S35" s="15">
        <f>COUNTIFS(DATA_WITH_GENUS_OLD!A:A,A35,DATA_WITH_GENUS_OLD!J:J, "&gt;0")</f>
        <v>11</v>
      </c>
      <c r="T35" s="20">
        <f>ROUND((((COUNTIFS(DATA_WITH_GENUS_OLD!A:A,A35,DATA_WITH_GENUS_OLD!O:O,FALSE))/G35)*100),1)</f>
        <v>45.5</v>
      </c>
      <c r="U35" s="23">
        <f>SUMIFS(DATA_WITH_GENUS_OLD!J:J,DATA_WITH_GENUS_OLD!A:A,A35,DATA_WITH_GENUS_OLD!P:P,TRUE)</f>
        <v>1</v>
      </c>
      <c r="V35">
        <f>SUMIFS(DATA_WITH_GENUS_OLD!U:U,DATA_WITH_GENUS_OLD!A:A,A35)/100</f>
        <v>5.28</v>
      </c>
      <c r="W35" s="18">
        <f>COUNTIFS(DATA_WITH_GENUS_OLD!A:A,A35,DATA_WITH_GENUS_OLD!R:R,TRUE)</f>
        <v>3</v>
      </c>
      <c r="X35" s="18">
        <f>COUNTIFS(DATA_WITH_GENUS_OLD!A:A,A35,DATA_WITH_GENUS_OLD!S:S,2)</f>
        <v>0</v>
      </c>
      <c r="Y35">
        <f>COUNTIFS(DATA_WITH_GENUS_OLD!A:A,A35,DATA_WITH_GENUS_OLD!S:S,3)</f>
        <v>1</v>
      </c>
      <c r="Z35">
        <f>S35+26.53-(22.776+4.173*(LOG10(30.35701107)))</f>
        <v>8.5685331554490212</v>
      </c>
      <c r="AA35">
        <f>T35</f>
        <v>45.5</v>
      </c>
      <c r="AB35">
        <f>(U35)+37.49-(49.22-13.8*(LOG10(30.35701107)))</f>
        <v>9.7251743241800952</v>
      </c>
      <c r="AC35">
        <f>V35 + 4.23-(3.407+0.981*(LOG10(30.35701107)))</f>
        <v>4.6489039121724165</v>
      </c>
      <c r="AD35">
        <f>V35 + 5.44-(3.889+0.981*(LOG10(30.35701107)))</f>
        <v>5.3769039121724163</v>
      </c>
      <c r="AE35" s="98">
        <f>((100*Z35/31)+(100*(60-T35)/55)+(100*AB35/69)+(100*(7.2-AC35)/4.6)+(100*AD35/11)+(100*X35/8)+(100*Y35/8))/7</f>
        <v>26.419725242956179</v>
      </c>
      <c r="AF35" t="str">
        <f>IF(AE35&gt;=63, "Excellent", IF(AE35&lt;21, "Poor", IF(AE35&lt;42, "Fair","Good")))</f>
        <v>Fair</v>
      </c>
      <c r="AI35" s="23"/>
    </row>
    <row r="36" spans="1:40">
      <c r="A36" t="str">
        <f>B36&amp;"_"&amp;TEXT(C36,"yyyy-mm-dd")</f>
        <v>BD3_2014-07-22</v>
      </c>
      <c r="B36" t="s">
        <v>49</v>
      </c>
      <c r="C36" s="36">
        <v>41842</v>
      </c>
      <c r="D36">
        <f>SUMIF(DATA_WITH_GENUS_OLD!A:A,A36,DATA_WITH_GENUS_OLD!F:F)</f>
        <v>106</v>
      </c>
      <c r="E36">
        <f>SUMIF(DATA_WITH_GENUS_OLD!A:A,A36,DATA_WITH_GENUS_OLD!J:J)</f>
        <v>100</v>
      </c>
      <c r="F36" s="98">
        <f>SUMIFS(DATA_WITH_GENUS_OLD!T:T,DATA_WITH_GENUS_OLD!A:A,A36)/100</f>
        <v>4.5999999999999996</v>
      </c>
      <c r="G36" cm="1">
        <f t="array" ref="G36">COUNTA(_xlfn.UNIQUE(_xlfn._xlws.FILTER(DATA_WITH_GENUS_OLD!A:A&amp;DATA_WITH_GENUS_OLD!D:D,(DATA_WITH_GENUS_OLD!A:A = A36)*(DATA_WITH_GENUS_OLD!J:J&gt;0))))</f>
        <v>11</v>
      </c>
      <c r="H36">
        <f>COUNTIFS(DATA_WITH_GENUS_OLD!A:A,A36,DATA_WITH_GENUS_OLD!K:K,"~*")</f>
        <v>3</v>
      </c>
      <c r="I36">
        <f>COUNTIFS(DATA_WITH_GENUS_OLD!A:A,A36,DATA_WITH_GENUS_OLD!K:K,"~*")</f>
        <v>3</v>
      </c>
      <c r="J36">
        <f>_xlfn.MAXIFS(DATA_WITH_GENUS_OLD!J:J,DATA_WITH_GENUS_OLD!A:A,A36)</f>
        <v>42</v>
      </c>
      <c r="K36" s="18" t="str" cm="1">
        <f t="array" ref="K36">_xlfn._xlws.FILTER(DATA_WITH_GENUS_OLD!E:E,(DATA_WITH_GENUS_OLD!A:A=A36)*(DATA_WITH_GENUS_OLD!J:J=J36)*ROW(DATA_WITH_GENUS_OLD!E:E),0)</f>
        <v>Elmidae</v>
      </c>
      <c r="L36" s="11">
        <f>IF(F36="","",IF(F36&gt;7,0,IF(F36&lt;5,6,IF(F36&lt;=7,3))))</f>
        <v>6</v>
      </c>
      <c r="M36">
        <f>IF(G36="","",IF(G36&gt;10,6,IF(G36&lt;5,0,IF(G36&lt;=10,3))))</f>
        <v>6</v>
      </c>
      <c r="N36" s="13">
        <f>IF(H36="","",IF(H36&gt;5,6,IF(H36&lt;3,0,IF(H36&lt;=5,3))))</f>
        <v>3</v>
      </c>
      <c r="O36" s="14">
        <f>IF(I36="","",IF(I36&gt;35,6,IF(I36&lt;1,0,IF(I36&lt;=35,3,IF(I36&lt;1,0)))))</f>
        <v>3</v>
      </c>
      <c r="P36">
        <f>IF(J36="","",IF(J36&gt;60,0,IF(J36&lt;40,6,IF(J36&lt;=60,3))))</f>
        <v>3</v>
      </c>
      <c r="Q36" s="100">
        <f>SUM(L36:P36)</f>
        <v>21</v>
      </c>
      <c r="R36" s="15" t="str">
        <f t="shared" ref="R36:R38" si="133">IF(Q36&gt;=24, "Non-Impaired", IF(Q36&lt;=6, "Severally Impaired", IF(Q36&gt;=9, "Moderately Impaired","")))</f>
        <v>Moderately Impaired</v>
      </c>
      <c r="S36" s="15">
        <f>COUNTIFS(DATA_WITH_GENUS_OLD!A:A,A36,DATA_WITH_GENUS_OLD!J:J, "&gt;0")</f>
        <v>11</v>
      </c>
      <c r="T36" s="20">
        <f>ROUND((((COUNTIFS(DATA_WITH_GENUS_OLD!A:A,A36,DATA_WITH_GENUS_OLD!O:O,FALSE))/G36)*100),1)</f>
        <v>36.4</v>
      </c>
      <c r="U36" s="23">
        <f>SUMIFS(DATA_WITH_GENUS_OLD!J:J,DATA_WITH_GENUS_OLD!A:A,A36,DATA_WITH_GENUS_OLD!P:P,TRUE)</f>
        <v>7</v>
      </c>
      <c r="V36">
        <f>SUMIFS(DATA_WITH_GENUS_OLD!U:U,DATA_WITH_GENUS_OLD!A:A,A36)/100</f>
        <v>4.5999999999999996</v>
      </c>
      <c r="W36" s="18">
        <f>COUNTIFS(DATA_WITH_GENUS_OLD!A:A,A36,DATA_WITH_GENUS_OLD!R:R,TRUE)</f>
        <v>4</v>
      </c>
      <c r="X36" s="18">
        <f>COUNTIFS(DATA_WITH_GENUS_OLD!A:A,A36,DATA_WITH_GENUS_OLD!S:S,2)</f>
        <v>0</v>
      </c>
      <c r="Y36">
        <f>COUNTIFS(DATA_WITH_GENUS_OLD!A:A,A36,DATA_WITH_GENUS_OLD!S:S,3)</f>
        <v>1</v>
      </c>
      <c r="Z36">
        <f>S36+26.53-(22.776+4.173*(LOG10(30.35701107)))</f>
        <v>8.5685331554490212</v>
      </c>
      <c r="AA36">
        <f t="shared" ref="AA36:AA38" si="134">T36</f>
        <v>36.4</v>
      </c>
      <c r="AB36">
        <f t="shared" ref="AB36:AB38" si="135">(U36)+37.49-(49.22-13.8*(LOG10(30.35701107)))</f>
        <v>15.725174324180095</v>
      </c>
      <c r="AC36">
        <f>V36 + 4.23-(3.407+0.981*(LOG10(30.35701107)))</f>
        <v>3.968903912172415</v>
      </c>
      <c r="AD36">
        <f>V36 + 5.44-(3.889+0.981*(LOG10(30.35701107)))</f>
        <v>4.6969039121724148</v>
      </c>
      <c r="AE36" s="98">
        <f>((100*Z36/31)+(100*(60-T36)/55)+(100*AB36/69)+(100*(7.2-AC36)/4.6)+(100*AD36/11)+(100*X36/8)+(100*Y36/8))/7</f>
        <v>31.2542819905564</v>
      </c>
      <c r="AF36" t="str">
        <f>IF(AE36&gt;=63, "Excellent", IF(AE36&lt;21, "Poor", IF(AE36&lt;42, "Fair","Good")))</f>
        <v>Fair</v>
      </c>
      <c r="AI36" s="23"/>
    </row>
    <row r="37" spans="1:40">
      <c r="A37" t="str">
        <f>B37&amp;"_"&amp;TEXT(C37,"yyyy-mm-dd")</f>
        <v>BD3_2014-10-21</v>
      </c>
      <c r="B37" t="s">
        <v>49</v>
      </c>
      <c r="C37" s="3">
        <v>41933</v>
      </c>
      <c r="D37">
        <f>SUMIF(DATA_WITH_GENUS_OLD!A:A,A37,DATA_WITH_GENUS_OLD!F:F)</f>
        <v>132</v>
      </c>
      <c r="E37">
        <f>SUMIF(DATA_WITH_GENUS_OLD!A:A,A37,DATA_WITH_GENUS_OLD!J:J)</f>
        <v>100</v>
      </c>
      <c r="F37" s="98">
        <f>SUMIFS(DATA_WITH_GENUS_OLD!T:T,DATA_WITH_GENUS_OLD!A:A,A37)/100</f>
        <v>4.78</v>
      </c>
      <c r="G37" cm="1">
        <f t="array" ref="G37">COUNTA(_xlfn.UNIQUE(_xlfn._xlws.FILTER(DATA_WITH_GENUS_OLD!A:A&amp;DATA_WITH_GENUS_OLD!D:D,(DATA_WITH_GENUS_OLD!A:A = A37)*(DATA_WITH_GENUS_OLD!J:J&gt;0))))</f>
        <v>11</v>
      </c>
      <c r="H37">
        <f>COUNTIFS(DATA_WITH_GENUS_OLD!A:A,A37,DATA_WITH_GENUS_OLD!K:K,"~*")</f>
        <v>3</v>
      </c>
      <c r="I37">
        <f>COUNTIFS(DATA_WITH_GENUS_OLD!A:A,A37,DATA_WITH_GENUS_OLD!K:K,"~*")</f>
        <v>3</v>
      </c>
      <c r="J37">
        <f>_xlfn.MAXIFS(DATA_WITH_GENUS_OLD!J:J,DATA_WITH_GENUS_OLD!A:A,A37)</f>
        <v>23</v>
      </c>
      <c r="K37" s="18" t="str" cm="1">
        <f t="array" ref="K37">_xlfn._xlws.FILTER(DATA_WITH_GENUS_OLD!E:E,(DATA_WITH_GENUS_OLD!A:A=A37)*(DATA_WITH_GENUS_OLD!J:J=J37)*ROW(DATA_WITH_GENUS_OLD!E:E),0)</f>
        <v>Elmidae</v>
      </c>
      <c r="L37" s="11">
        <f t="shared" ref="L37:L38" si="136">IF(F37="","",IF(F37&gt;7,0,IF(F37&lt;5,6,IF(F37&lt;=7,3))))</f>
        <v>6</v>
      </c>
      <c r="M37">
        <f t="shared" ref="M37:M38" si="137">IF(G37="","",IF(G37&gt;10,6,IF(G37&lt;5,0,IF(G37&lt;=10,3))))</f>
        <v>6</v>
      </c>
      <c r="N37" s="13">
        <f t="shared" ref="N37:N38" si="138">IF(H37="","",IF(H37&gt;5,6,IF(H37&lt;3,0,IF(H37&lt;=5,3))))</f>
        <v>3</v>
      </c>
      <c r="O37" s="14">
        <f t="shared" ref="O37:O38" si="139">IF(I37="","",IF(I37&gt;35,6,IF(I37&lt;1,0,IF(I37&lt;=35,3,IF(I37&lt;1,0)))))</f>
        <v>3</v>
      </c>
      <c r="P37">
        <f t="shared" ref="P37:P38" si="140">IF(J37="","",IF(J37&gt;60,0,IF(J37&lt;40,6,IF(J37&lt;=60,3))))</f>
        <v>6</v>
      </c>
      <c r="Q37" s="100">
        <f t="shared" ref="Q37:Q38" si="141">SUM(L37:P37)</f>
        <v>24</v>
      </c>
      <c r="R37" s="15" t="str">
        <f t="shared" si="133"/>
        <v>Non-Impaired</v>
      </c>
      <c r="S37" s="15">
        <f>COUNTIFS(DATA_WITH_GENUS_OLD!A:A,A37,DATA_WITH_GENUS_OLD!J:J, "&gt;0")</f>
        <v>11</v>
      </c>
      <c r="T37" s="20">
        <f>ROUND((((COUNTIFS(DATA_WITH_GENUS_OLD!A:A,A37,DATA_WITH_GENUS_OLD!O:O,FALSE))/G37)*100),1)</f>
        <v>45.5</v>
      </c>
      <c r="U37" s="23">
        <f>SUMIFS(DATA_WITH_GENUS_OLD!J:J,DATA_WITH_GENUS_OLD!A:A,A37,DATA_WITH_GENUS_OLD!P:P,TRUE)</f>
        <v>23</v>
      </c>
      <c r="V37">
        <f>SUMIFS(DATA_WITH_GENUS_OLD!U:U,DATA_WITH_GENUS_OLD!A:A,A37)/100</f>
        <v>4.78</v>
      </c>
      <c r="W37" s="18">
        <f>COUNTIFS(DATA_WITH_GENUS_OLD!A:A,A37,DATA_WITH_GENUS_OLD!R:R,TRUE)</f>
        <v>2</v>
      </c>
      <c r="X37" s="18">
        <f>COUNTIFS(DATA_WITH_GENUS_OLD!A:A,A37,DATA_WITH_GENUS_OLD!S:S,2)</f>
        <v>0</v>
      </c>
      <c r="Y37">
        <f>COUNTIFS(DATA_WITH_GENUS_OLD!A:A,A37,DATA_WITH_GENUS_OLD!S:S,3)</f>
        <v>0</v>
      </c>
      <c r="Z37">
        <f t="shared" ref="Z37:Z38" si="142">S37+26.53-(22.776+4.173*(LOG10(30.35701107)))</f>
        <v>8.5685331554490212</v>
      </c>
      <c r="AA37">
        <f t="shared" si="134"/>
        <v>45.5</v>
      </c>
      <c r="AB37">
        <f t="shared" si="135"/>
        <v>31.725174324180095</v>
      </c>
      <c r="AC37">
        <f t="shared" ref="AC37:AC38" si="143">V37 + 4.23-(3.407+0.981*(LOG10(30.35701107)))</f>
        <v>4.1489039121724165</v>
      </c>
      <c r="AD37">
        <f t="shared" ref="AD37:AD38" si="144">V37 + 5.44-(3.889+0.981*(LOG10(30.35701107)))</f>
        <v>4.8769039121724163</v>
      </c>
      <c r="AE37" s="98">
        <f t="shared" ref="AE37:AE38" si="145">((100*Z37/31)+(100*(60-T37)/55)+(100*AB37/69)+(100*(7.2-AC37)/4.6)+(100*AD37/11)+(100*X37/8)+(100*Y37/8))/7</f>
        <v>30.092320763377781</v>
      </c>
      <c r="AF37" t="str">
        <f t="shared" ref="AF37:AF38" si="146">IF(AE37&gt;=63, "Excellent", IF(AE37&lt;21, "Poor", IF(AE37&lt;42, "Fair","Good")))</f>
        <v>Fair</v>
      </c>
      <c r="AI37" s="23"/>
    </row>
    <row r="38" spans="1:40">
      <c r="A38" t="str">
        <f>B38&amp;"_"&amp;TEXT(C38,"yyyy-mm-dd")</f>
        <v>BD3_2015-03-25</v>
      </c>
      <c r="B38" t="s">
        <v>49</v>
      </c>
      <c r="C38" s="3">
        <v>42088</v>
      </c>
      <c r="D38">
        <f>SUMIF(DATA_WITH_GENUS_OLD!A:A,A38,DATA_WITH_GENUS_OLD!F:F)</f>
        <v>105</v>
      </c>
      <c r="E38">
        <f>SUMIF(DATA_WITH_GENUS_OLD!A:A,A38,DATA_WITH_GENUS_OLD!J:J)</f>
        <v>100</v>
      </c>
      <c r="F38" s="98">
        <f>SUMIFS(DATA_WITH_GENUS_OLD!T:T,DATA_WITH_GENUS_OLD!A:A,A38)/100</f>
        <v>4.8499999999999996</v>
      </c>
      <c r="G38" cm="1">
        <f t="array" ref="G38">COUNTA(_xlfn.UNIQUE(_xlfn._xlws.FILTER(DATA_WITH_GENUS_OLD!A:A&amp;DATA_WITH_GENUS_OLD!D:D,(DATA_WITH_GENUS_OLD!A:A = A38)*(DATA_WITH_GENUS_OLD!J:J&gt;0))))</f>
        <v>10</v>
      </c>
      <c r="H38">
        <f>COUNTIFS(DATA_WITH_GENUS_OLD!A:A,A38,DATA_WITH_GENUS_OLD!K:K,"~*")</f>
        <v>2</v>
      </c>
      <c r="I38">
        <f>COUNTIFS(DATA_WITH_GENUS_OLD!A:A,A38,DATA_WITH_GENUS_OLD!K:K,"~*")</f>
        <v>2</v>
      </c>
      <c r="J38">
        <f>_xlfn.MAXIFS(DATA_WITH_GENUS_OLD!J:J,DATA_WITH_GENUS_OLD!A:A,A38)</f>
        <v>27</v>
      </c>
      <c r="K38" s="18" t="str" cm="1">
        <f t="array" ref="K38">_xlfn._xlws.FILTER(DATA_WITH_GENUS_OLD!E:E,(DATA_WITH_GENUS_OLD!A:A=A38)*(DATA_WITH_GENUS_OLD!J:J=J38)*ROW(DATA_WITH_GENUS_OLD!E:E),0)</f>
        <v>Simuliidae</v>
      </c>
      <c r="L38" s="11">
        <f t="shared" si="136"/>
        <v>6</v>
      </c>
      <c r="M38">
        <f t="shared" si="137"/>
        <v>3</v>
      </c>
      <c r="N38" s="13">
        <f t="shared" si="138"/>
        <v>0</v>
      </c>
      <c r="O38" s="14">
        <f t="shared" si="139"/>
        <v>3</v>
      </c>
      <c r="P38">
        <f t="shared" si="140"/>
        <v>6</v>
      </c>
      <c r="Q38" s="100">
        <f t="shared" si="141"/>
        <v>18</v>
      </c>
      <c r="R38" s="15" t="str">
        <f t="shared" si="133"/>
        <v>Moderately Impaired</v>
      </c>
      <c r="S38" s="15">
        <f>COUNTIFS(DATA_WITH_GENUS_OLD!A:A,A38,DATA_WITH_GENUS_OLD!J:J, "&gt;0")</f>
        <v>10</v>
      </c>
      <c r="T38" s="20">
        <f>ROUND((((COUNTIFS(DATA_WITH_GENUS_OLD!A:A,A38,DATA_WITH_GENUS_OLD!O:O,FALSE))/G38)*100),1)</f>
        <v>40</v>
      </c>
      <c r="U38" s="23">
        <f>SUMIFS(DATA_WITH_GENUS_OLD!J:J,DATA_WITH_GENUS_OLD!A:A,A38,DATA_WITH_GENUS_OLD!P:P,TRUE)</f>
        <v>13</v>
      </c>
      <c r="V38">
        <f>SUMIFS(DATA_WITH_GENUS_OLD!U:U,DATA_WITH_GENUS_OLD!A:A,A38)/100</f>
        <v>4.8499999999999996</v>
      </c>
      <c r="W38" s="18">
        <f>COUNTIFS(DATA_WITH_GENUS_OLD!A:A,A38,DATA_WITH_GENUS_OLD!R:R,TRUE)</f>
        <v>3</v>
      </c>
      <c r="X38" s="18">
        <f>COUNTIFS(DATA_WITH_GENUS_OLD!A:A,A38,DATA_WITH_GENUS_OLD!S:S,2)</f>
        <v>0</v>
      </c>
      <c r="Y38">
        <f>COUNTIFS(DATA_WITH_GENUS_OLD!A:A,A38,DATA_WITH_GENUS_OLD!S:S,3)</f>
        <v>1</v>
      </c>
      <c r="Z38">
        <f t="shared" si="142"/>
        <v>7.5685331554490212</v>
      </c>
      <c r="AA38">
        <f t="shared" si="134"/>
        <v>40</v>
      </c>
      <c r="AB38">
        <f t="shared" si="135"/>
        <v>21.725174324180095</v>
      </c>
      <c r="AC38">
        <f t="shared" si="143"/>
        <v>4.218903912172415</v>
      </c>
      <c r="AD38">
        <f t="shared" si="144"/>
        <v>4.9469039121724148</v>
      </c>
      <c r="AE38" s="98">
        <f t="shared" si="145"/>
        <v>30.648901396396006</v>
      </c>
      <c r="AF38" t="str">
        <f t="shared" si="146"/>
        <v>Fair</v>
      </c>
      <c r="AI38" s="23"/>
    </row>
    <row r="39" spans="1:40">
      <c r="U39" s="22"/>
      <c r="Z39" s="46"/>
      <c r="AA39" s="35"/>
      <c r="AB39" s="35"/>
    </row>
    <row r="40" spans="1:40">
      <c r="Z40" s="37"/>
    </row>
    <row r="41" spans="1:40">
      <c r="Z41" s="46"/>
    </row>
    <row r="42" spans="1:40">
      <c r="Z42" s="24"/>
      <c r="AD42" s="24"/>
    </row>
    <row r="46" spans="1:40">
      <c r="G46" t="str" cm="1">
        <f t="array" ref="G46:G55">_xlfn.UNIQUE(_xlfn._xlws.FILTER(DATA_WITH_GENUS_OLD!A:A&amp;DATA_WITH_GENUS_OLD!D:D&amp;DATA_WITH_GENUS_OLD!J:J,(DATA_WITH_GENUS_OLD!A:A = A38)*(DATA_WITH_GENUS_OLD!J:J&gt;0)))</f>
        <v>BD3_2015-03-25Gammaridae6</v>
      </c>
    </row>
    <row r="47" spans="1:40">
      <c r="G47" t="str">
        <v>BD3_2015-03-25Glossiphoniidae7</v>
      </c>
    </row>
    <row r="48" spans="1:40">
      <c r="G48" t="str">
        <v>BD3_2015-03-25Gomphidae4</v>
      </c>
    </row>
    <row r="49" spans="7:7">
      <c r="G49" t="str">
        <v>BD3_2015-03-25Helicopsychidae13</v>
      </c>
    </row>
    <row r="50" spans="7:7">
      <c r="G50" t="str">
        <v>BD3_2015-03-25Hydropsychidae13</v>
      </c>
    </row>
    <row r="51" spans="7:7">
      <c r="G51" t="str">
        <v>BD3_2015-03-25Psephenidae21</v>
      </c>
    </row>
    <row r="52" spans="7:7">
      <c r="G52" t="str">
        <v>BD3_2015-03-25Chironomidae3</v>
      </c>
    </row>
    <row r="53" spans="7:7">
      <c r="G53" t="str">
        <v>BD3_2015-03-25Simuliidae27</v>
      </c>
    </row>
    <row r="54" spans="7:7">
      <c r="G54" t="str">
        <v>BD3_2015-03-25Sphaeriidae5</v>
      </c>
    </row>
    <row r="55" spans="7:7">
      <c r="G55" t="str">
        <v>BD3_2015-03-25Ancylidae1</v>
      </c>
    </row>
    <row r="58" spans="7:7">
      <c r="G58" cm="1">
        <f t="array" ref="G58">MAX(_xlfn.UNIQUE(_xlfn._xlws.FILTER(DATA_WITH_GENUS_OLD!A:A&amp;DATA_WITH_GENUS_OLD!D:D&amp;DATA_WITH_GENUS_OLD!J:J,(DATA_WITH_GENUS_OLD!A:A = A38)*(DATA_WITH_GENUS_OLD!J:J&gt;0))))</f>
        <v>0</v>
      </c>
    </row>
  </sheetData>
  <phoneticPr fontId="2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34A4B-3B42-4DB3-B80C-40B333C842E5}">
  <sheetPr>
    <tabColor rgb="FFFF0000"/>
  </sheetPr>
  <dimension ref="A1:AM59"/>
  <sheetViews>
    <sheetView topLeftCell="A17" zoomScale="75" zoomScaleNormal="80" workbookViewId="0">
      <selection activeCell="S47" sqref="S47"/>
    </sheetView>
  </sheetViews>
  <sheetFormatPr baseColWidth="10" defaultColWidth="8.83203125" defaultRowHeight="15"/>
  <cols>
    <col min="1" max="1" width="16.6640625" customWidth="1"/>
    <col min="3" max="5" width="13.33203125" customWidth="1"/>
    <col min="6" max="6" width="8.83203125" style="98"/>
    <col min="7" max="7" width="9.33203125" customWidth="1"/>
    <col min="8" max="8" width="11.33203125" customWidth="1"/>
    <col min="9" max="9" width="12.6640625" customWidth="1"/>
    <col min="10" max="10" width="13.5" customWidth="1"/>
    <col min="11" max="11" width="19.5" customWidth="1"/>
    <col min="13" max="13" width="10.83203125" customWidth="1"/>
    <col min="15" max="15" width="11.83203125" customWidth="1"/>
    <col min="16" max="16" width="12.33203125" customWidth="1"/>
    <col min="17" max="17" width="10.1640625" style="98" customWidth="1"/>
    <col min="18" max="18" width="18" customWidth="1"/>
    <col min="19" max="19" width="14.6640625" customWidth="1"/>
    <col min="20" max="20" width="16" customWidth="1"/>
    <col min="21" max="21" width="14.33203125" customWidth="1"/>
    <col min="22" max="22" width="9.6640625" customWidth="1"/>
    <col min="23" max="23" width="10.33203125" customWidth="1"/>
    <col min="24" max="24" width="10.5" customWidth="1"/>
    <col min="25" max="25" width="11" customWidth="1"/>
    <col min="26" max="26" width="16" customWidth="1"/>
    <col min="27" max="27" width="15.83203125" customWidth="1"/>
    <col min="28" max="28" width="11.33203125" customWidth="1"/>
    <col min="29" max="29" width="12.5" customWidth="1"/>
    <col min="30" max="30" width="13.1640625" style="98" customWidth="1"/>
    <col min="31" max="31" width="13.1640625" customWidth="1"/>
    <col min="32" max="32" width="9.5" customWidth="1"/>
    <col min="33" max="33" width="9.33203125" bestFit="1" customWidth="1"/>
    <col min="34" max="34" width="13.5" customWidth="1"/>
    <col min="35" max="35" width="12.1640625" customWidth="1"/>
    <col min="36" max="36" width="11.6640625" customWidth="1"/>
    <col min="37" max="37" width="14.1640625" customWidth="1"/>
    <col min="38" max="38" width="14.33203125" style="98" customWidth="1"/>
    <col min="39" max="39" width="13.5" customWidth="1"/>
  </cols>
  <sheetData>
    <row r="1" spans="1:39" s="58" customFormat="1" ht="48">
      <c r="A1" s="48" t="s">
        <v>0</v>
      </c>
      <c r="B1" s="49" t="s">
        <v>1</v>
      </c>
      <c r="C1" s="49" t="s">
        <v>2</v>
      </c>
      <c r="D1" s="48" t="s">
        <v>3</v>
      </c>
      <c r="E1" s="48" t="s">
        <v>4</v>
      </c>
      <c r="F1" s="96" t="s">
        <v>5</v>
      </c>
      <c r="G1" s="50" t="s">
        <v>2966</v>
      </c>
      <c r="H1" s="51" t="s">
        <v>7</v>
      </c>
      <c r="I1" s="50" t="s">
        <v>8</v>
      </c>
      <c r="J1" s="52" t="s">
        <v>9</v>
      </c>
      <c r="K1" s="53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99" t="s">
        <v>16</v>
      </c>
      <c r="R1" s="17" t="s">
        <v>17</v>
      </c>
      <c r="S1" s="40" t="s">
        <v>31</v>
      </c>
      <c r="T1" s="53" t="s">
        <v>32</v>
      </c>
      <c r="U1" s="53" t="s">
        <v>33</v>
      </c>
      <c r="V1" s="52" t="s">
        <v>21</v>
      </c>
      <c r="W1" s="51" t="s">
        <v>34</v>
      </c>
      <c r="X1" s="51" t="s">
        <v>35</v>
      </c>
      <c r="Y1" s="51" t="s">
        <v>36</v>
      </c>
      <c r="Z1" s="54" t="s">
        <v>37</v>
      </c>
      <c r="AA1" s="55" t="s">
        <v>39</v>
      </c>
      <c r="AB1" s="56" t="s">
        <v>40</v>
      </c>
      <c r="AC1" s="55" t="s">
        <v>2637</v>
      </c>
      <c r="AD1" s="101" t="s">
        <v>41</v>
      </c>
      <c r="AE1" s="54" t="s">
        <v>2995</v>
      </c>
      <c r="AF1" s="51" t="s">
        <v>43</v>
      </c>
      <c r="AG1" s="51" t="s">
        <v>44</v>
      </c>
      <c r="AH1" s="51" t="s">
        <v>33</v>
      </c>
      <c r="AI1" s="51" t="s">
        <v>45</v>
      </c>
      <c r="AJ1" s="57" t="s">
        <v>46</v>
      </c>
      <c r="AK1" s="54" t="s">
        <v>47</v>
      </c>
      <c r="AL1" s="101" t="s">
        <v>48</v>
      </c>
      <c r="AM1" s="107" t="s">
        <v>2995</v>
      </c>
    </row>
    <row r="2" spans="1:39" s="58" customFormat="1">
      <c r="A2" t="str">
        <f t="shared" ref="A2:A25" si="0">B2&amp;"_"&amp;TEXT(C2,"yyyy-mm-dd")</f>
        <v>BD4_1996-09-11</v>
      </c>
      <c r="B2" s="73" t="s">
        <v>50</v>
      </c>
      <c r="C2" s="87">
        <v>35319</v>
      </c>
      <c r="D2">
        <f>SUMIF(DATA_WITHOUT_GENUS!A:A,A2,DATA_WITHOUT_GENUS!E:E)</f>
        <v>113</v>
      </c>
      <c r="E2">
        <f>SUMIF(DATA_WITHOUT_GENUS!A:A,A2,DATA_WITHOUT_GENUS!I:I)</f>
        <v>100</v>
      </c>
      <c r="F2" s="97">
        <f>SUMIFS(DATA_WITHOUT_GENUS!M:M,DATA_WITHOUT_GENUS!A:A,A2)/100</f>
        <v>4.3099999999999996</v>
      </c>
      <c r="G2" s="18">
        <f>COUNTIFS(DATA_WITHOUT_GENUS!A:A,A2,DATA_WITHOUT_GENUS!I:I, "&gt;0")</f>
        <v>12</v>
      </c>
      <c r="H2">
        <f>COUNTIFS(DATA_WITHOUT_GENUS!A:A,A2,DATA_WITHOUT_GENUS!J:J,TRUE)</f>
        <v>4</v>
      </c>
      <c r="I2" s="18">
        <f>SUMIFS(DATA_WITHOUT_GENUS!I:I,DATA_WITHOUT_GENUS!A:A,A2,DATA_WITHOUT_GENUS!J:J,TRUE)</f>
        <v>72</v>
      </c>
      <c r="J2">
        <f>_xlfn.MAXIFS(DATA_WITHOUT_GENUS!I:I,DATA_WITHOUT_GENUS!A:A,A2)</f>
        <v>65</v>
      </c>
      <c r="K2" s="18" t="str" cm="1">
        <f t="array" ref="K2">_xlfn._xlws.FILTER(DATA_WITHOUT_GENUS!D:D,(DATA_WITHOUT_GENUS!A:A=A2)*(DATA_WITHOUT_GENUS!I:I=J2)*ROW(DATA_WITHOUT_GENUS!D:D),0)</f>
        <v>Hydropsychidae</v>
      </c>
      <c r="L2" s="30">
        <f>IF(F2="","",IF(F2&gt;7,0,IF(F2&lt;5,6,IF(F2&lt;=7,3))))</f>
        <v>6</v>
      </c>
      <c r="M2">
        <f>IF(G2="","",IF(G2&gt;10,6,IF(G2&lt;5,0,IF(G2&lt;=10,3))))</f>
        <v>6</v>
      </c>
      <c r="N2" s="31">
        <f>IF(H2="","",IF(H2&gt;5,6,IF(H2&lt;3,0,IF(H2&lt;=5,3))))</f>
        <v>3</v>
      </c>
      <c r="O2" s="32">
        <f>IF(I2="","",IF(I2&gt;35,6,IF(I2&lt;10,0,IF(I2&lt;=35,3,IF(I2&lt;10,0)))))</f>
        <v>6</v>
      </c>
      <c r="P2">
        <f>IF(J2="","",IF(J2&gt;60,0,IF(J2&lt;40,6,IF(J2&lt;=60,3))))</f>
        <v>0</v>
      </c>
      <c r="Q2" s="100">
        <f>SUM(L2:P2)</f>
        <v>21</v>
      </c>
      <c r="R2" s="15" t="str">
        <f>IF(Q2&gt;=24, "Non-Impaired", IF(Q2&lt;=6, "Severally Impaired", IF(Q2&gt;=9, "Moderately Impaired","")))</f>
        <v>Moderately Impaired</v>
      </c>
      <c r="S2" s="40"/>
      <c r="T2" s="53"/>
      <c r="U2" s="53"/>
      <c r="V2" s="52"/>
      <c r="W2" s="51"/>
      <c r="X2" s="51"/>
      <c r="Y2" s="51"/>
      <c r="Z2" s="51"/>
      <c r="AA2" s="50"/>
      <c r="AB2" s="52"/>
      <c r="AC2" s="50"/>
      <c r="AD2" s="101"/>
      <c r="AE2" s="51"/>
      <c r="AF2">
        <f>H2</f>
        <v>4</v>
      </c>
      <c r="AG2">
        <f>ROUND((((COUNTIFS(DATA_WITHOUT_GENUS!A:A,A2,DATA_WITHOUT_GENUS!N:N,FALSE))/G2)*100),1)</f>
        <v>8.3000000000000007</v>
      </c>
      <c r="AH2" s="23">
        <f>SUMIFS(DATA_WITHOUT_GENUS!I:I,DATA_WITHOUT_GENUS!A:A,A2,DATA_WITHOUT_GENUS!O:O,TRUE)</f>
        <v>7</v>
      </c>
      <c r="AI2">
        <f>COUNTIFS(DATA_WITHOUT_GENUS!A:A,A2,DATA_WITHOUT_GENUS!P:P,TRUE)</f>
        <v>4</v>
      </c>
      <c r="AJ2">
        <f>F2+4.19-(3.636+0.615*(LOG10(128.6359653)))</f>
        <v>3.5667421179358954</v>
      </c>
      <c r="AK2">
        <f>(AH2)+35.15-(45.59-11.59*(LOG10(128.6359653)))</f>
        <v>21.007510330281256</v>
      </c>
      <c r="AL2" s="98">
        <f>((100*AF2/12) +(100*(70-(AG2))/63)+(100*AK2/67)+(100*AI2/6)+(100*(7-AJ2)/4))/5</f>
        <v>63.024489603676216</v>
      </c>
      <c r="AM2" t="str">
        <f>IF(AL2&gt;=63, "Excellent", IF(AL2&lt;21, "Poor", IF(AL2&lt;42, "Fair","Good")))</f>
        <v>Excellent</v>
      </c>
    </row>
    <row r="3" spans="1:39">
      <c r="A3" t="str">
        <f t="shared" si="0"/>
        <v>BD4_1997-07-26</v>
      </c>
      <c r="B3" s="73" t="s">
        <v>50</v>
      </c>
      <c r="C3" s="3">
        <v>35637</v>
      </c>
      <c r="D3" s="102">
        <f>SUMIF(DATA_WITHOUT_GENUS!A:A,A3,DATA_WITHOUT_GENUS!E:E)</f>
        <v>90</v>
      </c>
      <c r="F3" s="97"/>
      <c r="G3" s="18"/>
      <c r="I3" s="18"/>
      <c r="K3" s="18"/>
      <c r="L3" s="30"/>
      <c r="N3" s="31"/>
      <c r="O3" s="32"/>
      <c r="Q3" s="100"/>
      <c r="R3" s="15"/>
      <c r="AH3" s="23"/>
      <c r="AL3" s="98" t="s">
        <v>2994</v>
      </c>
    </row>
    <row r="4" spans="1:39">
      <c r="A4" t="str">
        <f t="shared" si="0"/>
        <v>BD4_1998-04-26</v>
      </c>
      <c r="B4" s="73" t="s">
        <v>50</v>
      </c>
      <c r="C4" s="3">
        <v>35911</v>
      </c>
      <c r="D4">
        <f>SUMIF(DATA_WITHOUT_GENUS!A:A,A4,DATA_WITHOUT_GENUS!E:E)</f>
        <v>126</v>
      </c>
      <c r="E4">
        <f>SUMIF(DATA_WITHOUT_GENUS!A:A,A4,DATA_WITHOUT_GENUS!I:I)</f>
        <v>100</v>
      </c>
      <c r="F4" s="97">
        <f>SUMIFS(DATA_WITHOUT_GENUS!M:M,DATA_WITHOUT_GENUS!A:A,A4)/100</f>
        <v>3.45</v>
      </c>
      <c r="G4" s="18">
        <f>COUNTIFS(DATA_WITHOUT_GENUS!A:A,A4,DATA_WITHOUT_GENUS!I:I, "&gt;0")</f>
        <v>19</v>
      </c>
      <c r="H4">
        <f>COUNTIFS(DATA_WITHOUT_GENUS!A:A,A4,DATA_WITHOUT_GENUS!J:J,TRUE)</f>
        <v>9</v>
      </c>
      <c r="I4" s="18">
        <f>SUMIFS(DATA_WITHOUT_GENUS!I:I,DATA_WITHOUT_GENUS!A:A,A4,DATA_WITHOUT_GENUS!J:J,TRUE)</f>
        <v>61</v>
      </c>
      <c r="J4">
        <f>_xlfn.MAXIFS(DATA_WITHOUT_GENUS!I:I,DATA_WITHOUT_GENUS!A:A,A4)</f>
        <v>25</v>
      </c>
      <c r="K4" s="18" t="str" cm="1">
        <f t="array" ref="K4">_xlfn._xlws.FILTER(DATA_WITHOUT_GENUS!D:D,(DATA_WITHOUT_GENUS!A:A=A4)*(DATA_WITHOUT_GENUS!I:I=J4)*ROW(DATA_WITHOUT_GENUS!D:D),0)</f>
        <v>Hydropsychidae</v>
      </c>
      <c r="L4" s="30">
        <f t="shared" ref="L4:L6" si="1">IF(F4="","",IF(F4&gt;7,0,IF(F4&lt;5,6,IF(F4&lt;=7,3))))</f>
        <v>6</v>
      </c>
      <c r="M4">
        <f t="shared" ref="M4:M6" si="2">IF(G4="","",IF(G4&gt;10,6,IF(G4&lt;5,0,IF(G4&lt;=10,3))))</f>
        <v>6</v>
      </c>
      <c r="N4" s="31">
        <f t="shared" ref="N4:N6" si="3">IF(H4="","",IF(H4&gt;5,6,IF(H4&lt;3,0,IF(H4&lt;=5,3))))</f>
        <v>6</v>
      </c>
      <c r="O4" s="32">
        <f t="shared" ref="O4:O6" si="4">IF(I4="","",IF(I4&gt;35,6,IF(I4&lt;10,0,IF(I4&lt;=35,3,IF(I4&lt;10,0)))))</f>
        <v>6</v>
      </c>
      <c r="P4">
        <f t="shared" ref="P4:P6" si="5">IF(J4="","",IF(J4&gt;60,0,IF(J4&lt;40,6,IF(J4&lt;=60,3))))</f>
        <v>6</v>
      </c>
      <c r="Q4" s="100">
        <f t="shared" ref="Q4:Q6" si="6">SUM(L4:P4)</f>
        <v>30</v>
      </c>
      <c r="R4" s="15" t="str">
        <f t="shared" ref="R4:R16" si="7">IF(Q4&gt;=24, "Non-Impaired", IF(Q4&lt;=6, "Severally Impaired", IF(Q4&gt;=9, "Moderately Impaired","")))</f>
        <v>Non-Impaired</v>
      </c>
      <c r="AF4">
        <f t="shared" ref="AF4:AF14" si="8">H4</f>
        <v>9</v>
      </c>
      <c r="AG4">
        <f>ROUND((((COUNTIFS(DATA_WITHOUT_GENUS!A:A,A4,DATA_WITHOUT_GENUS!N:N,FALSE))/G4)*100),1)</f>
        <v>15.8</v>
      </c>
      <c r="AH4" s="23">
        <f>SUMIFS(DATA_WITHOUT_GENUS!I:I,DATA_WITHOUT_GENUS!A:A,A4,DATA_WITHOUT_GENUS!O:O,TRUE)</f>
        <v>36</v>
      </c>
      <c r="AI4">
        <f>COUNTIFS(DATA_WITHOUT_GENUS!A:A,A4,DATA_WITHOUT_GENUS!P:P,TRUE)</f>
        <v>5</v>
      </c>
      <c r="AJ4">
        <f t="shared" ref="AJ4:AJ14" si="9">F4+4.19-(3.636+0.615*(LOG10(128.6359653)))</f>
        <v>2.7067421179358959</v>
      </c>
      <c r="AK4">
        <f t="shared" ref="AK4:AK48" si="10">(AH4)+35.15-(45.59-11.59*(LOG10(128.6359653)))</f>
        <v>50.007510330281264</v>
      </c>
      <c r="AL4" s="98">
        <f t="shared" ref="AL4:AL48" si="11">((100*AF4/12) +(100*(70-(AG4))/63)+(100*AK4/67)+(100*AI4/6)+(100*(7-AJ4)/4))/5</f>
        <v>85.26692030730095</v>
      </c>
      <c r="AM4" t="str">
        <f t="shared" ref="AM4:AM16" si="12">IF(AL4&gt;=63, "Excellent", IF(AL4&lt;21, "Poor", IF(AL4&lt;42, "Fair","Good")))</f>
        <v>Excellent</v>
      </c>
    </row>
    <row r="5" spans="1:39">
      <c r="A5" t="str">
        <f t="shared" si="0"/>
        <v>BD4_1998-08-02</v>
      </c>
      <c r="B5" s="73" t="s">
        <v>50</v>
      </c>
      <c r="C5" s="3">
        <v>36009</v>
      </c>
      <c r="D5">
        <f>SUMIF(DATA_WITHOUT_GENUS!A:A,A5,DATA_WITHOUT_GENUS!E:E)</f>
        <v>95</v>
      </c>
      <c r="E5">
        <f>SUMIF(DATA_WITHOUT_GENUS!A:A,A5,DATA_WITHOUT_GENUS!I:I)</f>
        <v>95</v>
      </c>
      <c r="F5" s="97">
        <f>SUMIFS(DATA_WITHOUT_GENUS!M:M,DATA_WITHOUT_GENUS!A:A,A5)/100</f>
        <v>4.03</v>
      </c>
      <c r="G5" s="18">
        <f>COUNTIFS(DATA_WITHOUT_GENUS!A:A,A5,DATA_WITHOUT_GENUS!I:I, "&gt;0")</f>
        <v>8</v>
      </c>
      <c r="H5">
        <f>COUNTIFS(DATA_WITHOUT_GENUS!A:A,A5,DATA_WITHOUT_GENUS!J:J,TRUE)</f>
        <v>2</v>
      </c>
      <c r="I5" s="18">
        <f>SUMIFS(DATA_WITHOUT_GENUS!I:I,DATA_WITHOUT_GENUS!A:A,A5,DATA_WITHOUT_GENUS!J:J,TRUE)</f>
        <v>77</v>
      </c>
      <c r="J5">
        <f>_xlfn.MAXIFS(DATA_WITHOUT_GENUS!I:I,DATA_WITHOUT_GENUS!A:A,A5)</f>
        <v>62</v>
      </c>
      <c r="K5" s="18" t="str" cm="1">
        <f t="array" ref="K5">_xlfn._xlws.FILTER(DATA_WITHOUT_GENUS!D:D,(DATA_WITHOUT_GENUS!A:A=A5)*(DATA_WITHOUT_GENUS!I:I=J5)*ROW(DATA_WITHOUT_GENUS!D:D),0)</f>
        <v>Hydropsychidae</v>
      </c>
      <c r="L5" s="30">
        <f t="shared" si="1"/>
        <v>6</v>
      </c>
      <c r="M5">
        <f t="shared" si="2"/>
        <v>3</v>
      </c>
      <c r="N5" s="31">
        <f t="shared" si="3"/>
        <v>0</v>
      </c>
      <c r="O5" s="32">
        <f t="shared" si="4"/>
        <v>6</v>
      </c>
      <c r="P5">
        <f t="shared" si="5"/>
        <v>0</v>
      </c>
      <c r="Q5" s="100">
        <f t="shared" si="6"/>
        <v>15</v>
      </c>
      <c r="R5" s="15" t="str">
        <f t="shared" si="7"/>
        <v>Moderately Impaired</v>
      </c>
      <c r="AF5">
        <f t="shared" si="8"/>
        <v>2</v>
      </c>
      <c r="AG5">
        <f>ROUND((((COUNTIFS(DATA_WITHOUT_GENUS!A:A,A5,DATA_WITHOUT_GENUS!N:N,FALSE))/G5)*100),1)</f>
        <v>12.5</v>
      </c>
      <c r="AH5" s="23">
        <f>SUMIFS(DATA_WITHOUT_GENUS!I:I,DATA_WITHOUT_GENUS!A:A,A5,DATA_WITHOUT_GENUS!O:O,TRUE)</f>
        <v>15</v>
      </c>
      <c r="AI5">
        <f>COUNTIFS(DATA_WITHOUT_GENUS!A:A,A5,DATA_WITHOUT_GENUS!P:P,TRUE)</f>
        <v>2</v>
      </c>
      <c r="AJ5">
        <f t="shared" si="9"/>
        <v>3.286742117935896</v>
      </c>
      <c r="AK5">
        <f t="shared" si="10"/>
        <v>29.007510330281256</v>
      </c>
      <c r="AL5" s="98">
        <f t="shared" si="11"/>
        <v>55.479215971835423</v>
      </c>
      <c r="AM5" t="str">
        <f t="shared" si="12"/>
        <v>Good</v>
      </c>
    </row>
    <row r="6" spans="1:39">
      <c r="A6" t="str">
        <f t="shared" si="0"/>
        <v>BD4_1998-11-27</v>
      </c>
      <c r="B6" s="73" t="s">
        <v>50</v>
      </c>
      <c r="C6" s="3">
        <v>36126</v>
      </c>
      <c r="D6">
        <f>SUMIF(DATA_WITHOUT_GENUS!A:A,A6,DATA_WITHOUT_GENUS!E:E)</f>
        <v>114</v>
      </c>
      <c r="E6">
        <f>SUMIF(DATA_WITHOUT_GENUS!A:A,A6,DATA_WITHOUT_GENUS!I:I)</f>
        <v>100</v>
      </c>
      <c r="F6" s="97">
        <f>SUMIFS(DATA_WITHOUT_GENUS!M:M,DATA_WITHOUT_GENUS!A:A,A6)/100</f>
        <v>4.2699999999999996</v>
      </c>
      <c r="G6" s="18">
        <f>COUNTIFS(DATA_WITHOUT_GENUS!A:A,A6,DATA_WITHOUT_GENUS!I:I, "&gt;0")</f>
        <v>16</v>
      </c>
      <c r="H6">
        <f>COUNTIFS(DATA_WITHOUT_GENUS!A:A,A6,DATA_WITHOUT_GENUS!J:J,TRUE)</f>
        <v>4</v>
      </c>
      <c r="I6" s="18">
        <f>SUMIFS(DATA_WITHOUT_GENUS!I:I,DATA_WITHOUT_GENUS!A:A,A6,DATA_WITHOUT_GENUS!J:J,TRUE)</f>
        <v>44</v>
      </c>
      <c r="J6">
        <f>_xlfn.MAXIFS(DATA_WITHOUT_GENUS!I:I,DATA_WITHOUT_GENUS!A:A,A6)</f>
        <v>40</v>
      </c>
      <c r="K6" s="18" t="str" cm="1">
        <f t="array" ref="K6">_xlfn._xlws.FILTER(DATA_WITHOUT_GENUS!D:D,(DATA_WITHOUT_GENUS!A:A=A6)*(DATA_WITHOUT_GENUS!I:I=J6)*ROW(DATA_WITHOUT_GENUS!D:D),0)</f>
        <v>Hydropsychidae</v>
      </c>
      <c r="L6" s="30">
        <f t="shared" si="1"/>
        <v>6</v>
      </c>
      <c r="M6">
        <f t="shared" si="2"/>
        <v>6</v>
      </c>
      <c r="N6" s="31">
        <f t="shared" si="3"/>
        <v>3</v>
      </c>
      <c r="O6" s="32">
        <f t="shared" si="4"/>
        <v>6</v>
      </c>
      <c r="P6">
        <f t="shared" si="5"/>
        <v>3</v>
      </c>
      <c r="Q6" s="100">
        <f t="shared" si="6"/>
        <v>24</v>
      </c>
      <c r="R6" s="15" t="str">
        <f t="shared" si="7"/>
        <v>Non-Impaired</v>
      </c>
      <c r="AF6">
        <f t="shared" si="8"/>
        <v>4</v>
      </c>
      <c r="AG6">
        <f>ROUND((((COUNTIFS(DATA_WITHOUT_GENUS!A:A,A6,DATA_WITHOUT_GENUS!N:N,FALSE))/G6)*100),1)</f>
        <v>31.3</v>
      </c>
      <c r="AH6" s="23">
        <f>SUMIFS(DATA_WITHOUT_GENUS!I:I,DATA_WITHOUT_GENUS!A:A,A6,DATA_WITHOUT_GENUS!O:O,TRUE)</f>
        <v>4</v>
      </c>
      <c r="AI6">
        <f>COUNTIFS(DATA_WITHOUT_GENUS!A:A,A6,DATA_WITHOUT_GENUS!P:P,TRUE)</f>
        <v>3</v>
      </c>
      <c r="AJ6">
        <f t="shared" si="9"/>
        <v>3.5267421179358962</v>
      </c>
      <c r="AK6">
        <f t="shared" si="10"/>
        <v>18.007510330281256</v>
      </c>
      <c r="AL6" s="98">
        <f t="shared" si="11"/>
        <v>51.694046580695883</v>
      </c>
      <c r="AM6" t="str">
        <f t="shared" si="12"/>
        <v>Good</v>
      </c>
    </row>
    <row r="7" spans="1:39">
      <c r="A7" t="str">
        <f t="shared" si="0"/>
        <v>BD4_1999-07-24</v>
      </c>
      <c r="B7" s="73" t="s">
        <v>50</v>
      </c>
      <c r="C7" s="3">
        <v>36365</v>
      </c>
      <c r="D7">
        <f>SUMIF(DATA_WITHOUT_GENUS!A:A,A7,DATA_WITHOUT_GENUS!E:E)</f>
        <v>110</v>
      </c>
      <c r="E7">
        <f>SUMIF(DATA_WITHOUT_GENUS!A:A,A7,DATA_WITHOUT_GENUS!I:I)</f>
        <v>100</v>
      </c>
      <c r="F7" s="97">
        <f>SUMIFS(DATA_WITHOUT_GENUS!M:M,DATA_WITHOUT_GENUS!A:A,A7)/100</f>
        <v>7.98</v>
      </c>
      <c r="G7" s="18">
        <f>COUNTIFS(DATA_WITHOUT_GENUS!A:A,A7,DATA_WITHOUT_GENUS!I:I, "&gt;0")</f>
        <v>2</v>
      </c>
      <c r="H7">
        <f>COUNTIFS(DATA_WITHOUT_GENUS!A:A,A7,DATA_WITHOUT_GENUS!J:J,TRUE)</f>
        <v>0</v>
      </c>
      <c r="I7" s="18">
        <f>SUMIFS(DATA_WITHOUT_GENUS!I:I,DATA_WITHOUT_GENUS!A:A,A7,DATA_WITHOUT_GENUS!J:J,TRUE)</f>
        <v>0</v>
      </c>
      <c r="J7">
        <f>_xlfn.MAXIFS(DATA_WITHOUT_GENUS!I:I,DATA_WITHOUT_GENUS!A:A,A7)</f>
        <v>98</v>
      </c>
      <c r="K7" s="18" t="str" cm="1">
        <f t="array" ref="K7">_xlfn._xlws.FILTER(DATA_WITHOUT_GENUS!D:D,(DATA_WITHOUT_GENUS!A:A=A7)*(DATA_WITHOUT_GENUS!I:I=J7)*ROW(DATA_WITHOUT_GENUS!D:D),0)</f>
        <v>BloodRed Chironomidae</v>
      </c>
      <c r="L7" s="30">
        <f t="shared" ref="L7:L8" si="13">IF(F7="","",IF(F7&gt;7,0,IF(F7&lt;5,6,IF(F7&lt;=7,3))))</f>
        <v>0</v>
      </c>
      <c r="M7">
        <f t="shared" ref="M7:M8" si="14">IF(G7="","",IF(G7&gt;10,6,IF(G7&lt;5,0,IF(G7&lt;=10,3))))</f>
        <v>0</v>
      </c>
      <c r="N7" s="31">
        <f t="shared" ref="N7:N8" si="15">IF(H7="","",IF(H7&gt;5,6,IF(H7&lt;3,0,IF(H7&lt;=5,3))))</f>
        <v>0</v>
      </c>
      <c r="O7" s="32">
        <f t="shared" ref="O7:O8" si="16">IF(I7="","",IF(I7&gt;35,6,IF(I7&lt;10,0,IF(I7&lt;=35,3,IF(I7&lt;10,0)))))</f>
        <v>0</v>
      </c>
      <c r="P7">
        <f t="shared" ref="P7:P8" si="17">IF(J7="","",IF(J7&gt;60,0,IF(J7&lt;40,6,IF(J7&lt;=60,3))))</f>
        <v>0</v>
      </c>
      <c r="Q7" s="100">
        <f t="shared" ref="Q7:Q8" si="18">SUM(L7:P7)</f>
        <v>0</v>
      </c>
      <c r="R7" s="15" t="str">
        <f t="shared" si="7"/>
        <v>Severally Impaired</v>
      </c>
      <c r="AF7">
        <f t="shared" si="8"/>
        <v>0</v>
      </c>
      <c r="AG7">
        <f>ROUND((((COUNTIFS(DATA_WITHOUT_GENUS!A:A,A7,DATA_WITHOUT_GENUS!N:N,FALSE))/G7)*100),1)</f>
        <v>50</v>
      </c>
      <c r="AH7" s="23">
        <f>SUMIFS(DATA_WITHOUT_GENUS!I:I,DATA_WITHOUT_GENUS!A:A,A7,DATA_WITHOUT_GENUS!O:O,TRUE)</f>
        <v>0</v>
      </c>
      <c r="AI7">
        <f>COUNTIFS(DATA_WITHOUT_GENUS!A:A,A7,DATA_WITHOUT_GENUS!P:P,TRUE)</f>
        <v>1</v>
      </c>
      <c r="AJ7">
        <f t="shared" si="9"/>
        <v>7.2367421179358971</v>
      </c>
      <c r="AK7">
        <f t="shared" si="10"/>
        <v>14.007510330281256</v>
      </c>
      <c r="AL7" s="98">
        <f t="shared" si="11"/>
        <v>12.680175460108334</v>
      </c>
      <c r="AM7" t="str">
        <f t="shared" si="12"/>
        <v>Poor</v>
      </c>
    </row>
    <row r="8" spans="1:39">
      <c r="A8" t="str">
        <f t="shared" si="0"/>
        <v>BD4_1999-10-09</v>
      </c>
      <c r="B8" s="73" t="s">
        <v>50</v>
      </c>
      <c r="C8" s="3">
        <v>36442</v>
      </c>
      <c r="D8">
        <f>SUMIF(DATA_WITHOUT_GENUS!A:A,A8,DATA_WITHOUT_GENUS!E:E)</f>
        <v>118</v>
      </c>
      <c r="E8">
        <f>SUMIF(DATA_WITHOUT_GENUS!A:A,A8,DATA_WITHOUT_GENUS!I:I)</f>
        <v>100</v>
      </c>
      <c r="F8" s="97">
        <f>SUMIFS(DATA_WITHOUT_GENUS!M:M,DATA_WITHOUT_GENUS!A:A,A8)/100</f>
        <v>4.54</v>
      </c>
      <c r="G8" s="18">
        <f>COUNTIFS(DATA_WITHOUT_GENUS!A:A,A8,DATA_WITHOUT_GENUS!I:I, "&gt;0")</f>
        <v>12</v>
      </c>
      <c r="H8">
        <f>COUNTIFS(DATA_WITHOUT_GENUS!A:A,A8,DATA_WITHOUT_GENUS!J:J,TRUE)</f>
        <v>1</v>
      </c>
      <c r="I8" s="18">
        <f>SUMIFS(DATA_WITHOUT_GENUS!I:I,DATA_WITHOUT_GENUS!A:A,A8,DATA_WITHOUT_GENUS!J:J,TRUE)</f>
        <v>2</v>
      </c>
      <c r="J8">
        <f>_xlfn.MAXIFS(DATA_WITHOUT_GENUS!I:I,DATA_WITHOUT_GENUS!A:A,A8)</f>
        <v>69</v>
      </c>
      <c r="K8" s="18" t="str" cm="1">
        <f t="array" ref="K8">_xlfn._xlws.FILTER(DATA_WITHOUT_GENUS!D:D,(DATA_WITHOUT_GENUS!A:A=A8)*(DATA_WITHOUT_GENUS!I:I=J8)*ROW(DATA_WITHOUT_GENUS!D:D),0)</f>
        <v>Psephenidae</v>
      </c>
      <c r="L8" s="30">
        <f t="shared" si="13"/>
        <v>6</v>
      </c>
      <c r="M8">
        <f t="shared" si="14"/>
        <v>6</v>
      </c>
      <c r="N8" s="31">
        <f t="shared" si="15"/>
        <v>0</v>
      </c>
      <c r="O8" s="32">
        <f t="shared" si="16"/>
        <v>0</v>
      </c>
      <c r="P8">
        <f t="shared" si="17"/>
        <v>0</v>
      </c>
      <c r="Q8" s="100">
        <f t="shared" si="18"/>
        <v>12</v>
      </c>
      <c r="R8" s="15" t="str">
        <f t="shared" si="7"/>
        <v>Moderately Impaired</v>
      </c>
      <c r="AF8">
        <f t="shared" si="8"/>
        <v>1</v>
      </c>
      <c r="AG8">
        <f>ROUND((((COUNTIFS(DATA_WITHOUT_GENUS!A:A,A8,DATA_WITHOUT_GENUS!N:N,FALSE))/G8)*100),1)</f>
        <v>50</v>
      </c>
      <c r="AH8" s="23">
        <f>SUMIFS(DATA_WITHOUT_GENUS!I:I,DATA_WITHOUT_GENUS!A:A,A8,DATA_WITHOUT_GENUS!O:O,TRUE)</f>
        <v>0</v>
      </c>
      <c r="AI8">
        <f>COUNTIFS(DATA_WITHOUT_GENUS!A:A,A8,DATA_WITHOUT_GENUS!P:P,TRUE)</f>
        <v>3</v>
      </c>
      <c r="AJ8">
        <f t="shared" si="9"/>
        <v>3.7967421179358958</v>
      </c>
      <c r="AK8">
        <f t="shared" si="10"/>
        <v>14.007510330281256</v>
      </c>
      <c r="AL8" s="98">
        <f t="shared" si="11"/>
        <v>38.213508793441676</v>
      </c>
      <c r="AM8" t="str">
        <f t="shared" si="12"/>
        <v>Fair</v>
      </c>
    </row>
    <row r="9" spans="1:39">
      <c r="A9" t="str">
        <f t="shared" si="0"/>
        <v>BD4_2000-03-25</v>
      </c>
      <c r="B9" s="73" t="s">
        <v>50</v>
      </c>
      <c r="C9" s="3">
        <v>36610</v>
      </c>
      <c r="D9">
        <f>SUMIF(DATA_WITHOUT_GENUS!A:A,A9,DATA_WITHOUT_GENUS!E:E)</f>
        <v>144</v>
      </c>
      <c r="E9">
        <f>SUMIF(DATA_WITHOUT_GENUS!A:A,A9,DATA_WITHOUT_GENUS!I:I)</f>
        <v>100</v>
      </c>
      <c r="F9" s="97">
        <f>SUMIFS(DATA_WITHOUT_GENUS!M:M,DATA_WITHOUT_GENUS!A:A,A9)/100</f>
        <v>5.59</v>
      </c>
      <c r="G9" s="18">
        <f>COUNTIFS(DATA_WITHOUT_GENUS!A:A,A9,DATA_WITHOUT_GENUS!I:I, "&gt;0")</f>
        <v>16</v>
      </c>
      <c r="H9">
        <f>COUNTIFS(DATA_WITHOUT_GENUS!A:A,A9,DATA_WITHOUT_GENUS!J:J,TRUE)</f>
        <v>5</v>
      </c>
      <c r="I9" s="18">
        <f>SUMIFS(DATA_WITHOUT_GENUS!I:I,DATA_WITHOUT_GENUS!A:A,A9,DATA_WITHOUT_GENUS!J:J,TRUE)</f>
        <v>9</v>
      </c>
      <c r="J9">
        <f>_xlfn.MAXIFS(DATA_WITHOUT_GENUS!I:I,DATA_WITHOUT_GENUS!A:A,A9)</f>
        <v>27</v>
      </c>
      <c r="K9" s="18" t="str" cm="1">
        <f t="array" ref="K9">_xlfn._xlws.FILTER(DATA_WITHOUT_GENUS!D:D,(DATA_WITHOUT_GENUS!A:A=A9)*(DATA_WITHOUT_GENUS!I:I=J9)*ROW(DATA_WITHOUT_GENUS!D:D),0)</f>
        <v>BloodRed Chironomidae</v>
      </c>
      <c r="L9" s="30">
        <f t="shared" ref="L9:L11" si="19">IF(F9="","",IF(F9&gt;7,0,IF(F9&lt;5,6,IF(F9&lt;=7,3))))</f>
        <v>3</v>
      </c>
      <c r="M9">
        <f t="shared" ref="M9:M11" si="20">IF(G9="","",IF(G9&gt;10,6,IF(G9&lt;5,0,IF(G9&lt;=10,3))))</f>
        <v>6</v>
      </c>
      <c r="N9" s="31">
        <f t="shared" ref="N9:N11" si="21">IF(H9="","",IF(H9&gt;5,6,IF(H9&lt;3,0,IF(H9&lt;=5,3))))</f>
        <v>3</v>
      </c>
      <c r="O9" s="32">
        <f t="shared" ref="O9:O11" si="22">IF(I9="","",IF(I9&gt;35,6,IF(I9&lt;10,0,IF(I9&lt;=35,3,IF(I9&lt;10,0)))))</f>
        <v>0</v>
      </c>
      <c r="P9">
        <f t="shared" ref="P9:P11" si="23">IF(J9="","",IF(J9&gt;60,0,IF(J9&lt;40,6,IF(J9&lt;=60,3))))</f>
        <v>6</v>
      </c>
      <c r="Q9" s="100">
        <f t="shared" ref="Q9:Q11" si="24">SUM(L9:P9)</f>
        <v>18</v>
      </c>
      <c r="R9" s="15" t="str">
        <f t="shared" si="7"/>
        <v>Moderately Impaired</v>
      </c>
      <c r="AF9">
        <f t="shared" si="8"/>
        <v>5</v>
      </c>
      <c r="AG9">
        <f>ROUND((((COUNTIFS(DATA_WITHOUT_GENUS!A:A,A9,DATA_WITHOUT_GENUS!N:N,FALSE))/G9)*100),1)</f>
        <v>18.8</v>
      </c>
      <c r="AH9" s="23">
        <f>SUMIFS(DATA_WITHOUT_GENUS!I:I,DATA_WITHOUT_GENUS!A:A,A9,DATA_WITHOUT_GENUS!O:O,TRUE)</f>
        <v>8</v>
      </c>
      <c r="AI9">
        <f>COUNTIFS(DATA_WITHOUT_GENUS!A:A,A9,DATA_WITHOUT_GENUS!P:P,TRUE)</f>
        <v>2</v>
      </c>
      <c r="AJ9">
        <f t="shared" si="9"/>
        <v>4.8467421179358965</v>
      </c>
      <c r="AK9">
        <f t="shared" si="10"/>
        <v>22.007510330281256</v>
      </c>
      <c r="AL9" s="98">
        <f t="shared" si="11"/>
        <v>48.589663733029447</v>
      </c>
      <c r="AM9" t="str">
        <f t="shared" si="12"/>
        <v>Good</v>
      </c>
    </row>
    <row r="10" spans="1:39">
      <c r="A10" t="str">
        <f t="shared" si="0"/>
        <v>BD4_2000-07-22</v>
      </c>
      <c r="B10" s="73" t="s">
        <v>50</v>
      </c>
      <c r="C10" s="3">
        <v>36729</v>
      </c>
      <c r="D10">
        <f>SUMIF(DATA_WITHOUT_GENUS!A:A,A10,DATA_WITHOUT_GENUS!E:E)</f>
        <v>112</v>
      </c>
      <c r="E10">
        <f>SUMIF(DATA_WITHOUT_GENUS!A:A,A10,DATA_WITHOUT_GENUS!I:I)</f>
        <v>100</v>
      </c>
      <c r="F10" s="97">
        <f>SUMIFS(DATA_WITHOUT_GENUS!M:M,DATA_WITHOUT_GENUS!A:A,A10)/100</f>
        <v>4.42</v>
      </c>
      <c r="G10" s="18">
        <f>COUNTIFS(DATA_WITHOUT_GENUS!A:A,A10,DATA_WITHOUT_GENUS!I:I, "&gt;0")</f>
        <v>11</v>
      </c>
      <c r="H10">
        <f>COUNTIFS(DATA_WITHOUT_GENUS!A:A,A10,DATA_WITHOUT_GENUS!J:J,TRUE)</f>
        <v>3</v>
      </c>
      <c r="I10" s="18">
        <f>SUMIFS(DATA_WITHOUT_GENUS!I:I,DATA_WITHOUT_GENUS!A:A,A10,DATA_WITHOUT_GENUS!J:J,TRUE)</f>
        <v>31</v>
      </c>
      <c r="J10">
        <f>_xlfn.MAXIFS(DATA_WITHOUT_GENUS!I:I,DATA_WITHOUT_GENUS!A:A,A10)</f>
        <v>28</v>
      </c>
      <c r="K10" s="18" t="str" cm="1">
        <f t="array" ref="K10">_xlfn._xlws.FILTER(DATA_WITHOUT_GENUS!D:D,(DATA_WITHOUT_GENUS!A:A=A10)*(DATA_WITHOUT_GENUS!I:I=J10)*ROW(DATA_WITHOUT_GENUS!D:D),0)</f>
        <v>Hydropsychidae</v>
      </c>
      <c r="L10" s="30">
        <f t="shared" si="19"/>
        <v>6</v>
      </c>
      <c r="M10">
        <f t="shared" si="20"/>
        <v>6</v>
      </c>
      <c r="N10" s="31">
        <f t="shared" si="21"/>
        <v>3</v>
      </c>
      <c r="O10" s="32">
        <f t="shared" si="22"/>
        <v>3</v>
      </c>
      <c r="P10">
        <f t="shared" si="23"/>
        <v>6</v>
      </c>
      <c r="Q10" s="100">
        <f t="shared" si="24"/>
        <v>24</v>
      </c>
      <c r="R10" s="15" t="str">
        <f t="shared" si="7"/>
        <v>Non-Impaired</v>
      </c>
      <c r="AF10">
        <f t="shared" si="8"/>
        <v>3</v>
      </c>
      <c r="AG10">
        <f>ROUND((((COUNTIFS(DATA_WITHOUT_GENUS!A:A,A10,DATA_WITHOUT_GENUS!N:N,FALSE))/G10)*100),1)</f>
        <v>27.3</v>
      </c>
      <c r="AH10" s="23">
        <f>SUMIFS(DATA_WITHOUT_GENUS!I:I,DATA_WITHOUT_GENUS!A:A,A10,DATA_WITHOUT_GENUS!O:O,TRUE)</f>
        <v>3</v>
      </c>
      <c r="AI10">
        <f>COUNTIFS(DATA_WITHOUT_GENUS!A:A,A10,DATA_WITHOUT_GENUS!P:P,TRUE)</f>
        <v>4</v>
      </c>
      <c r="AJ10">
        <f t="shared" si="9"/>
        <v>3.6767421179358948</v>
      </c>
      <c r="AK10">
        <f t="shared" si="10"/>
        <v>17.007510330281256</v>
      </c>
      <c r="AL10" s="98">
        <f t="shared" si="11"/>
        <v>53.582047054517261</v>
      </c>
      <c r="AM10" t="str">
        <f t="shared" si="12"/>
        <v>Good</v>
      </c>
    </row>
    <row r="11" spans="1:39">
      <c r="A11" t="str">
        <f t="shared" si="0"/>
        <v>BD4_2000-10-21</v>
      </c>
      <c r="B11" s="73" t="s">
        <v>50</v>
      </c>
      <c r="C11" s="3">
        <v>36820</v>
      </c>
      <c r="D11">
        <f>SUMIF(DATA_WITHOUT_GENUS!A:A,A11,DATA_WITHOUT_GENUS!E:E)</f>
        <v>101</v>
      </c>
      <c r="E11">
        <f>SUMIF(DATA_WITHOUT_GENUS!A:A,A11,DATA_WITHOUT_GENUS!I:I)</f>
        <v>100</v>
      </c>
      <c r="F11" s="97">
        <f>SUMIFS(DATA_WITHOUT_GENUS!M:M,DATA_WITHOUT_GENUS!A:A,A11)/100</f>
        <v>4.16</v>
      </c>
      <c r="G11" s="18">
        <f>COUNTIFS(DATA_WITHOUT_GENUS!A:A,A11,DATA_WITHOUT_GENUS!I:I, "&gt;0")</f>
        <v>8</v>
      </c>
      <c r="H11">
        <f>COUNTIFS(DATA_WITHOUT_GENUS!A:A,A11,DATA_WITHOUT_GENUS!J:J,TRUE)</f>
        <v>3</v>
      </c>
      <c r="I11" s="18">
        <f>SUMIFS(DATA_WITHOUT_GENUS!I:I,DATA_WITHOUT_GENUS!A:A,A11,DATA_WITHOUT_GENUS!J:J,TRUE)</f>
        <v>83</v>
      </c>
      <c r="J11">
        <f>_xlfn.MAXIFS(DATA_WITHOUT_GENUS!I:I,DATA_WITHOUT_GENUS!A:A,A11)</f>
        <v>77</v>
      </c>
      <c r="K11" s="18" t="str" cm="1">
        <f t="array" ref="K11">_xlfn._xlws.FILTER(DATA_WITHOUT_GENUS!D:D,(DATA_WITHOUT_GENUS!A:A=A11)*(DATA_WITHOUT_GENUS!I:I=J11)*ROW(DATA_WITHOUT_GENUS!D:D),0)</f>
        <v>Hydropsychidae</v>
      </c>
      <c r="L11" s="30">
        <f t="shared" si="19"/>
        <v>6</v>
      </c>
      <c r="M11">
        <f t="shared" si="20"/>
        <v>3</v>
      </c>
      <c r="N11" s="31">
        <f t="shared" si="21"/>
        <v>3</v>
      </c>
      <c r="O11" s="32">
        <f t="shared" si="22"/>
        <v>6</v>
      </c>
      <c r="P11">
        <f t="shared" si="23"/>
        <v>0</v>
      </c>
      <c r="Q11" s="100">
        <f t="shared" si="24"/>
        <v>18</v>
      </c>
      <c r="R11" s="15" t="str">
        <f t="shared" si="7"/>
        <v>Moderately Impaired</v>
      </c>
      <c r="AF11">
        <f t="shared" si="8"/>
        <v>3</v>
      </c>
      <c r="AG11">
        <f>ROUND((((COUNTIFS(DATA_WITHOUT_GENUS!A:A,A11,DATA_WITHOUT_GENUS!N:N,FALSE))/G11)*100),1)</f>
        <v>0</v>
      </c>
      <c r="AH11" s="23">
        <f>SUMIFS(DATA_WITHOUT_GENUS!I:I,DATA_WITHOUT_GENUS!A:A,A11,DATA_WITHOUT_GENUS!O:O,TRUE)</f>
        <v>6</v>
      </c>
      <c r="AI11">
        <f>COUNTIFS(DATA_WITHOUT_GENUS!A:A,A11,DATA_WITHOUT_GENUS!P:P,TRUE)</f>
        <v>2</v>
      </c>
      <c r="AJ11">
        <f t="shared" si="9"/>
        <v>3.4167421179358968</v>
      </c>
      <c r="AK11">
        <f t="shared" si="10"/>
        <v>20.007510330281256</v>
      </c>
      <c r="AL11" s="98">
        <f t="shared" si="11"/>
        <v>57.77756944257694</v>
      </c>
      <c r="AM11" t="str">
        <f t="shared" si="12"/>
        <v>Good</v>
      </c>
    </row>
    <row r="12" spans="1:39">
      <c r="A12" t="str">
        <f t="shared" si="0"/>
        <v>BD4_2001-03-24</v>
      </c>
      <c r="B12" s="73" t="s">
        <v>50</v>
      </c>
      <c r="C12" s="3">
        <v>36974</v>
      </c>
      <c r="D12">
        <f>SUMIF(DATA_WITHOUT_GENUS!A:A,A12,DATA_WITHOUT_GENUS!E:E)</f>
        <v>121</v>
      </c>
      <c r="E12">
        <f>SUMIF(DATA_WITHOUT_GENUS!A:A,A12,DATA_WITHOUT_GENUS!I:I)</f>
        <v>100</v>
      </c>
      <c r="F12" s="97">
        <f>SUMIFS(DATA_WITHOUT_GENUS!M:M,DATA_WITHOUT_GENUS!A:A,A12)/100</f>
        <v>4.5199999999999996</v>
      </c>
      <c r="G12" s="18">
        <f>COUNTIFS(DATA_WITHOUT_GENUS!A:A,A12,DATA_WITHOUT_GENUS!I:I, "&gt;0")</f>
        <v>13</v>
      </c>
      <c r="H12">
        <f>COUNTIFS(DATA_WITHOUT_GENUS!A:A,A12,DATA_WITHOUT_GENUS!J:J,TRUE)</f>
        <v>4</v>
      </c>
      <c r="I12" s="18">
        <f>SUMIFS(DATA_WITHOUT_GENUS!I:I,DATA_WITHOUT_GENUS!A:A,A12,DATA_WITHOUT_GENUS!J:J,TRUE)</f>
        <v>54</v>
      </c>
      <c r="J12">
        <f>_xlfn.MAXIFS(DATA_WITHOUT_GENUS!I:I,DATA_WITHOUT_GENUS!A:A,A12)</f>
        <v>44</v>
      </c>
      <c r="K12" s="18" t="str" cm="1">
        <f t="array" ref="K12">_xlfn._xlws.FILTER(DATA_WITHOUT_GENUS!D:D,(DATA_WITHOUT_GENUS!A:A=A12)*(DATA_WITHOUT_GENUS!I:I=J12)*ROW(DATA_WITHOUT_GENUS!D:D),0)</f>
        <v>Hydropsychidae</v>
      </c>
      <c r="L12" s="30">
        <f t="shared" ref="L12:L16" si="25">IF(F12="","",IF(F12&gt;7,0,IF(F12&lt;5,6,IF(F12&lt;=7,3))))</f>
        <v>6</v>
      </c>
      <c r="M12">
        <f t="shared" ref="M12:M16" si="26">IF(G12="","",IF(G12&gt;10,6,IF(G12&lt;5,0,IF(G12&lt;=10,3))))</f>
        <v>6</v>
      </c>
      <c r="N12" s="31">
        <f t="shared" ref="N12:N16" si="27">IF(H12="","",IF(H12&gt;5,6,IF(H12&lt;3,0,IF(H12&lt;=5,3))))</f>
        <v>3</v>
      </c>
      <c r="O12" s="32">
        <f t="shared" ref="O12:O16" si="28">IF(I12="","",IF(I12&gt;35,6,IF(I12&lt;10,0,IF(I12&lt;=35,3,IF(I12&lt;10,0)))))</f>
        <v>6</v>
      </c>
      <c r="P12">
        <f t="shared" ref="P12:P16" si="29">IF(J12="","",IF(J12&gt;60,0,IF(J12&lt;40,6,IF(J12&lt;=60,3))))</f>
        <v>3</v>
      </c>
      <c r="Q12" s="100">
        <f t="shared" ref="Q12:Q16" si="30">SUM(L12:P12)</f>
        <v>24</v>
      </c>
      <c r="R12" s="15" t="str">
        <f t="shared" si="7"/>
        <v>Non-Impaired</v>
      </c>
      <c r="AF12">
        <f t="shared" si="8"/>
        <v>4</v>
      </c>
      <c r="AG12">
        <f>ROUND((((COUNTIFS(DATA_WITHOUT_GENUS!A:A,A12,DATA_WITHOUT_GENUS!N:N,FALSE))/G12)*100),1)</f>
        <v>23.1</v>
      </c>
      <c r="AH12" s="23">
        <f>SUMIFS(DATA_WITHOUT_GENUS!I:I,DATA_WITHOUT_GENUS!A:A,A12,DATA_WITHOUT_GENUS!O:O,TRUE)</f>
        <v>10</v>
      </c>
      <c r="AI12">
        <f>COUNTIFS(DATA_WITHOUT_GENUS!A:A,A12,DATA_WITHOUT_GENUS!P:P,TRUE)</f>
        <v>1</v>
      </c>
      <c r="AJ12">
        <f t="shared" si="9"/>
        <v>3.7767421179358962</v>
      </c>
      <c r="AK12">
        <f t="shared" si="10"/>
        <v>24.007510330281256</v>
      </c>
      <c r="AL12" s="98">
        <f t="shared" si="11"/>
        <v>48.171599293323212</v>
      </c>
      <c r="AM12" t="str">
        <f t="shared" si="12"/>
        <v>Good</v>
      </c>
    </row>
    <row r="13" spans="1:39">
      <c r="A13" t="str">
        <f t="shared" si="0"/>
        <v>BD4_2001-07-21</v>
      </c>
      <c r="B13" s="73" t="s">
        <v>50</v>
      </c>
      <c r="C13" s="3">
        <v>37093</v>
      </c>
      <c r="D13">
        <f>SUMIF(DATA_WITHOUT_GENUS!A:A,A13,DATA_WITHOUT_GENUS!E:E)</f>
        <v>105</v>
      </c>
      <c r="E13">
        <f>SUMIF(DATA_WITHOUT_GENUS!A:A,A13,DATA_WITHOUT_GENUS!I:I)</f>
        <v>100</v>
      </c>
      <c r="F13" s="97">
        <f>SUMIFS(DATA_WITHOUT_GENUS!M:M,DATA_WITHOUT_GENUS!A:A,A13)/100</f>
        <v>4.2699999999999996</v>
      </c>
      <c r="G13" s="18">
        <f>COUNTIFS(DATA_WITHOUT_GENUS!A:A,A13,DATA_WITHOUT_GENUS!I:I, "&gt;0")</f>
        <v>12</v>
      </c>
      <c r="H13">
        <f>COUNTIFS(DATA_WITHOUT_GENUS!A:A,A13,DATA_WITHOUT_GENUS!J:J,TRUE)</f>
        <v>3</v>
      </c>
      <c r="I13" s="18">
        <f>SUMIFS(DATA_WITHOUT_GENUS!I:I,DATA_WITHOUT_GENUS!A:A,A13,DATA_WITHOUT_GENUS!J:J,TRUE)</f>
        <v>40</v>
      </c>
      <c r="J13">
        <f>_xlfn.MAXIFS(DATA_WITHOUT_GENUS!I:I,DATA_WITHOUT_GENUS!A:A,A13)</f>
        <v>44</v>
      </c>
      <c r="K13" s="18" t="str" cm="1">
        <f t="array" ref="K13">_xlfn._xlws.FILTER(DATA_WITHOUT_GENUS!D:D,(DATA_WITHOUT_GENUS!A:A=A13)*(DATA_WITHOUT_GENUS!I:I=J13)*ROW(DATA_WITHOUT_GENUS!D:D),0)</f>
        <v>Psephenidae</v>
      </c>
      <c r="L13" s="30">
        <f t="shared" si="25"/>
        <v>6</v>
      </c>
      <c r="M13">
        <f t="shared" si="26"/>
        <v>6</v>
      </c>
      <c r="N13" s="31">
        <f t="shared" si="27"/>
        <v>3</v>
      </c>
      <c r="O13" s="32">
        <f t="shared" si="28"/>
        <v>6</v>
      </c>
      <c r="P13">
        <f t="shared" si="29"/>
        <v>3</v>
      </c>
      <c r="Q13" s="100">
        <f t="shared" si="30"/>
        <v>24</v>
      </c>
      <c r="R13" s="15" t="str">
        <f t="shared" si="7"/>
        <v>Non-Impaired</v>
      </c>
      <c r="AF13">
        <f t="shared" si="8"/>
        <v>3</v>
      </c>
      <c r="AG13">
        <f>ROUND((((COUNTIFS(DATA_WITHOUT_GENUS!A:A,A13,DATA_WITHOUT_GENUS!N:N,FALSE))/G13)*100),1)</f>
        <v>25</v>
      </c>
      <c r="AH13" s="23">
        <f>SUMIFS(DATA_WITHOUT_GENUS!I:I,DATA_WITHOUT_GENUS!A:A,A13,DATA_WITHOUT_GENUS!O:O,TRUE)</f>
        <v>3</v>
      </c>
      <c r="AI13">
        <f>COUNTIFS(DATA_WITHOUT_GENUS!A:A,A13,DATA_WITHOUT_GENUS!P:P,TRUE)</f>
        <v>4</v>
      </c>
      <c r="AJ13">
        <f t="shared" si="9"/>
        <v>3.5267421179358962</v>
      </c>
      <c r="AK13">
        <f t="shared" si="10"/>
        <v>17.007510330281256</v>
      </c>
      <c r="AL13" s="98">
        <f t="shared" si="11"/>
        <v>55.062205784675974</v>
      </c>
      <c r="AM13" t="str">
        <f t="shared" si="12"/>
        <v>Good</v>
      </c>
    </row>
    <row r="14" spans="1:39">
      <c r="A14" t="str">
        <f t="shared" si="0"/>
        <v>BD4_2001-10-20</v>
      </c>
      <c r="B14" s="73" t="s">
        <v>50</v>
      </c>
      <c r="C14" s="3">
        <v>37184</v>
      </c>
      <c r="D14">
        <f>SUMIF(DATA_WITHOUT_GENUS!A:A,A14,DATA_WITHOUT_GENUS!E:E)</f>
        <v>104</v>
      </c>
      <c r="E14">
        <f>SUMIF(DATA_WITHOUT_GENUS!A:A,A14,DATA_WITHOUT_GENUS!I:I)</f>
        <v>100</v>
      </c>
      <c r="F14" s="97">
        <f>SUMIFS(DATA_WITHOUT_GENUS!M:M,DATA_WITHOUT_GENUS!A:A,A14)/100</f>
        <v>4.8099999999999996</v>
      </c>
      <c r="G14" s="18">
        <f>COUNTIFS(DATA_WITHOUT_GENUS!A:A,A14,DATA_WITHOUT_GENUS!I:I, "&gt;0")</f>
        <v>16</v>
      </c>
      <c r="H14">
        <f>COUNTIFS(DATA_WITHOUT_GENUS!A:A,A14,DATA_WITHOUT_GENUS!J:J,TRUE)</f>
        <v>2</v>
      </c>
      <c r="I14" s="18">
        <f>SUMIFS(DATA_WITHOUT_GENUS!I:I,DATA_WITHOUT_GENUS!A:A,A14,DATA_WITHOUT_GENUS!J:J,TRUE)</f>
        <v>27</v>
      </c>
      <c r="J14">
        <f>_xlfn.MAXIFS(DATA_WITHOUT_GENUS!I:I,DATA_WITHOUT_GENUS!A:A,A14)</f>
        <v>25</v>
      </c>
      <c r="K14" s="18" t="str" cm="1">
        <f t="array" ref="K14">_xlfn._xlws.FILTER(DATA_WITHOUT_GENUS!D:D,(DATA_WITHOUT_GENUS!A:A=A14)*(DATA_WITHOUT_GENUS!I:I=J14)*ROW(DATA_WITHOUT_GENUS!D:D),0)</f>
        <v>Hydropsychidae</v>
      </c>
      <c r="L14" s="30">
        <f t="shared" si="25"/>
        <v>6</v>
      </c>
      <c r="M14">
        <f t="shared" si="26"/>
        <v>6</v>
      </c>
      <c r="N14" s="31">
        <f t="shared" si="27"/>
        <v>0</v>
      </c>
      <c r="O14" s="32">
        <f t="shared" si="28"/>
        <v>3</v>
      </c>
      <c r="P14">
        <f t="shared" si="29"/>
        <v>6</v>
      </c>
      <c r="Q14" s="100">
        <f t="shared" si="30"/>
        <v>21</v>
      </c>
      <c r="R14" s="15" t="str">
        <f t="shared" si="7"/>
        <v>Moderately Impaired</v>
      </c>
      <c r="AF14">
        <f t="shared" si="8"/>
        <v>2</v>
      </c>
      <c r="AG14">
        <f>ROUND((((COUNTIFS(DATA_WITHOUT_GENUS!A:A,A14,DATA_WITHOUT_GENUS!N:N,FALSE))/G14)*100),1)</f>
        <v>31.3</v>
      </c>
      <c r="AH14" s="23">
        <f>SUMIFS(DATA_WITHOUT_GENUS!I:I,DATA_WITHOUT_GENUS!A:A,A14,DATA_WITHOUT_GENUS!O:O,TRUE)</f>
        <v>2</v>
      </c>
      <c r="AI14">
        <f>COUNTIFS(DATA_WITHOUT_GENUS!A:A,A14,DATA_WITHOUT_GENUS!P:P,TRUE)</f>
        <v>4</v>
      </c>
      <c r="AJ14">
        <f t="shared" si="9"/>
        <v>4.0667421179358954</v>
      </c>
      <c r="AK14">
        <f t="shared" si="10"/>
        <v>16.007510330281256</v>
      </c>
      <c r="AL14" s="98">
        <f t="shared" si="11"/>
        <v>48.397031655322749</v>
      </c>
      <c r="AM14" t="str">
        <f t="shared" si="12"/>
        <v>Good</v>
      </c>
    </row>
    <row r="15" spans="1:39">
      <c r="A15" t="str">
        <f t="shared" si="0"/>
        <v>BD4_2002-07-27</v>
      </c>
      <c r="B15" s="73" t="s">
        <v>50</v>
      </c>
      <c r="C15" s="3">
        <v>37464</v>
      </c>
      <c r="D15" s="102">
        <f>SUMIF(DATA_WITHOUT_GENUS!A:A,A15,DATA_WITHOUT_GENUS!E:E)</f>
        <v>72</v>
      </c>
      <c r="F15" s="97"/>
      <c r="G15" s="18"/>
      <c r="I15" s="18"/>
      <c r="K15" s="18"/>
      <c r="L15" s="30"/>
      <c r="N15" s="31"/>
      <c r="O15" s="32"/>
      <c r="Q15" s="100"/>
      <c r="R15" s="15"/>
      <c r="AH15" s="23"/>
    </row>
    <row r="16" spans="1:39">
      <c r="A16" t="str">
        <f t="shared" si="0"/>
        <v>BD4_2002-10-19</v>
      </c>
      <c r="B16" s="73" t="s">
        <v>50</v>
      </c>
      <c r="C16" s="3">
        <v>37548</v>
      </c>
      <c r="D16">
        <f>SUMIF(DATA_WITHOUT_GENUS!A:A,A16,DATA_WITHOUT_GENUS!E:E)</f>
        <v>101</v>
      </c>
      <c r="E16">
        <f>SUMIF(DATA_WITHOUT_GENUS!A:A,A16,DATA_WITHOUT_GENUS!I:I)</f>
        <v>100</v>
      </c>
      <c r="F16" s="97">
        <f>SUMIFS(DATA_WITHOUT_GENUS!M:M,DATA_WITHOUT_GENUS!A:A,A16)/100</f>
        <v>6.36</v>
      </c>
      <c r="G16" s="18">
        <f>COUNTIFS(DATA_WITHOUT_GENUS!A:A,A16,DATA_WITHOUT_GENUS!I:I, "&gt;0")</f>
        <v>10</v>
      </c>
      <c r="H16">
        <f>COUNTIFS(DATA_WITHOUT_GENUS!A:A,A16,DATA_WITHOUT_GENUS!J:J,TRUE)</f>
        <v>1</v>
      </c>
      <c r="I16" s="18">
        <f>SUMIFS(DATA_WITHOUT_GENUS!I:I,DATA_WITHOUT_GENUS!A:A,A16,DATA_WITHOUT_GENUS!J:J,TRUE)</f>
        <v>2</v>
      </c>
      <c r="J16">
        <f>_xlfn.MAXIFS(DATA_WITHOUT_GENUS!I:I,DATA_WITHOUT_GENUS!A:A,A16)</f>
        <v>62</v>
      </c>
      <c r="K16" s="18" t="str" cm="1">
        <f t="array" ref="K16">_xlfn._xlws.FILTER(DATA_WITHOUT_GENUS!D:D,(DATA_WITHOUT_GENUS!A:A=A16)*(DATA_WITHOUT_GENUS!I:I=J16)*ROW(DATA_WITHOUT_GENUS!D:D),0)</f>
        <v>Gastropoda</v>
      </c>
      <c r="L16" s="30">
        <f t="shared" si="25"/>
        <v>3</v>
      </c>
      <c r="M16">
        <f t="shared" si="26"/>
        <v>3</v>
      </c>
      <c r="N16" s="31">
        <f t="shared" si="27"/>
        <v>0</v>
      </c>
      <c r="O16" s="32">
        <f t="shared" si="28"/>
        <v>0</v>
      </c>
      <c r="P16">
        <f t="shared" si="29"/>
        <v>0</v>
      </c>
      <c r="Q16" s="100">
        <f t="shared" si="30"/>
        <v>6</v>
      </c>
      <c r="R16" s="15" t="str">
        <f t="shared" si="7"/>
        <v>Severally Impaired</v>
      </c>
      <c r="AF16">
        <f t="shared" ref="AF16:AF48" si="31">H16</f>
        <v>1</v>
      </c>
      <c r="AG16">
        <f>ROUND((((COUNTIFS(DATA_WITHOUT_GENUS!A:A,A16,DATA_WITHOUT_GENUS!N:N,FALSE))/G16)*100),1)</f>
        <v>40</v>
      </c>
      <c r="AH16" s="23">
        <f>SUMIFS(DATA_WITHOUT_GENUS!I:I,DATA_WITHOUT_GENUS!A:A,A16,DATA_WITHOUT_GENUS!O:O,TRUE)</f>
        <v>0</v>
      </c>
      <c r="AI16">
        <f>COUNTIFS(DATA_WITHOUT_GENUS!A:A,A16,DATA_WITHOUT_GENUS!P:P,TRUE)</f>
        <v>2</v>
      </c>
      <c r="AJ16">
        <f t="shared" ref="AJ16:AJ48" si="32">F16+4.19-(3.636+0.615*(LOG10(128.6359653)))</f>
        <v>5.6167421179358961</v>
      </c>
      <c r="AK16">
        <f t="shared" si="10"/>
        <v>14.007510330281256</v>
      </c>
      <c r="AL16" s="98">
        <f t="shared" si="11"/>
        <v>28.954778634711516</v>
      </c>
      <c r="AM16" t="str">
        <f t="shared" si="12"/>
        <v>Fair</v>
      </c>
    </row>
    <row r="17" spans="1:39">
      <c r="A17" t="str">
        <f>B17&amp;"_"&amp;TEXT(C17,"yyyy-mm-dd")</f>
        <v>BD4_2003-03-22</v>
      </c>
      <c r="B17" s="73" t="s">
        <v>50</v>
      </c>
      <c r="C17" s="3">
        <v>37702</v>
      </c>
      <c r="D17">
        <f>SUMIF(DATA_WITHOUT_GENUS!A:A,A17,DATA_WITHOUT_GENUS!E:E)</f>
        <v>107</v>
      </c>
      <c r="E17">
        <f>SUMIF(DATA_WITHOUT_GENUS!A:A,A17,DATA_WITHOUT_GENUS!I:I)</f>
        <v>100</v>
      </c>
      <c r="F17" s="97">
        <f>SUMIFS(DATA_WITHOUT_GENUS!M:M,DATA_WITHOUT_GENUS!A:A,A17)/100</f>
        <v>5.58</v>
      </c>
      <c r="G17" s="18">
        <f>COUNTIFS(DATA_WITHOUT_GENUS!A:A,A17,DATA_WITHOUT_GENUS!I:I, "&gt;0")</f>
        <v>17</v>
      </c>
      <c r="H17">
        <f>COUNTIFS(DATA_WITHOUT_GENUS!A:A,A17,DATA_WITHOUT_GENUS!J:J,TRUE)</f>
        <v>4</v>
      </c>
      <c r="I17" s="18">
        <f>SUMIFS(DATA_WITHOUT_GENUS!I:I,DATA_WITHOUT_GENUS!A:A,A17,DATA_WITHOUT_GENUS!J:J,TRUE)</f>
        <v>33</v>
      </c>
      <c r="J17">
        <f>_xlfn.MAXIFS(DATA_WITHOUT_GENUS!I:I,DATA_WITHOUT_GENUS!A:A,A17)</f>
        <v>26</v>
      </c>
      <c r="K17" s="18" t="str" cm="1">
        <f t="array" ref="K17">_xlfn._xlws.FILTER(DATA_WITHOUT_GENUS!D:D,(DATA_WITHOUT_GENUS!A:A=A17)*(DATA_WITHOUT_GENUS!I:I=J17)*ROW(DATA_WITHOUT_GENUS!D:D),0)</f>
        <v>Chironomidae</v>
      </c>
      <c r="L17" s="30">
        <f>IF(F17="","",IF(F17&gt;7,0,IF(F17&lt;5,6,IF(F17&lt;=7,3))))</f>
        <v>3</v>
      </c>
      <c r="M17">
        <f>IF(G17="","",IF(G17&gt;10,6,IF(G17&lt;5,0,IF(G17&lt;=10,3))))</f>
        <v>6</v>
      </c>
      <c r="N17" s="31">
        <f>IF(H17="","",IF(H17&gt;5,6,IF(H17&lt;3,0,IF(H17&lt;=5,3))))</f>
        <v>3</v>
      </c>
      <c r="O17" s="32">
        <f>IF(I17="","",IF(I17&gt;35,6,IF(I17&lt;10,0,IF(I17&lt;=35,3,IF(I17&lt;10,0)))))</f>
        <v>3</v>
      </c>
      <c r="P17">
        <f>IF(J17="","",IF(J17&gt;60,0,IF(J17&lt;40,6,IF(J17&lt;=60,3))))</f>
        <v>6</v>
      </c>
      <c r="Q17" s="100">
        <f>SUM(L17:P17)</f>
        <v>21</v>
      </c>
      <c r="R17" s="15" t="str">
        <f>IF(Q17&gt;=24, "Non-Impaired", IF(Q17&lt;=6, "Severally Impaired", IF(Q17&gt;=9, "Moderately Impaired","")))</f>
        <v>Moderately Impaired</v>
      </c>
      <c r="AF17">
        <f t="shared" si="31"/>
        <v>4</v>
      </c>
      <c r="AG17">
        <f>ROUND((((COUNTIFS(DATA_WITHOUT_GENUS!A:A,A17,DATA_WITHOUT_GENUS!N:N,FALSE))/G17)*100),1)</f>
        <v>35.299999999999997</v>
      </c>
      <c r="AH17" s="23">
        <f>SUMIFS(DATA_WITHOUT_GENUS!I:I,DATA_WITHOUT_GENUS!A:A,A17,DATA_WITHOUT_GENUS!O:O,TRUE)</f>
        <v>18</v>
      </c>
      <c r="AI17">
        <f>COUNTIFS(DATA_WITHOUT_GENUS!A:A,A17,DATA_WITHOUT_GENUS!P:P,TRUE)</f>
        <v>1</v>
      </c>
      <c r="AJ17">
        <f t="shared" si="32"/>
        <v>4.8367421179358949</v>
      </c>
      <c r="AK17">
        <f t="shared" si="10"/>
        <v>32.007510330281256</v>
      </c>
      <c r="AL17" s="98">
        <f t="shared" si="11"/>
        <v>41.386643121799885</v>
      </c>
      <c r="AM17" t="str">
        <f>IF(AL17&gt;=63, "Excellent", IF(AL17&lt;21, "Poor", IF(AL17&lt;42, "Fair","Good")))</f>
        <v>Fair</v>
      </c>
    </row>
    <row r="18" spans="1:39">
      <c r="A18" t="str">
        <f>B18&amp;"_"&amp;TEXT(C18,"yyyy-mm-dd")</f>
        <v>BD4_2003-07-19</v>
      </c>
      <c r="B18" s="73" t="s">
        <v>50</v>
      </c>
      <c r="C18" s="3">
        <v>37821</v>
      </c>
      <c r="D18">
        <f>SUMIF(DATA_WITHOUT_GENUS!A:A,A18,DATA_WITHOUT_GENUS!E:E)</f>
        <v>119</v>
      </c>
      <c r="E18">
        <f>SUMIF(DATA_WITHOUT_GENUS!A:A,A18,DATA_WITHOUT_GENUS!I:I)</f>
        <v>100</v>
      </c>
      <c r="F18" s="97">
        <f>SUMIFS(DATA_WITHOUT_GENUS!M:M,DATA_WITHOUT_GENUS!A:A,A18)/100</f>
        <v>4.21</v>
      </c>
      <c r="G18" s="18">
        <f>COUNTIFS(DATA_WITHOUT_GENUS!A:A,A18,DATA_WITHOUT_GENUS!I:I, "&gt;0")</f>
        <v>12</v>
      </c>
      <c r="H18">
        <f>COUNTIFS(DATA_WITHOUT_GENUS!A:A,A18,DATA_WITHOUT_GENUS!J:J,TRUE)</f>
        <v>2</v>
      </c>
      <c r="I18" s="18">
        <f>SUMIFS(DATA_WITHOUT_GENUS!I:I,DATA_WITHOUT_GENUS!A:A,A18,DATA_WITHOUT_GENUS!J:J,TRUE)</f>
        <v>20</v>
      </c>
      <c r="J18">
        <f>_xlfn.MAXIFS(DATA_WITHOUT_GENUS!I:I,DATA_WITHOUT_GENUS!A:A,A18)</f>
        <v>35</v>
      </c>
      <c r="K18" s="18" t="str" cm="1">
        <f t="array" ref="K18">_xlfn._xlws.FILTER(DATA_WITHOUT_GENUS!D:D,(DATA_WITHOUT_GENUS!A:A=A18)*(DATA_WITHOUT_GENUS!I:I=J18)*ROW(DATA_WITHOUT_GENUS!D:D),0)</f>
        <v>Psephenidae</v>
      </c>
      <c r="L18" s="30">
        <f t="shared" ref="L18:L23" si="33">IF(F18="","",IF(F18&gt;7,0,IF(F18&lt;5,6,IF(F18&lt;=7,3))))</f>
        <v>6</v>
      </c>
      <c r="M18">
        <f t="shared" ref="M18:M23" si="34">IF(G18="","",IF(G18&gt;10,6,IF(G18&lt;5,0,IF(G18&lt;=10,3))))</f>
        <v>6</v>
      </c>
      <c r="N18" s="31">
        <f t="shared" ref="N18:N23" si="35">IF(H18="","",IF(H18&gt;5,6,IF(H18&lt;3,0,IF(H18&lt;=5,3))))</f>
        <v>0</v>
      </c>
      <c r="O18" s="32">
        <f t="shared" ref="O18:O23" si="36">IF(I18="","",IF(I18&gt;35,6,IF(I18&lt;10,0,IF(I18&lt;=35,3,IF(I18&lt;10,0)))))</f>
        <v>3</v>
      </c>
      <c r="P18">
        <f t="shared" ref="P18:P23" si="37">IF(J18="","",IF(J18&gt;60,0,IF(J18&lt;40,6,IF(J18&lt;=60,3))))</f>
        <v>6</v>
      </c>
      <c r="Q18" s="100">
        <f t="shared" ref="Q18:Q23" si="38">SUM(L18:P18)</f>
        <v>21</v>
      </c>
      <c r="R18" s="15" t="str">
        <f t="shared" ref="R18:R48" si="39">IF(Q18&gt;=24, "Non-Impaired", IF(Q18&lt;=6, "Severally Impaired", IF(Q18&gt;=9, "Moderately Impaired","")))</f>
        <v>Moderately Impaired</v>
      </c>
      <c r="AF18">
        <f t="shared" si="31"/>
        <v>2</v>
      </c>
      <c r="AG18">
        <f>ROUND((((COUNTIFS(DATA_WITHOUT_GENUS!A:A,A18,DATA_WITHOUT_GENUS!N:N,FALSE))/G18)*100),1)</f>
        <v>33.299999999999997</v>
      </c>
      <c r="AH18" s="23">
        <f>SUMIFS(DATA_WITHOUT_GENUS!I:I,DATA_WITHOUT_GENUS!A:A,A18,DATA_WITHOUT_GENUS!O:O,TRUE)</f>
        <v>1</v>
      </c>
      <c r="AI18">
        <f>COUNTIFS(DATA_WITHOUT_GENUS!A:A,A18,DATA_WITHOUT_GENUS!P:P,TRUE)</f>
        <v>4</v>
      </c>
      <c r="AJ18">
        <f t="shared" si="32"/>
        <v>3.4667421179358957</v>
      </c>
      <c r="AK18">
        <f t="shared" si="10"/>
        <v>15.007510330281256</v>
      </c>
      <c r="AL18" s="98">
        <f t="shared" si="11"/>
        <v>50.463603557715544</v>
      </c>
      <c r="AM18" t="str">
        <f t="shared" ref="AM18:AM48" si="40">IF(AL18&gt;=63, "Excellent", IF(AL18&lt;21, "Poor", IF(AL18&lt;42, "Fair","Good")))</f>
        <v>Good</v>
      </c>
    </row>
    <row r="19" spans="1:39">
      <c r="A19" t="str">
        <f>B19&amp;"_"&amp;TEXT(C19,"yyyy-mm-dd")</f>
        <v>BD4_2003-10-18</v>
      </c>
      <c r="B19" s="73" t="s">
        <v>50</v>
      </c>
      <c r="C19" s="3">
        <v>37912</v>
      </c>
      <c r="D19">
        <f>SUMIF(DATA_WITHOUT_GENUS!A:A,A19,DATA_WITHOUT_GENUS!E:E)</f>
        <v>112</v>
      </c>
      <c r="E19">
        <f>SUMIF(DATA_WITHOUT_GENUS!A:A,A19,DATA_WITHOUT_GENUS!I:I)</f>
        <v>100</v>
      </c>
      <c r="F19" s="97">
        <f>SUMIFS(DATA_WITHOUT_GENUS!M:M,DATA_WITHOUT_GENUS!A:A,A19)/100</f>
        <v>4.55</v>
      </c>
      <c r="G19" s="18">
        <f>COUNTIFS(DATA_WITHOUT_GENUS!A:A,A19,DATA_WITHOUT_GENUS!I:I, "&gt;0")</f>
        <v>10</v>
      </c>
      <c r="H19">
        <f>COUNTIFS(DATA_WITHOUT_GENUS!A:A,A19,DATA_WITHOUT_GENUS!J:J,TRUE)</f>
        <v>2</v>
      </c>
      <c r="I19" s="18">
        <f>SUMIFS(DATA_WITHOUT_GENUS!I:I,DATA_WITHOUT_GENUS!A:A,A19,DATA_WITHOUT_GENUS!J:J,TRUE)</f>
        <v>46</v>
      </c>
      <c r="J19">
        <f>_xlfn.MAXIFS(DATA_WITHOUT_GENUS!I:I,DATA_WITHOUT_GENUS!A:A,A19)</f>
        <v>44</v>
      </c>
      <c r="K19" s="18" t="str" cm="1">
        <f t="array" ref="K19">_xlfn._xlws.FILTER(DATA_WITHOUT_GENUS!D:D,(DATA_WITHOUT_GENUS!A:A=A19)*(DATA_WITHOUT_GENUS!I:I=J19)*ROW(DATA_WITHOUT_GENUS!D:D),0)</f>
        <v>Hydropsychidae</v>
      </c>
      <c r="L19" s="30">
        <f t="shared" si="33"/>
        <v>6</v>
      </c>
      <c r="M19">
        <f t="shared" si="34"/>
        <v>3</v>
      </c>
      <c r="N19" s="31">
        <f t="shared" si="35"/>
        <v>0</v>
      </c>
      <c r="O19" s="32">
        <f t="shared" si="36"/>
        <v>6</v>
      </c>
      <c r="P19">
        <f t="shared" si="37"/>
        <v>3</v>
      </c>
      <c r="Q19" s="100">
        <f t="shared" si="38"/>
        <v>18</v>
      </c>
      <c r="R19" s="15" t="str">
        <f t="shared" si="39"/>
        <v>Moderately Impaired</v>
      </c>
      <c r="AF19">
        <f t="shared" si="31"/>
        <v>2</v>
      </c>
      <c r="AG19">
        <f>ROUND((((COUNTIFS(DATA_WITHOUT_GENUS!A:A,A19,DATA_WITHOUT_GENUS!N:N,FALSE))/G19)*100),1)</f>
        <v>30</v>
      </c>
      <c r="AH19" s="23">
        <f>SUMIFS(DATA_WITHOUT_GENUS!I:I,DATA_WITHOUT_GENUS!A:A,A19,DATA_WITHOUT_GENUS!O:O,TRUE)</f>
        <v>2</v>
      </c>
      <c r="AI19">
        <f>COUNTIFS(DATA_WITHOUT_GENUS!A:A,A19,DATA_WITHOUT_GENUS!P:P,TRUE)</f>
        <v>3</v>
      </c>
      <c r="AJ19">
        <f t="shared" si="32"/>
        <v>3.8067421179358956</v>
      </c>
      <c r="AK19">
        <f t="shared" si="10"/>
        <v>16.007510330281256</v>
      </c>
      <c r="AL19" s="98">
        <f t="shared" si="11"/>
        <v>46.776396734687822</v>
      </c>
      <c r="AM19" t="str">
        <f t="shared" si="40"/>
        <v>Good</v>
      </c>
    </row>
    <row r="20" spans="1:39">
      <c r="A20" t="str">
        <f t="shared" si="0"/>
        <v>BD4_2004-03-25</v>
      </c>
      <c r="B20" s="73" t="s">
        <v>50</v>
      </c>
      <c r="C20" s="3">
        <v>38071</v>
      </c>
      <c r="D20">
        <f>SUMIF(DATA_WITHOUT_GENUS!A:A,A20,DATA_WITHOUT_GENUS!E:E)</f>
        <v>110</v>
      </c>
      <c r="E20">
        <f>SUMIF(DATA_WITHOUT_GENUS!A:A,A20,DATA_WITHOUT_GENUS!I:I)</f>
        <v>100</v>
      </c>
      <c r="F20" s="97">
        <f>SUMIFS(DATA_WITHOUT_GENUS!M:M,DATA_WITHOUT_GENUS!A:A,A20)/100</f>
        <v>4.5199999999999996</v>
      </c>
      <c r="G20" s="18">
        <f>COUNTIFS(DATA_WITHOUT_GENUS!A:A,A20,DATA_WITHOUT_GENUS!I:I, "&gt;0")</f>
        <v>17</v>
      </c>
      <c r="H20">
        <f>COUNTIFS(DATA_WITHOUT_GENUS!A:A,A20,DATA_WITHOUT_GENUS!J:J,TRUE)</f>
        <v>5</v>
      </c>
      <c r="I20" s="18">
        <f>SUMIFS(DATA_WITHOUT_GENUS!I:I,DATA_WITHOUT_GENUS!A:A,A20,DATA_WITHOUT_GENUS!J:J,TRUE)</f>
        <v>47</v>
      </c>
      <c r="J20">
        <f>_xlfn.MAXIFS(DATA_WITHOUT_GENUS!I:I,DATA_WITHOUT_GENUS!A:A,A20)</f>
        <v>34</v>
      </c>
      <c r="K20" s="18" t="str" cm="1">
        <f t="array" ref="K20">_xlfn._xlws.FILTER(DATA_WITHOUT_GENUS!D:D,(DATA_WITHOUT_GENUS!A:A=A20)*(DATA_WITHOUT_GENUS!I:I=J20)*ROW(DATA_WITHOUT_GENUS!D:D),0)</f>
        <v>Hydropsychidae</v>
      </c>
      <c r="L20" s="30">
        <f t="shared" si="33"/>
        <v>6</v>
      </c>
      <c r="M20">
        <f t="shared" si="34"/>
        <v>6</v>
      </c>
      <c r="N20" s="31">
        <f t="shared" si="35"/>
        <v>3</v>
      </c>
      <c r="O20" s="32">
        <f t="shared" si="36"/>
        <v>6</v>
      </c>
      <c r="P20">
        <f t="shared" si="37"/>
        <v>6</v>
      </c>
      <c r="Q20" s="100">
        <f t="shared" si="38"/>
        <v>27</v>
      </c>
      <c r="R20" s="15" t="str">
        <f t="shared" si="39"/>
        <v>Non-Impaired</v>
      </c>
      <c r="AF20">
        <f t="shared" si="31"/>
        <v>5</v>
      </c>
      <c r="AG20">
        <f>ROUND((((COUNTIFS(DATA_WITHOUT_GENUS!A:A,A20,DATA_WITHOUT_GENUS!N:N,FALSE))/G20)*100),1)</f>
        <v>17.600000000000001</v>
      </c>
      <c r="AH20" s="23">
        <f>SUMIFS(DATA_WITHOUT_GENUS!I:I,DATA_WITHOUT_GENUS!A:A,A20,DATA_WITHOUT_GENUS!O:O,TRUE)</f>
        <v>13</v>
      </c>
      <c r="AI20">
        <f>COUNTIFS(DATA_WITHOUT_GENUS!A:A,A20,DATA_WITHOUT_GENUS!P:P,TRUE)</f>
        <v>4</v>
      </c>
      <c r="AJ20">
        <f t="shared" si="32"/>
        <v>3.7767421179358962</v>
      </c>
      <c r="AK20">
        <f t="shared" si="10"/>
        <v>27.007510330281256</v>
      </c>
      <c r="AL20" s="98">
        <f t="shared" si="11"/>
        <v>62.479820094081333</v>
      </c>
      <c r="AM20" t="str">
        <f t="shared" si="40"/>
        <v>Good</v>
      </c>
    </row>
    <row r="21" spans="1:39">
      <c r="A21" t="str">
        <f t="shared" si="0"/>
        <v>BD4_2004-07-24</v>
      </c>
      <c r="B21" s="73" t="s">
        <v>50</v>
      </c>
      <c r="C21" s="3">
        <v>38192</v>
      </c>
      <c r="D21">
        <f>SUMIF(DATA_WITHOUT_GENUS!A:A,A21,DATA_WITHOUT_GENUS!E:E)</f>
        <v>143</v>
      </c>
      <c r="E21">
        <f>SUMIF(DATA_WITHOUT_GENUS!A:A,A21,DATA_WITHOUT_GENUS!I:I)</f>
        <v>100</v>
      </c>
      <c r="F21" s="97">
        <f>SUMIFS(DATA_WITHOUT_GENUS!M:M,DATA_WITHOUT_GENUS!A:A,A21)/100</f>
        <v>4.4400000000000004</v>
      </c>
      <c r="G21" s="18">
        <f>COUNTIFS(DATA_WITHOUT_GENUS!A:A,A21,DATA_WITHOUT_GENUS!I:I, "&gt;0")</f>
        <v>13</v>
      </c>
      <c r="H21">
        <f>COUNTIFS(DATA_WITHOUT_GENUS!A:A,A21,DATA_WITHOUT_GENUS!J:J,TRUE)</f>
        <v>3</v>
      </c>
      <c r="I21" s="18">
        <f>SUMIFS(DATA_WITHOUT_GENUS!I:I,DATA_WITHOUT_GENUS!A:A,A21,DATA_WITHOUT_GENUS!J:J,TRUE)</f>
        <v>52</v>
      </c>
      <c r="J21">
        <f>_xlfn.MAXIFS(DATA_WITHOUT_GENUS!I:I,DATA_WITHOUT_GENUS!A:A,A21)</f>
        <v>46</v>
      </c>
      <c r="K21" s="18" t="str" cm="1">
        <f t="array" ref="K21">_xlfn._xlws.FILTER(DATA_WITHOUT_GENUS!D:D,(DATA_WITHOUT_GENUS!A:A=A21)*(DATA_WITHOUT_GENUS!I:I=J21)*ROW(DATA_WITHOUT_GENUS!D:D),0)</f>
        <v>Hydropsychidae</v>
      </c>
      <c r="L21" s="30">
        <f t="shared" si="33"/>
        <v>6</v>
      </c>
      <c r="M21">
        <f t="shared" si="34"/>
        <v>6</v>
      </c>
      <c r="N21" s="31">
        <f t="shared" si="35"/>
        <v>3</v>
      </c>
      <c r="O21" s="32">
        <f t="shared" si="36"/>
        <v>6</v>
      </c>
      <c r="P21">
        <f t="shared" si="37"/>
        <v>3</v>
      </c>
      <c r="Q21" s="100">
        <f t="shared" si="38"/>
        <v>24</v>
      </c>
      <c r="R21" s="15" t="str">
        <f t="shared" si="39"/>
        <v>Non-Impaired</v>
      </c>
      <c r="AF21">
        <f t="shared" si="31"/>
        <v>3</v>
      </c>
      <c r="AG21">
        <f>ROUND((((COUNTIFS(DATA_WITHOUT_GENUS!A:A,A21,DATA_WITHOUT_GENUS!N:N,FALSE))/G21)*100),1)</f>
        <v>23.1</v>
      </c>
      <c r="AH21" s="23">
        <f>SUMIFS(DATA_WITHOUT_GENUS!I:I,DATA_WITHOUT_GENUS!A:A,A21,DATA_WITHOUT_GENUS!O:O,TRUE)</f>
        <v>6</v>
      </c>
      <c r="AI21">
        <f>COUNTIFS(DATA_WITHOUT_GENUS!A:A,A21,DATA_WITHOUT_GENUS!P:P,TRUE)</f>
        <v>3</v>
      </c>
      <c r="AJ21">
        <f t="shared" si="32"/>
        <v>3.6967421179358961</v>
      </c>
      <c r="AK21">
        <f t="shared" si="10"/>
        <v>20.007510330281256</v>
      </c>
      <c r="AL21" s="98">
        <f t="shared" si="11"/>
        <v>52.377569442576942</v>
      </c>
      <c r="AM21" t="str">
        <f t="shared" si="40"/>
        <v>Good</v>
      </c>
    </row>
    <row r="22" spans="1:39">
      <c r="A22" t="str">
        <f t="shared" si="0"/>
        <v>BD4_2004-10-16</v>
      </c>
      <c r="B22" s="73" t="s">
        <v>50</v>
      </c>
      <c r="C22" s="3">
        <v>38276</v>
      </c>
      <c r="D22">
        <f>SUMIF(DATA_WITHOUT_GENUS!A:A,A22,DATA_WITHOUT_GENUS!E:E)</f>
        <v>114</v>
      </c>
      <c r="E22">
        <f>SUMIF(DATA_WITHOUT_GENUS!A:A,A22,DATA_WITHOUT_GENUS!I:I)</f>
        <v>100</v>
      </c>
      <c r="F22" s="97">
        <f>SUMIFS(DATA_WITHOUT_GENUS!M:M,DATA_WITHOUT_GENUS!A:A,A22)/100</f>
        <v>4.2</v>
      </c>
      <c r="G22" s="18">
        <f>COUNTIFS(DATA_WITHOUT_GENUS!A:A,A22,DATA_WITHOUT_GENUS!I:I, "&gt;0")</f>
        <v>11</v>
      </c>
      <c r="H22">
        <f>COUNTIFS(DATA_WITHOUT_GENUS!A:A,A22,DATA_WITHOUT_GENUS!J:J,TRUE)</f>
        <v>2</v>
      </c>
      <c r="I22" s="18">
        <f>SUMIFS(DATA_WITHOUT_GENUS!I:I,DATA_WITHOUT_GENUS!A:A,A22,DATA_WITHOUT_GENUS!J:J,TRUE)</f>
        <v>63</v>
      </c>
      <c r="J22">
        <f>_xlfn.MAXIFS(DATA_WITHOUT_GENUS!I:I,DATA_WITHOUT_GENUS!A:A,A22)</f>
        <v>59</v>
      </c>
      <c r="K22" s="18" t="str" cm="1">
        <f t="array" ref="K22">_xlfn._xlws.FILTER(DATA_WITHOUT_GENUS!D:D,(DATA_WITHOUT_GENUS!A:A=A22)*(DATA_WITHOUT_GENUS!I:I=J22)*ROW(DATA_WITHOUT_GENUS!D:D),0)</f>
        <v>Hydropsychidae</v>
      </c>
      <c r="L22" s="30">
        <f t="shared" si="33"/>
        <v>6</v>
      </c>
      <c r="M22">
        <f t="shared" si="34"/>
        <v>6</v>
      </c>
      <c r="N22" s="31">
        <f t="shared" si="35"/>
        <v>0</v>
      </c>
      <c r="O22" s="32">
        <f t="shared" si="36"/>
        <v>6</v>
      </c>
      <c r="P22">
        <f t="shared" si="37"/>
        <v>3</v>
      </c>
      <c r="Q22" s="100">
        <f t="shared" si="38"/>
        <v>21</v>
      </c>
      <c r="R22" s="15" t="str">
        <f t="shared" si="39"/>
        <v>Moderately Impaired</v>
      </c>
      <c r="AF22">
        <f t="shared" si="31"/>
        <v>2</v>
      </c>
      <c r="AG22">
        <f>ROUND((((COUNTIFS(DATA_WITHOUT_GENUS!A:A,A22,DATA_WITHOUT_GENUS!N:N,FALSE))/G22)*100),1)</f>
        <v>27.3</v>
      </c>
      <c r="AH22" s="23">
        <f>SUMIFS(DATA_WITHOUT_GENUS!I:I,DATA_WITHOUT_GENUS!A:A,A22,DATA_WITHOUT_GENUS!O:O,TRUE)</f>
        <v>4</v>
      </c>
      <c r="AI22">
        <f>COUNTIFS(DATA_WITHOUT_GENUS!A:A,A22,DATA_WITHOUT_GENUS!P:P,TRUE)</f>
        <v>3</v>
      </c>
      <c r="AJ22">
        <f t="shared" si="32"/>
        <v>3.4567421179358959</v>
      </c>
      <c r="AK22">
        <f t="shared" si="10"/>
        <v>18.007510330281256</v>
      </c>
      <c r="AL22" s="98">
        <f t="shared" si="11"/>
        <v>49.980554517203814</v>
      </c>
      <c r="AM22" t="str">
        <f t="shared" si="40"/>
        <v>Good</v>
      </c>
    </row>
    <row r="23" spans="1:39">
      <c r="A23" t="str">
        <f t="shared" si="0"/>
        <v>BD4_2005-03-19</v>
      </c>
      <c r="B23" s="73" t="s">
        <v>50</v>
      </c>
      <c r="C23" s="3">
        <v>38430</v>
      </c>
      <c r="D23">
        <f>SUMIF(DATA_WITHOUT_GENUS!A:A,A23,DATA_WITHOUT_GENUS!E:E)</f>
        <v>115</v>
      </c>
      <c r="E23">
        <f>SUMIF(DATA_WITHOUT_GENUS!A:A,A23,DATA_WITHOUT_GENUS!I:I)</f>
        <v>100</v>
      </c>
      <c r="F23" s="97">
        <f>SUMIFS(DATA_WITHOUT_GENUS!M:M,DATA_WITHOUT_GENUS!A:A,A23)/100</f>
        <v>4.72</v>
      </c>
      <c r="G23" s="18">
        <f>COUNTIFS(DATA_WITHOUT_GENUS!A:A,A23,DATA_WITHOUT_GENUS!I:I, "&gt;0")</f>
        <v>20</v>
      </c>
      <c r="H23">
        <f>COUNTIFS(DATA_WITHOUT_GENUS!A:A,A23,DATA_WITHOUT_GENUS!J:J,TRUE)</f>
        <v>6</v>
      </c>
      <c r="I23" s="18">
        <f>SUMIFS(DATA_WITHOUT_GENUS!I:I,DATA_WITHOUT_GENUS!A:A,A23,DATA_WITHOUT_GENUS!J:J,TRUE)</f>
        <v>43</v>
      </c>
      <c r="J23">
        <f>_xlfn.MAXIFS(DATA_WITHOUT_GENUS!I:I,DATA_WITHOUT_GENUS!A:A,A23)</f>
        <v>26</v>
      </c>
      <c r="K23" s="18" t="str" cm="1">
        <f t="array" ref="K23">_xlfn._xlws.FILTER(DATA_WITHOUT_GENUS!D:D,(DATA_WITHOUT_GENUS!A:A=A23)*(DATA_WITHOUT_GENUS!I:I=J23)*ROW(DATA_WITHOUT_GENUS!D:D),0)</f>
        <v>Hydropsychidae</v>
      </c>
      <c r="L23" s="30">
        <f t="shared" si="33"/>
        <v>6</v>
      </c>
      <c r="M23">
        <f t="shared" si="34"/>
        <v>6</v>
      </c>
      <c r="N23" s="31">
        <f t="shared" si="35"/>
        <v>6</v>
      </c>
      <c r="O23" s="32">
        <f t="shared" si="36"/>
        <v>6</v>
      </c>
      <c r="P23">
        <f t="shared" si="37"/>
        <v>6</v>
      </c>
      <c r="Q23" s="100">
        <f t="shared" si="38"/>
        <v>30</v>
      </c>
      <c r="R23" s="15" t="str">
        <f t="shared" si="39"/>
        <v>Non-Impaired</v>
      </c>
      <c r="AF23">
        <f t="shared" si="31"/>
        <v>6</v>
      </c>
      <c r="AG23">
        <f>ROUND((((COUNTIFS(DATA_WITHOUT_GENUS!A:A,A23,DATA_WITHOUT_GENUS!N:N,FALSE))/G23)*100),1)</f>
        <v>35</v>
      </c>
      <c r="AH23" s="23">
        <f>SUMIFS(DATA_WITHOUT_GENUS!I:I,DATA_WITHOUT_GENUS!A:A,A23,DATA_WITHOUT_GENUS!O:O,TRUE)</f>
        <v>17</v>
      </c>
      <c r="AI23">
        <f>COUNTIFS(DATA_WITHOUT_GENUS!A:A,A23,DATA_WITHOUT_GENUS!P:P,TRUE)</f>
        <v>3</v>
      </c>
      <c r="AJ23">
        <f t="shared" si="32"/>
        <v>3.9767421179358955</v>
      </c>
      <c r="AK23">
        <f t="shared" si="10"/>
        <v>31.007510330281256</v>
      </c>
      <c r="AL23" s="98">
        <f t="shared" si="11"/>
        <v>55.483373754351405</v>
      </c>
      <c r="AM23" t="str">
        <f t="shared" si="40"/>
        <v>Good</v>
      </c>
    </row>
    <row r="24" spans="1:39">
      <c r="A24" t="str">
        <f t="shared" si="0"/>
        <v>BD4_2005-07-23</v>
      </c>
      <c r="B24" s="73" t="s">
        <v>50</v>
      </c>
      <c r="C24" s="3">
        <v>38556</v>
      </c>
      <c r="D24">
        <f>SUMIF(DATA_WITHOUT_GENUS!A:A,A24,DATA_WITHOUT_GENUS!E:E)</f>
        <v>124</v>
      </c>
      <c r="E24">
        <f>SUMIF(DATA_WITHOUT_GENUS!A:A,A24,DATA_WITHOUT_GENUS!I:I)</f>
        <v>100</v>
      </c>
      <c r="F24" s="97">
        <f>SUMIFS(DATA_WITHOUT_GENUS!M:M,DATA_WITHOUT_GENUS!A:A,A24)/100</f>
        <v>4.08</v>
      </c>
      <c r="G24" s="18">
        <f>COUNTIFS(DATA_WITHOUT_GENUS!A:A,A24,DATA_WITHOUT_GENUS!I:I, "&gt;0")</f>
        <v>14</v>
      </c>
      <c r="H24">
        <f>COUNTIFS(DATA_WITHOUT_GENUS!A:A,A24,DATA_WITHOUT_GENUS!J:J,TRUE)</f>
        <v>4</v>
      </c>
      <c r="I24" s="18">
        <f>SUMIFS(DATA_WITHOUT_GENUS!I:I,DATA_WITHOUT_GENUS!A:A,A24,DATA_WITHOUT_GENUS!J:J,TRUE)</f>
        <v>65</v>
      </c>
      <c r="J24">
        <f>_xlfn.MAXIFS(DATA_WITHOUT_GENUS!I:I,DATA_WITHOUT_GENUS!A:A,A24)</f>
        <v>52</v>
      </c>
      <c r="K24" s="18" t="str" cm="1">
        <f t="array" ref="K24">_xlfn._xlws.FILTER(DATA_WITHOUT_GENUS!D:D,(DATA_WITHOUT_GENUS!A:A=A24)*(DATA_WITHOUT_GENUS!I:I=J24)*ROW(DATA_WITHOUT_GENUS!D:D),0)</f>
        <v>Hydropsychidae</v>
      </c>
      <c r="L24" s="30">
        <f t="shared" ref="L24:L25" si="41">IF(F24="","",IF(F24&gt;7,0,IF(F24&lt;5,6,IF(F24&lt;=7,3))))</f>
        <v>6</v>
      </c>
      <c r="M24">
        <f t="shared" ref="M24:M25" si="42">IF(G24="","",IF(G24&gt;10,6,IF(G24&lt;5,0,IF(G24&lt;=10,3))))</f>
        <v>6</v>
      </c>
      <c r="N24" s="31">
        <f t="shared" ref="N24:N25" si="43">IF(H24="","",IF(H24&gt;5,6,IF(H24&lt;3,0,IF(H24&lt;=5,3))))</f>
        <v>3</v>
      </c>
      <c r="O24" s="32">
        <f t="shared" ref="O24:O25" si="44">IF(I24="","",IF(I24&gt;35,6,IF(I24&lt;10,0,IF(I24&lt;=35,3,IF(I24&lt;10,0)))))</f>
        <v>6</v>
      </c>
      <c r="P24">
        <f t="shared" ref="P24:P25" si="45">IF(J24="","",IF(J24&gt;60,0,IF(J24&lt;40,6,IF(J24&lt;=60,3))))</f>
        <v>3</v>
      </c>
      <c r="Q24" s="100">
        <f t="shared" ref="Q24:Q25" si="46">SUM(L24:P24)</f>
        <v>24</v>
      </c>
      <c r="R24" s="15" t="str">
        <f t="shared" si="39"/>
        <v>Non-Impaired</v>
      </c>
      <c r="AF24">
        <f t="shared" si="31"/>
        <v>4</v>
      </c>
      <c r="AG24">
        <f>ROUND((((COUNTIFS(DATA_WITHOUT_GENUS!A:A,A24,DATA_WITHOUT_GENUS!N:N,FALSE))/G24)*100),1)</f>
        <v>21.4</v>
      </c>
      <c r="AH24" s="23">
        <f>SUMIFS(DATA_WITHOUT_GENUS!I:I,DATA_WITHOUT_GENUS!A:A,A24,DATA_WITHOUT_GENUS!O:O,TRUE)</f>
        <v>13</v>
      </c>
      <c r="AI24">
        <f>COUNTIFS(DATA_WITHOUT_GENUS!A:A,A24,DATA_WITHOUT_GENUS!P:P,TRUE)</f>
        <v>3</v>
      </c>
      <c r="AJ24">
        <f t="shared" si="32"/>
        <v>3.3367421179358949</v>
      </c>
      <c r="AK24">
        <f t="shared" si="10"/>
        <v>27.007510330281256</v>
      </c>
      <c r="AL24" s="98">
        <f t="shared" si="11"/>
        <v>58.473470887732127</v>
      </c>
      <c r="AM24" t="str">
        <f t="shared" si="40"/>
        <v>Good</v>
      </c>
    </row>
    <row r="25" spans="1:39">
      <c r="A25" t="str">
        <f t="shared" si="0"/>
        <v>BD4_2006-03-18</v>
      </c>
      <c r="B25" s="73" t="s">
        <v>50</v>
      </c>
      <c r="C25" s="3">
        <v>38794</v>
      </c>
      <c r="D25">
        <f>SUMIF(DATA_WITHOUT_GENUS!A:A,A25,DATA_WITHOUT_GENUS!E:E)</f>
        <v>118</v>
      </c>
      <c r="E25">
        <f>SUMIF(DATA_WITHOUT_GENUS!A:A,A25,DATA_WITHOUT_GENUS!I:I)</f>
        <v>100</v>
      </c>
      <c r="F25" s="97">
        <f>SUMIFS(DATA_WITHOUT_GENUS!M:M,DATA_WITHOUT_GENUS!A:A,A25)/100</f>
        <v>5.67</v>
      </c>
      <c r="G25" s="18">
        <f>COUNTIFS(DATA_WITHOUT_GENUS!A:A,A25,DATA_WITHOUT_GENUS!I:I, "&gt;0")</f>
        <v>9</v>
      </c>
      <c r="H25">
        <f>COUNTIFS(DATA_WITHOUT_GENUS!A:A,A25,DATA_WITHOUT_GENUS!J:J,TRUE)</f>
        <v>4</v>
      </c>
      <c r="I25" s="18">
        <f>SUMIFS(DATA_WITHOUT_GENUS!I:I,DATA_WITHOUT_GENUS!A:A,A25,DATA_WITHOUT_GENUS!J:J,TRUE)</f>
        <v>11</v>
      </c>
      <c r="J25">
        <f>_xlfn.MAXIFS(DATA_WITHOUT_GENUS!I:I,DATA_WITHOUT_GENUS!A:A,A25)</f>
        <v>74</v>
      </c>
      <c r="K25" s="18" t="str" cm="1">
        <f t="array" ref="K25">_xlfn._xlws.FILTER(DATA_WITHOUT_GENUS!D:D,(DATA_WITHOUT_GENUS!A:A=A25)*(DATA_WITHOUT_GENUS!I:I=J25)*ROW(DATA_WITHOUT_GENUS!D:D),0)</f>
        <v>Simuliidae</v>
      </c>
      <c r="L25" s="30">
        <f t="shared" si="41"/>
        <v>3</v>
      </c>
      <c r="M25">
        <f t="shared" si="42"/>
        <v>3</v>
      </c>
      <c r="N25" s="31">
        <f t="shared" si="43"/>
        <v>3</v>
      </c>
      <c r="O25" s="32">
        <f t="shared" si="44"/>
        <v>3</v>
      </c>
      <c r="P25">
        <f t="shared" si="45"/>
        <v>0</v>
      </c>
      <c r="Q25" s="100">
        <f t="shared" si="46"/>
        <v>12</v>
      </c>
      <c r="R25" s="15" t="str">
        <f t="shared" si="39"/>
        <v>Moderately Impaired</v>
      </c>
      <c r="AF25">
        <f t="shared" si="31"/>
        <v>4</v>
      </c>
      <c r="AG25">
        <f>ROUND((((COUNTIFS(DATA_WITHOUT_GENUS!A:A,A25,DATA_WITHOUT_GENUS!N:N,FALSE))/G25)*100),1)</f>
        <v>11.1</v>
      </c>
      <c r="AH25" s="23">
        <f>SUMIFS(DATA_WITHOUT_GENUS!I:I,DATA_WITHOUT_GENUS!A:A,A25,DATA_WITHOUT_GENUS!O:O,TRUE)</f>
        <v>9</v>
      </c>
      <c r="AI25">
        <f>COUNTIFS(DATA_WITHOUT_GENUS!A:A,A25,DATA_WITHOUT_GENUS!P:P,TRUE)</f>
        <v>2</v>
      </c>
      <c r="AJ25">
        <f t="shared" si="32"/>
        <v>4.9267421179358948</v>
      </c>
      <c r="AK25">
        <f t="shared" si="10"/>
        <v>23.007510330281256</v>
      </c>
      <c r="AL25" s="98">
        <f t="shared" si="11"/>
        <v>49.265948973493799</v>
      </c>
      <c r="AM25" t="str">
        <f t="shared" si="40"/>
        <v>Good</v>
      </c>
    </row>
    <row r="26" spans="1:39">
      <c r="A26" t="str">
        <f t="shared" ref="A26:A48" si="47">B26&amp;"_"&amp;TEXT(C26,"yyyy-mm-dd")</f>
        <v>BD4_2006-07-15</v>
      </c>
      <c r="B26" s="73" t="s">
        <v>50</v>
      </c>
      <c r="C26" s="3">
        <v>38913</v>
      </c>
      <c r="D26">
        <f>SUMIF(DATA_WITHOUT_GENUS!A:A,A26,DATA_WITHOUT_GENUS!E:E)</f>
        <v>111</v>
      </c>
      <c r="E26">
        <f>SUMIF(DATA_WITHOUT_GENUS!A:A,A26,DATA_WITHOUT_GENUS!I:I)</f>
        <v>100</v>
      </c>
      <c r="F26" s="97">
        <f>SUMIFS(DATA_WITHOUT_GENUS!M:M,DATA_WITHOUT_GENUS!A:A,A26)/100</f>
        <v>3.95</v>
      </c>
      <c r="G26" s="18">
        <f>COUNTIFS(DATA_WITHOUT_GENUS!A:A,A26,DATA_WITHOUT_GENUS!I:I, "&gt;0")</f>
        <v>14</v>
      </c>
      <c r="H26">
        <f>COUNTIFS(DATA_WITHOUT_GENUS!A:A,A26,DATA_WITHOUT_GENUS!J:J,TRUE)</f>
        <v>4</v>
      </c>
      <c r="I26" s="18">
        <f>SUMIFS(DATA_WITHOUT_GENUS!I:I,DATA_WITHOUT_GENUS!A:A,A26,DATA_WITHOUT_GENUS!J:J,TRUE)</f>
        <v>47</v>
      </c>
      <c r="J26">
        <f>_xlfn.MAXIFS(DATA_WITHOUT_GENUS!I:I,DATA_WITHOUT_GENUS!A:A,A26)</f>
        <v>40</v>
      </c>
      <c r="K26" s="18" t="str" cm="1">
        <f t="array" ref="K26">_xlfn._xlws.FILTER(DATA_WITHOUT_GENUS!D:D,(DATA_WITHOUT_GENUS!A:A=A26)*(DATA_WITHOUT_GENUS!I:I=J26)*ROW(DATA_WITHOUT_GENUS!D:D),0)</f>
        <v>Hydropsychidae</v>
      </c>
      <c r="L26" s="30">
        <f t="shared" ref="L26:L36" si="48">IF(F26="","",IF(F26&gt;7,0,IF(F26&lt;5,6,IF(F26&lt;=7,3))))</f>
        <v>6</v>
      </c>
      <c r="M26">
        <f t="shared" ref="M26:M36" si="49">IF(G26="","",IF(G26&gt;10,6,IF(G26&lt;5,0,IF(G26&lt;=10,3))))</f>
        <v>6</v>
      </c>
      <c r="N26" s="31">
        <f t="shared" ref="N26:N36" si="50">IF(H26="","",IF(H26&gt;5,6,IF(H26&lt;3,0,IF(H26&lt;=5,3))))</f>
        <v>3</v>
      </c>
      <c r="O26" s="32">
        <f t="shared" ref="O26:O36" si="51">IF(I26="","",IF(I26&gt;35,6,IF(I26&lt;10,0,IF(I26&lt;=35,3,IF(I26&lt;10,0)))))</f>
        <v>6</v>
      </c>
      <c r="P26">
        <f t="shared" ref="P26:P36" si="52">IF(J26="","",IF(J26&gt;60,0,IF(J26&lt;40,6,IF(J26&lt;=60,3))))</f>
        <v>3</v>
      </c>
      <c r="Q26" s="100">
        <f t="shared" ref="Q26:Q36" si="53">SUM(L26:P26)</f>
        <v>24</v>
      </c>
      <c r="R26" s="15" t="str">
        <f t="shared" si="39"/>
        <v>Non-Impaired</v>
      </c>
      <c r="AF26">
        <f t="shared" si="31"/>
        <v>4</v>
      </c>
      <c r="AG26">
        <f>ROUND((((COUNTIFS(DATA_WITHOUT_GENUS!A:A,A26,DATA_WITHOUT_GENUS!N:N,FALSE))/G26)*100),1)</f>
        <v>21.4</v>
      </c>
      <c r="AH26" s="23">
        <f>SUMIFS(DATA_WITHOUT_GENUS!I:I,DATA_WITHOUT_GENUS!A:A,A26,DATA_WITHOUT_GENUS!O:O,TRUE)</f>
        <v>7</v>
      </c>
      <c r="AI26">
        <f>COUNTIFS(DATA_WITHOUT_GENUS!A:A,A26,DATA_WITHOUT_GENUS!P:P,TRUE)</f>
        <v>4</v>
      </c>
      <c r="AJ26">
        <f t="shared" si="32"/>
        <v>3.2067421179358959</v>
      </c>
      <c r="AK26">
        <f t="shared" si="10"/>
        <v>21.007510330281256</v>
      </c>
      <c r="AL26" s="98">
        <f t="shared" si="11"/>
        <v>60.665759444946062</v>
      </c>
      <c r="AM26" t="str">
        <f t="shared" si="40"/>
        <v>Good</v>
      </c>
    </row>
    <row r="27" spans="1:39">
      <c r="A27" t="str">
        <f t="shared" si="47"/>
        <v>BD4_2006-10-14</v>
      </c>
      <c r="B27" s="73" t="s">
        <v>50</v>
      </c>
      <c r="C27" s="3">
        <v>39004</v>
      </c>
      <c r="D27">
        <f>SUMIF(DATA_WITHOUT_GENUS!A:A,A27,DATA_WITHOUT_GENUS!E:E)</f>
        <v>160</v>
      </c>
      <c r="E27">
        <f>SUMIF(DATA_WITHOUT_GENUS!A:A,A27,DATA_WITHOUT_GENUS!I:I)</f>
        <v>100</v>
      </c>
      <c r="F27" s="97">
        <f>SUMIFS(DATA_WITHOUT_GENUS!M:M,DATA_WITHOUT_GENUS!A:A,A27)/100</f>
        <v>4.0999999999999996</v>
      </c>
      <c r="G27" s="18">
        <f>COUNTIFS(DATA_WITHOUT_GENUS!A:A,A27,DATA_WITHOUT_GENUS!I:I, "&gt;0")</f>
        <v>8</v>
      </c>
      <c r="H27">
        <f>COUNTIFS(DATA_WITHOUT_GENUS!A:A,A27,DATA_WITHOUT_GENUS!J:J,TRUE)</f>
        <v>3</v>
      </c>
      <c r="I27" s="18">
        <f>SUMIFS(DATA_WITHOUT_GENUS!I:I,DATA_WITHOUT_GENUS!A:A,A27,DATA_WITHOUT_GENUS!J:J,TRUE)</f>
        <v>78</v>
      </c>
      <c r="J27">
        <f>_xlfn.MAXIFS(DATA_WITHOUT_GENUS!I:I,DATA_WITHOUT_GENUS!A:A,A27)</f>
        <v>72</v>
      </c>
      <c r="K27" s="18" t="str" cm="1">
        <f t="array" ref="K27">_xlfn._xlws.FILTER(DATA_WITHOUT_GENUS!D:D,(DATA_WITHOUT_GENUS!A:A=A27)*(DATA_WITHOUT_GENUS!I:I=J27)*ROW(DATA_WITHOUT_GENUS!D:D),0)</f>
        <v>Hydropsychidae</v>
      </c>
      <c r="L27" s="30">
        <f t="shared" si="48"/>
        <v>6</v>
      </c>
      <c r="M27">
        <f t="shared" si="49"/>
        <v>3</v>
      </c>
      <c r="N27" s="31">
        <f t="shared" si="50"/>
        <v>3</v>
      </c>
      <c r="O27" s="32">
        <f t="shared" si="51"/>
        <v>6</v>
      </c>
      <c r="P27">
        <f t="shared" si="52"/>
        <v>0</v>
      </c>
      <c r="Q27" s="100">
        <f t="shared" si="53"/>
        <v>18</v>
      </c>
      <c r="R27" s="15" t="str">
        <f t="shared" si="39"/>
        <v>Moderately Impaired</v>
      </c>
      <c r="AF27">
        <f t="shared" si="31"/>
        <v>3</v>
      </c>
      <c r="AG27">
        <f>ROUND((((COUNTIFS(DATA_WITHOUT_GENUS!A:A,A27,DATA_WITHOUT_GENUS!N:N,FALSE))/G27)*100),1)</f>
        <v>25</v>
      </c>
      <c r="AH27" s="23">
        <f>SUMIFS(DATA_WITHOUT_GENUS!I:I,DATA_WITHOUT_GENUS!A:A,A27,DATA_WITHOUT_GENUS!O:O,TRUE)</f>
        <v>6</v>
      </c>
      <c r="AI27">
        <f>COUNTIFS(DATA_WITHOUT_GENUS!A:A,A27,DATA_WITHOUT_GENUS!P:P,TRUE)</f>
        <v>2</v>
      </c>
      <c r="AJ27">
        <f t="shared" si="32"/>
        <v>3.3567421179358945</v>
      </c>
      <c r="AK27">
        <f t="shared" si="10"/>
        <v>20.007510330281256</v>
      </c>
      <c r="AL27" s="98">
        <f t="shared" si="11"/>
        <v>50.141061506069022</v>
      </c>
      <c r="AM27" t="str">
        <f t="shared" si="40"/>
        <v>Good</v>
      </c>
    </row>
    <row r="28" spans="1:39">
      <c r="A28" t="str">
        <f t="shared" si="47"/>
        <v>BD4_2007-03-17</v>
      </c>
      <c r="B28" s="73" t="s">
        <v>50</v>
      </c>
      <c r="C28" s="3">
        <v>39158</v>
      </c>
      <c r="D28">
        <f>SUMIF(DATA_WITHOUT_GENUS!A:A,A28,DATA_WITHOUT_GENUS!E:E)</f>
        <v>144</v>
      </c>
      <c r="E28">
        <f>SUMIF(DATA_WITHOUT_GENUS!A:A,A28,DATA_WITHOUT_GENUS!I:I)</f>
        <v>100</v>
      </c>
      <c r="F28" s="97">
        <f>SUMIFS(DATA_WITHOUT_GENUS!M:M,DATA_WITHOUT_GENUS!A:A,A28)/100</f>
        <v>4.6500000000000004</v>
      </c>
      <c r="G28" s="18">
        <f>COUNTIFS(DATA_WITHOUT_GENUS!A:A,A28,DATA_WITHOUT_GENUS!I:I, "&gt;0")</f>
        <v>20</v>
      </c>
      <c r="H28">
        <f>COUNTIFS(DATA_WITHOUT_GENUS!A:A,A28,DATA_WITHOUT_GENUS!J:J,TRUE)</f>
        <v>8</v>
      </c>
      <c r="I28" s="18">
        <f>SUMIFS(DATA_WITHOUT_GENUS!I:I,DATA_WITHOUT_GENUS!A:A,A28,DATA_WITHOUT_GENUS!J:J,TRUE)</f>
        <v>55</v>
      </c>
      <c r="J28">
        <f>_xlfn.MAXIFS(DATA_WITHOUT_GENUS!I:I,DATA_WITHOUT_GENUS!A:A,A28)</f>
        <v>44</v>
      </c>
      <c r="K28" s="18" t="str" cm="1">
        <f t="array" ref="K28">_xlfn._xlws.FILTER(DATA_WITHOUT_GENUS!D:D,(DATA_WITHOUT_GENUS!A:A=A28)*(DATA_WITHOUT_GENUS!I:I=J28)*ROW(DATA_WITHOUT_GENUS!D:D),0)</f>
        <v>Hydropsychidae</v>
      </c>
      <c r="L28" s="30">
        <f t="shared" si="48"/>
        <v>6</v>
      </c>
      <c r="M28">
        <f t="shared" si="49"/>
        <v>6</v>
      </c>
      <c r="N28" s="31">
        <f t="shared" si="50"/>
        <v>6</v>
      </c>
      <c r="O28" s="32">
        <f t="shared" si="51"/>
        <v>6</v>
      </c>
      <c r="P28">
        <f t="shared" si="52"/>
        <v>3</v>
      </c>
      <c r="Q28" s="100">
        <f t="shared" si="53"/>
        <v>27</v>
      </c>
      <c r="R28" s="15" t="str">
        <f t="shared" si="39"/>
        <v>Non-Impaired</v>
      </c>
      <c r="AF28">
        <f t="shared" si="31"/>
        <v>8</v>
      </c>
      <c r="AG28">
        <f>ROUND((((COUNTIFS(DATA_WITHOUT_GENUS!A:A,A28,DATA_WITHOUT_GENUS!N:N,FALSE))/G28)*100),1)</f>
        <v>15</v>
      </c>
      <c r="AH28" s="23">
        <f>SUMIFS(DATA_WITHOUT_GENUS!I:I,DATA_WITHOUT_GENUS!A:A,A28,DATA_WITHOUT_GENUS!O:O,TRUE)</f>
        <v>11</v>
      </c>
      <c r="AI28">
        <f>COUNTIFS(DATA_WITHOUT_GENUS!A:A,A28,DATA_WITHOUT_GENUS!P:P,TRUE)</f>
        <v>2</v>
      </c>
      <c r="AJ28">
        <f t="shared" si="32"/>
        <v>3.9067421179358952</v>
      </c>
      <c r="AK28">
        <f t="shared" si="10"/>
        <v>25.007510330281256</v>
      </c>
      <c r="AL28" s="98">
        <f t="shared" si="11"/>
        <v>60.391535327438362</v>
      </c>
      <c r="AM28" t="str">
        <f t="shared" si="40"/>
        <v>Good</v>
      </c>
    </row>
    <row r="29" spans="1:39">
      <c r="A29" t="str">
        <f t="shared" si="47"/>
        <v>BD4_2007-07-21</v>
      </c>
      <c r="B29" s="73" t="s">
        <v>50</v>
      </c>
      <c r="C29" s="3">
        <v>39284</v>
      </c>
      <c r="D29">
        <f>SUMIF(DATA_WITHOUT_GENUS!A:A,A29,DATA_WITHOUT_GENUS!E:E)</f>
        <v>151</v>
      </c>
      <c r="E29">
        <f>SUMIF(DATA_WITHOUT_GENUS!A:A,A29,DATA_WITHOUT_GENUS!I:I)</f>
        <v>100</v>
      </c>
      <c r="F29" s="97">
        <f>SUMIFS(DATA_WITHOUT_GENUS!M:M,DATA_WITHOUT_GENUS!A:A,A29)/100</f>
        <v>4.08</v>
      </c>
      <c r="G29" s="18">
        <f>COUNTIFS(DATA_WITHOUT_GENUS!A:A,A29,DATA_WITHOUT_GENUS!I:I, "&gt;0")</f>
        <v>12</v>
      </c>
      <c r="H29">
        <f>COUNTIFS(DATA_WITHOUT_GENUS!A:A,A29,DATA_WITHOUT_GENUS!J:J,TRUE)</f>
        <v>5</v>
      </c>
      <c r="I29" s="18">
        <f>SUMIFS(DATA_WITHOUT_GENUS!I:I,DATA_WITHOUT_GENUS!A:A,A29,DATA_WITHOUT_GENUS!J:J,TRUE)</f>
        <v>57</v>
      </c>
      <c r="J29">
        <f>_xlfn.MAXIFS(DATA_WITHOUT_GENUS!I:I,DATA_WITHOUT_GENUS!A:A,A29)</f>
        <v>45</v>
      </c>
      <c r="K29" s="18" t="str" cm="1">
        <f t="array" ref="K29">_xlfn._xlws.FILTER(DATA_WITHOUT_GENUS!D:D,(DATA_WITHOUT_GENUS!A:A=A29)*(DATA_WITHOUT_GENUS!I:I=J29)*ROW(DATA_WITHOUT_GENUS!D:D),0)</f>
        <v>Hydropsychidae</v>
      </c>
      <c r="L29" s="30">
        <f t="shared" si="48"/>
        <v>6</v>
      </c>
      <c r="M29">
        <f t="shared" si="49"/>
        <v>6</v>
      </c>
      <c r="N29" s="31">
        <f t="shared" si="50"/>
        <v>3</v>
      </c>
      <c r="O29" s="32">
        <f t="shared" si="51"/>
        <v>6</v>
      </c>
      <c r="P29">
        <f t="shared" si="52"/>
        <v>3</v>
      </c>
      <c r="Q29" s="100">
        <f t="shared" si="53"/>
        <v>24</v>
      </c>
      <c r="R29" s="15" t="str">
        <f t="shared" si="39"/>
        <v>Non-Impaired</v>
      </c>
      <c r="AF29">
        <f t="shared" si="31"/>
        <v>5</v>
      </c>
      <c r="AG29">
        <f>ROUND((((COUNTIFS(DATA_WITHOUT_GENUS!A:A,A29,DATA_WITHOUT_GENUS!N:N,FALSE))/G29)*100),1)</f>
        <v>25</v>
      </c>
      <c r="AH29" s="23">
        <f>SUMIFS(DATA_WITHOUT_GENUS!I:I,DATA_WITHOUT_GENUS!A:A,A29,DATA_WITHOUT_GENUS!O:O,TRUE)</f>
        <v>12</v>
      </c>
      <c r="AI29">
        <f>COUNTIFS(DATA_WITHOUT_GENUS!A:A,A29,DATA_WITHOUT_GENUS!P:P,TRUE)</f>
        <v>3</v>
      </c>
      <c r="AJ29">
        <f t="shared" si="32"/>
        <v>3.3367421179358949</v>
      </c>
      <c r="AK29">
        <f t="shared" si="10"/>
        <v>26.007510330281256</v>
      </c>
      <c r="AL29" s="98">
        <f t="shared" si="11"/>
        <v>58.698772948855094</v>
      </c>
      <c r="AM29" t="str">
        <f t="shared" si="40"/>
        <v>Good</v>
      </c>
    </row>
    <row r="30" spans="1:39">
      <c r="A30" t="str">
        <f t="shared" si="47"/>
        <v>BD4_2007-10-27</v>
      </c>
      <c r="B30" s="73" t="s">
        <v>50</v>
      </c>
      <c r="C30" s="3">
        <v>39382</v>
      </c>
      <c r="D30">
        <f>SUMIF(DATA_WITHOUT_GENUS!A:A,A30,DATA_WITHOUT_GENUS!E:E)</f>
        <v>135</v>
      </c>
      <c r="E30">
        <f>SUMIF(DATA_WITHOUT_GENUS!A:A,A30,DATA_WITHOUT_GENUS!I:I)</f>
        <v>100</v>
      </c>
      <c r="F30" s="97">
        <f>SUMIFS(DATA_WITHOUT_GENUS!M:M,DATA_WITHOUT_GENUS!A:A,A30)/100</f>
        <v>4.1399999999999997</v>
      </c>
      <c r="G30" s="18">
        <f>COUNTIFS(DATA_WITHOUT_GENUS!A:A,A30,DATA_WITHOUT_GENUS!I:I, "&gt;0")</f>
        <v>13</v>
      </c>
      <c r="H30">
        <f>COUNTIFS(DATA_WITHOUT_GENUS!A:A,A30,DATA_WITHOUT_GENUS!J:J,TRUE)</f>
        <v>4</v>
      </c>
      <c r="I30" s="18">
        <f>SUMIFS(DATA_WITHOUT_GENUS!I:I,DATA_WITHOUT_GENUS!A:A,A30,DATA_WITHOUT_GENUS!J:J,TRUE)</f>
        <v>58</v>
      </c>
      <c r="J30">
        <f>_xlfn.MAXIFS(DATA_WITHOUT_GENUS!I:I,DATA_WITHOUT_GENUS!A:A,A30)</f>
        <v>36</v>
      </c>
      <c r="K30" s="18" t="str" cm="1">
        <f t="array" ref="K30">_xlfn._xlws.FILTER(DATA_WITHOUT_GENUS!D:D,(DATA_WITHOUT_GENUS!A:A=A30)*(DATA_WITHOUT_GENUS!I:I=J30)*ROW(DATA_WITHOUT_GENUS!D:D),0)</f>
        <v>Hydropsychidae</v>
      </c>
      <c r="L30" s="30">
        <f t="shared" si="48"/>
        <v>6</v>
      </c>
      <c r="M30">
        <f t="shared" si="49"/>
        <v>6</v>
      </c>
      <c r="N30" s="31">
        <f t="shared" si="50"/>
        <v>3</v>
      </c>
      <c r="O30" s="32">
        <f t="shared" si="51"/>
        <v>6</v>
      </c>
      <c r="P30">
        <f t="shared" si="52"/>
        <v>6</v>
      </c>
      <c r="Q30" s="100">
        <f t="shared" si="53"/>
        <v>27</v>
      </c>
      <c r="R30" s="15" t="str">
        <f t="shared" si="39"/>
        <v>Non-Impaired</v>
      </c>
      <c r="AF30">
        <f t="shared" si="31"/>
        <v>4</v>
      </c>
      <c r="AG30">
        <f>ROUND((((COUNTIFS(DATA_WITHOUT_GENUS!A:A,A30,DATA_WITHOUT_GENUS!N:N,FALSE))/G30)*100),1)</f>
        <v>15.4</v>
      </c>
      <c r="AH30" s="23">
        <f>SUMIFS(DATA_WITHOUT_GENUS!I:I,DATA_WITHOUT_GENUS!A:A,A30,DATA_WITHOUT_GENUS!O:O,TRUE)</f>
        <v>22</v>
      </c>
      <c r="AI30">
        <f>COUNTIFS(DATA_WITHOUT_GENUS!A:A,A30,DATA_WITHOUT_GENUS!P:P,TRUE)</f>
        <v>2</v>
      </c>
      <c r="AJ30">
        <f t="shared" si="32"/>
        <v>3.3967421179358954</v>
      </c>
      <c r="AK30">
        <f t="shared" si="10"/>
        <v>36.007510330281256</v>
      </c>
      <c r="AL30" s="98">
        <f t="shared" si="11"/>
        <v>59.431466623339801</v>
      </c>
      <c r="AM30" t="str">
        <f t="shared" si="40"/>
        <v>Good</v>
      </c>
    </row>
    <row r="31" spans="1:39">
      <c r="A31" t="str">
        <f t="shared" si="47"/>
        <v>BD4_2008-03-29</v>
      </c>
      <c r="B31" s="73" t="s">
        <v>50</v>
      </c>
      <c r="C31" s="3">
        <v>39536</v>
      </c>
      <c r="D31">
        <f>SUMIF(DATA_WITHOUT_GENUS!A:A,A31,DATA_WITHOUT_GENUS!E:E)</f>
        <v>122</v>
      </c>
      <c r="E31">
        <f>SUMIF(DATA_WITHOUT_GENUS!A:A,A31,DATA_WITHOUT_GENUS!I:I)</f>
        <v>100</v>
      </c>
      <c r="F31" s="97">
        <f>SUMIFS(DATA_WITHOUT_GENUS!M:M,DATA_WITHOUT_GENUS!A:A,A31)/100</f>
        <v>4.84</v>
      </c>
      <c r="G31" s="18">
        <f>COUNTIFS(DATA_WITHOUT_GENUS!A:A,A31,DATA_WITHOUT_GENUS!I:I, "&gt;0")</f>
        <v>15</v>
      </c>
      <c r="H31">
        <f>COUNTIFS(DATA_WITHOUT_GENUS!A:A,A31,DATA_WITHOUT_GENUS!J:J,TRUE)</f>
        <v>7</v>
      </c>
      <c r="I31" s="18">
        <f>SUMIFS(DATA_WITHOUT_GENUS!I:I,DATA_WITHOUT_GENUS!A:A,A31,DATA_WITHOUT_GENUS!J:J,TRUE)</f>
        <v>40</v>
      </c>
      <c r="J31">
        <f>_xlfn.MAXIFS(DATA_WITHOUT_GENUS!I:I,DATA_WITHOUT_GENUS!A:A,A31)</f>
        <v>36</v>
      </c>
      <c r="K31" s="18" t="str" cm="1">
        <f t="array" ref="K31">_xlfn._xlws.FILTER(DATA_WITHOUT_GENUS!D:D,(DATA_WITHOUT_GENUS!A:A=A31)*(DATA_WITHOUT_GENUS!I:I=J31)*ROW(DATA_WITHOUT_GENUS!D:D),0)</f>
        <v>Psephenidae</v>
      </c>
      <c r="L31" s="30">
        <f t="shared" si="48"/>
        <v>6</v>
      </c>
      <c r="M31">
        <f t="shared" si="49"/>
        <v>6</v>
      </c>
      <c r="N31" s="31">
        <f t="shared" si="50"/>
        <v>6</v>
      </c>
      <c r="O31" s="32">
        <f t="shared" si="51"/>
        <v>6</v>
      </c>
      <c r="P31">
        <f t="shared" si="52"/>
        <v>6</v>
      </c>
      <c r="Q31" s="100">
        <f t="shared" si="53"/>
        <v>30</v>
      </c>
      <c r="R31" s="15" t="str">
        <f t="shared" si="39"/>
        <v>Non-Impaired</v>
      </c>
      <c r="AF31">
        <f t="shared" si="31"/>
        <v>7</v>
      </c>
      <c r="AG31">
        <f>ROUND((((COUNTIFS(DATA_WITHOUT_GENUS!A:A,A31,DATA_WITHOUT_GENUS!N:N,FALSE))/G31)*100),1)</f>
        <v>13.3</v>
      </c>
      <c r="AH31" s="23">
        <f>SUMIFS(DATA_WITHOUT_GENUS!I:I,DATA_WITHOUT_GENUS!A:A,A31,DATA_WITHOUT_GENUS!O:O,TRUE)</f>
        <v>32</v>
      </c>
      <c r="AI31">
        <f>COUNTIFS(DATA_WITHOUT_GENUS!A:A,A31,DATA_WITHOUT_GENUS!P:P,TRUE)</f>
        <v>3</v>
      </c>
      <c r="AJ31">
        <f t="shared" si="32"/>
        <v>4.0967421179358965</v>
      </c>
      <c r="AK31">
        <f t="shared" si="10"/>
        <v>46.007510330281264</v>
      </c>
      <c r="AL31" s="98">
        <f t="shared" si="11"/>
        <v>67.916541250205483</v>
      </c>
      <c r="AM31" t="str">
        <f t="shared" si="40"/>
        <v>Excellent</v>
      </c>
    </row>
    <row r="32" spans="1:39">
      <c r="A32" t="str">
        <f t="shared" si="47"/>
        <v>BD4_2008-07-19</v>
      </c>
      <c r="B32" s="73" t="s">
        <v>50</v>
      </c>
      <c r="C32" s="3">
        <v>39648</v>
      </c>
      <c r="D32">
        <f>SUMIF(DATA_WITHOUT_GENUS!A:A,A32,DATA_WITHOUT_GENUS!E:E)</f>
        <v>138</v>
      </c>
      <c r="E32">
        <f>SUMIF(DATA_WITHOUT_GENUS!A:A,A32,DATA_WITHOUT_GENUS!I:I)</f>
        <v>100</v>
      </c>
      <c r="F32" s="97">
        <f>SUMIFS(DATA_WITHOUT_GENUS!M:M,DATA_WITHOUT_GENUS!A:A,A32)/100</f>
        <v>3.99</v>
      </c>
      <c r="G32" s="18">
        <f>COUNTIFS(DATA_WITHOUT_GENUS!A:A,A32,DATA_WITHOUT_GENUS!I:I, "&gt;0")</f>
        <v>12</v>
      </c>
      <c r="H32">
        <f>COUNTIFS(DATA_WITHOUT_GENUS!A:A,A32,DATA_WITHOUT_GENUS!J:J,TRUE)</f>
        <v>5</v>
      </c>
      <c r="I32" s="18">
        <f>SUMIFS(DATA_WITHOUT_GENUS!I:I,DATA_WITHOUT_GENUS!A:A,A32,DATA_WITHOUT_GENUS!J:J,TRUE)</f>
        <v>52</v>
      </c>
      <c r="J32">
        <f>_xlfn.MAXIFS(DATA_WITHOUT_GENUS!I:I,DATA_WITHOUT_GENUS!A:A,A32)</f>
        <v>43</v>
      </c>
      <c r="K32" s="18" t="str" cm="1">
        <f t="array" ref="K32">_xlfn._xlws.FILTER(DATA_WITHOUT_GENUS!D:D,(DATA_WITHOUT_GENUS!A:A=A32)*(DATA_WITHOUT_GENUS!I:I=J32)*ROW(DATA_WITHOUT_GENUS!D:D),0)</f>
        <v>Hydropsychidae</v>
      </c>
      <c r="L32" s="30">
        <f t="shared" si="48"/>
        <v>6</v>
      </c>
      <c r="M32">
        <f t="shared" si="49"/>
        <v>6</v>
      </c>
      <c r="N32" s="31">
        <f t="shared" si="50"/>
        <v>3</v>
      </c>
      <c r="O32" s="32">
        <f t="shared" si="51"/>
        <v>6</v>
      </c>
      <c r="P32">
        <f t="shared" si="52"/>
        <v>3</v>
      </c>
      <c r="Q32" s="100">
        <f t="shared" si="53"/>
        <v>24</v>
      </c>
      <c r="R32" s="15" t="str">
        <f t="shared" si="39"/>
        <v>Non-Impaired</v>
      </c>
      <c r="AF32">
        <f t="shared" si="31"/>
        <v>5</v>
      </c>
      <c r="AG32">
        <f>ROUND((((COUNTIFS(DATA_WITHOUT_GENUS!A:A,A32,DATA_WITHOUT_GENUS!N:N,FALSE))/G32)*100),1)</f>
        <v>25</v>
      </c>
      <c r="AH32" s="23">
        <f>SUMIFS(DATA_WITHOUT_GENUS!I:I,DATA_WITHOUT_GENUS!A:A,A32,DATA_WITHOUT_GENUS!O:O,TRUE)</f>
        <v>9</v>
      </c>
      <c r="AI32">
        <f>COUNTIFS(DATA_WITHOUT_GENUS!A:A,A32,DATA_WITHOUT_GENUS!P:P,TRUE)</f>
        <v>4</v>
      </c>
      <c r="AJ32">
        <f t="shared" si="32"/>
        <v>3.2467421179358951</v>
      </c>
      <c r="AK32">
        <f t="shared" si="10"/>
        <v>23.007510330281256</v>
      </c>
      <c r="AL32" s="98">
        <f t="shared" si="11"/>
        <v>61.586583894128715</v>
      </c>
      <c r="AM32" t="str">
        <f t="shared" si="40"/>
        <v>Good</v>
      </c>
    </row>
    <row r="33" spans="1:39">
      <c r="A33" t="str">
        <f t="shared" si="47"/>
        <v>BD4_2008-10-18</v>
      </c>
      <c r="B33" s="73" t="s">
        <v>50</v>
      </c>
      <c r="C33" s="3">
        <v>39739</v>
      </c>
      <c r="D33">
        <f>SUMIF(DATA_WITHOUT_GENUS!A:A,A33,DATA_WITHOUT_GENUS!E:E)</f>
        <v>135</v>
      </c>
      <c r="E33">
        <f>SUMIF(DATA_WITHOUT_GENUS!A:A,A33,DATA_WITHOUT_GENUS!I:I)</f>
        <v>100</v>
      </c>
      <c r="F33" s="97">
        <f>SUMIFS(DATA_WITHOUT_GENUS!M:M,DATA_WITHOUT_GENUS!A:A,A33)/100</f>
        <v>3.54</v>
      </c>
      <c r="G33" s="18">
        <f>COUNTIFS(DATA_WITHOUT_GENUS!A:A,A33,DATA_WITHOUT_GENUS!I:I, "&gt;0")</f>
        <v>12</v>
      </c>
      <c r="H33">
        <f>COUNTIFS(DATA_WITHOUT_GENUS!A:A,A33,DATA_WITHOUT_GENUS!J:J,TRUE)</f>
        <v>4</v>
      </c>
      <c r="I33" s="18">
        <f>SUMIFS(DATA_WITHOUT_GENUS!I:I,DATA_WITHOUT_GENUS!A:A,A33,DATA_WITHOUT_GENUS!J:J,TRUE)</f>
        <v>70</v>
      </c>
      <c r="J33">
        <f>_xlfn.MAXIFS(DATA_WITHOUT_GENUS!I:I,DATA_WITHOUT_GENUS!A:A,A33)</f>
        <v>47</v>
      </c>
      <c r="K33" s="18" t="str" cm="1">
        <f t="array" ref="K33">_xlfn._xlws.FILTER(DATA_WITHOUT_GENUS!D:D,(DATA_WITHOUT_GENUS!A:A=A33)*(DATA_WITHOUT_GENUS!I:I=J33)*ROW(DATA_WITHOUT_GENUS!D:D),0)</f>
        <v>Philopotamidae</v>
      </c>
      <c r="L33" s="30">
        <f t="shared" si="48"/>
        <v>6</v>
      </c>
      <c r="M33">
        <f t="shared" si="49"/>
        <v>6</v>
      </c>
      <c r="N33" s="31">
        <f t="shared" si="50"/>
        <v>3</v>
      </c>
      <c r="O33" s="32">
        <f t="shared" si="51"/>
        <v>6</v>
      </c>
      <c r="P33">
        <f t="shared" si="52"/>
        <v>3</v>
      </c>
      <c r="Q33" s="100">
        <f t="shared" si="53"/>
        <v>24</v>
      </c>
      <c r="R33" s="15" t="str">
        <f t="shared" si="39"/>
        <v>Non-Impaired</v>
      </c>
      <c r="AF33">
        <f t="shared" si="31"/>
        <v>4</v>
      </c>
      <c r="AG33">
        <f>ROUND((((COUNTIFS(DATA_WITHOUT_GENUS!A:A,A33,DATA_WITHOUT_GENUS!N:N,FALSE))/G33)*100),1)</f>
        <v>25</v>
      </c>
      <c r="AH33" s="23">
        <f>SUMIFS(DATA_WITHOUT_GENUS!I:I,DATA_WITHOUT_GENUS!A:A,A33,DATA_WITHOUT_GENUS!O:O,TRUE)</f>
        <v>51</v>
      </c>
      <c r="AI33">
        <f>COUNTIFS(DATA_WITHOUT_GENUS!A:A,A33,DATA_WITHOUT_GENUS!P:P,TRUE)</f>
        <v>2</v>
      </c>
      <c r="AJ33">
        <f t="shared" si="32"/>
        <v>2.7967421179358958</v>
      </c>
      <c r="AK33">
        <f t="shared" si="10"/>
        <v>65.007510330281264</v>
      </c>
      <c r="AL33" s="98">
        <f t="shared" si="11"/>
        <v>68.04056399363121</v>
      </c>
      <c r="AM33" t="str">
        <f t="shared" si="40"/>
        <v>Excellent</v>
      </c>
    </row>
    <row r="34" spans="1:39">
      <c r="A34" t="str">
        <f t="shared" si="47"/>
        <v>BD4_2009-03-28</v>
      </c>
      <c r="B34" s="73" t="s">
        <v>50</v>
      </c>
      <c r="C34" s="3">
        <v>39900</v>
      </c>
      <c r="D34">
        <f>SUMIF(DATA_WITHOUT_GENUS!A:A,A34,DATA_WITHOUT_GENUS!E:E)</f>
        <v>194</v>
      </c>
      <c r="E34">
        <f>SUMIF(DATA_WITHOUT_GENUS!A:A,A34,DATA_WITHOUT_GENUS!I:I)</f>
        <v>100</v>
      </c>
      <c r="F34" s="97">
        <f>SUMIFS(DATA_WITHOUT_GENUS!M:M,DATA_WITHOUT_GENUS!A:A,A34)/100</f>
        <v>5.25</v>
      </c>
      <c r="G34" s="18">
        <f>COUNTIFS(DATA_WITHOUT_GENUS!A:A,A34,DATA_WITHOUT_GENUS!I:I, "&gt;0")</f>
        <v>11</v>
      </c>
      <c r="H34">
        <f>COUNTIFS(DATA_WITHOUT_GENUS!A:A,A34,DATA_WITHOUT_GENUS!J:J,TRUE)</f>
        <v>6</v>
      </c>
      <c r="I34" s="18">
        <f>SUMIFS(DATA_WITHOUT_GENUS!I:I,DATA_WITHOUT_GENUS!A:A,A34,DATA_WITHOUT_GENUS!J:J,TRUE)</f>
        <v>23</v>
      </c>
      <c r="J34">
        <f>_xlfn.MAXIFS(DATA_WITHOUT_GENUS!I:I,DATA_WITHOUT_GENUS!A:A,A34)</f>
        <v>36</v>
      </c>
      <c r="K34" s="18" t="str" cm="1">
        <f t="array" ref="K34">_xlfn._xlws.FILTER(DATA_WITHOUT_GENUS!D:D,(DATA_WITHOUT_GENUS!A:A=A34)*(DATA_WITHOUT_GENUS!I:I=J34)*ROW(DATA_WITHOUT_GENUS!D:D),0)</f>
        <v>Chironomidae</v>
      </c>
      <c r="L34" s="30">
        <f t="shared" si="48"/>
        <v>3</v>
      </c>
      <c r="M34">
        <f t="shared" si="49"/>
        <v>6</v>
      </c>
      <c r="N34" s="31">
        <f t="shared" si="50"/>
        <v>6</v>
      </c>
      <c r="O34" s="32">
        <f t="shared" si="51"/>
        <v>3</v>
      </c>
      <c r="P34">
        <f t="shared" si="52"/>
        <v>6</v>
      </c>
      <c r="Q34" s="100">
        <f t="shared" si="53"/>
        <v>24</v>
      </c>
      <c r="R34" s="15" t="str">
        <f t="shared" si="39"/>
        <v>Non-Impaired</v>
      </c>
      <c r="AF34">
        <f t="shared" si="31"/>
        <v>6</v>
      </c>
      <c r="AG34">
        <f>ROUND((((COUNTIFS(DATA_WITHOUT_GENUS!A:A,A34,DATA_WITHOUT_GENUS!N:N,FALSE))/G34)*100),1)</f>
        <v>18.2</v>
      </c>
      <c r="AH34" s="23">
        <f>SUMIFS(DATA_WITHOUT_GENUS!I:I,DATA_WITHOUT_GENUS!A:A,A34,DATA_WITHOUT_GENUS!O:O,TRUE)</f>
        <v>19</v>
      </c>
      <c r="AI34">
        <f>COUNTIFS(DATA_WITHOUT_GENUS!A:A,A34,DATA_WITHOUT_GENUS!P:P,TRUE)</f>
        <v>1</v>
      </c>
      <c r="AJ34">
        <f t="shared" si="32"/>
        <v>4.5067421179358966</v>
      </c>
      <c r="AK34">
        <f t="shared" si="10"/>
        <v>33.007510330281256</v>
      </c>
      <c r="AL34" s="98">
        <f t="shared" si="11"/>
        <v>52.097055346391208</v>
      </c>
      <c r="AM34" t="str">
        <f t="shared" si="40"/>
        <v>Good</v>
      </c>
    </row>
    <row r="35" spans="1:39">
      <c r="A35" t="str">
        <f t="shared" si="47"/>
        <v>BD4_2009-07-18</v>
      </c>
      <c r="B35" s="73" t="s">
        <v>50</v>
      </c>
      <c r="C35" s="3">
        <v>40012</v>
      </c>
      <c r="D35">
        <f>SUMIF(DATA_WITHOUT_GENUS!A:A,A35,DATA_WITHOUT_GENUS!E:E)</f>
        <v>143</v>
      </c>
      <c r="E35">
        <f>SUMIF(DATA_WITHOUT_GENUS!A:A,A35,DATA_WITHOUT_GENUS!I:I)</f>
        <v>100</v>
      </c>
      <c r="F35" s="97">
        <f>SUMIFS(DATA_WITHOUT_GENUS!M:M,DATA_WITHOUT_GENUS!A:A,A35)/100</f>
        <v>4.04</v>
      </c>
      <c r="G35" s="18">
        <f>COUNTIFS(DATA_WITHOUT_GENUS!A:A,A35,DATA_WITHOUT_GENUS!I:I, "&gt;0")</f>
        <v>14</v>
      </c>
      <c r="H35">
        <f>COUNTIFS(DATA_WITHOUT_GENUS!A:A,A35,DATA_WITHOUT_GENUS!J:J,TRUE)</f>
        <v>5</v>
      </c>
      <c r="I35" s="18">
        <f>SUMIFS(DATA_WITHOUT_GENUS!I:I,DATA_WITHOUT_GENUS!A:A,A35,DATA_WITHOUT_GENUS!J:J,TRUE)</f>
        <v>47</v>
      </c>
      <c r="J35">
        <f>_xlfn.MAXIFS(DATA_WITHOUT_GENUS!I:I,DATA_WITHOUT_GENUS!A:A,A35)</f>
        <v>38</v>
      </c>
      <c r="K35" s="18" t="str" cm="1">
        <f t="array" ref="K35">_xlfn._xlws.FILTER(DATA_WITHOUT_GENUS!D:D,(DATA_WITHOUT_GENUS!A:A=A35)*(DATA_WITHOUT_GENUS!I:I=J35)*ROW(DATA_WITHOUT_GENUS!D:D),0)</f>
        <v>Psephenidae</v>
      </c>
      <c r="L35" s="30">
        <f t="shared" si="48"/>
        <v>6</v>
      </c>
      <c r="M35">
        <f t="shared" si="49"/>
        <v>6</v>
      </c>
      <c r="N35" s="31">
        <f t="shared" si="50"/>
        <v>3</v>
      </c>
      <c r="O35" s="32">
        <f t="shared" si="51"/>
        <v>6</v>
      </c>
      <c r="P35">
        <f t="shared" si="52"/>
        <v>6</v>
      </c>
      <c r="Q35" s="100">
        <f t="shared" si="53"/>
        <v>27</v>
      </c>
      <c r="R35" s="15" t="str">
        <f t="shared" si="39"/>
        <v>Non-Impaired</v>
      </c>
      <c r="AF35">
        <f t="shared" si="31"/>
        <v>5</v>
      </c>
      <c r="AG35">
        <f>ROUND((((COUNTIFS(DATA_WITHOUT_GENUS!A:A,A35,DATA_WITHOUT_GENUS!N:N,FALSE))/G35)*100),1)</f>
        <v>14.3</v>
      </c>
      <c r="AH35" s="23">
        <f>SUMIFS(DATA_WITHOUT_GENUS!I:I,DATA_WITHOUT_GENUS!A:A,A35,DATA_WITHOUT_GENUS!O:O,TRUE)</f>
        <v>18</v>
      </c>
      <c r="AI35">
        <f>COUNTIFS(DATA_WITHOUT_GENUS!A:A,A35,DATA_WITHOUT_GENUS!P:P,TRUE)</f>
        <v>3</v>
      </c>
      <c r="AJ35">
        <f t="shared" si="32"/>
        <v>3.2967421179358958</v>
      </c>
      <c r="AK35">
        <f t="shared" si="10"/>
        <v>32.007510330281256</v>
      </c>
      <c r="AL35" s="98">
        <f t="shared" si="11"/>
        <v>64.086643121799881</v>
      </c>
      <c r="AM35" t="str">
        <f t="shared" si="40"/>
        <v>Excellent</v>
      </c>
    </row>
    <row r="36" spans="1:39">
      <c r="A36" t="str">
        <f t="shared" si="47"/>
        <v>BD4_2009-10-17</v>
      </c>
      <c r="B36" s="73" t="s">
        <v>50</v>
      </c>
      <c r="C36" s="3">
        <v>40103</v>
      </c>
      <c r="D36">
        <f>SUMIF(DATA_WITHOUT_GENUS!A:A,A36,DATA_WITHOUT_GENUS!E:E)</f>
        <v>123</v>
      </c>
      <c r="E36">
        <f>SUMIF(DATA_WITHOUT_GENUS!A:A,A36,DATA_WITHOUT_GENUS!I:I)</f>
        <v>100</v>
      </c>
      <c r="F36" s="97">
        <f>SUMIFS(DATA_WITHOUT_GENUS!M:M,DATA_WITHOUT_GENUS!A:A,A36)/100</f>
        <v>3.7</v>
      </c>
      <c r="G36" s="18">
        <f>COUNTIFS(DATA_WITHOUT_GENUS!A:A,A36,DATA_WITHOUT_GENUS!I:I, "&gt;0")</f>
        <v>12</v>
      </c>
      <c r="H36">
        <f>COUNTIFS(DATA_WITHOUT_GENUS!A:A,A36,DATA_WITHOUT_GENUS!J:J,TRUE)</f>
        <v>4</v>
      </c>
      <c r="I36" s="18">
        <f>SUMIFS(DATA_WITHOUT_GENUS!I:I,DATA_WITHOUT_GENUS!A:A,A36,DATA_WITHOUT_GENUS!J:J,TRUE)</f>
        <v>85</v>
      </c>
      <c r="J36">
        <f>_xlfn.MAXIFS(DATA_WITHOUT_GENUS!I:I,DATA_WITHOUT_GENUS!A:A,A36)</f>
        <v>40</v>
      </c>
      <c r="K36" s="18" t="str" cm="1">
        <f t="array" ref="K36">_xlfn._xlws.FILTER(DATA_WITHOUT_GENUS!D:D,(DATA_WITHOUT_GENUS!A:A=A36)*(DATA_WITHOUT_GENUS!I:I=J36)*ROW(DATA_WITHOUT_GENUS!D:D),0)</f>
        <v>Hydropsychidae</v>
      </c>
      <c r="L36" s="30">
        <f t="shared" si="48"/>
        <v>6</v>
      </c>
      <c r="M36">
        <f t="shared" si="49"/>
        <v>6</v>
      </c>
      <c r="N36" s="31">
        <f t="shared" si="50"/>
        <v>3</v>
      </c>
      <c r="O36" s="32">
        <f t="shared" si="51"/>
        <v>6</v>
      </c>
      <c r="P36">
        <f t="shared" si="52"/>
        <v>3</v>
      </c>
      <c r="Q36" s="100">
        <f t="shared" si="53"/>
        <v>24</v>
      </c>
      <c r="R36" s="15" t="str">
        <f t="shared" si="39"/>
        <v>Non-Impaired</v>
      </c>
      <c r="AF36">
        <f t="shared" si="31"/>
        <v>4</v>
      </c>
      <c r="AG36">
        <f>ROUND((((COUNTIFS(DATA_WITHOUT_GENUS!A:A,A36,DATA_WITHOUT_GENUS!N:N,FALSE))/G36)*100),1)</f>
        <v>33.299999999999997</v>
      </c>
      <c r="AH36" s="23">
        <f>SUMIFS(DATA_WITHOUT_GENUS!I:I,DATA_WITHOUT_GENUS!A:A,A36,DATA_WITHOUT_GENUS!O:O,TRUE)</f>
        <v>45</v>
      </c>
      <c r="AI36">
        <f>COUNTIFS(DATA_WITHOUT_GENUS!A:A,A36,DATA_WITHOUT_GENUS!P:P,TRUE)</f>
        <v>3</v>
      </c>
      <c r="AJ36">
        <f t="shared" si="32"/>
        <v>2.9567421179358959</v>
      </c>
      <c r="AK36">
        <f t="shared" si="10"/>
        <v>59.007510330281264</v>
      </c>
      <c r="AL36" s="98">
        <f t="shared" si="11"/>
        <v>66.147931915924502</v>
      </c>
      <c r="AM36" t="str">
        <f t="shared" si="40"/>
        <v>Excellent</v>
      </c>
    </row>
    <row r="37" spans="1:39">
      <c r="A37" t="str">
        <f t="shared" si="47"/>
        <v>BD4_2010-03-20</v>
      </c>
      <c r="B37" s="73" t="s">
        <v>50</v>
      </c>
      <c r="C37" s="3">
        <v>40257</v>
      </c>
      <c r="D37">
        <f>SUMIF(DATA_WITHOUT_GENUS!A:A,A37,DATA_WITHOUT_GENUS!E:E)</f>
        <v>103</v>
      </c>
      <c r="E37">
        <f>SUMIF(DATA_WITHOUT_GENUS!A:A,A37,DATA_WITHOUT_GENUS!I:I)</f>
        <v>100</v>
      </c>
      <c r="F37" s="97">
        <f>SUMIFS(DATA_WITHOUT_GENUS!M:M,DATA_WITHOUT_GENUS!A:A,A37)/100</f>
        <v>4.32</v>
      </c>
      <c r="G37" s="18">
        <f>COUNTIFS(DATA_WITHOUT_GENUS!A:A,A37,DATA_WITHOUT_GENUS!I:I, "&gt;0")</f>
        <v>13</v>
      </c>
      <c r="H37">
        <f>COUNTIFS(DATA_WITHOUT_GENUS!A:A,A37,DATA_WITHOUT_GENUS!J:J,TRUE)</f>
        <v>6</v>
      </c>
      <c r="I37" s="18">
        <f>SUMIFS(DATA_WITHOUT_GENUS!I:I,DATA_WITHOUT_GENUS!A:A,A37,DATA_WITHOUT_GENUS!J:J,TRUE)</f>
        <v>68</v>
      </c>
      <c r="J37">
        <f>_xlfn.MAXIFS(DATA_WITHOUT_GENUS!I:I,DATA_WITHOUT_GENUS!A:A,A37)</f>
        <v>20</v>
      </c>
      <c r="K37" s="18" t="str" cm="1">
        <f t="array" ref="K37">_xlfn._xlws.FILTER(DATA_WITHOUT_GENUS!D:D,(DATA_WITHOUT_GENUS!A:A=A37)*(DATA_WITHOUT_GENUS!I:I=J37)*ROW(DATA_WITHOUT_GENUS!D:D),0)</f>
        <v>Hydropsychidae</v>
      </c>
      <c r="L37" s="30">
        <f t="shared" ref="L37:L44" si="54">IF(F37="","",IF(F37&gt;7,0,IF(F37&lt;5,6,IF(F37&lt;=7,3))))</f>
        <v>6</v>
      </c>
      <c r="M37">
        <f t="shared" ref="M37:M44" si="55">IF(G37="","",IF(G37&gt;10,6,IF(G37&lt;5,0,IF(G37&lt;=10,3))))</f>
        <v>6</v>
      </c>
      <c r="N37" s="31">
        <f t="shared" ref="N37:N44" si="56">IF(H37="","",IF(H37&gt;5,6,IF(H37&lt;3,0,IF(H37&lt;=5,3))))</f>
        <v>6</v>
      </c>
      <c r="O37" s="32">
        <f t="shared" ref="O37:O44" si="57">IF(I37="","",IF(I37&gt;35,6,IF(I37&lt;10,0,IF(I37&lt;=35,3,IF(I37&lt;10,0)))))</f>
        <v>6</v>
      </c>
      <c r="P37">
        <f t="shared" ref="P37:P44" si="58">IF(J37="","",IF(J37&gt;60,0,IF(J37&lt;40,6,IF(J37&lt;=60,3))))</f>
        <v>6</v>
      </c>
      <c r="Q37" s="100">
        <f t="shared" ref="Q37:Q44" si="59">SUM(L37:P37)</f>
        <v>30</v>
      </c>
      <c r="R37" s="15" t="str">
        <f t="shared" si="39"/>
        <v>Non-Impaired</v>
      </c>
      <c r="AF37">
        <f t="shared" si="31"/>
        <v>6</v>
      </c>
      <c r="AG37">
        <f>ROUND((((COUNTIFS(DATA_WITHOUT_GENUS!A:A,A37,DATA_WITHOUT_GENUS!N:N,FALSE))/G37)*100),1)</f>
        <v>15.4</v>
      </c>
      <c r="AH37" s="23">
        <f>SUMIFS(DATA_WITHOUT_GENUS!I:I,DATA_WITHOUT_GENUS!A:A,A37,DATA_WITHOUT_GENUS!O:O,TRUE)</f>
        <v>48</v>
      </c>
      <c r="AI37">
        <f>COUNTIFS(DATA_WITHOUT_GENUS!A:A,A37,DATA_WITHOUT_GENUS!P:P,TRUE)</f>
        <v>1</v>
      </c>
      <c r="AJ37">
        <f t="shared" si="32"/>
        <v>3.5767421179358969</v>
      </c>
      <c r="AK37">
        <f t="shared" si="10"/>
        <v>62.007510330281264</v>
      </c>
      <c r="AL37" s="98">
        <f t="shared" si="11"/>
        <v>66.292660653190552</v>
      </c>
      <c r="AM37" t="str">
        <f t="shared" si="40"/>
        <v>Excellent</v>
      </c>
    </row>
    <row r="38" spans="1:39">
      <c r="A38" t="str">
        <f t="shared" si="47"/>
        <v>BD4_2010-07-24</v>
      </c>
      <c r="B38" s="73" t="s">
        <v>50</v>
      </c>
      <c r="C38" s="3">
        <v>40383</v>
      </c>
      <c r="D38">
        <f>SUMIF(DATA_WITHOUT_GENUS!A:A,A38,DATA_WITHOUT_GENUS!E:E)</f>
        <v>121</v>
      </c>
      <c r="E38">
        <f>SUMIF(DATA_WITHOUT_GENUS!A:A,A38,DATA_WITHOUT_GENUS!I:I)</f>
        <v>100</v>
      </c>
      <c r="F38" s="97">
        <f>SUMIFS(DATA_WITHOUT_GENUS!M:M,DATA_WITHOUT_GENUS!A:A,A38)/100</f>
        <v>3.91</v>
      </c>
      <c r="G38" s="18">
        <f>COUNTIFS(DATA_WITHOUT_GENUS!A:A,A38,DATA_WITHOUT_GENUS!I:I, "&gt;0")</f>
        <v>11</v>
      </c>
      <c r="H38">
        <f>COUNTIFS(DATA_WITHOUT_GENUS!A:A,A38,DATA_WITHOUT_GENUS!J:J,TRUE)</f>
        <v>5</v>
      </c>
      <c r="I38" s="18">
        <f>SUMIFS(DATA_WITHOUT_GENUS!I:I,DATA_WITHOUT_GENUS!A:A,A38,DATA_WITHOUT_GENUS!J:J,TRUE)</f>
        <v>80</v>
      </c>
      <c r="J38">
        <f>_xlfn.MAXIFS(DATA_WITHOUT_GENUS!I:I,DATA_WITHOUT_GENUS!A:A,A38)</f>
        <v>63</v>
      </c>
      <c r="K38" s="18" t="str" cm="1">
        <f t="array" ref="K38">_xlfn._xlws.FILTER(DATA_WITHOUT_GENUS!D:D,(DATA_WITHOUT_GENUS!A:A=A38)*(DATA_WITHOUT_GENUS!I:I=J38)*ROW(DATA_WITHOUT_GENUS!D:D),0)</f>
        <v>Hydropsychidae</v>
      </c>
      <c r="L38" s="30">
        <f t="shared" si="54"/>
        <v>6</v>
      </c>
      <c r="M38">
        <f t="shared" si="55"/>
        <v>6</v>
      </c>
      <c r="N38" s="31">
        <f t="shared" si="56"/>
        <v>3</v>
      </c>
      <c r="O38" s="32">
        <f t="shared" si="57"/>
        <v>6</v>
      </c>
      <c r="P38">
        <f t="shared" si="58"/>
        <v>0</v>
      </c>
      <c r="Q38" s="100">
        <f t="shared" si="59"/>
        <v>21</v>
      </c>
      <c r="R38" s="15" t="str">
        <f t="shared" si="39"/>
        <v>Moderately Impaired</v>
      </c>
      <c r="AF38">
        <f t="shared" si="31"/>
        <v>5</v>
      </c>
      <c r="AG38">
        <f>ROUND((((COUNTIFS(DATA_WITHOUT_GENUS!A:A,A38,DATA_WITHOUT_GENUS!N:N,FALSE))/G38)*100),1)</f>
        <v>9.1</v>
      </c>
      <c r="AH38" s="23">
        <f>SUMIFS(DATA_WITHOUT_GENUS!I:I,DATA_WITHOUT_GENUS!A:A,A38,DATA_WITHOUT_GENUS!O:O,TRUE)</f>
        <v>17</v>
      </c>
      <c r="AI38">
        <f>COUNTIFS(DATA_WITHOUT_GENUS!A:A,A38,DATA_WITHOUT_GENUS!P:P,TRUE)</f>
        <v>3</v>
      </c>
      <c r="AJ38">
        <f t="shared" si="32"/>
        <v>3.1667421179358968</v>
      </c>
      <c r="AK38">
        <f t="shared" si="10"/>
        <v>31.007510330281256</v>
      </c>
      <c r="AL38" s="98">
        <f t="shared" si="11"/>
        <v>66.088929309906959</v>
      </c>
      <c r="AM38" t="str">
        <f t="shared" si="40"/>
        <v>Excellent</v>
      </c>
    </row>
    <row r="39" spans="1:39">
      <c r="A39" t="str">
        <f t="shared" si="47"/>
        <v>BD4_2010-10-16</v>
      </c>
      <c r="B39" s="73" t="s">
        <v>50</v>
      </c>
      <c r="C39" s="3">
        <v>40467</v>
      </c>
      <c r="D39">
        <f>SUMIF(DATA_WITHOUT_GENUS!A:A,A39,DATA_WITHOUT_GENUS!E:E)</f>
        <v>113</v>
      </c>
      <c r="E39">
        <f>SUMIF(DATA_WITHOUT_GENUS!A:A,A39,DATA_WITHOUT_GENUS!I:I)</f>
        <v>100</v>
      </c>
      <c r="F39" s="97">
        <f>SUMIFS(DATA_WITHOUT_GENUS!M:M,DATA_WITHOUT_GENUS!A:A,A39)/100</f>
        <v>5.12</v>
      </c>
      <c r="G39" s="18">
        <f>COUNTIFS(DATA_WITHOUT_GENUS!A:A,A39,DATA_WITHOUT_GENUS!I:I, "&gt;0")</f>
        <v>16</v>
      </c>
      <c r="H39">
        <f>COUNTIFS(DATA_WITHOUT_GENUS!A:A,A39,DATA_WITHOUT_GENUS!J:J,TRUE)</f>
        <v>3</v>
      </c>
      <c r="I39" s="18">
        <f>SUMIFS(DATA_WITHOUT_GENUS!I:I,DATA_WITHOUT_GENUS!A:A,A39,DATA_WITHOUT_GENUS!J:J,TRUE)</f>
        <v>26</v>
      </c>
      <c r="J39">
        <f>_xlfn.MAXIFS(DATA_WITHOUT_GENUS!I:I,DATA_WITHOUT_GENUS!A:A,A39)</f>
        <v>31</v>
      </c>
      <c r="K39" s="18" t="str" cm="1">
        <f t="array" ref="K39">_xlfn._xlws.FILTER(DATA_WITHOUT_GENUS!D:D,(DATA_WITHOUT_GENUS!A:A=A39)*(DATA_WITHOUT_GENUS!I:I=J39)*ROW(DATA_WITHOUT_GENUS!D:D),0)</f>
        <v>Psephenidae</v>
      </c>
      <c r="L39" s="30">
        <f t="shared" si="54"/>
        <v>3</v>
      </c>
      <c r="M39">
        <f t="shared" si="55"/>
        <v>6</v>
      </c>
      <c r="N39" s="31">
        <f t="shared" si="56"/>
        <v>3</v>
      </c>
      <c r="O39" s="32">
        <f t="shared" si="57"/>
        <v>3</v>
      </c>
      <c r="P39">
        <f t="shared" si="58"/>
        <v>6</v>
      </c>
      <c r="Q39" s="100">
        <f t="shared" si="59"/>
        <v>21</v>
      </c>
      <c r="R39" s="15" t="str">
        <f t="shared" si="39"/>
        <v>Moderately Impaired</v>
      </c>
      <c r="AF39">
        <f t="shared" si="31"/>
        <v>3</v>
      </c>
      <c r="AG39">
        <f>ROUND((((COUNTIFS(DATA_WITHOUT_GENUS!A:A,A39,DATA_WITHOUT_GENUS!N:N,FALSE))/G39)*100),1)</f>
        <v>43.8</v>
      </c>
      <c r="AH39" s="23">
        <f>SUMIFS(DATA_WITHOUT_GENUS!I:I,DATA_WITHOUT_GENUS!A:A,A39,DATA_WITHOUT_GENUS!O:O,TRUE)</f>
        <v>2</v>
      </c>
      <c r="AI39">
        <f>COUNTIFS(DATA_WITHOUT_GENUS!A:A,A39,DATA_WITHOUT_GENUS!P:P,TRUE)</f>
        <v>4</v>
      </c>
      <c r="AJ39">
        <f t="shared" si="32"/>
        <v>4.3767421179358958</v>
      </c>
      <c r="AK39">
        <f t="shared" si="10"/>
        <v>16.007510330281256</v>
      </c>
      <c r="AL39" s="98">
        <f t="shared" si="11"/>
        <v>44.545444353735448</v>
      </c>
      <c r="AM39" t="str">
        <f t="shared" si="40"/>
        <v>Good</v>
      </c>
    </row>
    <row r="40" spans="1:39">
      <c r="A40" t="str">
        <f t="shared" si="47"/>
        <v>BD4_2011-03-19</v>
      </c>
      <c r="B40" s="73" t="s">
        <v>50</v>
      </c>
      <c r="C40" s="3">
        <v>40621</v>
      </c>
      <c r="D40">
        <f>SUMIF(DATA_WITHOUT_GENUS!A:A,A40,DATA_WITHOUT_GENUS!E:E)</f>
        <v>108</v>
      </c>
      <c r="E40">
        <f>SUMIF(DATA_WITHOUT_GENUS!A:A,A40,DATA_WITHOUT_GENUS!I:I)</f>
        <v>100</v>
      </c>
      <c r="F40" s="97">
        <f>SUMIFS(DATA_WITHOUT_GENUS!M:M,DATA_WITHOUT_GENUS!A:A,A40)/100</f>
        <v>5.24</v>
      </c>
      <c r="G40" s="18">
        <f>COUNTIFS(DATA_WITHOUT_GENUS!A:A,A40,DATA_WITHOUT_GENUS!I:I, "&gt;0")</f>
        <v>16</v>
      </c>
      <c r="H40">
        <f>COUNTIFS(DATA_WITHOUT_GENUS!A:A,A40,DATA_WITHOUT_GENUS!J:J,TRUE)</f>
        <v>6</v>
      </c>
      <c r="I40" s="18">
        <f>SUMIFS(DATA_WITHOUT_GENUS!I:I,DATA_WITHOUT_GENUS!A:A,A40,DATA_WITHOUT_GENUS!J:J,TRUE)</f>
        <v>53</v>
      </c>
      <c r="J40">
        <f>_xlfn.MAXIFS(DATA_WITHOUT_GENUS!I:I,DATA_WITHOUT_GENUS!A:A,A40)</f>
        <v>22</v>
      </c>
      <c r="K40" s="18" t="str" cm="1">
        <f t="array" ref="K40">_xlfn._xlws.FILTER(DATA_WITHOUT_GENUS!D:D,(DATA_WITHOUT_GENUS!A:A=A40)*(DATA_WITHOUT_GENUS!I:I=J40)*ROW(DATA_WITHOUT_GENUS!D:D),0)</f>
        <v>Hydropsychidae</v>
      </c>
      <c r="L40" s="30">
        <f t="shared" si="54"/>
        <v>3</v>
      </c>
      <c r="M40">
        <f t="shared" si="55"/>
        <v>6</v>
      </c>
      <c r="N40" s="31">
        <f t="shared" si="56"/>
        <v>6</v>
      </c>
      <c r="O40" s="32">
        <f t="shared" si="57"/>
        <v>6</v>
      </c>
      <c r="P40">
        <f t="shared" si="58"/>
        <v>6</v>
      </c>
      <c r="Q40" s="100">
        <f t="shared" si="59"/>
        <v>27</v>
      </c>
      <c r="R40" s="15" t="str">
        <f t="shared" si="39"/>
        <v>Non-Impaired</v>
      </c>
      <c r="AF40">
        <f t="shared" si="31"/>
        <v>6</v>
      </c>
      <c r="AG40">
        <f>ROUND((((COUNTIFS(DATA_WITHOUT_GENUS!A:A,A40,DATA_WITHOUT_GENUS!N:N,FALSE))/G40)*100),1)</f>
        <v>25</v>
      </c>
      <c r="AH40" s="23">
        <f>SUMIFS(DATA_WITHOUT_GENUS!I:I,DATA_WITHOUT_GENUS!A:A,A40,DATA_WITHOUT_GENUS!O:O,TRUE)</f>
        <v>31</v>
      </c>
      <c r="AI40">
        <f>COUNTIFS(DATA_WITHOUT_GENUS!A:A,A40,DATA_WITHOUT_GENUS!P:P,TRUE)</f>
        <v>2</v>
      </c>
      <c r="AJ40">
        <f t="shared" si="32"/>
        <v>4.4967421179358951</v>
      </c>
      <c r="AK40">
        <f t="shared" si="10"/>
        <v>45.007510330281264</v>
      </c>
      <c r="AL40" s="98">
        <f t="shared" si="11"/>
        <v>56.903748073233203</v>
      </c>
      <c r="AM40" t="str">
        <f t="shared" si="40"/>
        <v>Good</v>
      </c>
    </row>
    <row r="41" spans="1:39">
      <c r="A41" t="str">
        <f t="shared" si="47"/>
        <v>BD4_2011-07-09</v>
      </c>
      <c r="B41" s="73" t="s">
        <v>50</v>
      </c>
      <c r="C41" s="3">
        <v>40733</v>
      </c>
      <c r="D41">
        <f>SUMIF(DATA_WITHOUT_GENUS!A:A,A41,DATA_WITHOUT_GENUS!E:E)</f>
        <v>127</v>
      </c>
      <c r="E41">
        <f>SUMIF(DATA_WITHOUT_GENUS!A:A,A41,DATA_WITHOUT_GENUS!I:I)</f>
        <v>100</v>
      </c>
      <c r="F41" s="97">
        <f>SUMIFS(DATA_WITHOUT_GENUS!M:M,DATA_WITHOUT_GENUS!A:A,A41)/100</f>
        <v>3.99</v>
      </c>
      <c r="G41" s="18">
        <f>COUNTIFS(DATA_WITHOUT_GENUS!A:A,A41,DATA_WITHOUT_GENUS!I:I, "&gt;0")</f>
        <v>13</v>
      </c>
      <c r="H41">
        <f>COUNTIFS(DATA_WITHOUT_GENUS!A:A,A41,DATA_WITHOUT_GENUS!J:J,TRUE)</f>
        <v>4</v>
      </c>
      <c r="I41" s="18">
        <f>SUMIFS(DATA_WITHOUT_GENUS!I:I,DATA_WITHOUT_GENUS!A:A,A41,DATA_WITHOUT_GENUS!J:J,TRUE)</f>
        <v>67</v>
      </c>
      <c r="J41">
        <f>_xlfn.MAXIFS(DATA_WITHOUT_GENUS!I:I,DATA_WITHOUT_GENUS!A:A,A41)</f>
        <v>48</v>
      </c>
      <c r="K41" s="18" t="str" cm="1">
        <f t="array" ref="K41">_xlfn._xlws.FILTER(DATA_WITHOUT_GENUS!D:D,(DATA_WITHOUT_GENUS!A:A=A41)*(DATA_WITHOUT_GENUS!I:I=J41)*ROW(DATA_WITHOUT_GENUS!D:D),0)</f>
        <v>Hydropsychidae</v>
      </c>
      <c r="L41" s="30">
        <f t="shared" si="54"/>
        <v>6</v>
      </c>
      <c r="M41">
        <f t="shared" si="55"/>
        <v>6</v>
      </c>
      <c r="N41" s="31">
        <f t="shared" si="56"/>
        <v>3</v>
      </c>
      <c r="O41" s="32">
        <f t="shared" si="57"/>
        <v>6</v>
      </c>
      <c r="P41">
        <f t="shared" si="58"/>
        <v>3</v>
      </c>
      <c r="Q41" s="100">
        <f t="shared" si="59"/>
        <v>24</v>
      </c>
      <c r="R41" s="15" t="str">
        <f t="shared" si="39"/>
        <v>Non-Impaired</v>
      </c>
      <c r="AF41">
        <f t="shared" si="31"/>
        <v>4</v>
      </c>
      <c r="AG41">
        <f>ROUND((((COUNTIFS(DATA_WITHOUT_GENUS!A:A,A41,DATA_WITHOUT_GENUS!N:N,FALSE))/G41)*100),1)</f>
        <v>30.8</v>
      </c>
      <c r="AH41" s="23">
        <f>SUMIFS(DATA_WITHOUT_GENUS!I:I,DATA_WITHOUT_GENUS!A:A,A41,DATA_WITHOUT_GENUS!O:O,TRUE)</f>
        <v>19</v>
      </c>
      <c r="AI41">
        <f>COUNTIFS(DATA_WITHOUT_GENUS!A:A,A41,DATA_WITHOUT_GENUS!P:P,TRUE)</f>
        <v>3</v>
      </c>
      <c r="AJ41">
        <f t="shared" si="32"/>
        <v>3.2467421179358951</v>
      </c>
      <c r="AK41">
        <f t="shared" si="10"/>
        <v>33.007510330281256</v>
      </c>
      <c r="AL41" s="98">
        <f t="shared" si="11"/>
        <v>57.730388679724548</v>
      </c>
      <c r="AM41" t="str">
        <f t="shared" si="40"/>
        <v>Good</v>
      </c>
    </row>
    <row r="42" spans="1:39">
      <c r="A42" t="str">
        <f t="shared" si="47"/>
        <v>BD4_2011-10-22</v>
      </c>
      <c r="B42" s="73" t="s">
        <v>50</v>
      </c>
      <c r="C42" s="3">
        <v>40838</v>
      </c>
      <c r="D42">
        <f>SUMIF(DATA_WITHOUT_GENUS!A:A,A42,DATA_WITHOUT_GENUS!E:E)</f>
        <v>112</v>
      </c>
      <c r="E42">
        <f>SUMIF(DATA_WITHOUT_GENUS!A:A,A42,DATA_WITHOUT_GENUS!I:I)</f>
        <v>100</v>
      </c>
      <c r="F42" s="97">
        <f>SUMIFS(DATA_WITHOUT_GENUS!M:M,DATA_WITHOUT_GENUS!A:A,A42)/100</f>
        <v>3.69</v>
      </c>
      <c r="G42" s="18">
        <f>COUNTIFS(DATA_WITHOUT_GENUS!A:A,A42,DATA_WITHOUT_GENUS!I:I, "&gt;0")</f>
        <v>13</v>
      </c>
      <c r="H42">
        <f>COUNTIFS(DATA_WITHOUT_GENUS!A:A,A42,DATA_WITHOUT_GENUS!J:J,TRUE)</f>
        <v>5</v>
      </c>
      <c r="I42" s="18">
        <f>SUMIFS(DATA_WITHOUT_GENUS!I:I,DATA_WITHOUT_GENUS!A:A,A42,DATA_WITHOUT_GENUS!J:J,TRUE)</f>
        <v>70</v>
      </c>
      <c r="J42">
        <f>_xlfn.MAXIFS(DATA_WITHOUT_GENUS!I:I,DATA_WITHOUT_GENUS!A:A,A42)</f>
        <v>28</v>
      </c>
      <c r="K42" t="s">
        <v>2892</v>
      </c>
      <c r="L42" s="30">
        <f t="shared" si="54"/>
        <v>6</v>
      </c>
      <c r="M42">
        <f t="shared" si="55"/>
        <v>6</v>
      </c>
      <c r="N42" s="31">
        <f t="shared" si="56"/>
        <v>3</v>
      </c>
      <c r="O42" s="32">
        <f t="shared" si="57"/>
        <v>6</v>
      </c>
      <c r="P42">
        <f t="shared" si="58"/>
        <v>6</v>
      </c>
      <c r="Q42" s="100">
        <f t="shared" si="59"/>
        <v>27</v>
      </c>
      <c r="R42" s="15" t="str">
        <f t="shared" si="39"/>
        <v>Non-Impaired</v>
      </c>
      <c r="AF42">
        <f t="shared" si="31"/>
        <v>5</v>
      </c>
      <c r="AG42">
        <f>ROUND((((COUNTIFS(DATA_WITHOUT_GENUS!A:A,A42,DATA_WITHOUT_GENUS!N:N,FALSE))/G42)*100),1)</f>
        <v>15.4</v>
      </c>
      <c r="AH42" s="23">
        <f>SUMIFS(DATA_WITHOUT_GENUS!I:I,DATA_WITHOUT_GENUS!A:A,A42,DATA_WITHOUT_GENUS!O:O,TRUE)</f>
        <v>42</v>
      </c>
      <c r="AI42">
        <f>COUNTIFS(DATA_WITHOUT_GENUS!A:A,A42,DATA_WITHOUT_GENUS!P:P,TRUE)</f>
        <v>3</v>
      </c>
      <c r="AJ42">
        <f t="shared" si="32"/>
        <v>2.9467421179358961</v>
      </c>
      <c r="AK42">
        <f t="shared" si="10"/>
        <v>56.007510330281264</v>
      </c>
      <c r="AL42" s="98">
        <f t="shared" si="11"/>
        <v>72.651615877071151</v>
      </c>
      <c r="AM42" t="str">
        <f t="shared" si="40"/>
        <v>Excellent</v>
      </c>
    </row>
    <row r="43" spans="1:39">
      <c r="A43" t="str">
        <f t="shared" si="47"/>
        <v>BD4_2012-07-23</v>
      </c>
      <c r="B43" s="73" t="s">
        <v>50</v>
      </c>
      <c r="C43" s="3">
        <v>41113</v>
      </c>
      <c r="D43">
        <f>SUMIF(DATA_WITHOUT_GENUS!A:A,A43,DATA_WITHOUT_GENUS!E:E)</f>
        <v>137</v>
      </c>
      <c r="E43">
        <f>SUMIF(DATA_WITHOUT_GENUS!A:A,A43,DATA_WITHOUT_GENUS!I:I)</f>
        <v>100</v>
      </c>
      <c r="F43" s="97">
        <f>SUMIFS(DATA_WITHOUT_GENUS!M:M,DATA_WITHOUT_GENUS!A:A,A43)/100</f>
        <v>3.79</v>
      </c>
      <c r="G43" s="18">
        <f>COUNTIFS(DATA_WITHOUT_GENUS!A:A,A43,DATA_WITHOUT_GENUS!I:I, "&gt;0")</f>
        <v>13</v>
      </c>
      <c r="H43">
        <f>COUNTIFS(DATA_WITHOUT_GENUS!A:A,A43,DATA_WITHOUT_GENUS!J:J,TRUE)</f>
        <v>7</v>
      </c>
      <c r="I43" s="18">
        <f>SUMIFS(DATA_WITHOUT_GENUS!I:I,DATA_WITHOUT_GENUS!A:A,A43,DATA_WITHOUT_GENUS!J:J,TRUE)</f>
        <v>90</v>
      </c>
      <c r="J43">
        <f>_xlfn.MAXIFS(DATA_WITHOUT_GENUS!I:I,DATA_WITHOUT_GENUS!A:A,A43)</f>
        <v>56</v>
      </c>
      <c r="K43" s="18" t="str" cm="1">
        <f t="array" ref="K43">_xlfn._xlws.FILTER(DATA_WITHOUT_GENUS!D:D,(DATA_WITHOUT_GENUS!A:A=A43)*(DATA_WITHOUT_GENUS!I:I=J43)*ROW(DATA_WITHOUT_GENUS!D:D),0)</f>
        <v>Hydropsychidae</v>
      </c>
      <c r="L43" s="30">
        <f t="shared" si="54"/>
        <v>6</v>
      </c>
      <c r="M43">
        <f t="shared" si="55"/>
        <v>6</v>
      </c>
      <c r="N43" s="31">
        <f t="shared" si="56"/>
        <v>6</v>
      </c>
      <c r="O43" s="32">
        <f t="shared" si="57"/>
        <v>6</v>
      </c>
      <c r="P43">
        <f t="shared" si="58"/>
        <v>3</v>
      </c>
      <c r="Q43" s="100">
        <f t="shared" si="59"/>
        <v>27</v>
      </c>
      <c r="R43" s="15" t="str">
        <f t="shared" si="39"/>
        <v>Non-Impaired</v>
      </c>
      <c r="AF43">
        <f t="shared" si="31"/>
        <v>7</v>
      </c>
      <c r="AG43">
        <f>ROUND((((COUNTIFS(DATA_WITHOUT_GENUS!A:A,A43,DATA_WITHOUT_GENUS!N:N,FALSE))/G43)*100),1)</f>
        <v>7.7</v>
      </c>
      <c r="AH43" s="23">
        <f>SUMIFS(DATA_WITHOUT_GENUS!I:I,DATA_WITHOUT_GENUS!A:A,A43,DATA_WITHOUT_GENUS!O:O,TRUE)</f>
        <v>34</v>
      </c>
      <c r="AI43">
        <f>COUNTIFS(DATA_WITHOUT_GENUS!A:A,A43,DATA_WITHOUT_GENUS!P:P,TRUE)</f>
        <v>2</v>
      </c>
      <c r="AJ43">
        <f t="shared" si="32"/>
        <v>3.0467421179358958</v>
      </c>
      <c r="AK43">
        <f t="shared" si="10"/>
        <v>48.007510330281264</v>
      </c>
      <c r="AL43" s="98">
        <f t="shared" si="11"/>
        <v>72.208000620023057</v>
      </c>
      <c r="AM43" t="str">
        <f t="shared" si="40"/>
        <v>Excellent</v>
      </c>
    </row>
    <row r="44" spans="1:39">
      <c r="A44" t="str">
        <f t="shared" si="47"/>
        <v>BD4_2012-10-13</v>
      </c>
      <c r="B44" s="73" t="s">
        <v>50</v>
      </c>
      <c r="C44" s="3">
        <v>41195</v>
      </c>
      <c r="D44">
        <f>SUMIF(DATA_WITHOUT_GENUS!A:A,A44,DATA_WITHOUT_GENUS!E:E)</f>
        <v>125</v>
      </c>
      <c r="E44">
        <f>SUMIF(DATA_WITHOUT_GENUS!A:A,A44,DATA_WITHOUT_GENUS!I:I)</f>
        <v>100</v>
      </c>
      <c r="F44" s="97">
        <f>SUMIFS(DATA_WITHOUT_GENUS!M:M,DATA_WITHOUT_GENUS!A:A,A44)/100</f>
        <v>3.53</v>
      </c>
      <c r="G44" s="18">
        <f>COUNTIFS(DATA_WITHOUT_GENUS!A:A,A44,DATA_WITHOUT_GENUS!I:I, "&gt;0")</f>
        <v>10</v>
      </c>
      <c r="H44">
        <f>COUNTIFS(DATA_WITHOUT_GENUS!A:A,A44,DATA_WITHOUT_GENUS!J:J,TRUE)</f>
        <v>4</v>
      </c>
      <c r="I44" s="18">
        <f>SUMIFS(DATA_WITHOUT_GENUS!I:I,DATA_WITHOUT_GENUS!A:A,A44,DATA_WITHOUT_GENUS!J:J,TRUE)</f>
        <v>70</v>
      </c>
      <c r="J44">
        <f>_xlfn.MAXIFS(DATA_WITHOUT_GENUS!I:I,DATA_WITHOUT_GENUS!A:A,A44)</f>
        <v>62</v>
      </c>
      <c r="K44" s="18" t="str" cm="1">
        <f t="array" ref="K44">_xlfn._xlws.FILTER(DATA_WITHOUT_GENUS!D:D,(DATA_WITHOUT_GENUS!A:A=A44)*(DATA_WITHOUT_GENUS!I:I=J44)*ROW(DATA_WITHOUT_GENUS!D:D),0)</f>
        <v>Philopotamidae</v>
      </c>
      <c r="L44" s="30">
        <f t="shared" si="54"/>
        <v>6</v>
      </c>
      <c r="M44">
        <f t="shared" si="55"/>
        <v>3</v>
      </c>
      <c r="N44" s="31">
        <f t="shared" si="56"/>
        <v>3</v>
      </c>
      <c r="O44" s="32">
        <f t="shared" si="57"/>
        <v>6</v>
      </c>
      <c r="P44">
        <f t="shared" si="58"/>
        <v>0</v>
      </c>
      <c r="Q44" s="100">
        <f t="shared" si="59"/>
        <v>18</v>
      </c>
      <c r="R44" s="15" t="str">
        <f t="shared" si="39"/>
        <v>Moderately Impaired</v>
      </c>
      <c r="AF44">
        <f t="shared" si="31"/>
        <v>4</v>
      </c>
      <c r="AG44">
        <f>ROUND((((COUNTIFS(DATA_WITHOUT_GENUS!A:A,A44,DATA_WITHOUT_GENUS!N:N,FALSE))/G44)*100),1)</f>
        <v>0</v>
      </c>
      <c r="AH44" s="23">
        <f>SUMIFS(DATA_WITHOUT_GENUS!I:I,DATA_WITHOUT_GENUS!A:A,A44,DATA_WITHOUT_GENUS!O:O,TRUE)</f>
        <v>69</v>
      </c>
      <c r="AI44">
        <f>COUNTIFS(DATA_WITHOUT_GENUS!A:A,A44,DATA_WITHOUT_GENUS!P:P,TRUE)</f>
        <v>2</v>
      </c>
      <c r="AJ44">
        <f t="shared" si="32"/>
        <v>2.786742117935896</v>
      </c>
      <c r="AK44">
        <f t="shared" si="10"/>
        <v>83.007510330281264</v>
      </c>
      <c r="AL44" s="98">
        <f t="shared" si="11"/>
        <v>81.400206258497349</v>
      </c>
      <c r="AM44" t="str">
        <f t="shared" si="40"/>
        <v>Excellent</v>
      </c>
    </row>
    <row r="45" spans="1:39">
      <c r="A45" t="str">
        <f t="shared" si="47"/>
        <v>BD4_2013-03-16</v>
      </c>
      <c r="B45" s="73" t="s">
        <v>50</v>
      </c>
      <c r="C45" s="3">
        <v>41349</v>
      </c>
      <c r="D45">
        <f>SUMIF(DATA_WITHOUT_GENUS!A:A,A45,DATA_WITHOUT_GENUS!E:E)</f>
        <v>105</v>
      </c>
      <c r="E45">
        <f>SUMIF(DATA_WITHOUT_GENUS!A:A,A45,DATA_WITHOUT_GENUS!I:I)</f>
        <v>100</v>
      </c>
      <c r="F45" s="97">
        <f>SUMIFS(DATA_WITHOUT_GENUS!M:M,DATA_WITHOUT_GENUS!A:A,A45)/100</f>
        <v>5.48</v>
      </c>
      <c r="G45" s="18">
        <f>COUNTIFS(DATA_WITHOUT_GENUS!A:A,A45,DATA_WITHOUT_GENUS!I:I, "&gt;0")</f>
        <v>18</v>
      </c>
      <c r="H45">
        <f>COUNTIFS(DATA_WITHOUT_GENUS!A:A,A45,DATA_WITHOUT_GENUS!J:J,TRUE)</f>
        <v>8</v>
      </c>
      <c r="I45" s="18">
        <f>SUMIFS(DATA_WITHOUT_GENUS!I:I,DATA_WITHOUT_GENUS!A:A,A45,DATA_WITHOUT_GENUS!J:J,TRUE)</f>
        <v>23</v>
      </c>
      <c r="J45">
        <f>_xlfn.MAXIFS(DATA_WITHOUT_GENUS!I:I,DATA_WITHOUT_GENUS!A:A,A45)</f>
        <v>28</v>
      </c>
      <c r="K45" s="18" t="str" cm="1">
        <f t="array" ref="K45">_xlfn._xlws.FILTER(DATA_WITHOUT_GENUS!D:D,(DATA_WITHOUT_GENUS!A:A=A45)*(DATA_WITHOUT_GENUS!I:I=J45)*ROW(DATA_WITHOUT_GENUS!D:D),0)</f>
        <v>Chironomidae</v>
      </c>
      <c r="L45" s="30">
        <f t="shared" ref="L45:L48" si="60">IF(F45="","",IF(F45&gt;7,0,IF(F45&lt;5,6,IF(F45&lt;=7,3))))</f>
        <v>3</v>
      </c>
      <c r="M45">
        <f t="shared" ref="M45:M48" si="61">IF(G45="","",IF(G45&gt;10,6,IF(G45&lt;5,0,IF(G45&lt;=10,3))))</f>
        <v>6</v>
      </c>
      <c r="N45" s="31">
        <f t="shared" ref="N45:N48" si="62">IF(H45="","",IF(H45&gt;5,6,IF(H45&lt;3,0,IF(H45&lt;=5,3))))</f>
        <v>6</v>
      </c>
      <c r="O45" s="32">
        <f t="shared" ref="O45:O48" si="63">IF(I45="","",IF(I45&gt;35,6,IF(I45&lt;10,0,IF(I45&lt;=35,3,IF(I45&lt;10,0)))))</f>
        <v>3</v>
      </c>
      <c r="P45">
        <f t="shared" ref="P45:P48" si="64">IF(J45="","",IF(J45&gt;60,0,IF(J45&lt;40,6,IF(J45&lt;=60,3))))</f>
        <v>6</v>
      </c>
      <c r="Q45" s="100">
        <f t="shared" ref="Q45:Q48" si="65">SUM(L45:P45)</f>
        <v>24</v>
      </c>
      <c r="R45" s="15" t="str">
        <f t="shared" si="39"/>
        <v>Non-Impaired</v>
      </c>
      <c r="AF45">
        <f t="shared" si="31"/>
        <v>8</v>
      </c>
      <c r="AG45">
        <f>ROUND((((COUNTIFS(DATA_WITHOUT_GENUS!A:A,A45,DATA_WITHOUT_GENUS!N:N,FALSE))/G45)*100),1)</f>
        <v>16.7</v>
      </c>
      <c r="AH45" s="23">
        <f>SUMIFS(DATA_WITHOUT_GENUS!I:I,DATA_WITHOUT_GENUS!A:A,A45,DATA_WITHOUT_GENUS!O:O,TRUE)</f>
        <v>14</v>
      </c>
      <c r="AI45">
        <f>COUNTIFS(DATA_WITHOUT_GENUS!A:A,A45,DATA_WITHOUT_GENUS!P:P,TRUE)</f>
        <v>1</v>
      </c>
      <c r="AJ45">
        <f t="shared" si="32"/>
        <v>4.7367421179358971</v>
      </c>
      <c r="AK45">
        <f t="shared" si="10"/>
        <v>28.007510330281256</v>
      </c>
      <c r="AL45" s="98">
        <f t="shared" si="11"/>
        <v>53.264041842482172</v>
      </c>
      <c r="AM45" t="str">
        <f t="shared" si="40"/>
        <v>Good</v>
      </c>
    </row>
    <row r="46" spans="1:39">
      <c r="A46" t="str">
        <f t="shared" si="47"/>
        <v>BD4_2013-07-18</v>
      </c>
      <c r="B46" s="73" t="s">
        <v>50</v>
      </c>
      <c r="C46" s="3">
        <v>41473</v>
      </c>
      <c r="D46">
        <f>SUMIF(DATA_WITHOUT_GENUS!A:A,A46,DATA_WITHOUT_GENUS!E:E)</f>
        <v>105</v>
      </c>
      <c r="E46">
        <f>SUMIF(DATA_WITHOUT_GENUS!A:A,A46,DATA_WITHOUT_GENUS!I:I)</f>
        <v>100</v>
      </c>
      <c r="F46" s="97">
        <f>SUMIFS(DATA_WITHOUT_GENUS!M:M,DATA_WITHOUT_GENUS!A:A,A46)/100</f>
        <v>3.78</v>
      </c>
      <c r="G46" s="18">
        <f>COUNTIFS(DATA_WITHOUT_GENUS!A:A,A46,DATA_WITHOUT_GENUS!I:I, "&gt;0")</f>
        <v>13</v>
      </c>
      <c r="H46">
        <f>COUNTIFS(DATA_WITHOUT_GENUS!A:A,A46,DATA_WITHOUT_GENUS!J:J,TRUE)</f>
        <v>4</v>
      </c>
      <c r="I46" s="18">
        <f>SUMIFS(DATA_WITHOUT_GENUS!I:I,DATA_WITHOUT_GENUS!A:A,A46,DATA_WITHOUT_GENUS!J:J,TRUE)</f>
        <v>81</v>
      </c>
      <c r="J46">
        <f>_xlfn.MAXIFS(DATA_WITHOUT_GENUS!I:I,DATA_WITHOUT_GENUS!A:A,A46)</f>
        <v>42</v>
      </c>
      <c r="K46" s="18" t="str" cm="1">
        <f t="array" ref="K46">_xlfn._xlws.FILTER(DATA_WITHOUT_GENUS!D:D,(DATA_WITHOUT_GENUS!A:A=A46)*(DATA_WITHOUT_GENUS!I:I=J46)*ROW(DATA_WITHOUT_GENUS!D:D),0)</f>
        <v>Hydropsychidae</v>
      </c>
      <c r="L46" s="30">
        <f t="shared" si="60"/>
        <v>6</v>
      </c>
      <c r="M46">
        <f t="shared" si="61"/>
        <v>6</v>
      </c>
      <c r="N46" s="31">
        <f t="shared" si="62"/>
        <v>3</v>
      </c>
      <c r="O46" s="32">
        <f t="shared" si="63"/>
        <v>6</v>
      </c>
      <c r="P46">
        <f t="shared" si="64"/>
        <v>3</v>
      </c>
      <c r="Q46" s="100">
        <f t="shared" si="65"/>
        <v>24</v>
      </c>
      <c r="R46" s="15" t="str">
        <f t="shared" si="39"/>
        <v>Non-Impaired</v>
      </c>
      <c r="AF46">
        <f t="shared" si="31"/>
        <v>4</v>
      </c>
      <c r="AG46">
        <f>ROUND((((COUNTIFS(DATA_WITHOUT_GENUS!A:A,A46,DATA_WITHOUT_GENUS!N:N,FALSE))/G46)*100),1)</f>
        <v>30.8</v>
      </c>
      <c r="AH46" s="23">
        <f>SUMIFS(DATA_WITHOUT_GENUS!I:I,DATA_WITHOUT_GENUS!A:A,A46,DATA_WITHOUT_GENUS!O:O,TRUE)</f>
        <v>39</v>
      </c>
      <c r="AI46">
        <f>COUNTIFS(DATA_WITHOUT_GENUS!A:A,A46,DATA_WITHOUT_GENUS!P:P,TRUE)</f>
        <v>2</v>
      </c>
      <c r="AJ46">
        <f t="shared" si="32"/>
        <v>3.036742117935896</v>
      </c>
      <c r="AK46">
        <f t="shared" si="10"/>
        <v>53.007510330281264</v>
      </c>
      <c r="AL46" s="98">
        <f t="shared" si="11"/>
        <v>61.417204600122567</v>
      </c>
      <c r="AM46" t="str">
        <f t="shared" si="40"/>
        <v>Good</v>
      </c>
    </row>
    <row r="47" spans="1:39">
      <c r="A47" t="str">
        <f t="shared" si="47"/>
        <v>BD4_2013-10-13</v>
      </c>
      <c r="B47" s="73" t="s">
        <v>50</v>
      </c>
      <c r="C47" s="3">
        <v>41560</v>
      </c>
      <c r="D47">
        <f>SUMIF(DATA_WITHOUT_GENUS!A:A,A47,DATA_WITHOUT_GENUS!E:E)</f>
        <v>110</v>
      </c>
      <c r="E47">
        <f>SUMIF(DATA_WITHOUT_GENUS!A:A,A47,DATA_WITHOUT_GENUS!I:I)</f>
        <v>100</v>
      </c>
      <c r="F47" s="97">
        <f>SUMIFS(DATA_WITHOUT_GENUS!M:M,DATA_WITHOUT_GENUS!A:A,A47)/100</f>
        <v>3.85</v>
      </c>
      <c r="G47" s="18">
        <f>COUNTIFS(DATA_WITHOUT_GENUS!A:A,A47,DATA_WITHOUT_GENUS!I:I, "&gt;0")</f>
        <v>14</v>
      </c>
      <c r="H47">
        <f>COUNTIFS(DATA_WITHOUT_GENUS!A:A,A47,DATA_WITHOUT_GENUS!J:J,TRUE)</f>
        <v>4</v>
      </c>
      <c r="I47" s="18">
        <f>SUMIFS(DATA_WITHOUT_GENUS!I:I,DATA_WITHOUT_GENUS!A:A,A47,DATA_WITHOUT_GENUS!J:J,TRUE)</f>
        <v>83</v>
      </c>
      <c r="J47">
        <f>_xlfn.MAXIFS(DATA_WITHOUT_GENUS!I:I,DATA_WITHOUT_GENUS!A:A,A47)</f>
        <v>42</v>
      </c>
      <c r="K47" s="18" t="str" cm="1">
        <f t="array" ref="K47">_xlfn._xlws.FILTER(DATA_WITHOUT_GENUS!D:D,(DATA_WITHOUT_GENUS!A:A=A47)*(DATA_WITHOUT_GENUS!I:I=J47)*ROW(DATA_WITHOUT_GENUS!D:D),0)</f>
        <v>Philopotamidae</v>
      </c>
      <c r="L47" s="30">
        <f t="shared" si="60"/>
        <v>6</v>
      </c>
      <c r="M47">
        <f t="shared" si="61"/>
        <v>6</v>
      </c>
      <c r="N47" s="31">
        <f t="shared" si="62"/>
        <v>3</v>
      </c>
      <c r="O47" s="32">
        <f t="shared" si="63"/>
        <v>6</v>
      </c>
      <c r="P47">
        <f t="shared" si="64"/>
        <v>3</v>
      </c>
      <c r="Q47" s="100">
        <f t="shared" si="65"/>
        <v>24</v>
      </c>
      <c r="R47" s="15" t="str">
        <f t="shared" si="39"/>
        <v>Non-Impaired</v>
      </c>
      <c r="AF47">
        <f t="shared" si="31"/>
        <v>4</v>
      </c>
      <c r="AG47">
        <f>ROUND((((COUNTIFS(DATA_WITHOUT_GENUS!A:A,A47,DATA_WITHOUT_GENUS!N:N,FALSE))/G47)*100),1)</f>
        <v>28.6</v>
      </c>
      <c r="AH47" s="23">
        <f>SUMIFS(DATA_WITHOUT_GENUS!I:I,DATA_WITHOUT_GENUS!A:A,A47,DATA_WITHOUT_GENUS!O:O,TRUE)</f>
        <v>46</v>
      </c>
      <c r="AI47">
        <f>COUNTIFS(DATA_WITHOUT_GENUS!A:A,A47,DATA_WITHOUT_GENUS!P:P,TRUE)</f>
        <v>3</v>
      </c>
      <c r="AJ47">
        <f t="shared" si="32"/>
        <v>3.1067421179358963</v>
      </c>
      <c r="AK47">
        <f t="shared" si="10"/>
        <v>60.007510330281264</v>
      </c>
      <c r="AL47" s="98">
        <f t="shared" si="11"/>
        <v>67.188502870674554</v>
      </c>
      <c r="AM47" t="str">
        <f t="shared" si="40"/>
        <v>Excellent</v>
      </c>
    </row>
    <row r="48" spans="1:39">
      <c r="A48" t="str">
        <f t="shared" si="47"/>
        <v>BD4_2014-03-22</v>
      </c>
      <c r="B48" s="73" t="s">
        <v>50</v>
      </c>
      <c r="C48" s="3">
        <v>41720</v>
      </c>
      <c r="D48">
        <f>SUMIF(DATA_WITHOUT_GENUS!A:A,A48,DATA_WITHOUT_GENUS!E:E)</f>
        <v>114</v>
      </c>
      <c r="E48">
        <f>SUMIF(DATA_WITHOUT_GENUS!A:A,A48,DATA_WITHOUT_GENUS!I:I)</f>
        <v>100</v>
      </c>
      <c r="F48" s="97">
        <f>SUMIFS(DATA_WITHOUT_GENUS!M:M,DATA_WITHOUT_GENUS!A:A,A48)/100</f>
        <v>4.17</v>
      </c>
      <c r="G48" s="18">
        <f>COUNTIFS(DATA_WITHOUT_GENUS!A:A,A48,DATA_WITHOUT_GENUS!I:I, "&gt;0")</f>
        <v>15</v>
      </c>
      <c r="H48">
        <f>COUNTIFS(DATA_WITHOUT_GENUS!A:A,A48,DATA_WITHOUT_GENUS!J:J,TRUE)</f>
        <v>5</v>
      </c>
      <c r="I48" s="18">
        <f>SUMIFS(DATA_WITHOUT_GENUS!I:I,DATA_WITHOUT_GENUS!A:A,A48,DATA_WITHOUT_GENUS!J:J,TRUE)</f>
        <v>56</v>
      </c>
      <c r="J48">
        <f>_xlfn.MAXIFS(DATA_WITHOUT_GENUS!I:I,DATA_WITHOUT_GENUS!A:A,A48)</f>
        <v>37</v>
      </c>
      <c r="K48" s="18" t="str" cm="1">
        <f t="array" ref="K48">_xlfn._xlws.FILTER(DATA_WITHOUT_GENUS!D:D,(DATA_WITHOUT_GENUS!A:A=A48)*(DATA_WITHOUT_GENUS!I:I=J48)*ROW(DATA_WITHOUT_GENUS!D:D),0)</f>
        <v>Philopotamidae</v>
      </c>
      <c r="L48" s="30">
        <f t="shared" si="60"/>
        <v>6</v>
      </c>
      <c r="M48">
        <f t="shared" si="61"/>
        <v>6</v>
      </c>
      <c r="N48" s="31">
        <f t="shared" si="62"/>
        <v>3</v>
      </c>
      <c r="O48" s="32">
        <f t="shared" si="63"/>
        <v>6</v>
      </c>
      <c r="P48">
        <f t="shared" si="64"/>
        <v>6</v>
      </c>
      <c r="Q48" s="100">
        <f t="shared" si="65"/>
        <v>27</v>
      </c>
      <c r="R48" s="15" t="str">
        <f t="shared" si="39"/>
        <v>Non-Impaired</v>
      </c>
      <c r="AF48">
        <f t="shared" si="31"/>
        <v>5</v>
      </c>
      <c r="AG48">
        <f>ROUND((((COUNTIFS(DATA_WITHOUT_GENUS!A:A,A48,DATA_WITHOUT_GENUS!N:N,FALSE))/G48)*100),1)</f>
        <v>26.7</v>
      </c>
      <c r="AH48" s="23">
        <f>SUMIFS(DATA_WITHOUT_GENUS!I:I,DATA_WITHOUT_GENUS!A:A,A48,DATA_WITHOUT_GENUS!O:O,TRUE)</f>
        <v>48</v>
      </c>
      <c r="AI48">
        <f>COUNTIFS(DATA_WITHOUT_GENUS!A:A,A48,DATA_WITHOUT_GENUS!P:P,TRUE)</f>
        <v>2</v>
      </c>
      <c r="AJ48">
        <f t="shared" si="32"/>
        <v>3.4267421179358948</v>
      </c>
      <c r="AK48">
        <f t="shared" si="10"/>
        <v>62.007510330281264</v>
      </c>
      <c r="AL48" s="98">
        <f t="shared" si="11"/>
        <v>65.122025732555628</v>
      </c>
      <c r="AM48" t="str">
        <f t="shared" si="40"/>
        <v>Excellent</v>
      </c>
    </row>
    <row r="49" spans="1:31">
      <c r="A49" t="str">
        <f>B49&amp;"_"&amp;TEXT(C49,"yyyy-mm-dd")</f>
        <v>BD4_2014-07-17</v>
      </c>
      <c r="B49" t="s">
        <v>50</v>
      </c>
      <c r="C49" s="3">
        <v>41837</v>
      </c>
      <c r="D49">
        <f>SUMIF(DATA_WITH_GENUS_OLD!A:A,A49,DATA_WITH_GENUS_OLD!F:F)</f>
        <v>108</v>
      </c>
      <c r="E49">
        <f>SUMIF(DATA_WITH_GENUS_OLD!A:A,A49,DATA_WITH_GENUS_OLD!J:J)</f>
        <v>100</v>
      </c>
      <c r="F49" s="98">
        <f>SUMIFS(DATA_WITH_GENUS_OLD!T:T,DATA_WITH_GENUS_OLD!A:A,A49)/100</f>
        <v>3.91</v>
      </c>
      <c r="G49" cm="1">
        <f t="array" ref="G49">COUNTA(_xlfn.UNIQUE(_xlfn._xlws.FILTER(DATA_WITH_GENUS_OLD!A:A&amp;DATA_WITH_GENUS_OLD!D:D,(DATA_WITH_GENUS_OLD!A:A = A49)*(DATA_WITH_GENUS_OLD!J:J&gt;0))))</f>
        <v>11</v>
      </c>
      <c r="H49">
        <f>COUNTIFS(DATA_WITH_GENUS_OLD!A:A,A49,DATA_WITH_GENUS_OLD!K:K,"~*")</f>
        <v>3</v>
      </c>
      <c r="I49">
        <f>SUMIFS(DATA_WITH_GENUS_OLD!J:J,DATA_WITH_GENUS_OLD!A:A,A49,DATA_WITH_GENUS_OLD!K:K,"~*")</f>
        <v>73</v>
      </c>
      <c r="J49">
        <f>_xlfn.MAXIFS(DATA_WITH_GENUS_OLD!J:J,DATA_WITH_GENUS_OLD!A:A,A49)</f>
        <v>49</v>
      </c>
      <c r="K49" s="18" t="str" cm="1">
        <f t="array" ref="K49">_xlfn._xlws.FILTER(DATA_WITH_GENUS_OLD!E:E,(DATA_WITH_GENUS_OLD!A:A=A49)*(DATA_WITH_GENUS_OLD!J:J=J49)*ROW(DATA_WITH_GENUS_OLD!E:E),0)</f>
        <v>Hydropsychidae</v>
      </c>
      <c r="L49" s="11">
        <f>IF(F49="","",IF(F49&gt;7,0,IF(F49&lt;5,6,IF(F49&lt;=7,3))))</f>
        <v>6</v>
      </c>
      <c r="M49">
        <f>IF(G49="","",IF(G49&gt;10,6,IF(G49&lt;5,0,IF(G49&lt;=10,3))))</f>
        <v>6</v>
      </c>
      <c r="N49" s="13">
        <f>IF(H49="","",IF(H49&gt;5,6,IF(H49&lt;3,0,IF(H49&lt;=5,3))))</f>
        <v>3</v>
      </c>
      <c r="O49" s="14">
        <f>IF(I59="","",IF(I59&gt;35,6,IF(I59&lt;1,0,IF(I59&lt;=35,3,IF(I59&lt;1,0)))))</f>
        <v>6</v>
      </c>
      <c r="P49">
        <f>IF(J49="","",IF(J49&gt;60,0,IF(J49&lt;40,6,IF(J49&lt;=60,3))))</f>
        <v>3</v>
      </c>
      <c r="Q49" s="100">
        <f>SUM(L49:P49)</f>
        <v>24</v>
      </c>
      <c r="R49" s="15" t="str">
        <f>IF(Q49&gt;=24, "Non-Impaired", IF(Q49&lt;=6, "Severally Impaired", IF(Q49&gt;=9, "Moderately Impaired","")))</f>
        <v>Non-Impaired</v>
      </c>
      <c r="S49" s="15">
        <f>COUNTIFS(DATA_WITH_GENUS_OLD!A:A,A49,DATA_WITH_GENUS_OLD!J:J, "&gt;0")</f>
        <v>11</v>
      </c>
      <c r="T49" s="20">
        <f>ROUND((((COUNTIFS(DATA_WITH_GENUS_OLD!A:A,A49,DATA_WITH_GENUS_OLD!O:O,FALSE))/G49)*100),1)</f>
        <v>27.3</v>
      </c>
      <c r="U49" s="68">
        <f>SUMIFS(DATA_WITH_GENUS_OLD!J:J,DATA_WITH_GENUS_OLD!A:A,A49,DATA_WITH_GENUS_OLD!P:P,TRUE)/100</f>
        <v>0.24</v>
      </c>
      <c r="V49">
        <f>SUMIFS(DATA_WITH_GENUS_OLD!U:U,DATA_WITH_GENUS_OLD!A:A,A49)/100</f>
        <v>3.89</v>
      </c>
      <c r="W49" s="18">
        <f>COUNTIFS(DATA_WITH_GENUS_OLD!A:A,A49,DATA_WITH_GENUS_OLD!R:R,TRUE)</f>
        <v>3</v>
      </c>
      <c r="X49" s="18">
        <f>COUNTIFS(DATA_WITH_GENUS_OLD!A:A,A49,DATA_WITH_GENUS_OLD!S:S,2)</f>
        <v>0</v>
      </c>
      <c r="Y49">
        <f>COUNTIFS(DATA_WITH_GENUS_OLD!A:A,A49,DATA_WITH_GENUS_OLD!S:S,3)</f>
        <v>1</v>
      </c>
      <c r="Z49">
        <f>S49+26.53-(22.776+4.173*(LOG10(16.73739082)))</f>
        <v>9.6475509897280602</v>
      </c>
      <c r="AA49" s="69">
        <f t="shared" ref="AA49:AA59" si="66">(U49)+37.49-(49.22-13.8*(LOG10(16.73739082)))</f>
        <v>5.3968910476282872</v>
      </c>
      <c r="AB49">
        <f t="shared" ref="AB49:AB59" si="67">V49 + 4.23-(3.407+0.981*(LOG10(16.73739082)))</f>
        <v>3.512562310309904</v>
      </c>
      <c r="AC49">
        <f t="shared" ref="AC49:AC59" si="68">V49 + 5.44-(3.889+0.981*(LOG10(16.73739082)))</f>
        <v>4.2405623103099028</v>
      </c>
      <c r="AD49" s="98">
        <f t="shared" ref="AD49:AD59" si="69">((100*Z49/31)+(100*(60-T49)/55)+(100*AA49/69)+(100*(7.2-AB49)/4.6)+(100*AC49/11)+(100*X49/8)+(100*Y49/8))/7</f>
        <v>32.801359181655812</v>
      </c>
      <c r="AE49" t="str">
        <f>IF(AD49&gt;=63, "Excellent", IF(AD49&lt;21, "Poor", IF(AD49&lt;42, "Fair","Good")))</f>
        <v>Fair</v>
      </c>
    </row>
    <row r="50" spans="1:31">
      <c r="A50" t="str">
        <f t="shared" ref="A50:A58" si="70">B50&amp;"_"&amp;TEXT(C50,"yyyy-mm-dd")</f>
        <v>BD4_2014-10-12</v>
      </c>
      <c r="B50" t="s">
        <v>50</v>
      </c>
      <c r="C50" s="36">
        <v>41924</v>
      </c>
      <c r="D50">
        <f>SUMIF(DATA_WITH_GENUS_OLD!A:A,A50,DATA_WITH_GENUS_OLD!F:F)</f>
        <v>106</v>
      </c>
      <c r="E50">
        <f>SUMIF(DATA_WITH_GENUS_OLD!A:A,A50,DATA_WITH_GENUS_OLD!J:J)</f>
        <v>100</v>
      </c>
      <c r="F50" s="98">
        <f>SUMIFS(DATA_WITH_GENUS_OLD!T:T,DATA_WITH_GENUS_OLD!A:A,A50)/100</f>
        <v>3.51</v>
      </c>
      <c r="G50" cm="1">
        <f t="array" ref="G50">COUNTA(_xlfn.UNIQUE(_xlfn._xlws.FILTER(DATA_WITH_GENUS_OLD!A:A&amp;DATA_WITH_GENUS_OLD!D:D,(DATA_WITH_GENUS_OLD!A:A = A50)*(DATA_WITH_GENUS_OLD!J:J&gt;0))))</f>
        <v>13</v>
      </c>
      <c r="H50">
        <f>COUNTIFS(DATA_WITH_GENUS_OLD!A:A,A50,DATA_WITH_GENUS_OLD!K:K,"~*")</f>
        <v>5</v>
      </c>
      <c r="I50">
        <f>COUNTIFS(DATA_WITH_GENUS_OLD!A:A,A50,DATA_WITH_GENUS_OLD!K:K,"~*")</f>
        <v>5</v>
      </c>
      <c r="J50">
        <f>_xlfn.MAXIFS(DATA_WITH_GENUS_OLD!J:J,DATA_WITH_GENUS_OLD!A:A,A50)</f>
        <v>56</v>
      </c>
      <c r="K50" s="18" t="str" cm="1">
        <f t="array" ref="K50">_xlfn._xlws.FILTER(DATA_WITH_GENUS_OLD!E:E,(DATA_WITH_GENUS_OLD!A:A=A50)*(DATA_WITH_GENUS_OLD!J:J=J50)*ROW(DATA_WITH_GENUS_OLD!E:E),0)</f>
        <v>Philopotamidae</v>
      </c>
      <c r="L50" s="11">
        <f>IF(F50="","",IF(F50&gt;7,0,IF(F50&lt;5,6,IF(F50&lt;=7,3))))</f>
        <v>6</v>
      </c>
      <c r="M50">
        <f t="shared" ref="M50:M53" si="71">IF(G50="","",IF(G50&gt;10,6,IF(G50&lt;5,0,IF(G50&lt;=10,3))))</f>
        <v>6</v>
      </c>
      <c r="N50" s="13">
        <f>IF(H50="","",IF(H50&gt;5,6,IF(H50&lt;3,0,IF(H50&lt;=5,3))))</f>
        <v>3</v>
      </c>
      <c r="O50" s="14">
        <f>IF(I50="","",IF(I50&gt;35,6,IF(I50&lt;1,0,IF(I50&lt;=35,3,IF(I50&lt;1,0)))))</f>
        <v>3</v>
      </c>
      <c r="P50">
        <f>IF(J50="","",IF(J50&gt;60,0,IF(J50&lt;40,6,IF(J50&lt;=60,3))))</f>
        <v>3</v>
      </c>
      <c r="Q50" s="100">
        <f>SUM(L50:P50)</f>
        <v>21</v>
      </c>
      <c r="R50" s="15" t="str">
        <f>IF(Q50&gt;=24, "Non-Impaired", IF(Q50&lt;=6, "Severally Impaired", IF(Q50&gt;=9, "Moderately Impaired","")))</f>
        <v>Moderately Impaired</v>
      </c>
      <c r="S50" s="15">
        <f>COUNTIFS(DATA_WITH_GENUS_OLD!A:A,A50,DATA_WITH_GENUS_OLD!J:J, "&gt;0")</f>
        <v>13</v>
      </c>
      <c r="T50" s="20">
        <f>ROUND((((COUNTIFS(DATA_WITH_GENUS_OLD!A:A,A50,DATA_WITH_GENUS_OLD!O:O,FALSE))/G50)*100),1)</f>
        <v>23.1</v>
      </c>
      <c r="U50" s="70">
        <v>64</v>
      </c>
      <c r="V50">
        <f>SUMIFS(DATA_WITH_GENUS_OLD!U:U,DATA_WITH_GENUS_OLD!A:A,A50)/100</f>
        <v>3.51</v>
      </c>
      <c r="W50" s="18">
        <f>COUNTIFS(DATA_WITH_GENUS_OLD!A:A,A50,DATA_WITH_GENUS_OLD!R:R,TRUE)</f>
        <v>3</v>
      </c>
      <c r="X50" s="18">
        <f>COUNTIFS(DATA_WITH_GENUS_OLD!A:A,A50,DATA_WITH_GENUS_OLD!S:S,2)</f>
        <v>0</v>
      </c>
      <c r="Y50">
        <f>COUNTIFS(DATA_WITH_GENUS_OLD!A:A,A50,DATA_WITH_GENUS_OLD!S:S,3)</f>
        <v>0</v>
      </c>
      <c r="Z50">
        <f>S50+26.53-(22.776+4.173*(LOG10(16.73739082)))</f>
        <v>11.64755098972806</v>
      </c>
      <c r="AA50" s="69">
        <f t="shared" si="66"/>
        <v>69.156891047628292</v>
      </c>
      <c r="AB50">
        <f t="shared" si="67"/>
        <v>3.1325623103099032</v>
      </c>
      <c r="AC50">
        <f t="shared" si="68"/>
        <v>3.860562310309902</v>
      </c>
      <c r="AD50" s="98">
        <f t="shared" si="69"/>
        <v>46.915658860471623</v>
      </c>
      <c r="AE50" t="str">
        <f>IF(AD50&gt;=63, "Excellent", IF(AD50&lt;21, "Poor", IF(AD50&lt;42, "Fair","Good")))</f>
        <v>Good</v>
      </c>
    </row>
    <row r="51" spans="1:31">
      <c r="A51" t="str">
        <f t="shared" si="70"/>
        <v>BD4_2015-10-11</v>
      </c>
      <c r="B51" t="s">
        <v>50</v>
      </c>
      <c r="C51" s="3">
        <v>42288</v>
      </c>
      <c r="D51">
        <f>SUMIF(DATA_WITH_GENUS_OLD!A:A,A51,DATA_WITH_GENUS_OLD!F:F)</f>
        <v>119</v>
      </c>
      <c r="E51">
        <f>SUMIF(DATA_WITH_GENUS_OLD!A:A,A51,DATA_WITH_GENUS_OLD!J:J)</f>
        <v>100</v>
      </c>
      <c r="F51" s="98">
        <f>SUMIFS(DATA_WITH_GENUS_OLD!T:T,DATA_WITH_GENUS_OLD!A:A,A51)/100</f>
        <v>3.77</v>
      </c>
      <c r="G51" cm="1">
        <f t="array" ref="G51">COUNTA(_xlfn.UNIQUE(_xlfn._xlws.FILTER(DATA_WITH_GENUS_OLD!A:A&amp;DATA_WITH_GENUS_OLD!D:D,(DATA_WITH_GENUS_OLD!A:A = A51)*(DATA_WITH_GENUS_OLD!J:J&gt;0))))</f>
        <v>13</v>
      </c>
      <c r="H51">
        <f>COUNTIFS(DATA_WITH_GENUS_OLD!A:A,A51,DATA_WITH_GENUS_OLD!K:K,"~*")</f>
        <v>4</v>
      </c>
      <c r="I51">
        <f>SUMIFS(DATA_WITH_GENUS_OLD!J:J,DATA_WITH_GENUS_OLD!A:A,A51,DATA_WITH_GENUS_OLD!K:K,"~*")</f>
        <v>33</v>
      </c>
      <c r="J51">
        <f>_xlfn.MAXIFS(DATA_WITH_GENUS_OLD!J:J,DATA_WITH_GENUS_OLD!A:A,A51)</f>
        <v>34</v>
      </c>
      <c r="K51" s="18" t="str" cm="1">
        <f t="array" ref="K51">_xlfn._xlws.FILTER(DATA_WITH_GENUS_OLD!E:E,(DATA_WITH_GENUS_OLD!A:A=A51)*(DATA_WITH_GENUS_OLD!J:J=J51)*ROW(DATA_WITH_GENUS_OLD!E:E),0)</f>
        <v>Psephenidae</v>
      </c>
      <c r="L51" s="11">
        <f>IF(F51="","",IF(F51&gt;7,0,IF(F51&lt;5,6,IF(F51&lt;=7,3))))</f>
        <v>6</v>
      </c>
      <c r="M51">
        <f t="shared" si="71"/>
        <v>6</v>
      </c>
      <c r="N51" s="13">
        <f>IF(H51="","",IF(H51&gt;5,6,IF(H51&lt;3,0,IF(H51&lt;=5,3))))</f>
        <v>3</v>
      </c>
      <c r="O51" s="14">
        <f>IF(I49="","",IF(I49&gt;35,6,IF(I49&lt;1,0,IF(I49&lt;=35,3,IF(I49&lt;1,0)))))</f>
        <v>6</v>
      </c>
      <c r="P51">
        <f>IF(J51="","",IF(J51&gt;60,0,IF(J51&lt;40,6,IF(J51&lt;=60,3))))</f>
        <v>6</v>
      </c>
      <c r="Q51" s="100">
        <f>SUM(L51:P51)</f>
        <v>27</v>
      </c>
      <c r="R51" s="15" t="str">
        <f>IF(Q51&gt;=24, "Non-Impaired", IF(Q51&lt;=6, "Severally Impaired", IF(Q51&gt;=9, "Moderately Impaired","")))</f>
        <v>Non-Impaired</v>
      </c>
      <c r="S51" s="15">
        <f>COUNTIFS(DATA_WITH_GENUS_OLD!A:A,A51,DATA_WITH_GENUS_OLD!J:J, "&gt;0")</f>
        <v>13</v>
      </c>
      <c r="T51" s="20">
        <f>ROUND((((COUNTIFS(DATA_WITH_GENUS_OLD!A:A,A51,DATA_WITH_GENUS_OLD!O:O,FALSE))/G51)*100),1)</f>
        <v>23.1</v>
      </c>
      <c r="U51" s="68">
        <f>SUMIFS(DATA_WITH_GENUS_OLD!J:J,DATA_WITH_GENUS_OLD!A:A,A51,DATA_WITH_GENUS_OLD!P:P,TRUE)/100</f>
        <v>0.25</v>
      </c>
      <c r="V51">
        <f>SUMIFS(DATA_WITH_GENUS_OLD!U:U,DATA_WITH_GENUS_OLD!A:A,A51)/100</f>
        <v>3.77</v>
      </c>
      <c r="W51" s="18">
        <f>COUNTIFS(DATA_WITH_GENUS_OLD!A:A,A51,DATA_WITH_GENUS_OLD!R:R,TRUE)</f>
        <v>3</v>
      </c>
      <c r="X51" s="18">
        <f>COUNTIFS(DATA_WITH_GENUS_OLD!A:A,A51,DATA_WITH_GENUS_OLD!S:S,2)</f>
        <v>0</v>
      </c>
      <c r="Y51">
        <f>COUNTIFS(DATA_WITH_GENUS_OLD!A:A,A51,DATA_WITH_GENUS_OLD!S:S,3)</f>
        <v>1</v>
      </c>
      <c r="Z51">
        <f>S51+26.53-(22.776+4.173*(LOG10(16.73739082)))</f>
        <v>11.64755098972806</v>
      </c>
      <c r="AA51" s="69">
        <f t="shared" si="66"/>
        <v>5.4068910476282852</v>
      </c>
      <c r="AB51">
        <f t="shared" si="67"/>
        <v>3.392562310309903</v>
      </c>
      <c r="AC51">
        <f t="shared" si="68"/>
        <v>4.1205623103099036</v>
      </c>
      <c r="AD51" s="98">
        <f t="shared" si="69"/>
        <v>35.03282430372402</v>
      </c>
      <c r="AE51" t="str">
        <f>IF(AD51&gt;=63, "Excellent", IF(AD51&lt;21, "Poor", IF(AD51&lt;42, "Fair","Good")))</f>
        <v>Fair</v>
      </c>
    </row>
    <row r="52" spans="1:31">
      <c r="A52" t="str">
        <f t="shared" si="70"/>
        <v>BD4_2015-03-20</v>
      </c>
      <c r="B52" t="s">
        <v>50</v>
      </c>
      <c r="C52" s="3">
        <v>42083</v>
      </c>
      <c r="D52">
        <f>SUMIF(DATA_WITH_GENUS_OLD!A:A,A52,DATA_WITH_GENUS_OLD!F:F)</f>
        <v>108</v>
      </c>
      <c r="E52">
        <f>SUMIF(DATA_WITH_GENUS_OLD!A:A,A52,DATA_WITH_GENUS_OLD!J:J)</f>
        <v>100</v>
      </c>
      <c r="F52" s="98">
        <f>SUMIFS(DATA_WITH_GENUS_OLD!T:T,DATA_WITH_GENUS_OLD!A:A,A52)/100</f>
        <v>4.1500000000000004</v>
      </c>
      <c r="G52" cm="1">
        <f t="array" ref="G52">COUNTA(_xlfn.UNIQUE(_xlfn._xlws.FILTER(DATA_WITH_GENUS_OLD!A:A&amp;DATA_WITH_GENUS_OLD!D:D,(DATA_WITH_GENUS_OLD!A:A = A52)*(DATA_WITH_GENUS_OLD!J:J&gt;0))))</f>
        <v>18</v>
      </c>
      <c r="H52">
        <f>COUNTIFS(DATA_WITH_GENUS_OLD!A:A,A52,DATA_WITH_GENUS_OLD!K:K,"~*")</f>
        <v>6</v>
      </c>
      <c r="I52">
        <f>SUMIFS(DATA_WITH_GENUS_OLD!J:J,DATA_WITH_GENUS_OLD!A:A,A52,DATA_WITH_GENUS_OLD!K:K,"~*")</f>
        <v>45</v>
      </c>
      <c r="J52">
        <f>_xlfn.MAXIFS(DATA_WITH_GENUS_OLD!J:J,DATA_WITH_GENUS_OLD!A:A,A52)</f>
        <v>21</v>
      </c>
      <c r="K52" s="18" t="str" cm="1">
        <f t="array" ref="K52">_xlfn._xlws.FILTER(DATA_WITH_GENUS_OLD!E:E,(DATA_WITH_GENUS_OLD!A:A=A52)*(DATA_WITH_GENUS_OLD!J:J=J52)*ROW(DATA_WITH_GENUS_OLD!E:E),0)</f>
        <v>Psephenidae</v>
      </c>
      <c r="L52" s="11">
        <f t="shared" ref="L52:L58" si="72">IF(F52="","",IF(F52&gt;7,0,IF(F52&lt;5,6,IF(F52&lt;=7,3))))</f>
        <v>6</v>
      </c>
      <c r="M52">
        <f t="shared" si="71"/>
        <v>6</v>
      </c>
      <c r="N52" s="13">
        <f t="shared" ref="N52:N58" si="73">IF(H52="","",IF(H52&gt;5,6,IF(H52&lt;3,0,IF(H52&lt;=5,3))))</f>
        <v>6</v>
      </c>
      <c r="O52" s="14">
        <f>IF(I59="","",IF(I59&gt;35,6,IF(I59&lt;1,0,IF(I59&lt;=35,3,IF(I59&lt;1,0)))))</f>
        <v>6</v>
      </c>
      <c r="P52">
        <f t="shared" ref="P52:P58" si="74">IF(J52="","",IF(J52&gt;60,0,IF(J52&lt;40,6,IF(J52&lt;=60,3))))</f>
        <v>6</v>
      </c>
      <c r="Q52" s="100">
        <f t="shared" ref="Q52:Q58" si="75">SUM(L52:P52)</f>
        <v>30</v>
      </c>
      <c r="R52" s="15" t="str">
        <f t="shared" ref="R52:R58" si="76">IF(Q52&gt;=24, "Non-Impaired", IF(Q52&lt;=6, "Severally Impaired", IF(Q52&gt;=9, "Moderately Impaired","")))</f>
        <v>Non-Impaired</v>
      </c>
      <c r="S52" s="15">
        <f>COUNTIFS(DATA_WITH_GENUS_OLD!A:A,A52,DATA_WITH_GENUS_OLD!J:J, "&gt;0")</f>
        <v>18</v>
      </c>
      <c r="T52" s="20">
        <f>ROUND((((COUNTIFS(DATA_WITH_GENUS_OLD!A:A,A52,DATA_WITH_GENUS_OLD!O:O,FALSE))/G52)*100),1)</f>
        <v>22.2</v>
      </c>
      <c r="U52" s="68">
        <f>SUMIFS(DATA_WITH_GENUS_OLD!J:J,DATA_WITH_GENUS_OLD!A:A,A52,DATA_WITH_GENUS_OLD!P:P,TRUE)/100</f>
        <v>0.35</v>
      </c>
      <c r="V52">
        <f>SUMIFS(DATA_WITH_GENUS_OLD!U:U,DATA_WITH_GENUS_OLD!A:A,A52)/100</f>
        <v>4.1500000000000004</v>
      </c>
      <c r="W52" s="18">
        <f>COUNTIFS(DATA_WITH_GENUS_OLD!A:A,A52,DATA_WITH_GENUS_OLD!R:R,TRUE)</f>
        <v>2</v>
      </c>
      <c r="X52" s="18">
        <f>COUNTIFS(DATA_WITH_GENUS_OLD!A:A,A52,DATA_WITH_GENUS_OLD!S:S,2)</f>
        <v>1</v>
      </c>
      <c r="Y52">
        <f>COUNTIFS(DATA_WITH_GENUS_OLD!A:A,A52,DATA_WITH_GENUS_OLD!S:S,3)</f>
        <v>1</v>
      </c>
      <c r="Z52">
        <f t="shared" ref="Z52:Z58" si="77">S52+26.53-(22.776+4.173*(LOG10(16.73739082)))</f>
        <v>16.64755098972806</v>
      </c>
      <c r="AA52" s="69">
        <f t="shared" si="66"/>
        <v>5.5068910476282866</v>
      </c>
      <c r="AB52">
        <f t="shared" si="67"/>
        <v>3.7725623103099037</v>
      </c>
      <c r="AC52">
        <f t="shared" si="68"/>
        <v>4.5005623103099026</v>
      </c>
      <c r="AD52" s="98">
        <f t="shared" si="69"/>
        <v>38.690538492293747</v>
      </c>
      <c r="AE52" t="str">
        <f t="shared" ref="AE52:AE55" si="78">IF(AD52&gt;=63, "Excellent", IF(AD52&lt;21, "Poor", IF(AD52&lt;42, "Fair","Good")))</f>
        <v>Fair</v>
      </c>
    </row>
    <row r="53" spans="1:31">
      <c r="A53" t="str">
        <f t="shared" si="70"/>
        <v>BD4_2015-07-18</v>
      </c>
      <c r="B53" t="s">
        <v>50</v>
      </c>
      <c r="C53" s="3">
        <v>42203</v>
      </c>
      <c r="D53">
        <f>SUMIF(DATA_WITH_GENUS_OLD!A:A,A53,DATA_WITH_GENUS_OLD!F:F)</f>
        <v>121</v>
      </c>
      <c r="E53">
        <f>SUMIF(DATA_WITH_GENUS_OLD!A:A,A53,DATA_WITH_GENUS_OLD!J:J)</f>
        <v>100</v>
      </c>
      <c r="F53" s="98">
        <f>SUMIFS(DATA_WITH_GENUS_OLD!T:T,DATA_WITH_GENUS_OLD!A:A,A53)/100</f>
        <v>3.84</v>
      </c>
      <c r="G53" cm="1">
        <f t="array" ref="G53">COUNTA(_xlfn.UNIQUE(_xlfn._xlws.FILTER(DATA_WITH_GENUS_OLD!A:A&amp;DATA_WITH_GENUS_OLD!D:D,(DATA_WITH_GENUS_OLD!A:A = A53)*(DATA_WITH_GENUS_OLD!J:J&gt;0))))</f>
        <v>12</v>
      </c>
      <c r="H53">
        <f>COUNTIFS(DATA_WITH_GENUS_OLD!A:A,A53,DATA_WITH_GENUS_OLD!K:K,"~*")</f>
        <v>6</v>
      </c>
      <c r="I53">
        <f>SUMIFS(DATA_WITH_GENUS_OLD!J:J,DATA_WITH_GENUS_OLD!A:A,A53,DATA_WITH_GENUS_OLD!K:K,"~*")</f>
        <v>59</v>
      </c>
      <c r="J53">
        <f>_xlfn.MAXIFS(DATA_WITH_GENUS_OLD!J:J,DATA_WITH_GENUS_OLD!A:A,A53)</f>
        <v>34</v>
      </c>
      <c r="K53" s="18" t="str" cm="1">
        <f t="array" ref="K53">_xlfn._xlws.FILTER(DATA_WITH_GENUS_OLD!E:E,(DATA_WITH_GENUS_OLD!A:A=A53)*(DATA_WITH_GENUS_OLD!J:J=J53)*ROW(DATA_WITH_GENUS_OLD!E:E),0)</f>
        <v>Hydropsychidae</v>
      </c>
      <c r="L53" s="11">
        <f t="shared" si="72"/>
        <v>6</v>
      </c>
      <c r="M53">
        <f t="shared" si="71"/>
        <v>6</v>
      </c>
      <c r="N53" s="13">
        <f t="shared" si="73"/>
        <v>6</v>
      </c>
      <c r="O53" s="14">
        <f t="shared" ref="O53:O58" si="79">IF(I51="","",IF(I51&gt;35,6,IF(I51&lt;1,0,IF(I51&lt;=35,3,IF(I51&lt;1,0)))))</f>
        <v>3</v>
      </c>
      <c r="P53">
        <f t="shared" si="74"/>
        <v>6</v>
      </c>
      <c r="Q53" s="100">
        <f t="shared" si="75"/>
        <v>27</v>
      </c>
      <c r="R53" s="15" t="str">
        <f t="shared" si="76"/>
        <v>Non-Impaired</v>
      </c>
      <c r="S53" s="15">
        <f>COUNTIFS(DATA_WITH_GENUS_OLD!A:A,A53,DATA_WITH_GENUS_OLD!J:J, "&gt;0")</f>
        <v>12</v>
      </c>
      <c r="T53" s="20">
        <f>ROUND((((COUNTIFS(DATA_WITH_GENUS_OLD!A:A,A53,DATA_WITH_GENUS_OLD!O:O,FALSE))/G53)*100),1)</f>
        <v>0</v>
      </c>
      <c r="U53" s="68">
        <f>SUMIFS(DATA_WITH_GENUS_OLD!J:J,DATA_WITH_GENUS_OLD!A:A,A53,DATA_WITH_GENUS_OLD!P:P,TRUE)/100</f>
        <v>0.25</v>
      </c>
      <c r="V53">
        <f>SUMIFS(DATA_WITH_GENUS_OLD!U:U,DATA_WITH_GENUS_OLD!A:A,A53)/100</f>
        <v>3.86</v>
      </c>
      <c r="W53" s="18">
        <f>COUNTIFS(DATA_WITH_GENUS_OLD!A:A,A53,DATA_WITH_GENUS_OLD!R:R,TRUE)</f>
        <v>4</v>
      </c>
      <c r="X53" s="18">
        <f>COUNTIFS(DATA_WITH_GENUS_OLD!A:A,A53,DATA_WITH_GENUS_OLD!S:S,2)</f>
        <v>0</v>
      </c>
      <c r="Y53">
        <f>COUNTIFS(DATA_WITH_GENUS_OLD!A:A,A53,DATA_WITH_GENUS_OLD!S:S,3)</f>
        <v>2</v>
      </c>
      <c r="Z53">
        <f t="shared" si="77"/>
        <v>10.64755098972806</v>
      </c>
      <c r="AA53" s="69">
        <f t="shared" si="66"/>
        <v>5.4068910476282852</v>
      </c>
      <c r="AB53">
        <f t="shared" si="67"/>
        <v>3.4825623103099028</v>
      </c>
      <c r="AC53">
        <f t="shared" si="68"/>
        <v>4.2105623103099035</v>
      </c>
      <c r="AD53" s="98">
        <f t="shared" si="69"/>
        <v>42.195089107643803</v>
      </c>
      <c r="AE53" t="str">
        <f t="shared" si="78"/>
        <v>Good</v>
      </c>
    </row>
    <row r="54" spans="1:31">
      <c r="A54" t="str">
        <f t="shared" si="70"/>
        <v>BD4_2016-03-26</v>
      </c>
      <c r="B54" t="s">
        <v>50</v>
      </c>
      <c r="C54" s="3">
        <v>42455</v>
      </c>
      <c r="D54">
        <f>SUMIF(DATA_WITH_GENUS_OLD!A:A,A54,DATA_WITH_GENUS_OLD!F:F)</f>
        <v>118</v>
      </c>
      <c r="E54">
        <f>SUMIF(DATA_WITH_GENUS_OLD!A:A,A54,DATA_WITH_GENUS_OLD!J:J)</f>
        <v>100</v>
      </c>
      <c r="F54" s="98">
        <f>SUMIFS(DATA_WITH_GENUS_OLD!T:T,DATA_WITH_GENUS_OLD!A:A,A54)/100</f>
        <v>5.6</v>
      </c>
      <c r="G54" cm="1">
        <f t="array" ref="G54">COUNTA(_xlfn.UNIQUE(_xlfn._xlws.FILTER(DATA_WITH_GENUS_OLD!A:A&amp;DATA_WITH_GENUS_OLD!D:D,(DATA_WITH_GENUS_OLD!A:A = A54)*(DATA_WITH_GENUS_OLD!J:J&gt;0))))</f>
        <v>18</v>
      </c>
      <c r="H54">
        <f>COUNTIFS(DATA_WITH_GENUS_OLD!A:A,A54,DATA_WITH_GENUS_OLD!K:K,"~*")</f>
        <v>9</v>
      </c>
      <c r="I54">
        <f>SUMIFS(DATA_WITH_GENUS_OLD!J:J,DATA_WITH_GENUS_OLD!A:A,A54,DATA_WITH_GENUS_OLD!K:K,"~*")</f>
        <v>50</v>
      </c>
      <c r="J54">
        <f>_xlfn.MAXIFS(DATA_WITH_GENUS_OLD!J:J,DATA_WITH_GENUS_OLD!A:A,A54)</f>
        <v>35</v>
      </c>
      <c r="K54" s="18" t="str" cm="1">
        <f t="array" ref="K54">_xlfn._xlws.FILTER(DATA_WITH_GENUS_OLD!E:E,(DATA_WITH_GENUS_OLD!A:A=A54)*(DATA_WITH_GENUS_OLD!J:J=J54)*ROW(DATA_WITH_GENUS_OLD!E:E),0)</f>
        <v>Ameletidae</v>
      </c>
      <c r="L54" s="11">
        <f t="shared" si="72"/>
        <v>3</v>
      </c>
      <c r="M54">
        <f t="shared" ref="M54:M55" si="80">IF(G54="","",IF(G54&gt;10,6,IF(G54&lt;5,0,IF(G54&lt;=10,3))))</f>
        <v>6</v>
      </c>
      <c r="N54" s="13">
        <f t="shared" si="73"/>
        <v>6</v>
      </c>
      <c r="O54" s="14">
        <f t="shared" si="79"/>
        <v>6</v>
      </c>
      <c r="P54">
        <f t="shared" si="74"/>
        <v>6</v>
      </c>
      <c r="Q54" s="100">
        <f t="shared" si="75"/>
        <v>27</v>
      </c>
      <c r="R54" s="15" t="str">
        <f t="shared" si="76"/>
        <v>Non-Impaired</v>
      </c>
      <c r="S54" s="15">
        <f>COUNTIFS(DATA_WITH_GENUS_OLD!A:A,A54,DATA_WITH_GENUS_OLD!J:J, "&gt;0")</f>
        <v>18</v>
      </c>
      <c r="T54" s="20">
        <f>ROUND((((COUNTIFS(DATA_WITH_GENUS_OLD!A:A,A54,DATA_WITH_GENUS_OLD!O:O,FALSE))/G54)*100),1)</f>
        <v>5.6</v>
      </c>
      <c r="U54" s="68">
        <f>SUMIFS(DATA_WITH_GENUS_OLD!J:J,DATA_WITH_GENUS_OLD!A:A,A54,DATA_WITH_GENUS_OLD!P:P,TRUE)/100</f>
        <v>0.48</v>
      </c>
      <c r="V54">
        <f>SUMIFS(DATA_WITH_GENUS_OLD!U:U,DATA_WITH_GENUS_OLD!A:A,A54)/100</f>
        <v>3.13</v>
      </c>
      <c r="W54" s="18">
        <f>COUNTIFS(DATA_WITH_GENUS_OLD!A:A,A54,DATA_WITH_GENUS_OLD!R:R,TRUE)</f>
        <v>5</v>
      </c>
      <c r="X54" s="18">
        <f>COUNTIFS(DATA_WITH_GENUS_OLD!A:A,A54,DATA_WITH_GENUS_OLD!S:S,2)</f>
        <v>0</v>
      </c>
      <c r="Y54">
        <f>COUNTIFS(DATA_WITH_GENUS_OLD!A:A,A54,DATA_WITH_GENUS_OLD!S:S,3)</f>
        <v>2</v>
      </c>
      <c r="Z54">
        <f t="shared" si="77"/>
        <v>16.64755098972806</v>
      </c>
      <c r="AA54" s="69">
        <f t="shared" si="66"/>
        <v>5.6368910476282821</v>
      </c>
      <c r="AB54">
        <f t="shared" si="67"/>
        <v>2.7525623103099033</v>
      </c>
      <c r="AC54">
        <f t="shared" si="68"/>
        <v>3.480562310309903</v>
      </c>
      <c r="AD54" s="98">
        <f t="shared" si="69"/>
        <v>44.872168456532407</v>
      </c>
      <c r="AE54" t="str">
        <f t="shared" si="78"/>
        <v>Good</v>
      </c>
    </row>
    <row r="55" spans="1:31">
      <c r="A55" t="str">
        <f t="shared" si="70"/>
        <v>BD4_2016-07-07</v>
      </c>
      <c r="B55" t="s">
        <v>50</v>
      </c>
      <c r="C55" s="3">
        <v>42558</v>
      </c>
      <c r="D55">
        <f>SUMIF(DATA_WITH_GENUS_OLD!A:A,A55,DATA_WITH_GENUS_OLD!F:F)</f>
        <v>134</v>
      </c>
      <c r="E55">
        <f>SUMIF(DATA_WITH_GENUS_OLD!A:A,A55,DATA_WITH_GENUS_OLD!J:J)</f>
        <v>100</v>
      </c>
      <c r="F55" s="98">
        <f>SUMIFS(DATA_WITH_GENUS_OLD!T:T,DATA_WITH_GENUS_OLD!A:A,A55)/100</f>
        <v>4.05</v>
      </c>
      <c r="G55" cm="1">
        <f t="array" ref="G55">COUNTA(_xlfn.UNIQUE(_xlfn._xlws.FILTER(DATA_WITH_GENUS_OLD!A:A&amp;DATA_WITH_GENUS_OLD!D:D,(DATA_WITH_GENUS_OLD!A:A = A55)*(DATA_WITH_GENUS_OLD!J:J&gt;0))))</f>
        <v>13</v>
      </c>
      <c r="H55">
        <f>COUNTIFS(DATA_WITH_GENUS_OLD!A:A,A55,DATA_WITH_GENUS_OLD!K:K,"~*")</f>
        <v>4</v>
      </c>
      <c r="I55">
        <f>SUMIFS(DATA_WITH_GENUS_OLD!J:J,DATA_WITH_GENUS_OLD!A:A,A55,DATA_WITH_GENUS_OLD!K:K,"~*")</f>
        <v>53</v>
      </c>
      <c r="J55">
        <f>_xlfn.MAXIFS(DATA_WITH_GENUS_OLD!J:J,DATA_WITH_GENUS_OLD!A:A,A55)</f>
        <v>31</v>
      </c>
      <c r="K55" s="18" t="str" cm="1">
        <f t="array" ref="K55">_xlfn._xlws.FILTER(DATA_WITH_GENUS_OLD!E:E,(DATA_WITH_GENUS_OLD!A:A=A55)*(DATA_WITH_GENUS_OLD!J:J=J55)*ROW(DATA_WITH_GENUS_OLD!E:E),0)</f>
        <v>Psephenidae</v>
      </c>
      <c r="L55" s="11">
        <f t="shared" si="72"/>
        <v>6</v>
      </c>
      <c r="M55">
        <f t="shared" si="80"/>
        <v>6</v>
      </c>
      <c r="N55" s="13">
        <f t="shared" si="73"/>
        <v>3</v>
      </c>
      <c r="O55" s="14">
        <f t="shared" si="79"/>
        <v>6</v>
      </c>
      <c r="P55">
        <f t="shared" si="74"/>
        <v>6</v>
      </c>
      <c r="Q55" s="100">
        <f t="shared" si="75"/>
        <v>27</v>
      </c>
      <c r="R55" s="15" t="str">
        <f t="shared" si="76"/>
        <v>Non-Impaired</v>
      </c>
      <c r="S55" s="15">
        <f>COUNTIFS(DATA_WITH_GENUS_OLD!A:A,A55,DATA_WITH_GENUS_OLD!J:J, "&gt;0")</f>
        <v>13</v>
      </c>
      <c r="T55" s="20">
        <f>ROUND((((COUNTIFS(DATA_WITH_GENUS_OLD!A:A,A55,DATA_WITH_GENUS_OLD!O:O,FALSE))/G55)*100),1)</f>
        <v>15.4</v>
      </c>
      <c r="U55" s="68">
        <f>SUMIFS(DATA_WITH_GENUS_OLD!J:J,DATA_WITH_GENUS_OLD!A:A,A55,DATA_WITH_GENUS_OLD!P:P,TRUE)/100</f>
        <v>0.26</v>
      </c>
      <c r="V55">
        <f>SUMIFS(DATA_WITH_GENUS_OLD!U:U,DATA_WITH_GENUS_OLD!A:A,A55)/100</f>
        <v>4.1100000000000003</v>
      </c>
      <c r="W55" s="18">
        <f>COUNTIFS(DATA_WITH_GENUS_OLD!A:A,A55,DATA_WITH_GENUS_OLD!R:R,TRUE)</f>
        <v>3</v>
      </c>
      <c r="X55" s="18">
        <f>COUNTIFS(DATA_WITH_GENUS_OLD!A:A,A55,DATA_WITH_GENUS_OLD!S:S,2)</f>
        <v>0</v>
      </c>
      <c r="Y55">
        <f>COUNTIFS(DATA_WITH_GENUS_OLD!A:A,A55,DATA_WITH_GENUS_OLD!S:S,3)</f>
        <v>1</v>
      </c>
      <c r="Z55">
        <f t="shared" si="77"/>
        <v>11.64755098972806</v>
      </c>
      <c r="AA55" s="69">
        <f t="shared" si="66"/>
        <v>5.4168910476282832</v>
      </c>
      <c r="AB55">
        <f t="shared" si="67"/>
        <v>3.7325623103099028</v>
      </c>
      <c r="AC55">
        <f t="shared" si="68"/>
        <v>4.4605623103099035</v>
      </c>
      <c r="AD55" s="98">
        <f t="shared" si="69"/>
        <v>36.420552517539193</v>
      </c>
      <c r="AE55" t="str">
        <f t="shared" si="78"/>
        <v>Fair</v>
      </c>
    </row>
    <row r="56" spans="1:31">
      <c r="A56" t="str">
        <f>B56&amp;"_"&amp;TEXT(C56,"yyyy-mm-dd")</f>
        <v>BD4_2016-10-04</v>
      </c>
      <c r="B56" t="s">
        <v>50</v>
      </c>
      <c r="C56" s="3">
        <v>42647</v>
      </c>
      <c r="D56">
        <f>SUMIF(DATA_WITH_GENUS_OLD!A:A,A56,DATA_WITH_GENUS_OLD!F:F)</f>
        <v>120</v>
      </c>
      <c r="E56">
        <f>SUMIF(DATA_WITH_GENUS_OLD!A:A,A56,DATA_WITH_GENUS_OLD!J:J)</f>
        <v>100</v>
      </c>
      <c r="F56" s="98">
        <f>SUMIFS(DATA_WITH_GENUS_OLD!T:T,DATA_WITH_GENUS_OLD!A:A,A56)/100</f>
        <v>3.86</v>
      </c>
      <c r="G56" cm="1">
        <f t="array" ref="G56">COUNTA(_xlfn.UNIQUE(_xlfn._xlws.FILTER(DATA_WITH_GENUS_OLD!A:A&amp;DATA_WITH_GENUS_OLD!D:D,(DATA_WITH_GENUS_OLD!A:A = A56)*(DATA_WITH_GENUS_OLD!J:J&gt;0))))</f>
        <v>13</v>
      </c>
      <c r="H56">
        <f>COUNTIFS(DATA_WITH_GENUS_OLD!A:A,A56,DATA_WITH_GENUS_OLD!K:K,"~*")</f>
        <v>5</v>
      </c>
      <c r="I56">
        <f>SUMIFS(DATA_WITH_GENUS_OLD!J:J,DATA_WITH_GENUS_OLD!A:A,A56,DATA_WITH_GENUS_OLD!K:K,"~*")</f>
        <v>62</v>
      </c>
      <c r="J56">
        <f>_xlfn.MAXIFS(DATA_WITH_GENUS_OLD!J:J,DATA_WITH_GENUS_OLD!A:A,A56)</f>
        <v>36</v>
      </c>
      <c r="K56" s="18" t="str" cm="1">
        <f t="array" ref="K56">_xlfn._xlws.FILTER(DATA_WITH_GENUS_OLD!E:E,(DATA_WITH_GENUS_OLD!A:A=A56)*(DATA_WITH_GENUS_OLD!J:J=J56)*ROW(DATA_WITH_GENUS_OLD!E:E),0)</f>
        <v>Philopotamidae</v>
      </c>
      <c r="L56" s="11">
        <f t="shared" si="72"/>
        <v>6</v>
      </c>
      <c r="M56">
        <f>IF(G56="","",IF(G56&gt;10,6,IF(G56&lt;5,0,IF(G56&lt;=10,3))))</f>
        <v>6</v>
      </c>
      <c r="N56" s="13">
        <f t="shared" si="73"/>
        <v>3</v>
      </c>
      <c r="O56" s="14">
        <f t="shared" si="79"/>
        <v>6</v>
      </c>
      <c r="P56">
        <f t="shared" si="74"/>
        <v>6</v>
      </c>
      <c r="Q56" s="100">
        <f t="shared" si="75"/>
        <v>27</v>
      </c>
      <c r="R56" s="15" t="str">
        <f t="shared" si="76"/>
        <v>Non-Impaired</v>
      </c>
      <c r="S56" s="15">
        <f>COUNTIFS(DATA_WITH_GENUS_OLD!A:A,A56,DATA_WITH_GENUS_OLD!J:J, "&gt;0")</f>
        <v>13</v>
      </c>
      <c r="T56" s="20">
        <f>ROUND((((COUNTIFS(DATA_WITH_GENUS_OLD!A:A,A56,DATA_WITH_GENUS_OLD!O:O,FALSE))/G56)*100),1)</f>
        <v>15.4</v>
      </c>
      <c r="U56" s="68">
        <f>SUMIFS(DATA_WITH_GENUS_OLD!J:J,DATA_WITH_GENUS_OLD!A:A,A56,DATA_WITH_GENUS_OLD!P:P,TRUE)/100</f>
        <v>0.4</v>
      </c>
      <c r="V56">
        <f>SUMIFS(DATA_WITH_GENUS_OLD!U:U,DATA_WITH_GENUS_OLD!A:A,A56)/100</f>
        <v>3.86</v>
      </c>
      <c r="W56" s="18">
        <f>COUNTIFS(DATA_WITH_GENUS_OLD!A:A,A56,DATA_WITH_GENUS_OLD!R:R,TRUE)</f>
        <v>4</v>
      </c>
      <c r="X56" s="18">
        <f>COUNTIFS(DATA_WITH_GENUS_OLD!A:A,A56,DATA_WITH_GENUS_OLD!S:S,2)</f>
        <v>0</v>
      </c>
      <c r="Y56">
        <f>COUNTIFS(DATA_WITH_GENUS_OLD!A:A,A56,DATA_WITH_GENUS_OLD!S:S,3)</f>
        <v>2</v>
      </c>
      <c r="Z56">
        <f t="shared" si="77"/>
        <v>11.64755098972806</v>
      </c>
      <c r="AA56" s="69">
        <f t="shared" si="66"/>
        <v>5.5568910476282838</v>
      </c>
      <c r="AB56">
        <f t="shared" si="67"/>
        <v>3.4825623103099028</v>
      </c>
      <c r="AC56">
        <f t="shared" si="68"/>
        <v>4.2105623103099035</v>
      </c>
      <c r="AD56" s="98">
        <f t="shared" si="69"/>
        <v>38.686974501352488</v>
      </c>
      <c r="AE56" t="str">
        <f>IF(AD56&gt;=63, "Excellent", IF(AD56&lt;21, "Poor", IF(AD56&lt;42, "Fair","Good")))</f>
        <v>Fair</v>
      </c>
    </row>
    <row r="57" spans="1:31">
      <c r="A57" t="str">
        <f t="shared" si="70"/>
        <v>BD4_2017-04-02</v>
      </c>
      <c r="B57" t="s">
        <v>50</v>
      </c>
      <c r="C57" s="3">
        <v>42827</v>
      </c>
      <c r="D57">
        <f>SUMIF(DATA_WITH_GENUS_OLD!A:A,A57,DATA_WITH_GENUS_OLD!F:F)</f>
        <v>126</v>
      </c>
      <c r="E57">
        <f>SUMIF(DATA_WITH_GENUS_OLD!A:A,A57,DATA_WITH_GENUS_OLD!J:J)</f>
        <v>100</v>
      </c>
      <c r="F57" s="98">
        <f>SUMIFS(DATA_WITH_GENUS_OLD!T:T,DATA_WITH_GENUS_OLD!A:A,A57)/100</f>
        <v>5.26</v>
      </c>
      <c r="G57" cm="1">
        <f t="array" ref="G57">COUNTA(_xlfn.UNIQUE(_xlfn._xlws.FILTER(DATA_WITH_GENUS_OLD!A:A&amp;DATA_WITH_GENUS_OLD!D:D,(DATA_WITH_GENUS_OLD!A:A = A57)*(DATA_WITH_GENUS_OLD!J:J&gt;0))))</f>
        <v>18</v>
      </c>
      <c r="H57">
        <f>COUNTIFS(DATA_WITH_GENUS_OLD!A:A,A57,DATA_WITH_GENUS_OLD!K:K,"~*")</f>
        <v>6</v>
      </c>
      <c r="I57">
        <f>SUMIFS(DATA_WITH_GENUS_OLD!J:J,DATA_WITH_GENUS_OLD!A:A,A57,DATA_WITH_GENUS_OLD!K:K,"~*")</f>
        <v>22</v>
      </c>
      <c r="J57">
        <f>_xlfn.MAXIFS(DATA_WITH_GENUS_OLD!J:J,DATA_WITH_GENUS_OLD!A:A,A57)</f>
        <v>20</v>
      </c>
      <c r="K57" s="18" t="str" cm="1">
        <f t="array" ref="K57">_xlfn._xlws.FILTER(DATA_WITH_GENUS_OLD!E:E,(DATA_WITH_GENUS_OLD!A:A=A57)*(DATA_WITH_GENUS_OLD!J:J=J57)*ROW(DATA_WITH_GENUS_OLD!E:E),0)</f>
        <v>Simuliidae</v>
      </c>
      <c r="L57" s="11">
        <f t="shared" si="72"/>
        <v>3</v>
      </c>
      <c r="M57">
        <f t="shared" ref="M57:M58" si="81">IF(G57="","",IF(G57&gt;10,6,IF(G57&lt;5,0,IF(G57&lt;=10,3))))</f>
        <v>6</v>
      </c>
      <c r="N57" s="13">
        <f t="shared" si="73"/>
        <v>6</v>
      </c>
      <c r="O57" s="14">
        <f t="shared" si="79"/>
        <v>6</v>
      </c>
      <c r="P57">
        <f t="shared" si="74"/>
        <v>6</v>
      </c>
      <c r="Q57" s="100">
        <f t="shared" si="75"/>
        <v>27</v>
      </c>
      <c r="R57" s="15" t="str">
        <f t="shared" si="76"/>
        <v>Non-Impaired</v>
      </c>
      <c r="S57" s="15">
        <f>COUNTIFS(DATA_WITH_GENUS_OLD!A:A,A57,DATA_WITH_GENUS_OLD!J:J, "&gt;0")</f>
        <v>18</v>
      </c>
      <c r="T57" s="20">
        <f>ROUND((((COUNTIFS(DATA_WITH_GENUS_OLD!A:A,A57,DATA_WITH_GENUS_OLD!O:O,FALSE))/G57)*100),1)</f>
        <v>16.7</v>
      </c>
      <c r="U57" s="68">
        <f>SUMIFS(DATA_WITH_GENUS_OLD!J:J,DATA_WITH_GENUS_OLD!A:A,A57,DATA_WITH_GENUS_OLD!P:P,TRUE)/100</f>
        <v>0.16</v>
      </c>
      <c r="V57">
        <f>SUMIFS(DATA_WITH_GENUS_OLD!U:U,DATA_WITH_GENUS_OLD!A:A,A57)/100</f>
        <v>5.24</v>
      </c>
      <c r="W57" s="18">
        <f>COUNTIFS(DATA_WITH_GENUS_OLD!A:A,A57,DATA_WITH_GENUS_OLD!R:R,TRUE)</f>
        <v>5</v>
      </c>
      <c r="X57" s="18">
        <f>COUNTIFS(DATA_WITH_GENUS_OLD!A:A,A57,DATA_WITH_GENUS_OLD!S:S,2)</f>
        <v>0</v>
      </c>
      <c r="Y57">
        <f>COUNTIFS(DATA_WITH_GENUS_OLD!A:A,A57,DATA_WITH_GENUS_OLD!S:S,3)</f>
        <v>1</v>
      </c>
      <c r="Z57">
        <f t="shared" si="77"/>
        <v>16.64755098972806</v>
      </c>
      <c r="AA57" s="69">
        <f t="shared" si="66"/>
        <v>5.3168910476282818</v>
      </c>
      <c r="AB57">
        <f t="shared" si="67"/>
        <v>4.8625623103099036</v>
      </c>
      <c r="AC57">
        <f t="shared" si="68"/>
        <v>5.5905623103099025</v>
      </c>
      <c r="AD57" s="98">
        <f t="shared" si="69"/>
        <v>36.324549408913363</v>
      </c>
      <c r="AE57" t="str">
        <f t="shared" ref="AE57:AE58" si="82">IF(AD57&gt;=63, "Excellent", IF(AD57&lt;21, "Poor", IF(AD57&lt;42, "Fair","Good")))</f>
        <v>Fair</v>
      </c>
    </row>
    <row r="58" spans="1:31">
      <c r="A58" t="str">
        <f t="shared" si="70"/>
        <v>BD4_2017-06-30</v>
      </c>
      <c r="B58" t="s">
        <v>50</v>
      </c>
      <c r="C58" s="3">
        <v>42916</v>
      </c>
      <c r="D58">
        <f>SUMIF(DATA_WITH_GENUS_OLD!A:A,A58,DATA_WITH_GENUS_OLD!F:F)</f>
        <v>200</v>
      </c>
      <c r="E58">
        <f>SUMIF(DATA_WITH_GENUS_OLD!A:A,A58,DATA_WITH_GENUS_OLD!J:J)</f>
        <v>100</v>
      </c>
      <c r="F58" s="98">
        <f>SUMIFS(DATA_WITH_GENUS_OLD!T:T,DATA_WITH_GENUS_OLD!A:A,A58)/100</f>
        <v>4.88</v>
      </c>
      <c r="G58" cm="1">
        <f t="array" ref="G58">COUNTA(_xlfn.UNIQUE(_xlfn._xlws.FILTER(DATA_WITH_GENUS_OLD!A:A&amp;DATA_WITH_GENUS_OLD!D:D,(DATA_WITH_GENUS_OLD!A:A = A58)*(DATA_WITH_GENUS_OLD!J:J&gt;0))))</f>
        <v>21</v>
      </c>
      <c r="H58">
        <f>COUNTIFS(DATA_WITH_GENUS_OLD!A:A,A58,DATA_WITH_GENUS_OLD!K:K,"~*")</f>
        <v>8</v>
      </c>
      <c r="I58">
        <f>SUMIFS(DATA_WITH_GENUS_OLD!J:J,DATA_WITH_GENUS_OLD!A:A,A58,DATA_WITH_GENUS_OLD!K:K,"~*")</f>
        <v>44</v>
      </c>
      <c r="J58">
        <f>_xlfn.MAXIFS(DATA_WITH_GENUS_OLD!J:J,DATA_WITH_GENUS_OLD!A:A,A58)</f>
        <v>33</v>
      </c>
      <c r="K58" s="18" t="str" cm="1">
        <f t="array" ref="K58">_xlfn._xlws.FILTER(DATA_WITH_GENUS_OLD!E:E,(DATA_WITH_GENUS_OLD!A:A=A58)*(DATA_WITH_GENUS_OLD!J:J=J58)*ROW(DATA_WITH_GENUS_OLD!E:E),0)</f>
        <v>Hydropsychidae</v>
      </c>
      <c r="L58" s="11">
        <f t="shared" si="72"/>
        <v>6</v>
      </c>
      <c r="M58">
        <f t="shared" si="81"/>
        <v>6</v>
      </c>
      <c r="N58" s="13">
        <f t="shared" si="73"/>
        <v>6</v>
      </c>
      <c r="O58" s="14">
        <f t="shared" si="79"/>
        <v>6</v>
      </c>
      <c r="P58">
        <f t="shared" si="74"/>
        <v>6</v>
      </c>
      <c r="Q58" s="100">
        <f t="shared" si="75"/>
        <v>30</v>
      </c>
      <c r="R58" s="15" t="str">
        <f t="shared" si="76"/>
        <v>Non-Impaired</v>
      </c>
      <c r="S58" s="15">
        <f>COUNTIFS(DATA_WITH_GENUS_OLD!A:A,A58,DATA_WITH_GENUS_OLD!J:J, "&gt;0")</f>
        <v>21</v>
      </c>
      <c r="T58" s="20">
        <f>ROUND((((COUNTIFS(DATA_WITH_GENUS_OLD!A:A,A58,DATA_WITH_GENUS_OLD!O:O,FALSE))/G58)*100),1)</f>
        <v>23.8</v>
      </c>
      <c r="U58" s="68">
        <f>SUMIFS(DATA_WITH_GENUS_OLD!J:J,DATA_WITH_GENUS_OLD!A:A,A58,DATA_WITH_GENUS_OLD!P:P,TRUE)/100</f>
        <v>0.11</v>
      </c>
      <c r="V58">
        <f>SUMIFS(DATA_WITH_GENUS_OLD!U:U,DATA_WITH_GENUS_OLD!A:A,A58)/100</f>
        <v>4.9800000000000004</v>
      </c>
      <c r="W58" s="18">
        <f>COUNTIFS(DATA_WITH_GENUS_OLD!A:A,A58,DATA_WITH_GENUS_OLD!R:R,TRUE)</f>
        <v>5</v>
      </c>
      <c r="X58" s="18">
        <f>COUNTIFS(DATA_WITH_GENUS_OLD!A:A,A58,DATA_WITH_GENUS_OLD!S:S,2)</f>
        <v>1</v>
      </c>
      <c r="Y58">
        <f>COUNTIFS(DATA_WITH_GENUS_OLD!A:A,A58,DATA_WITH_GENUS_OLD!S:S,3)</f>
        <v>2</v>
      </c>
      <c r="Z58">
        <f t="shared" si="77"/>
        <v>19.64755098972806</v>
      </c>
      <c r="AA58" s="69">
        <f t="shared" si="66"/>
        <v>5.2668910476282846</v>
      </c>
      <c r="AB58">
        <f t="shared" si="67"/>
        <v>4.6025623103099038</v>
      </c>
      <c r="AC58">
        <f t="shared" si="68"/>
        <v>5.3305623103099045</v>
      </c>
      <c r="AD58" s="98">
        <f t="shared" si="69"/>
        <v>39.893749727061788</v>
      </c>
      <c r="AE58" t="str">
        <f t="shared" si="82"/>
        <v>Fair</v>
      </c>
    </row>
    <row r="59" spans="1:31">
      <c r="A59" t="str">
        <f>B59&amp;"_"&amp;TEXT(C59,"yyyy-mm-dd")</f>
        <v>BD4_2021-10-09</v>
      </c>
      <c r="B59" t="s">
        <v>50</v>
      </c>
      <c r="C59" s="3">
        <v>44478</v>
      </c>
      <c r="D59">
        <f>SUMIF(DATA_WITH_GENUS_OLD!A:A,A59,DATA_WITH_GENUS_OLD!F:F)</f>
        <v>139</v>
      </c>
      <c r="E59">
        <f>SUMIF(DATA_WITH_GENUS_OLD!A:A,A59,DATA_WITH_GENUS_OLD!J:J)</f>
        <v>100</v>
      </c>
      <c r="F59" s="98">
        <f>SUMIFS(DATA_WITH_GENUS_OLD!T:T,DATA_WITH_GENUS_OLD!A:A,A59)/100</f>
        <v>4.66</v>
      </c>
      <c r="G59" cm="1">
        <f t="array" ref="G59">COUNTA(_xlfn.UNIQUE(_xlfn._xlws.FILTER(DATA_WITH_GENUS_OLD!A:A&amp;DATA_WITH_GENUS_OLD!D:D,(DATA_WITH_GENUS_OLD!A:A = A59)*(DATA_WITH_GENUS_OLD!J:J&gt;0))))</f>
        <v>14</v>
      </c>
      <c r="H59">
        <f>COUNTIFS(DATA_WITH_GENUS_OLD!A:A,A59,DATA_WITH_GENUS_OLD!K:K,"~*")</f>
        <v>6</v>
      </c>
      <c r="I59">
        <f>SUMIFS(DATA_WITH_GENUS_OLD!J:J,DATA_WITH_GENUS_OLD!A:A,A59,DATA_WITH_GENUS_OLD!K:K,"~*")</f>
        <v>58</v>
      </c>
      <c r="J59">
        <f>_xlfn.MAXIFS(DATA_WITH_GENUS_OLD!J:J,DATA_WITH_GENUS_OLD!A:A,A59)</f>
        <v>29</v>
      </c>
      <c r="K59" s="18" t="str" cm="1">
        <f t="array" ref="K59">_xlfn._xlws.FILTER(DATA_WITH_GENUS_OLD!E:E,(DATA_WITH_GENUS_OLD!A:A=A59)*(DATA_WITH_GENUS_OLD!J:J=J59)*ROW(DATA_WITH_GENUS_OLD!E:E),0)</f>
        <v>Chironomidae</v>
      </c>
      <c r="L59" s="11">
        <f>IF(F59="","",IF(F59&gt;7,0,IF(F59&lt;5,6,IF(F59&lt;=7,3))))</f>
        <v>6</v>
      </c>
      <c r="M59">
        <f>IF(G59="","",IF(G59&gt;10,6,IF(G59&lt;5,0,IF(G59&lt;=10,3))))</f>
        <v>6</v>
      </c>
      <c r="N59" s="13">
        <f>IF(H59="","",IF(H59&gt;5,6,IF(H59&lt;3,0,IF(H59&lt;=5,3))))</f>
        <v>6</v>
      </c>
      <c r="O59" s="14">
        <f>IF(I50="","",IF(I50&gt;35,6,IF(I50&lt;1,0,IF(I50&lt;=35,3,IF(I50&lt;1,0)))))</f>
        <v>3</v>
      </c>
      <c r="P59">
        <f>IF(J59="","",IF(J59&gt;60,0,IF(J59&lt;40,6,IF(J59&lt;=60,3))))</f>
        <v>6</v>
      </c>
      <c r="Q59" s="100">
        <f>SUM(L59:P59)</f>
        <v>27</v>
      </c>
      <c r="R59" s="15" t="str">
        <f>IF(Q59&gt;=24, "Non-Impaired", IF(Q59&lt;=6, "Severally Impaired", IF(Q59&gt;=9, "Moderately Impaired","")))</f>
        <v>Non-Impaired</v>
      </c>
      <c r="S59" s="15">
        <f>COUNTIFS(DATA_WITH_GENUS_OLD!A:A,A59,DATA_WITH_GENUS_OLD!J:J, "&gt;0")</f>
        <v>14</v>
      </c>
      <c r="T59" s="20">
        <f>ROUND((((COUNTIFS(DATA_WITH_GENUS_OLD!A:A,A59,DATA_WITH_GENUS_OLD!O:O,FALSE))/G59)*100),1)</f>
        <v>28.6</v>
      </c>
      <c r="U59" s="68">
        <f>SUMIFS(DATA_WITH_GENUS_OLD!J:J,DATA_WITH_GENUS_OLD!A:A,A59,DATA_WITH_GENUS_OLD!P:P,TRUE)/100</f>
        <v>0.34</v>
      </c>
      <c r="V59">
        <f>SUMIFS(DATA_WITH_GENUS_OLD!U:U,DATA_WITH_GENUS_OLD!A:A,A59)/100</f>
        <v>4.72</v>
      </c>
      <c r="W59" s="18">
        <f>COUNTIFS(DATA_WITH_GENUS_OLD!A:A,A59,DATA_WITH_GENUS_OLD!R:R,TRUE)</f>
        <v>4</v>
      </c>
      <c r="X59" s="18">
        <f>COUNTIFS(DATA_WITH_GENUS_OLD!A:A,A59,DATA_WITH_GENUS_OLD!S:S,2)</f>
        <v>1</v>
      </c>
      <c r="Y59">
        <f>COUNTIFS(DATA_WITH_GENUS_OLD!A:A,A59,DATA_WITH_GENUS_OLD!S:S,3)</f>
        <v>0</v>
      </c>
      <c r="Z59">
        <f>S59+26.53-(22.776+4.173*(LOG10(16.73739082)))</f>
        <v>12.64755098972806</v>
      </c>
      <c r="AA59" s="69">
        <f t="shared" si="66"/>
        <v>5.4968910476282886</v>
      </c>
      <c r="AB59">
        <f t="shared" si="67"/>
        <v>4.3425623103099023</v>
      </c>
      <c r="AC59">
        <f t="shared" si="68"/>
        <v>5.0705623103099029</v>
      </c>
      <c r="AD59" s="98">
        <f t="shared" si="69"/>
        <v>32.367171583372844</v>
      </c>
      <c r="AE59" t="str">
        <f>IF(AD59&gt;=63, "Excellent", IF(AD59&lt;21, "Poor", IF(AD59&lt;42, "Fair","Good")))</f>
        <v>Fair</v>
      </c>
    </row>
  </sheetData>
  <phoneticPr fontId="2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EB96-98E1-4835-AF55-217F367DA88A}">
  <sheetPr>
    <tabColor rgb="FFFF0000"/>
  </sheetPr>
  <dimension ref="A1:AN41"/>
  <sheetViews>
    <sheetView topLeftCell="A6" zoomScale="90" workbookViewId="0">
      <selection activeCell="S34" sqref="S34"/>
    </sheetView>
  </sheetViews>
  <sheetFormatPr baseColWidth="10" defaultColWidth="8.83203125" defaultRowHeight="15"/>
  <cols>
    <col min="1" max="1" width="16.6640625" customWidth="1"/>
    <col min="3" max="5" width="13.33203125" customWidth="1"/>
    <col min="6" max="6" width="8.83203125" style="98"/>
    <col min="7" max="7" width="8.6640625" customWidth="1"/>
    <col min="8" max="8" width="11" customWidth="1"/>
    <col min="9" max="9" width="11.1640625" customWidth="1"/>
    <col min="10" max="10" width="13.33203125" customWidth="1"/>
    <col min="11" max="11" width="19.5" customWidth="1"/>
    <col min="13" max="13" width="10.83203125" customWidth="1"/>
    <col min="15" max="15" width="11.83203125" customWidth="1"/>
    <col min="16" max="16" width="12.33203125" customWidth="1"/>
    <col min="17" max="17" width="9.5" style="98" customWidth="1"/>
    <col min="18" max="18" width="17.6640625" customWidth="1"/>
    <col min="19" max="19" width="12.83203125" customWidth="1"/>
    <col min="20" max="20" width="15.33203125" customWidth="1"/>
    <col min="21" max="21" width="14" customWidth="1"/>
    <col min="22" max="22" width="8.33203125" customWidth="1"/>
    <col min="23" max="23" width="11.6640625" customWidth="1"/>
    <col min="24" max="24" width="10.6640625" customWidth="1"/>
    <col min="25" max="25" width="11.1640625" customWidth="1"/>
    <col min="26" max="26" width="16" customWidth="1"/>
    <col min="27" max="27" width="12.5" customWidth="1"/>
    <col min="28" max="28" width="14.1640625" customWidth="1"/>
    <col min="29" max="29" width="11.33203125" customWidth="1"/>
    <col min="30" max="30" width="12.5" customWidth="1"/>
    <col min="31" max="31" width="14.5" style="98" customWidth="1"/>
    <col min="32" max="32" width="13.1640625" customWidth="1"/>
    <col min="33" max="33" width="9.5" customWidth="1"/>
    <col min="34" max="34" width="9.33203125" bestFit="1" customWidth="1"/>
    <col min="35" max="35" width="13.83203125" customWidth="1"/>
    <col min="36" max="36" width="9.33203125" bestFit="1" customWidth="1"/>
    <col min="37" max="37" width="11.6640625" customWidth="1"/>
    <col min="38" max="38" width="14.1640625" customWidth="1"/>
    <col min="39" max="39" width="14.33203125" style="98" customWidth="1"/>
    <col min="40" max="40" width="13.5" customWidth="1"/>
  </cols>
  <sheetData>
    <row r="1" spans="1:40" s="58" customFormat="1" ht="64">
      <c r="A1" s="48" t="s">
        <v>0</v>
      </c>
      <c r="B1" s="49" t="s">
        <v>1</v>
      </c>
      <c r="C1" s="49" t="s">
        <v>2</v>
      </c>
      <c r="D1" s="48" t="s">
        <v>3</v>
      </c>
      <c r="E1" s="48" t="s">
        <v>4</v>
      </c>
      <c r="F1" s="96" t="s">
        <v>5</v>
      </c>
      <c r="G1" s="50" t="s">
        <v>2966</v>
      </c>
      <c r="H1" s="51" t="s">
        <v>7</v>
      </c>
      <c r="I1" s="50" t="s">
        <v>8</v>
      </c>
      <c r="J1" s="52" t="s">
        <v>9</v>
      </c>
      <c r="K1" s="53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99" t="s">
        <v>16</v>
      </c>
      <c r="R1" s="17" t="s">
        <v>17</v>
      </c>
      <c r="S1" s="40" t="s">
        <v>31</v>
      </c>
      <c r="T1" s="53" t="s">
        <v>32</v>
      </c>
      <c r="U1" s="53" t="s">
        <v>33</v>
      </c>
      <c r="V1" s="52" t="s">
        <v>21</v>
      </c>
      <c r="W1" s="51" t="s">
        <v>34</v>
      </c>
      <c r="X1" s="51" t="s">
        <v>35</v>
      </c>
      <c r="Y1" s="51" t="s">
        <v>36</v>
      </c>
      <c r="Z1" s="54" t="s">
        <v>37</v>
      </c>
      <c r="AA1" s="55" t="s">
        <v>38</v>
      </c>
      <c r="AB1" s="55" t="s">
        <v>39</v>
      </c>
      <c r="AC1" s="56" t="s">
        <v>40</v>
      </c>
      <c r="AD1" s="55" t="s">
        <v>2637</v>
      </c>
      <c r="AE1" s="101" t="s">
        <v>41</v>
      </c>
      <c r="AF1" s="54" t="s">
        <v>2995</v>
      </c>
      <c r="AG1" s="51" t="s">
        <v>43</v>
      </c>
      <c r="AH1" s="51" t="s">
        <v>44</v>
      </c>
      <c r="AI1" s="53" t="s">
        <v>33</v>
      </c>
      <c r="AJ1" s="51" t="s">
        <v>45</v>
      </c>
      <c r="AK1" s="57" t="s">
        <v>46</v>
      </c>
      <c r="AL1" s="54" t="s">
        <v>47</v>
      </c>
      <c r="AM1" s="101" t="s">
        <v>48</v>
      </c>
      <c r="AN1" s="54" t="s">
        <v>2995</v>
      </c>
    </row>
    <row r="2" spans="1:40" s="58" customFormat="1">
      <c r="A2" t="str">
        <f t="shared" ref="A2:A33" si="0">B2&amp;"_"&amp;TEXT(C2,"yyyy-mm-dd")</f>
        <v>BK1_2001-07-21</v>
      </c>
      <c r="B2" s="73" t="s">
        <v>51</v>
      </c>
      <c r="C2" s="88">
        <v>37093</v>
      </c>
      <c r="D2" s="25">
        <f>SUMIF(DATA_WITHOUT_GENUS!A:A,A2,DATA_WITHOUT_GENUS!E:E)</f>
        <v>99</v>
      </c>
      <c r="E2">
        <f>SUMIF(DATA_WITHOUT_GENUS!A:A,A2,DATA_WITHOUT_GENUS!I:I)</f>
        <v>99</v>
      </c>
      <c r="F2" s="97">
        <f>SUMIFS(DATA_WITHOUT_GENUS!M:M,DATA_WITHOUT_GENUS!A:A,A2)/100</f>
        <v>4.18</v>
      </c>
      <c r="G2" s="18">
        <f>COUNTIFS(DATA_WITHOUT_GENUS!A:A,A2,DATA_WITHOUT_GENUS!I:I, "&gt;0")</f>
        <v>13</v>
      </c>
      <c r="H2">
        <f>COUNTIFS(DATA_WITHOUT_GENUS!A:A,A2,DATA_WITHOUT_GENUS!J:J,TRUE)</f>
        <v>3</v>
      </c>
      <c r="I2" s="18">
        <f>SUMIFS(DATA_WITHOUT_GENUS!I:I,DATA_WITHOUT_GENUS!A:A,A2,DATA_WITHOUT_GENUS!J:J,TRUE)</f>
        <v>36</v>
      </c>
      <c r="J2">
        <f>_xlfn.MAXIFS(DATA_WITHOUT_GENUS!I:I,DATA_WITHOUT_GENUS!A:A,A2)</f>
        <v>29</v>
      </c>
      <c r="K2" s="18" t="str" cm="1">
        <f t="array" ref="K2">_xlfn._xlws.FILTER(DATA_WITHOUT_GENUS!D:D,(DATA_WITHOUT_GENUS!A:A=A2)*(DATA_WITHOUT_GENUS!I:I=J2)*ROW(DATA_WITHOUT_GENUS!D:D),0)</f>
        <v>Psephenidae</v>
      </c>
      <c r="L2" s="30">
        <f>IF(F2="","",IF(F2&gt;7,0,IF(F2&lt;5,6,IF(F2&lt;=7,3))))</f>
        <v>6</v>
      </c>
      <c r="M2">
        <f>IF(G2="","",IF(G2&gt;10,6,IF(G2&lt;5,0,IF(G2&lt;=10,3))))</f>
        <v>6</v>
      </c>
      <c r="N2" s="31">
        <f>IF(H2="","",IF(H2&gt;5,6,IF(H2&lt;3,0,IF(H2&lt;=5,3))))</f>
        <v>3</v>
      </c>
      <c r="O2" s="32">
        <f>IF(I2="","",IF(I2&gt;35,6,IF(I2&lt;10,0,IF(I2&lt;=35,3,IF(I2&lt;10,0)))))</f>
        <v>6</v>
      </c>
      <c r="P2">
        <f>IF(J2="","",IF(J2&gt;60,0,IF(J2&lt;40,6,IF(J2&lt;=60,3))))</f>
        <v>6</v>
      </c>
      <c r="Q2" s="100">
        <f>SUM(L2:P2)</f>
        <v>27</v>
      </c>
      <c r="R2" s="15" t="str">
        <f>IF(Q2&gt;=24, "Non-Impaired", IF(Q2&lt;=6, "Severally Impaired", IF(Q2&gt;=9, "Moderately Impaired","")))</f>
        <v>Non-Impaired</v>
      </c>
      <c r="S2" s="40"/>
      <c r="T2" s="53"/>
      <c r="U2" s="53"/>
      <c r="V2" s="52"/>
      <c r="W2" s="51"/>
      <c r="X2" s="51"/>
      <c r="Y2" s="51"/>
      <c r="Z2" s="51"/>
      <c r="AA2" s="50"/>
      <c r="AB2" s="50"/>
      <c r="AC2" s="52"/>
      <c r="AD2" s="50"/>
      <c r="AE2" s="101"/>
      <c r="AF2" s="51"/>
      <c r="AG2" s="19">
        <f>H2</f>
        <v>3</v>
      </c>
      <c r="AH2" s="19">
        <f>ROUND((((COUNTIFS(DATA_WITHOUT_GENUS!A:A,A2,DATA_WITHOUT_GENUS!N:N,FALSE))/G2)*100),1)</f>
        <v>46.2</v>
      </c>
      <c r="AI2" s="89">
        <f>SUMIFS(DATA_WITHOUT_GENUS!I:I,DATA_WITHOUT_GENUS!A:A,A2,DATA_WITHOUT_GENUS!O:O,TRUE)</f>
        <v>11</v>
      </c>
      <c r="AJ2" s="19">
        <f>COUNTIFS(DATA_WITHOUT_GENUS!A:A,A2,DATA_WITHOUT_GENUS!P:P,TRUE)</f>
        <v>3</v>
      </c>
      <c r="AK2" s="19">
        <f>F2+4.19-(3.636+0.615*(LOG10(128.6359653)))</f>
        <v>3.4367421179358963</v>
      </c>
      <c r="AL2" s="19">
        <f>(AI2)+35.15-(45.59-11.59*(LOG10(128.6359653)))</f>
        <v>25.007510330281256</v>
      </c>
      <c r="AM2" s="98">
        <f>((100*AG2/12) +(100*(70-(AH2))/63)+(100*AL2/67)+(100*AJ2/6)+(100*(7-AK2)/4))/5</f>
        <v>47.836773422676444</v>
      </c>
      <c r="AN2" s="19" t="str">
        <f>IF(AM2&gt;=63, "Excellent", IF(AM2&lt;21, "Poor", IF(AM2&lt;42, "Fair","Good")))</f>
        <v>Good</v>
      </c>
    </row>
    <row r="3" spans="1:40" s="58" customFormat="1">
      <c r="A3" t="str">
        <f t="shared" si="0"/>
        <v>BK1_2001-10-20</v>
      </c>
      <c r="B3" s="73" t="s">
        <v>51</v>
      </c>
      <c r="C3" s="88">
        <v>37184</v>
      </c>
      <c r="D3">
        <f>SUMIF(DATA_WITHOUT_GENUS!A:A,A3,DATA_WITHOUT_GENUS!E:E)</f>
        <v>104</v>
      </c>
      <c r="E3">
        <f>SUMIF(DATA_WITHOUT_GENUS!A:A,A3,DATA_WITHOUT_GENUS!I:I)</f>
        <v>100</v>
      </c>
      <c r="F3" s="97">
        <f>SUMIFS(DATA_WITHOUT_GENUS!M:M,DATA_WITHOUT_GENUS!A:A,A3)/100</f>
        <v>4.57</v>
      </c>
      <c r="G3" s="18">
        <f>COUNTIFS(DATA_WITHOUT_GENUS!A:A,A3,DATA_WITHOUT_GENUS!I:I, "&gt;0")</f>
        <v>10</v>
      </c>
      <c r="H3">
        <f>COUNTIFS(DATA_WITHOUT_GENUS!A:A,A3,DATA_WITHOUT_GENUS!J:J,TRUE)</f>
        <v>3</v>
      </c>
      <c r="I3" s="18">
        <f>SUMIFS(DATA_WITHOUT_GENUS!I:I,DATA_WITHOUT_GENUS!A:A,A3,DATA_WITHOUT_GENUS!J:J,TRUE)</f>
        <v>44</v>
      </c>
      <c r="J3">
        <f>_xlfn.MAXIFS(DATA_WITHOUT_GENUS!I:I,DATA_WITHOUT_GENUS!A:A,A3)</f>
        <v>27</v>
      </c>
      <c r="K3" t="s">
        <v>2840</v>
      </c>
      <c r="L3" s="30">
        <f t="shared" ref="L3:L5" si="1">IF(F3="","",IF(F3&gt;7,0,IF(F3&lt;5,6,IF(F3&lt;=7,3))))</f>
        <v>6</v>
      </c>
      <c r="M3">
        <f t="shared" ref="M3:M5" si="2">IF(G3="","",IF(G3&gt;10,6,IF(G3&lt;5,0,IF(G3&lt;=10,3))))</f>
        <v>3</v>
      </c>
      <c r="N3" s="31">
        <f t="shared" ref="N3:N5" si="3">IF(H3="","",IF(H3&gt;5,6,IF(H3&lt;3,0,IF(H3&lt;=5,3))))</f>
        <v>3</v>
      </c>
      <c r="O3" s="32">
        <f t="shared" ref="O3:O5" si="4">IF(I3="","",IF(I3&gt;35,6,IF(I3&lt;10,0,IF(I3&lt;=35,3,IF(I3&lt;10,0)))))</f>
        <v>6</v>
      </c>
      <c r="P3">
        <f t="shared" ref="P3:P5" si="5">IF(J3="","",IF(J3&gt;60,0,IF(J3&lt;40,6,IF(J3&lt;=60,3))))</f>
        <v>6</v>
      </c>
      <c r="Q3" s="100">
        <f t="shared" ref="Q3:Q5" si="6">SUM(L3:P3)</f>
        <v>24</v>
      </c>
      <c r="R3" s="15" t="str">
        <f t="shared" ref="R3:R33" si="7">IF(Q3&gt;=24, "Non-Impaired", IF(Q3&lt;=6, "Severally Impaired", IF(Q3&gt;=9, "Moderately Impaired","")))</f>
        <v>Non-Impaired</v>
      </c>
      <c r="S3" s="40"/>
      <c r="T3" s="53"/>
      <c r="U3" s="53"/>
      <c r="V3" s="52"/>
      <c r="W3" s="51"/>
      <c r="X3" s="51"/>
      <c r="Y3" s="51"/>
      <c r="Z3" s="51"/>
      <c r="AA3" s="50"/>
      <c r="AB3" s="50"/>
      <c r="AC3" s="52"/>
      <c r="AD3" s="50"/>
      <c r="AE3" s="101"/>
      <c r="AF3" s="51"/>
      <c r="AG3" s="19">
        <f t="shared" ref="AG3:AG25" si="8">H3</f>
        <v>3</v>
      </c>
      <c r="AH3" s="19">
        <f>ROUND((((COUNTIFS(DATA_WITHOUT_GENUS!A:A,A3,DATA_WITHOUT_GENUS!N:N,FALSE))/G3)*100),1)</f>
        <v>30</v>
      </c>
      <c r="AI3" s="89">
        <f>SUMIFS(DATA_WITHOUT_GENUS!I:I,DATA_WITHOUT_GENUS!A:A,A3,DATA_WITHOUT_GENUS!O:O,TRUE)</f>
        <v>17</v>
      </c>
      <c r="AJ3" s="19">
        <f>COUNTIFS(DATA_WITHOUT_GENUS!A:A,A3,DATA_WITHOUT_GENUS!P:P,TRUE)</f>
        <v>2</v>
      </c>
      <c r="AK3" s="19">
        <f t="shared" ref="AK3:AK25" si="9">F3+4.19-(3.636+0.615*(LOG10(128.6359653)))</f>
        <v>3.8267421179358969</v>
      </c>
      <c r="AL3" s="19">
        <f t="shared" ref="AL3:AL33" si="10">(AI3)+35.15-(45.59-11.59*(LOG10(128.6359653)))</f>
        <v>31.007510330281256</v>
      </c>
      <c r="AM3" s="98">
        <f t="shared" ref="AM3:AM33" si="11">((100*AG3/12) +(100*(70-(AH3))/63)+(100*AL3/67)+(100*AJ3/6)+(100*(7-AK3)/4))/5</f>
        <v>49.487342008319658</v>
      </c>
      <c r="AN3" s="19" t="str">
        <f t="shared" ref="AN3:AN33" si="12">IF(AM3&gt;=63, "Excellent", IF(AM3&lt;21, "Poor", IF(AM3&lt;42, "Fair","Good")))</f>
        <v>Good</v>
      </c>
    </row>
    <row r="4" spans="1:40" s="58" customFormat="1">
      <c r="A4" t="str">
        <f t="shared" si="0"/>
        <v>BK1_2002-03-23</v>
      </c>
      <c r="B4" s="73" t="s">
        <v>51</v>
      </c>
      <c r="C4" s="88">
        <v>37338</v>
      </c>
      <c r="D4">
        <f>SUMIF(DATA_WITHOUT_GENUS!A:A,A4,DATA_WITHOUT_GENUS!E:E)</f>
        <v>127</v>
      </c>
      <c r="E4">
        <f>SUMIF(DATA_WITHOUT_GENUS!A:A,A4,DATA_WITHOUT_GENUS!I:I)</f>
        <v>100</v>
      </c>
      <c r="F4" s="97">
        <f>SUMIFS(DATA_WITHOUT_GENUS!M:M,DATA_WITHOUT_GENUS!A:A,A4)/100</f>
        <v>6.28</v>
      </c>
      <c r="G4" s="18">
        <f>COUNTIFS(DATA_WITHOUT_GENUS!A:A,A4,DATA_WITHOUT_GENUS!I:I, "&gt;0")</f>
        <v>11</v>
      </c>
      <c r="H4">
        <f>COUNTIFS(DATA_WITHOUT_GENUS!A:A,A4,DATA_WITHOUT_GENUS!J:J,TRUE)</f>
        <v>2</v>
      </c>
      <c r="I4" s="18">
        <f>SUMIFS(DATA_WITHOUT_GENUS!I:I,DATA_WITHOUT_GENUS!A:A,A4,DATA_WITHOUT_GENUS!J:J,TRUE)</f>
        <v>5</v>
      </c>
      <c r="J4">
        <f>_xlfn.MAXIFS(DATA_WITHOUT_GENUS!I:I,DATA_WITHOUT_GENUS!A:A,A4)</f>
        <v>36</v>
      </c>
      <c r="K4" s="18" t="str" cm="1">
        <f t="array" ref="K4">_xlfn._xlws.FILTER(DATA_WITHOUT_GENUS!D:D,(DATA_WITHOUT_GENUS!A:A=A4)*(DATA_WITHOUT_GENUS!I:I=J4)*ROW(DATA_WITHOUT_GENUS!D:D),0)</f>
        <v>Oligochaeta</v>
      </c>
      <c r="L4" s="30">
        <f t="shared" si="1"/>
        <v>3</v>
      </c>
      <c r="M4">
        <f t="shared" si="2"/>
        <v>6</v>
      </c>
      <c r="N4" s="31">
        <f t="shared" si="3"/>
        <v>0</v>
      </c>
      <c r="O4" s="32">
        <f t="shared" si="4"/>
        <v>0</v>
      </c>
      <c r="P4">
        <f t="shared" si="5"/>
        <v>6</v>
      </c>
      <c r="Q4" s="100">
        <f t="shared" si="6"/>
        <v>15</v>
      </c>
      <c r="R4" s="15" t="str">
        <f t="shared" si="7"/>
        <v>Moderately Impaired</v>
      </c>
      <c r="S4" s="40"/>
      <c r="T4" s="53"/>
      <c r="U4" s="53"/>
      <c r="V4" s="52"/>
      <c r="W4" s="51"/>
      <c r="X4" s="51"/>
      <c r="Y4" s="51"/>
      <c r="Z4" s="51"/>
      <c r="AA4" s="50"/>
      <c r="AB4" s="50"/>
      <c r="AC4" s="52"/>
      <c r="AD4" s="50"/>
      <c r="AE4" s="101"/>
      <c r="AF4" s="51"/>
      <c r="AG4" s="19">
        <f t="shared" si="8"/>
        <v>2</v>
      </c>
      <c r="AH4" s="19">
        <f>ROUND((((COUNTIFS(DATA_WITHOUT_GENUS!A:A,A4,DATA_WITHOUT_GENUS!N:N,FALSE))/G4)*100),1)</f>
        <v>45.5</v>
      </c>
      <c r="AI4" s="89">
        <f>SUMIFS(DATA_WITHOUT_GENUS!I:I,DATA_WITHOUT_GENUS!A:A,A4,DATA_WITHOUT_GENUS!O:O,TRUE)</f>
        <v>2</v>
      </c>
      <c r="AJ4" s="19">
        <f>COUNTIFS(DATA_WITHOUT_GENUS!A:A,A4,DATA_WITHOUT_GENUS!P:P,TRUE)</f>
        <v>2</v>
      </c>
      <c r="AK4" s="19">
        <f t="shared" si="9"/>
        <v>5.536742117935896</v>
      </c>
      <c r="AL4" s="19">
        <f t="shared" si="10"/>
        <v>16.007510330281256</v>
      </c>
      <c r="AM4" s="98">
        <f t="shared" si="11"/>
        <v>29.872428480719567</v>
      </c>
      <c r="AN4" s="19" t="str">
        <f t="shared" si="12"/>
        <v>Fair</v>
      </c>
    </row>
    <row r="5" spans="1:40" s="58" customFormat="1">
      <c r="A5" t="str">
        <f t="shared" si="0"/>
        <v>BK1_2002-07-27</v>
      </c>
      <c r="B5" s="73" t="s">
        <v>51</v>
      </c>
      <c r="C5" s="88">
        <v>37464</v>
      </c>
      <c r="D5">
        <f>SUMIF(DATA_WITHOUT_GENUS!A:A,A5,DATA_WITHOUT_GENUS!E:E)</f>
        <v>106</v>
      </c>
      <c r="E5">
        <f>SUMIF(DATA_WITHOUT_GENUS!A:A,A5,DATA_WITHOUT_GENUS!I:I)</f>
        <v>100</v>
      </c>
      <c r="F5" s="97">
        <f>SUMIFS(DATA_WITHOUT_GENUS!M:M,DATA_WITHOUT_GENUS!A:A,A5)/100</f>
        <v>4.57</v>
      </c>
      <c r="G5" s="18">
        <f>COUNTIFS(DATA_WITHOUT_GENUS!A:A,A5,DATA_WITHOUT_GENUS!I:I, "&gt;0")</f>
        <v>11</v>
      </c>
      <c r="H5">
        <f>COUNTIFS(DATA_WITHOUT_GENUS!A:A,A5,DATA_WITHOUT_GENUS!J:J,TRUE)</f>
        <v>5</v>
      </c>
      <c r="I5" s="18">
        <f>SUMIFS(DATA_WITHOUT_GENUS!I:I,DATA_WITHOUT_GENUS!A:A,A5,DATA_WITHOUT_GENUS!J:J,TRUE)</f>
        <v>63</v>
      </c>
      <c r="J5">
        <f>_xlfn.MAXIFS(DATA_WITHOUT_GENUS!I:I,DATA_WITHOUT_GENUS!A:A,A5)</f>
        <v>42</v>
      </c>
      <c r="K5" s="18" t="str" cm="1">
        <f t="array" ref="K5">_xlfn._xlws.FILTER(DATA_WITHOUT_GENUS!D:D,(DATA_WITHOUT_GENUS!A:A=A5)*(DATA_WITHOUT_GENUS!I:I=J5)*ROW(DATA_WITHOUT_GENUS!D:D),0)</f>
        <v>Hydropsychidae</v>
      </c>
      <c r="L5" s="30">
        <f t="shared" si="1"/>
        <v>6</v>
      </c>
      <c r="M5">
        <f t="shared" si="2"/>
        <v>6</v>
      </c>
      <c r="N5" s="31">
        <f t="shared" si="3"/>
        <v>3</v>
      </c>
      <c r="O5" s="32">
        <f t="shared" si="4"/>
        <v>6</v>
      </c>
      <c r="P5">
        <f t="shared" si="5"/>
        <v>3</v>
      </c>
      <c r="Q5" s="100">
        <f t="shared" si="6"/>
        <v>24</v>
      </c>
      <c r="R5" s="15" t="str">
        <f t="shared" si="7"/>
        <v>Non-Impaired</v>
      </c>
      <c r="S5" s="40"/>
      <c r="T5" s="53"/>
      <c r="U5" s="53"/>
      <c r="V5" s="52"/>
      <c r="W5" s="51"/>
      <c r="X5" s="51"/>
      <c r="Y5" s="51"/>
      <c r="Z5" s="51"/>
      <c r="AA5" s="50"/>
      <c r="AB5" s="50"/>
      <c r="AC5" s="52"/>
      <c r="AD5" s="50"/>
      <c r="AE5" s="101"/>
      <c r="AF5" s="51"/>
      <c r="AG5" s="19">
        <f t="shared" si="8"/>
        <v>5</v>
      </c>
      <c r="AH5" s="19">
        <f>ROUND((((COUNTIFS(DATA_WITHOUT_GENUS!A:A,A5,DATA_WITHOUT_GENUS!N:N,FALSE))/G5)*100),1)</f>
        <v>18.2</v>
      </c>
      <c r="AI5" s="89">
        <f>SUMIFS(DATA_WITHOUT_GENUS!I:I,DATA_WITHOUT_GENUS!A:A,A5,DATA_WITHOUT_GENUS!O:O,TRUE)</f>
        <v>21</v>
      </c>
      <c r="AJ5" s="19">
        <f>COUNTIFS(DATA_WITHOUT_GENUS!A:A,A5,DATA_WITHOUT_GENUS!P:P,TRUE)</f>
        <v>3</v>
      </c>
      <c r="AK5" s="19">
        <f t="shared" si="9"/>
        <v>3.8267421179358969</v>
      </c>
      <c r="AL5" s="19">
        <f t="shared" si="10"/>
        <v>35.007510330281256</v>
      </c>
      <c r="AM5" s="98">
        <f t="shared" si="11"/>
        <v>61.094070271764338</v>
      </c>
      <c r="AN5" s="19" t="str">
        <f t="shared" si="12"/>
        <v>Good</v>
      </c>
    </row>
    <row r="6" spans="1:40" s="58" customFormat="1">
      <c r="A6" t="str">
        <f t="shared" si="0"/>
        <v>BK1_2002-10-19</v>
      </c>
      <c r="B6" s="73" t="s">
        <v>51</v>
      </c>
      <c r="C6" s="88">
        <v>37548</v>
      </c>
      <c r="D6">
        <f>SUMIF(DATA_WITHOUT_GENUS!A:A,A6,DATA_WITHOUT_GENUS!E:E)</f>
        <v>121</v>
      </c>
      <c r="E6">
        <f>SUMIF(DATA_WITHOUT_GENUS!A:A,A6,DATA_WITHOUT_GENUS!I:I)</f>
        <v>100</v>
      </c>
      <c r="F6" s="97">
        <f>SUMIFS(DATA_WITHOUT_GENUS!M:M,DATA_WITHOUT_GENUS!A:A,A6)/100</f>
        <v>4.49</v>
      </c>
      <c r="G6" s="18">
        <f>COUNTIFS(DATA_WITHOUT_GENUS!A:A,A6,DATA_WITHOUT_GENUS!I:I, "&gt;0")</f>
        <v>13</v>
      </c>
      <c r="H6">
        <f>COUNTIFS(DATA_WITHOUT_GENUS!A:A,A6,DATA_WITHOUT_GENUS!J:J,TRUE)</f>
        <v>4</v>
      </c>
      <c r="I6" s="18">
        <f>SUMIFS(DATA_WITHOUT_GENUS!I:I,DATA_WITHOUT_GENUS!A:A,A6,DATA_WITHOUT_GENUS!J:J,TRUE)</f>
        <v>35</v>
      </c>
      <c r="J6">
        <f>_xlfn.MAXIFS(DATA_WITHOUT_GENUS!I:I,DATA_WITHOUT_GENUS!A:A,A6)</f>
        <v>27</v>
      </c>
      <c r="K6" s="18" t="str" cm="1">
        <f t="array" ref="K6">_xlfn._xlws.FILTER(DATA_WITHOUT_GENUS!D:D,(DATA_WITHOUT_GENUS!A:A=A6)*(DATA_WITHOUT_GENUS!I:I=J6)*ROW(DATA_WITHOUT_GENUS!D:D),0)</f>
        <v>Gammaridae</v>
      </c>
      <c r="L6" s="30">
        <f t="shared" ref="L6" si="13">IF(F6="","",IF(F6&gt;7,0,IF(F6&lt;5,6,IF(F6&lt;=7,3))))</f>
        <v>6</v>
      </c>
      <c r="M6">
        <f t="shared" ref="M6" si="14">IF(G6="","",IF(G6&gt;10,6,IF(G6&lt;5,0,IF(G6&lt;=10,3))))</f>
        <v>6</v>
      </c>
      <c r="N6" s="31">
        <f t="shared" ref="N6" si="15">IF(H6="","",IF(H6&gt;5,6,IF(H6&lt;3,0,IF(H6&lt;=5,3))))</f>
        <v>3</v>
      </c>
      <c r="O6" s="32">
        <f t="shared" ref="O6" si="16">IF(I6="","",IF(I6&gt;35,6,IF(I6&lt;10,0,IF(I6&lt;=35,3,IF(I6&lt;10,0)))))</f>
        <v>3</v>
      </c>
      <c r="P6">
        <f t="shared" ref="P6" si="17">IF(J6="","",IF(J6&gt;60,0,IF(J6&lt;40,6,IF(J6&lt;=60,3))))</f>
        <v>6</v>
      </c>
      <c r="Q6" s="100">
        <f t="shared" ref="Q6" si="18">SUM(L6:P6)</f>
        <v>24</v>
      </c>
      <c r="R6" s="15" t="str">
        <f t="shared" si="7"/>
        <v>Non-Impaired</v>
      </c>
      <c r="S6" s="40"/>
      <c r="T6" s="53"/>
      <c r="U6" s="53"/>
      <c r="V6" s="52"/>
      <c r="W6" s="51"/>
      <c r="X6" s="51"/>
      <c r="Y6" s="51"/>
      <c r="Z6" s="51"/>
      <c r="AA6" s="50"/>
      <c r="AB6" s="50"/>
      <c r="AC6" s="52"/>
      <c r="AD6" s="50"/>
      <c r="AE6" s="101"/>
      <c r="AF6" s="51"/>
      <c r="AG6" s="19">
        <f t="shared" si="8"/>
        <v>4</v>
      </c>
      <c r="AH6" s="19">
        <f>ROUND((((COUNTIFS(DATA_WITHOUT_GENUS!A:A,A6,DATA_WITHOUT_GENUS!N:N,FALSE))/G6)*100),1)</f>
        <v>38.5</v>
      </c>
      <c r="AI6" s="89">
        <f>SUMIFS(DATA_WITHOUT_GENUS!I:I,DATA_WITHOUT_GENUS!A:A,A6,DATA_WITHOUT_GENUS!O:O,TRUE)</f>
        <v>31</v>
      </c>
      <c r="AJ6" s="19">
        <f>COUNTIFS(DATA_WITHOUT_GENUS!A:A,A6,DATA_WITHOUT_GENUS!P:P,TRUE)</f>
        <v>4</v>
      </c>
      <c r="AK6" s="19">
        <f t="shared" si="9"/>
        <v>3.7467421179358951</v>
      </c>
      <c r="AL6" s="19">
        <f t="shared" si="10"/>
        <v>45.007510330281264</v>
      </c>
      <c r="AM6" s="98">
        <f t="shared" si="11"/>
        <v>59.701367120852254</v>
      </c>
      <c r="AN6" s="19" t="str">
        <f t="shared" si="12"/>
        <v>Good</v>
      </c>
    </row>
    <row r="7" spans="1:40" s="58" customFormat="1">
      <c r="A7" t="str">
        <f t="shared" si="0"/>
        <v>BK1_2003-03-22</v>
      </c>
      <c r="B7" s="73" t="s">
        <v>51</v>
      </c>
      <c r="C7" s="88">
        <v>37702</v>
      </c>
      <c r="D7">
        <f>SUMIF(DATA_WITHOUT_GENUS!A:A,A7,DATA_WITHOUT_GENUS!E:E)</f>
        <v>103</v>
      </c>
      <c r="E7">
        <f>SUMIF(DATA_WITHOUT_GENUS!A:A,A7,DATA_WITHOUT_GENUS!I:I)</f>
        <v>100</v>
      </c>
      <c r="F7" s="97">
        <f>SUMIFS(DATA_WITHOUT_GENUS!M:M,DATA_WITHOUT_GENUS!A:A,A7)/100</f>
        <v>4.8899999999999997</v>
      </c>
      <c r="G7" s="18">
        <f>COUNTIFS(DATA_WITHOUT_GENUS!A:A,A7,DATA_WITHOUT_GENUS!I:I, "&gt;0")</f>
        <v>12</v>
      </c>
      <c r="H7">
        <f>COUNTIFS(DATA_WITHOUT_GENUS!A:A,A7,DATA_WITHOUT_GENUS!J:J,TRUE)</f>
        <v>4</v>
      </c>
      <c r="I7" s="18">
        <f>SUMIFS(DATA_WITHOUT_GENUS!I:I,DATA_WITHOUT_GENUS!A:A,A7,DATA_WITHOUT_GENUS!J:J,TRUE)</f>
        <v>49</v>
      </c>
      <c r="J7">
        <f>_xlfn.MAXIFS(DATA_WITHOUT_GENUS!I:I,DATA_WITHOUT_GENUS!A:A,A7)</f>
        <v>27</v>
      </c>
      <c r="K7" s="18" t="str" cm="1">
        <f t="array" ref="K7">_xlfn._xlws.FILTER(DATA_WITHOUT_GENUS!D:D,(DATA_WITHOUT_GENUS!A:A=A7)*(DATA_WITHOUT_GENUS!I:I=J7)*ROW(DATA_WITHOUT_GENUS!D:D),0)</f>
        <v>Simuliidae</v>
      </c>
      <c r="L7" s="30">
        <f t="shared" ref="L7:L10" si="19">IF(F7="","",IF(F7&gt;7,0,IF(F7&lt;5,6,IF(F7&lt;=7,3))))</f>
        <v>6</v>
      </c>
      <c r="M7">
        <f t="shared" ref="M7:M10" si="20">IF(G7="","",IF(G7&gt;10,6,IF(G7&lt;5,0,IF(G7&lt;=10,3))))</f>
        <v>6</v>
      </c>
      <c r="N7" s="31">
        <f t="shared" ref="N7:N10" si="21">IF(H7="","",IF(H7&gt;5,6,IF(H7&lt;3,0,IF(H7&lt;=5,3))))</f>
        <v>3</v>
      </c>
      <c r="O7" s="32">
        <f t="shared" ref="O7:O10" si="22">IF(I7="","",IF(I7&gt;35,6,IF(I7&lt;10,0,IF(I7&lt;=35,3,IF(I7&lt;10,0)))))</f>
        <v>6</v>
      </c>
      <c r="P7">
        <f t="shared" ref="P7:P10" si="23">IF(J7="","",IF(J7&gt;60,0,IF(J7&lt;40,6,IF(J7&lt;=60,3))))</f>
        <v>6</v>
      </c>
      <c r="Q7" s="100">
        <f t="shared" ref="Q7:Q10" si="24">SUM(L7:P7)</f>
        <v>27</v>
      </c>
      <c r="R7" s="15" t="str">
        <f t="shared" si="7"/>
        <v>Non-Impaired</v>
      </c>
      <c r="S7" s="40"/>
      <c r="T7" s="53"/>
      <c r="U7" s="53"/>
      <c r="V7" s="52"/>
      <c r="W7" s="51"/>
      <c r="X7" s="51"/>
      <c r="Y7" s="51"/>
      <c r="Z7" s="51"/>
      <c r="AA7" s="50"/>
      <c r="AB7" s="50"/>
      <c r="AC7" s="52"/>
      <c r="AD7" s="50"/>
      <c r="AE7" s="101"/>
      <c r="AF7" s="51"/>
      <c r="AG7" s="19">
        <f t="shared" si="8"/>
        <v>4</v>
      </c>
      <c r="AH7" s="19">
        <f>ROUND((((COUNTIFS(DATA_WITHOUT_GENUS!A:A,A7,DATA_WITHOUT_GENUS!N:N,FALSE))/G7)*100),1)</f>
        <v>25</v>
      </c>
      <c r="AI7" s="89">
        <f>SUMIFS(DATA_WITHOUT_GENUS!I:I,DATA_WITHOUT_GENUS!A:A,A7,DATA_WITHOUT_GENUS!O:O,TRUE)</f>
        <v>24</v>
      </c>
      <c r="AJ7" s="19">
        <f>COUNTIFS(DATA_WITHOUT_GENUS!A:A,A7,DATA_WITHOUT_GENUS!P:P,TRUE)</f>
        <v>2</v>
      </c>
      <c r="AK7" s="19">
        <f t="shared" si="9"/>
        <v>4.1467421179358954</v>
      </c>
      <c r="AL7" s="19">
        <f t="shared" si="10"/>
        <v>38.007510330281256</v>
      </c>
      <c r="AM7" s="98">
        <f t="shared" si="11"/>
        <v>53.230862501093895</v>
      </c>
      <c r="AN7" s="19" t="str">
        <f t="shared" si="12"/>
        <v>Good</v>
      </c>
    </row>
    <row r="8" spans="1:40" s="58" customFormat="1">
      <c r="A8" t="str">
        <f t="shared" si="0"/>
        <v>BK1_2003-06-03</v>
      </c>
      <c r="B8" s="73" t="s">
        <v>51</v>
      </c>
      <c r="C8" s="88">
        <v>37775</v>
      </c>
      <c r="D8">
        <f>SUMIF(DATA_WITHOUT_GENUS!A:A,A8,DATA_WITHOUT_GENUS!E:E)</f>
        <v>113</v>
      </c>
      <c r="E8">
        <f>SUMIF(DATA_WITHOUT_GENUS!A:A,A8,DATA_WITHOUT_GENUS!I:I)</f>
        <v>100</v>
      </c>
      <c r="F8" s="97">
        <f>SUMIFS(DATA_WITHOUT_GENUS!M:M,DATA_WITHOUT_GENUS!A:A,A8)/100</f>
        <v>5.64</v>
      </c>
      <c r="G8" s="18">
        <f>COUNTIFS(DATA_WITHOUT_GENUS!A:A,A8,DATA_WITHOUT_GENUS!I:I, "&gt;0")</f>
        <v>15</v>
      </c>
      <c r="H8">
        <f>COUNTIFS(DATA_WITHOUT_GENUS!A:A,A8,DATA_WITHOUT_GENUS!J:J,TRUE)</f>
        <v>5</v>
      </c>
      <c r="I8" s="18">
        <f>SUMIFS(DATA_WITHOUT_GENUS!I:I,DATA_WITHOUT_GENUS!A:A,A8,DATA_WITHOUT_GENUS!J:J,TRUE)</f>
        <v>36</v>
      </c>
      <c r="J8">
        <f>_xlfn.MAXIFS(DATA_WITHOUT_GENUS!I:I,DATA_WITHOUT_GENUS!A:A,A8)</f>
        <v>49</v>
      </c>
      <c r="K8" s="18" t="str" cm="1">
        <f t="array" ref="K8">_xlfn._xlws.FILTER(DATA_WITHOUT_GENUS!D:D,(DATA_WITHOUT_GENUS!A:A=A8)*(DATA_WITHOUT_GENUS!I:I=J8)*ROW(DATA_WITHOUT_GENUS!D:D),0)</f>
        <v>Asellidae</v>
      </c>
      <c r="L8" s="30">
        <f t="shared" si="19"/>
        <v>3</v>
      </c>
      <c r="M8">
        <f t="shared" si="20"/>
        <v>6</v>
      </c>
      <c r="N8" s="31">
        <f t="shared" si="21"/>
        <v>3</v>
      </c>
      <c r="O8" s="32">
        <f t="shared" si="22"/>
        <v>6</v>
      </c>
      <c r="P8">
        <f t="shared" si="23"/>
        <v>3</v>
      </c>
      <c r="Q8" s="100">
        <f t="shared" si="24"/>
        <v>21</v>
      </c>
      <c r="R8" s="15" t="str">
        <f t="shared" si="7"/>
        <v>Moderately Impaired</v>
      </c>
      <c r="S8" s="40"/>
      <c r="T8" s="53"/>
      <c r="U8" s="53"/>
      <c r="V8" s="52"/>
      <c r="W8" s="51"/>
      <c r="X8" s="51"/>
      <c r="Y8" s="51"/>
      <c r="Z8" s="51"/>
      <c r="AA8" s="50"/>
      <c r="AB8" s="50"/>
      <c r="AC8" s="52"/>
      <c r="AD8" s="50"/>
      <c r="AE8" s="101"/>
      <c r="AF8" s="51"/>
      <c r="AG8" s="19">
        <f t="shared" si="8"/>
        <v>5</v>
      </c>
      <c r="AH8" s="19">
        <f>ROUND((((COUNTIFS(DATA_WITHOUT_GENUS!A:A,A8,DATA_WITHOUT_GENUS!N:N,FALSE))/G8)*100),1)</f>
        <v>26.7</v>
      </c>
      <c r="AI8" s="89">
        <f>SUMIFS(DATA_WITHOUT_GENUS!I:I,DATA_WITHOUT_GENUS!A:A,A8,DATA_WITHOUT_GENUS!O:O,TRUE)</f>
        <v>36</v>
      </c>
      <c r="AJ8" s="19">
        <f>COUNTIFS(DATA_WITHOUT_GENUS!A:A,A8,DATA_WITHOUT_GENUS!P:P,TRUE)</f>
        <v>3</v>
      </c>
      <c r="AK8" s="19">
        <f t="shared" si="9"/>
        <v>4.8967421179358954</v>
      </c>
      <c r="AL8" s="19">
        <f t="shared" si="10"/>
        <v>50.007510330281264</v>
      </c>
      <c r="AM8" s="98">
        <f t="shared" si="11"/>
        <v>57.523269513650156</v>
      </c>
      <c r="AN8" s="19" t="str">
        <f t="shared" si="12"/>
        <v>Good</v>
      </c>
    </row>
    <row r="9" spans="1:40" s="58" customFormat="1">
      <c r="A9" t="str">
        <f t="shared" si="0"/>
        <v>BK1_2003-07-19</v>
      </c>
      <c r="B9" s="73" t="s">
        <v>51</v>
      </c>
      <c r="C9" s="88">
        <v>37821</v>
      </c>
      <c r="D9">
        <f>SUMIF(DATA_WITHOUT_GENUS!A:A,A9,DATA_WITHOUT_GENUS!E:E)</f>
        <v>119</v>
      </c>
      <c r="E9">
        <f>SUMIF(DATA_WITHOUT_GENUS!A:A,A9,DATA_WITHOUT_GENUS!I:I)</f>
        <v>100</v>
      </c>
      <c r="F9" s="97">
        <f>SUMIFS(DATA_WITHOUT_GENUS!M:M,DATA_WITHOUT_GENUS!A:A,A9)/100</f>
        <v>4.88</v>
      </c>
      <c r="G9" s="18">
        <f>COUNTIFS(DATA_WITHOUT_GENUS!A:A,A9,DATA_WITHOUT_GENUS!I:I, "&gt;0")</f>
        <v>8</v>
      </c>
      <c r="H9">
        <f>COUNTIFS(DATA_WITHOUT_GENUS!A:A,A9,DATA_WITHOUT_GENUS!J:J,TRUE)</f>
        <v>2</v>
      </c>
      <c r="I9" s="18">
        <f>SUMIFS(DATA_WITHOUT_GENUS!I:I,DATA_WITHOUT_GENUS!A:A,A9,DATA_WITHOUT_GENUS!J:J,TRUE)</f>
        <v>37</v>
      </c>
      <c r="J9">
        <f>_xlfn.MAXIFS(DATA_WITHOUT_GENUS!I:I,DATA_WITHOUT_GENUS!A:A,A9)</f>
        <v>27</v>
      </c>
      <c r="K9" s="18" t="str" cm="1">
        <f t="array" ref="K9">_xlfn._xlws.FILTER(DATA_WITHOUT_GENUS!D:D,(DATA_WITHOUT_GENUS!A:A=A9)*(DATA_WITHOUT_GENUS!I:I=J9)*ROW(DATA_WITHOUT_GENUS!D:D),0)</f>
        <v>Polycentropodidae</v>
      </c>
      <c r="L9" s="30">
        <f t="shared" si="19"/>
        <v>6</v>
      </c>
      <c r="M9">
        <f t="shared" si="20"/>
        <v>3</v>
      </c>
      <c r="N9" s="31">
        <f t="shared" si="21"/>
        <v>0</v>
      </c>
      <c r="O9" s="32">
        <f t="shared" si="22"/>
        <v>6</v>
      </c>
      <c r="P9">
        <f t="shared" si="23"/>
        <v>6</v>
      </c>
      <c r="Q9" s="100">
        <f t="shared" si="24"/>
        <v>21</v>
      </c>
      <c r="R9" s="15" t="str">
        <f t="shared" si="7"/>
        <v>Moderately Impaired</v>
      </c>
      <c r="S9" s="40"/>
      <c r="T9" s="53"/>
      <c r="U9" s="53"/>
      <c r="V9" s="52"/>
      <c r="W9" s="51"/>
      <c r="X9" s="51"/>
      <c r="Y9" s="51"/>
      <c r="Z9" s="51"/>
      <c r="AA9" s="50"/>
      <c r="AB9" s="50"/>
      <c r="AC9" s="52"/>
      <c r="AD9" s="50"/>
      <c r="AE9" s="101"/>
      <c r="AF9" s="51"/>
      <c r="AG9" s="19">
        <f t="shared" si="8"/>
        <v>2</v>
      </c>
      <c r="AH9" s="19">
        <f>ROUND((((COUNTIFS(DATA_WITHOUT_GENUS!A:A,A9,DATA_WITHOUT_GENUS!N:N,FALSE))/G9)*100),1)</f>
        <v>25</v>
      </c>
      <c r="AI9" s="89">
        <f>SUMIFS(DATA_WITHOUT_GENUS!I:I,DATA_WITHOUT_GENUS!A:A,A9,DATA_WITHOUT_GENUS!O:O,TRUE)</f>
        <v>27</v>
      </c>
      <c r="AJ9" s="19">
        <f>COUNTIFS(DATA_WITHOUT_GENUS!A:A,A9,DATA_WITHOUT_GENUS!P:P,TRUE)</f>
        <v>2</v>
      </c>
      <c r="AK9" s="19">
        <f t="shared" si="9"/>
        <v>4.1367421179358956</v>
      </c>
      <c r="AL9" s="19">
        <f t="shared" si="10"/>
        <v>41.007510330281256</v>
      </c>
      <c r="AM9" s="98">
        <f t="shared" si="11"/>
        <v>50.84305155582026</v>
      </c>
      <c r="AN9" s="19" t="str">
        <f t="shared" si="12"/>
        <v>Good</v>
      </c>
    </row>
    <row r="10" spans="1:40" s="58" customFormat="1">
      <c r="A10" t="str">
        <f t="shared" si="0"/>
        <v>BK1_2003-10-18</v>
      </c>
      <c r="B10" s="73" t="s">
        <v>51</v>
      </c>
      <c r="C10" s="88">
        <v>37912</v>
      </c>
      <c r="D10">
        <f>SUMIF(DATA_WITHOUT_GENUS!A:A,A10,DATA_WITHOUT_GENUS!E:E)</f>
        <v>121</v>
      </c>
      <c r="E10">
        <f>SUMIF(DATA_WITHOUT_GENUS!A:A,A10,DATA_WITHOUT_GENUS!I:I)</f>
        <v>100</v>
      </c>
      <c r="F10" s="97">
        <f>SUMIFS(DATA_WITHOUT_GENUS!M:M,DATA_WITHOUT_GENUS!A:A,A10)/100</f>
        <v>4.53</v>
      </c>
      <c r="G10" s="18">
        <f>COUNTIFS(DATA_WITHOUT_GENUS!A:A,A10,DATA_WITHOUT_GENUS!I:I, "&gt;0")</f>
        <v>11</v>
      </c>
      <c r="H10">
        <f>COUNTIFS(DATA_WITHOUT_GENUS!A:A,A10,DATA_WITHOUT_GENUS!J:J,TRUE)</f>
        <v>4</v>
      </c>
      <c r="I10" s="18">
        <f>SUMIFS(DATA_WITHOUT_GENUS!I:I,DATA_WITHOUT_GENUS!A:A,A10,DATA_WITHOUT_GENUS!J:J,TRUE)</f>
        <v>53</v>
      </c>
      <c r="J10">
        <f>_xlfn.MAXIFS(DATA_WITHOUT_GENUS!I:I,DATA_WITHOUT_GENUS!A:A,A10)</f>
        <v>31</v>
      </c>
      <c r="K10" s="18" t="str" cm="1">
        <f t="array" ref="K10">_xlfn._xlws.FILTER(DATA_WITHOUT_GENUS!D:D,(DATA_WITHOUT_GENUS!A:A=A10)*(DATA_WITHOUT_GENUS!I:I=J10)*ROW(DATA_WITHOUT_GENUS!D:D),0)</f>
        <v>Polycentropodidae</v>
      </c>
      <c r="L10" s="30">
        <f t="shared" si="19"/>
        <v>6</v>
      </c>
      <c r="M10">
        <f t="shared" si="20"/>
        <v>6</v>
      </c>
      <c r="N10" s="31">
        <f t="shared" si="21"/>
        <v>3</v>
      </c>
      <c r="O10" s="32">
        <f t="shared" si="22"/>
        <v>6</v>
      </c>
      <c r="P10">
        <f t="shared" si="23"/>
        <v>6</v>
      </c>
      <c r="Q10" s="100">
        <f t="shared" si="24"/>
        <v>27</v>
      </c>
      <c r="R10" s="15" t="str">
        <f t="shared" si="7"/>
        <v>Non-Impaired</v>
      </c>
      <c r="S10" s="40"/>
      <c r="T10" s="53"/>
      <c r="U10" s="53"/>
      <c r="V10" s="52"/>
      <c r="W10" s="51"/>
      <c r="X10" s="51"/>
      <c r="Y10" s="51"/>
      <c r="Z10" s="51"/>
      <c r="AA10" s="50"/>
      <c r="AB10" s="50"/>
      <c r="AC10" s="52"/>
      <c r="AD10" s="50"/>
      <c r="AE10" s="101"/>
      <c r="AF10" s="51"/>
      <c r="AG10" s="19">
        <f t="shared" si="8"/>
        <v>4</v>
      </c>
      <c r="AH10" s="19">
        <f>ROUND((((COUNTIFS(DATA_WITHOUT_GENUS!A:A,A10,DATA_WITHOUT_GENUS!N:N,FALSE))/G10)*100),1)</f>
        <v>27.3</v>
      </c>
      <c r="AI10" s="89">
        <f>SUMIFS(DATA_WITHOUT_GENUS!I:I,DATA_WITHOUT_GENUS!A:A,A10,DATA_WITHOUT_GENUS!O:O,TRUE)</f>
        <v>38</v>
      </c>
      <c r="AJ10" s="19">
        <f>COUNTIFS(DATA_WITHOUT_GENUS!A:A,A10,DATA_WITHOUT_GENUS!P:P,TRUE)</f>
        <v>3</v>
      </c>
      <c r="AK10" s="19">
        <f t="shared" si="9"/>
        <v>3.786742117935896</v>
      </c>
      <c r="AL10" s="19">
        <f t="shared" si="10"/>
        <v>52.007510330281264</v>
      </c>
      <c r="AM10" s="98">
        <f t="shared" si="11"/>
        <v>61.81314158188043</v>
      </c>
      <c r="AN10" s="19" t="str">
        <f t="shared" si="12"/>
        <v>Good</v>
      </c>
    </row>
    <row r="11" spans="1:40" s="58" customFormat="1">
      <c r="A11" t="str">
        <f t="shared" si="0"/>
        <v>BK1_2004-07-24</v>
      </c>
      <c r="B11" s="73" t="s">
        <v>51</v>
      </c>
      <c r="C11" s="88">
        <v>38192</v>
      </c>
      <c r="D11">
        <f>SUMIF(DATA_WITHOUT_GENUS!A:A,A11,DATA_WITHOUT_GENUS!E:E)</f>
        <v>122</v>
      </c>
      <c r="E11">
        <f>SUMIF(DATA_WITHOUT_GENUS!A:A,A11,DATA_WITHOUT_GENUS!I:I)</f>
        <v>100</v>
      </c>
      <c r="F11" s="97">
        <f>SUMIFS(DATA_WITHOUT_GENUS!M:M,DATA_WITHOUT_GENUS!A:A,A11)/100</f>
        <v>4.28</v>
      </c>
      <c r="G11" s="18">
        <f>COUNTIFS(DATA_WITHOUT_GENUS!A:A,A11,DATA_WITHOUT_GENUS!I:I, "&gt;0")</f>
        <v>14</v>
      </c>
      <c r="H11">
        <f>COUNTIFS(DATA_WITHOUT_GENUS!A:A,A11,DATA_WITHOUT_GENUS!J:J,TRUE)</f>
        <v>5</v>
      </c>
      <c r="I11" s="18">
        <f>SUMIFS(DATA_WITHOUT_GENUS!I:I,DATA_WITHOUT_GENUS!A:A,A11,DATA_WITHOUT_GENUS!J:J,TRUE)</f>
        <v>31</v>
      </c>
      <c r="J11">
        <f>_xlfn.MAXIFS(DATA_WITHOUT_GENUS!I:I,DATA_WITHOUT_GENUS!A:A,A11)</f>
        <v>28</v>
      </c>
      <c r="K11" s="18" t="str" cm="1">
        <f t="array" ref="K11">_xlfn._xlws.FILTER(DATA_WITHOUT_GENUS!D:D,(DATA_WITHOUT_GENUS!A:A=A11)*(DATA_WITHOUT_GENUS!I:I=J11)*ROW(DATA_WITHOUT_GENUS!D:D),0)</f>
        <v>Psephenidae</v>
      </c>
      <c r="L11" s="30">
        <f t="shared" ref="L11:L15" si="25">IF(F11="","",IF(F11&gt;7,0,IF(F11&lt;5,6,IF(F11&lt;=7,3))))</f>
        <v>6</v>
      </c>
      <c r="M11">
        <f t="shared" ref="M11:M15" si="26">IF(G11="","",IF(G11&gt;10,6,IF(G11&lt;5,0,IF(G11&lt;=10,3))))</f>
        <v>6</v>
      </c>
      <c r="N11" s="31">
        <f t="shared" ref="N11:N15" si="27">IF(H11="","",IF(H11&gt;5,6,IF(H11&lt;3,0,IF(H11&lt;=5,3))))</f>
        <v>3</v>
      </c>
      <c r="O11" s="32">
        <f t="shared" ref="O11:O15" si="28">IF(I11="","",IF(I11&gt;35,6,IF(I11&lt;10,0,IF(I11&lt;=35,3,IF(I11&lt;10,0)))))</f>
        <v>3</v>
      </c>
      <c r="P11">
        <f t="shared" ref="P11:P15" si="29">IF(J11="","",IF(J11&gt;60,0,IF(J11&lt;40,6,IF(J11&lt;=60,3))))</f>
        <v>6</v>
      </c>
      <c r="Q11" s="100">
        <f t="shared" ref="Q11:Q15" si="30">SUM(L11:P11)</f>
        <v>24</v>
      </c>
      <c r="R11" s="15" t="str">
        <f t="shared" si="7"/>
        <v>Non-Impaired</v>
      </c>
      <c r="S11" s="40"/>
      <c r="T11" s="53"/>
      <c r="U11" s="53"/>
      <c r="V11" s="52"/>
      <c r="W11" s="51"/>
      <c r="X11" s="51"/>
      <c r="Y11" s="51"/>
      <c r="Z11" s="51"/>
      <c r="AA11" s="50"/>
      <c r="AB11" s="50"/>
      <c r="AC11" s="52"/>
      <c r="AD11" s="50"/>
      <c r="AE11" s="101"/>
      <c r="AF11" s="51"/>
      <c r="AG11" s="19">
        <f t="shared" si="8"/>
        <v>5</v>
      </c>
      <c r="AH11" s="19">
        <f>ROUND((((COUNTIFS(DATA_WITHOUT_GENUS!A:A,A11,DATA_WITHOUT_GENUS!N:N,FALSE))/G11)*100),1)</f>
        <v>35.700000000000003</v>
      </c>
      <c r="AI11" s="89">
        <f>SUMIFS(DATA_WITHOUT_GENUS!I:I,DATA_WITHOUT_GENUS!A:A,A11,DATA_WITHOUT_GENUS!O:O,TRUE)</f>
        <v>11</v>
      </c>
      <c r="AJ11" s="19">
        <f>COUNTIFS(DATA_WITHOUT_GENUS!A:A,A11,DATA_WITHOUT_GENUS!P:P,TRUE)</f>
        <v>4</v>
      </c>
      <c r="AK11" s="19">
        <f t="shared" si="9"/>
        <v>3.536742117935896</v>
      </c>
      <c r="AL11" s="19">
        <f t="shared" si="10"/>
        <v>25.007510330281256</v>
      </c>
      <c r="AM11" s="98">
        <f t="shared" si="11"/>
        <v>57.336773422676444</v>
      </c>
      <c r="AN11" s="19" t="str">
        <f t="shared" si="12"/>
        <v>Good</v>
      </c>
    </row>
    <row r="12" spans="1:40" s="58" customFormat="1">
      <c r="A12" t="str">
        <f t="shared" si="0"/>
        <v>BK1_2005-07-23</v>
      </c>
      <c r="B12" s="73" t="s">
        <v>51</v>
      </c>
      <c r="C12" s="88">
        <v>38556</v>
      </c>
      <c r="D12">
        <f>SUMIF(DATA_WITHOUT_GENUS!A:A,A12,DATA_WITHOUT_GENUS!E:E)</f>
        <v>144</v>
      </c>
      <c r="E12">
        <f>SUMIF(DATA_WITHOUT_GENUS!A:A,A12,DATA_WITHOUT_GENUS!I:I)</f>
        <v>100</v>
      </c>
      <c r="F12" s="97">
        <f>SUMIFS(DATA_WITHOUT_GENUS!M:M,DATA_WITHOUT_GENUS!A:A,A12)/100</f>
        <v>4.34</v>
      </c>
      <c r="G12" s="18">
        <f>COUNTIFS(DATA_WITHOUT_GENUS!A:A,A12,DATA_WITHOUT_GENUS!I:I, "&gt;0")</f>
        <v>18</v>
      </c>
      <c r="H12">
        <f>COUNTIFS(DATA_WITHOUT_GENUS!A:A,A12,DATA_WITHOUT_GENUS!J:J,TRUE)</f>
        <v>8</v>
      </c>
      <c r="I12" s="18">
        <f>SUMIFS(DATA_WITHOUT_GENUS!I:I,DATA_WITHOUT_GENUS!A:A,A12,DATA_WITHOUT_GENUS!J:J,TRUE)</f>
        <v>44</v>
      </c>
      <c r="J12">
        <f>_xlfn.MAXIFS(DATA_WITHOUT_GENUS!I:I,DATA_WITHOUT_GENUS!A:A,A12)</f>
        <v>20</v>
      </c>
      <c r="K12" s="18" t="str" cm="1">
        <f t="array" ref="K12">_xlfn._xlws.FILTER(DATA_WITHOUT_GENUS!D:D,(DATA_WITHOUT_GENUS!A:A=A12)*(DATA_WITHOUT_GENUS!I:I=J12)*ROW(DATA_WITHOUT_GENUS!D:D),0)</f>
        <v>Elmidae</v>
      </c>
      <c r="L12" s="30">
        <f t="shared" si="25"/>
        <v>6</v>
      </c>
      <c r="M12">
        <f t="shared" si="26"/>
        <v>6</v>
      </c>
      <c r="N12" s="31">
        <f t="shared" si="27"/>
        <v>6</v>
      </c>
      <c r="O12" s="32">
        <f t="shared" si="28"/>
        <v>6</v>
      </c>
      <c r="P12">
        <f t="shared" si="29"/>
        <v>6</v>
      </c>
      <c r="Q12" s="100">
        <f t="shared" si="30"/>
        <v>30</v>
      </c>
      <c r="R12" s="15" t="str">
        <f t="shared" si="7"/>
        <v>Non-Impaired</v>
      </c>
      <c r="S12" s="40"/>
      <c r="T12" s="53"/>
      <c r="U12" s="53"/>
      <c r="V12" s="52"/>
      <c r="W12" s="51"/>
      <c r="X12" s="51"/>
      <c r="Y12" s="51"/>
      <c r="Z12" s="51"/>
      <c r="AA12" s="50"/>
      <c r="AB12" s="50"/>
      <c r="AC12" s="52"/>
      <c r="AD12" s="50"/>
      <c r="AE12" s="101"/>
      <c r="AF12" s="51"/>
      <c r="AG12" s="19">
        <f t="shared" si="8"/>
        <v>8</v>
      </c>
      <c r="AH12" s="19">
        <f>ROUND((((COUNTIFS(DATA_WITHOUT_GENUS!A:A,A12,DATA_WITHOUT_GENUS!N:N,FALSE))/G12)*100),1)</f>
        <v>22.2</v>
      </c>
      <c r="AI12" s="89">
        <f>SUMIFS(DATA_WITHOUT_GENUS!I:I,DATA_WITHOUT_GENUS!A:A,A12,DATA_WITHOUT_GENUS!O:O,TRUE)</f>
        <v>27</v>
      </c>
      <c r="AJ12" s="19">
        <f>COUNTIFS(DATA_WITHOUT_GENUS!A:A,A12,DATA_WITHOUT_GENUS!P:P,TRUE)</f>
        <v>4</v>
      </c>
      <c r="AK12" s="19">
        <f t="shared" si="9"/>
        <v>3.5967421179358965</v>
      </c>
      <c r="AL12" s="19">
        <f t="shared" si="10"/>
        <v>41.007510330281256</v>
      </c>
      <c r="AM12" s="98">
        <f t="shared" si="11"/>
        <v>71.098607111375799</v>
      </c>
      <c r="AN12" s="19" t="str">
        <f t="shared" si="12"/>
        <v>Excellent</v>
      </c>
    </row>
    <row r="13" spans="1:40" s="58" customFormat="1">
      <c r="A13" t="str">
        <f t="shared" si="0"/>
        <v>BK1_2005-10-30</v>
      </c>
      <c r="B13" s="73" t="s">
        <v>51</v>
      </c>
      <c r="C13" s="88">
        <v>38655</v>
      </c>
      <c r="D13">
        <f>SUMIF(DATA_WITHOUT_GENUS!A:A,A13,DATA_WITHOUT_GENUS!E:E)</f>
        <v>107</v>
      </c>
      <c r="E13">
        <f>SUMIF(DATA_WITHOUT_GENUS!A:A,A13,DATA_WITHOUT_GENUS!I:I)</f>
        <v>100</v>
      </c>
      <c r="F13" s="97">
        <f>SUMIFS(DATA_WITHOUT_GENUS!M:M,DATA_WITHOUT_GENUS!A:A,A13)/100</f>
        <v>4.25</v>
      </c>
      <c r="G13" s="18">
        <f>COUNTIFS(DATA_WITHOUT_GENUS!A:A,A13,DATA_WITHOUT_GENUS!I:I, "&gt;0")</f>
        <v>14</v>
      </c>
      <c r="H13">
        <f>COUNTIFS(DATA_WITHOUT_GENUS!A:A,A13,DATA_WITHOUT_GENUS!J:J,TRUE)</f>
        <v>3</v>
      </c>
      <c r="I13" s="18">
        <f>SUMIFS(DATA_WITHOUT_GENUS!I:I,DATA_WITHOUT_GENUS!A:A,A13,DATA_WITHOUT_GENUS!J:J,TRUE)</f>
        <v>41</v>
      </c>
      <c r="J13">
        <f>_xlfn.MAXIFS(DATA_WITHOUT_GENUS!I:I,DATA_WITHOUT_GENUS!A:A,A13)</f>
        <v>34</v>
      </c>
      <c r="K13" s="18" t="str" cm="1">
        <f t="array" ref="K13">_xlfn._xlws.FILTER(DATA_WITHOUT_GENUS!D:D,(DATA_WITHOUT_GENUS!A:A=A13)*(DATA_WITHOUT_GENUS!I:I=J13)*ROW(DATA_WITHOUT_GENUS!D:D),0)</f>
        <v>Psephenidae</v>
      </c>
      <c r="L13" s="30">
        <f t="shared" si="25"/>
        <v>6</v>
      </c>
      <c r="M13">
        <f t="shared" si="26"/>
        <v>6</v>
      </c>
      <c r="N13" s="31">
        <f t="shared" si="27"/>
        <v>3</v>
      </c>
      <c r="O13" s="32">
        <f t="shared" si="28"/>
        <v>6</v>
      </c>
      <c r="P13">
        <f t="shared" si="29"/>
        <v>6</v>
      </c>
      <c r="Q13" s="100">
        <f t="shared" si="30"/>
        <v>27</v>
      </c>
      <c r="R13" s="15" t="str">
        <f t="shared" si="7"/>
        <v>Non-Impaired</v>
      </c>
      <c r="S13" s="40"/>
      <c r="T13" s="53"/>
      <c r="U13" s="53"/>
      <c r="V13" s="52"/>
      <c r="W13" s="51"/>
      <c r="X13" s="51"/>
      <c r="Y13" s="51"/>
      <c r="Z13" s="51"/>
      <c r="AA13" s="50"/>
      <c r="AB13" s="50"/>
      <c r="AC13" s="52"/>
      <c r="AD13" s="50"/>
      <c r="AE13" s="101"/>
      <c r="AF13" s="51"/>
      <c r="AG13" s="19">
        <f t="shared" si="8"/>
        <v>3</v>
      </c>
      <c r="AH13" s="19">
        <f>ROUND((((COUNTIFS(DATA_WITHOUT_GENUS!A:A,A13,DATA_WITHOUT_GENUS!N:N,FALSE))/G13)*100),1)</f>
        <v>42.9</v>
      </c>
      <c r="AI13" s="89">
        <f>SUMIFS(DATA_WITHOUT_GENUS!I:I,DATA_WITHOUT_GENUS!A:A,A13,DATA_WITHOUT_GENUS!O:O,TRUE)</f>
        <v>13</v>
      </c>
      <c r="AJ13" s="19">
        <f>COUNTIFS(DATA_WITHOUT_GENUS!A:A,A13,DATA_WITHOUT_GENUS!P:P,TRUE)</f>
        <v>3</v>
      </c>
      <c r="AK13" s="19">
        <f t="shared" si="9"/>
        <v>3.5067421179358966</v>
      </c>
      <c r="AL13" s="19">
        <f t="shared" si="10"/>
        <v>27.007510330281256</v>
      </c>
      <c r="AM13" s="98">
        <f t="shared" si="11"/>
        <v>49.131407395668631</v>
      </c>
      <c r="AN13" s="19" t="str">
        <f t="shared" si="12"/>
        <v>Good</v>
      </c>
    </row>
    <row r="14" spans="1:40" s="58" customFormat="1">
      <c r="A14" t="str">
        <f t="shared" si="0"/>
        <v>BK1_2006-10-14</v>
      </c>
      <c r="B14" s="73" t="s">
        <v>51</v>
      </c>
      <c r="C14" s="88">
        <v>39004</v>
      </c>
      <c r="D14">
        <f>SUMIF(DATA_WITHOUT_GENUS!A:A,A14,DATA_WITHOUT_GENUS!E:E)</f>
        <v>119</v>
      </c>
      <c r="E14">
        <f>SUMIF(DATA_WITHOUT_GENUS!A:A,A14,DATA_WITHOUT_GENUS!I:I)</f>
        <v>100</v>
      </c>
      <c r="F14" s="97">
        <f>SUMIFS(DATA_WITHOUT_GENUS!M:M,DATA_WITHOUT_GENUS!A:A,A14)/100</f>
        <v>5.34</v>
      </c>
      <c r="G14" s="18">
        <f>COUNTIFS(DATA_WITHOUT_GENUS!A:A,A14,DATA_WITHOUT_GENUS!I:I, "&gt;0")</f>
        <v>16</v>
      </c>
      <c r="H14">
        <f>COUNTIFS(DATA_WITHOUT_GENUS!A:A,A14,DATA_WITHOUT_GENUS!J:J,TRUE)</f>
        <v>4</v>
      </c>
      <c r="I14" s="18">
        <f>SUMIFS(DATA_WITHOUT_GENUS!I:I,DATA_WITHOUT_GENUS!A:A,A14,DATA_WITHOUT_GENUS!J:J,TRUE)</f>
        <v>27</v>
      </c>
      <c r="J14">
        <f>_xlfn.MAXIFS(DATA_WITHOUT_GENUS!I:I,DATA_WITHOUT_GENUS!A:A,A14)</f>
        <v>18</v>
      </c>
      <c r="K14" s="18" t="str" cm="1">
        <f t="array" ref="K14">_xlfn._xlws.FILTER(DATA_WITHOUT_GENUS!D:D,(DATA_WITHOUT_GENUS!A:A=A14)*(DATA_WITHOUT_GENUS!I:I=J14)*ROW(DATA_WITHOUT_GENUS!D:D),0)</f>
        <v>Gammaridae</v>
      </c>
      <c r="L14" s="30">
        <f t="shared" si="25"/>
        <v>3</v>
      </c>
      <c r="M14">
        <f t="shared" si="26"/>
        <v>6</v>
      </c>
      <c r="N14" s="31">
        <f t="shared" si="27"/>
        <v>3</v>
      </c>
      <c r="O14" s="32">
        <f t="shared" si="28"/>
        <v>3</v>
      </c>
      <c r="P14">
        <f t="shared" si="29"/>
        <v>6</v>
      </c>
      <c r="Q14" s="100">
        <f t="shared" si="30"/>
        <v>21</v>
      </c>
      <c r="R14" s="15" t="str">
        <f t="shared" si="7"/>
        <v>Moderately Impaired</v>
      </c>
      <c r="S14" s="40"/>
      <c r="T14" s="53"/>
      <c r="U14" s="53"/>
      <c r="V14" s="52"/>
      <c r="W14" s="51"/>
      <c r="X14" s="51"/>
      <c r="Y14" s="51"/>
      <c r="Z14" s="51"/>
      <c r="AA14" s="50"/>
      <c r="AB14" s="50"/>
      <c r="AC14" s="52"/>
      <c r="AD14" s="50"/>
      <c r="AE14" s="101"/>
      <c r="AF14" s="51"/>
      <c r="AG14" s="19">
        <f t="shared" si="8"/>
        <v>4</v>
      </c>
      <c r="AH14" s="19">
        <f>ROUND((((COUNTIFS(DATA_WITHOUT_GENUS!A:A,A14,DATA_WITHOUT_GENUS!N:N,FALSE))/G14)*100),1)</f>
        <v>31.3</v>
      </c>
      <c r="AI14" s="89">
        <f>SUMIFS(DATA_WITHOUT_GENUS!I:I,DATA_WITHOUT_GENUS!A:A,A14,DATA_WITHOUT_GENUS!O:O,TRUE)</f>
        <v>10</v>
      </c>
      <c r="AJ14" s="19">
        <f>COUNTIFS(DATA_WITHOUT_GENUS!A:A,A14,DATA_WITHOUT_GENUS!P:P,TRUE)</f>
        <v>2</v>
      </c>
      <c r="AK14" s="19">
        <f t="shared" si="9"/>
        <v>4.5967421179358965</v>
      </c>
      <c r="AL14" s="19">
        <f t="shared" si="10"/>
        <v>24.007510330281256</v>
      </c>
      <c r="AM14" s="98">
        <f t="shared" si="11"/>
        <v>44.801758023481952</v>
      </c>
      <c r="AN14" s="19" t="str">
        <f t="shared" si="12"/>
        <v>Good</v>
      </c>
    </row>
    <row r="15" spans="1:40" s="58" customFormat="1">
      <c r="A15" t="str">
        <f t="shared" si="0"/>
        <v>BK1_2007-03-17</v>
      </c>
      <c r="B15" s="73" t="s">
        <v>51</v>
      </c>
      <c r="C15" s="88">
        <v>39158</v>
      </c>
      <c r="D15">
        <f>SUMIF(DATA_WITHOUT_GENUS!A:A,A15,DATA_WITHOUT_GENUS!E:E)</f>
        <v>108</v>
      </c>
      <c r="E15">
        <f>SUMIF(DATA_WITHOUT_GENUS!A:A,A15,DATA_WITHOUT_GENUS!I:I)</f>
        <v>100</v>
      </c>
      <c r="F15" s="97">
        <f>SUMIFS(DATA_WITHOUT_GENUS!M:M,DATA_WITHOUT_GENUS!A:A,A15)/100</f>
        <v>5.07</v>
      </c>
      <c r="G15" s="18">
        <f>COUNTIFS(DATA_WITHOUT_GENUS!A:A,A15,DATA_WITHOUT_GENUS!I:I, "&gt;0")</f>
        <v>14</v>
      </c>
      <c r="H15">
        <f>COUNTIFS(DATA_WITHOUT_GENUS!A:A,A15,DATA_WITHOUT_GENUS!J:J,TRUE)</f>
        <v>4</v>
      </c>
      <c r="I15" s="18">
        <f>SUMIFS(DATA_WITHOUT_GENUS!I:I,DATA_WITHOUT_GENUS!A:A,A15,DATA_WITHOUT_GENUS!J:J,TRUE)</f>
        <v>31</v>
      </c>
      <c r="J15">
        <f>_xlfn.MAXIFS(DATA_WITHOUT_GENUS!I:I,DATA_WITHOUT_GENUS!A:A,A15)</f>
        <v>20</v>
      </c>
      <c r="K15" s="18" t="str" cm="1">
        <f t="array" ref="K15">_xlfn._xlws.FILTER(DATA_WITHOUT_GENUS!D:D,(DATA_WITHOUT_GENUS!A:A=A15)*(DATA_WITHOUT_GENUS!I:I=J15)*ROW(DATA_WITHOUT_GENUS!D:D),0)</f>
        <v>Oligochaeta</v>
      </c>
      <c r="L15" s="30">
        <f t="shared" si="25"/>
        <v>3</v>
      </c>
      <c r="M15">
        <f t="shared" si="26"/>
        <v>6</v>
      </c>
      <c r="N15" s="31">
        <f t="shared" si="27"/>
        <v>3</v>
      </c>
      <c r="O15" s="32">
        <f t="shared" si="28"/>
        <v>3</v>
      </c>
      <c r="P15">
        <f t="shared" si="29"/>
        <v>6</v>
      </c>
      <c r="Q15" s="100">
        <f t="shared" si="30"/>
        <v>21</v>
      </c>
      <c r="R15" s="15" t="str">
        <f t="shared" si="7"/>
        <v>Moderately Impaired</v>
      </c>
      <c r="S15" s="40"/>
      <c r="T15" s="53"/>
      <c r="U15" s="53"/>
      <c r="V15" s="52"/>
      <c r="W15" s="51"/>
      <c r="X15" s="51"/>
      <c r="Y15" s="51"/>
      <c r="Z15" s="51"/>
      <c r="AA15" s="50"/>
      <c r="AB15" s="50"/>
      <c r="AC15" s="52"/>
      <c r="AD15" s="50"/>
      <c r="AE15" s="101"/>
      <c r="AF15" s="51"/>
      <c r="AG15" s="19">
        <f t="shared" si="8"/>
        <v>4</v>
      </c>
      <c r="AH15" s="19">
        <f>ROUND((((COUNTIFS(DATA_WITHOUT_GENUS!A:A,A15,DATA_WITHOUT_GENUS!N:N,FALSE))/G15)*100),1)</f>
        <v>28.6</v>
      </c>
      <c r="AI15" s="89">
        <f>SUMIFS(DATA_WITHOUT_GENUS!I:I,DATA_WITHOUT_GENUS!A:A,A15,DATA_WITHOUT_GENUS!O:O,TRUE)</f>
        <v>22</v>
      </c>
      <c r="AJ15" s="19">
        <f>COUNTIFS(DATA_WITHOUT_GENUS!A:A,A15,DATA_WITHOUT_GENUS!P:P,TRUE)</f>
        <v>3</v>
      </c>
      <c r="AK15" s="19">
        <f t="shared" si="9"/>
        <v>4.3267421179358969</v>
      </c>
      <c r="AL15" s="19">
        <f t="shared" si="10"/>
        <v>36.007510330281256</v>
      </c>
      <c r="AM15" s="98">
        <f t="shared" si="11"/>
        <v>53.924323766196935</v>
      </c>
      <c r="AN15" s="19" t="str">
        <f t="shared" si="12"/>
        <v>Good</v>
      </c>
    </row>
    <row r="16" spans="1:40" s="58" customFormat="1">
      <c r="A16" t="str">
        <f t="shared" si="0"/>
        <v>BK1_2007-07-21</v>
      </c>
      <c r="B16" s="73" t="s">
        <v>51</v>
      </c>
      <c r="C16" s="88">
        <v>39284</v>
      </c>
      <c r="D16">
        <f>SUMIF(DATA_WITHOUT_GENUS!A:A,A16,DATA_WITHOUT_GENUS!E:E)</f>
        <v>110</v>
      </c>
      <c r="E16">
        <f>SUMIF(DATA_WITHOUT_GENUS!A:A,A16,DATA_WITHOUT_GENUS!I:I)</f>
        <v>100</v>
      </c>
      <c r="F16" s="97">
        <f>SUMIFS(DATA_WITHOUT_GENUS!M:M,DATA_WITHOUT_GENUS!A:A,A16)/100</f>
        <v>4.13</v>
      </c>
      <c r="G16" s="18">
        <f>COUNTIFS(DATA_WITHOUT_GENUS!A:A,A16,DATA_WITHOUT_GENUS!I:I, "&gt;0")</f>
        <v>12</v>
      </c>
      <c r="H16">
        <f>COUNTIFS(DATA_WITHOUT_GENUS!A:A,A16,DATA_WITHOUT_GENUS!J:J,TRUE)</f>
        <v>2</v>
      </c>
      <c r="I16" s="18">
        <f>SUMIFS(DATA_WITHOUT_GENUS!I:I,DATA_WITHOUT_GENUS!A:A,A16,DATA_WITHOUT_GENUS!J:J,TRUE)</f>
        <v>20</v>
      </c>
      <c r="J16">
        <f>_xlfn.MAXIFS(DATA_WITHOUT_GENUS!I:I,DATA_WITHOUT_GENUS!A:A,A16)</f>
        <v>50</v>
      </c>
      <c r="K16" s="18" t="str" cm="1">
        <f t="array" ref="K16">_xlfn._xlws.FILTER(DATA_WITHOUT_GENUS!D:D,(DATA_WITHOUT_GENUS!A:A=A16)*(DATA_WITHOUT_GENUS!I:I=J16)*ROW(DATA_WITHOUT_GENUS!D:D),0)</f>
        <v>Psephenidae</v>
      </c>
      <c r="L16" s="30">
        <f t="shared" ref="L16:L33" si="31">IF(F16="","",IF(F16&gt;7,0,IF(F16&lt;5,6,IF(F16&lt;=7,3))))</f>
        <v>6</v>
      </c>
      <c r="M16">
        <f t="shared" ref="M16:M33" si="32">IF(G16="","",IF(G16&gt;10,6,IF(G16&lt;5,0,IF(G16&lt;=10,3))))</f>
        <v>6</v>
      </c>
      <c r="N16" s="31">
        <f t="shared" ref="N16:N33" si="33">IF(H16="","",IF(H16&gt;5,6,IF(H16&lt;3,0,IF(H16&lt;=5,3))))</f>
        <v>0</v>
      </c>
      <c r="O16" s="32">
        <f t="shared" ref="O16:O33" si="34">IF(I16="","",IF(I16&gt;35,6,IF(I16&lt;10,0,IF(I16&lt;=35,3,IF(I16&lt;10,0)))))</f>
        <v>3</v>
      </c>
      <c r="P16">
        <f t="shared" ref="P16:P33" si="35">IF(J16="","",IF(J16&gt;60,0,IF(J16&lt;40,6,IF(J16&lt;=60,3))))</f>
        <v>3</v>
      </c>
      <c r="Q16" s="100">
        <f t="shared" ref="Q16:Q33" si="36">SUM(L16:P16)</f>
        <v>18</v>
      </c>
      <c r="R16" s="15" t="str">
        <f t="shared" si="7"/>
        <v>Moderately Impaired</v>
      </c>
      <c r="S16" s="40"/>
      <c r="T16" s="53"/>
      <c r="U16" s="53"/>
      <c r="V16" s="52"/>
      <c r="W16" s="51"/>
      <c r="X16" s="51"/>
      <c r="Y16" s="51"/>
      <c r="Z16" s="51"/>
      <c r="AA16" s="50"/>
      <c r="AB16" s="50"/>
      <c r="AC16" s="52"/>
      <c r="AD16" s="50"/>
      <c r="AE16" s="101"/>
      <c r="AF16" s="51"/>
      <c r="AG16" s="19">
        <f t="shared" si="8"/>
        <v>2</v>
      </c>
      <c r="AH16" s="19">
        <f>ROUND((((COUNTIFS(DATA_WITHOUT_GENUS!A:A,A16,DATA_WITHOUT_GENUS!N:N,FALSE))/G16)*100),1)</f>
        <v>41.7</v>
      </c>
      <c r="AI16" s="89">
        <f>SUMIFS(DATA_WITHOUT_GENUS!I:I,DATA_WITHOUT_GENUS!A:A,A16,DATA_WITHOUT_GENUS!O:O,TRUE)</f>
        <v>2</v>
      </c>
      <c r="AJ16" s="19">
        <f>COUNTIFS(DATA_WITHOUT_GENUS!A:A,A16,DATA_WITHOUT_GENUS!P:P,TRUE)</f>
        <v>2</v>
      </c>
      <c r="AK16" s="19">
        <f t="shared" si="9"/>
        <v>3.3867421179358956</v>
      </c>
      <c r="AL16" s="19">
        <f t="shared" si="10"/>
        <v>16.007510330281256</v>
      </c>
      <c r="AM16" s="98">
        <f t="shared" si="11"/>
        <v>41.828777687068772</v>
      </c>
      <c r="AN16" s="19" t="str">
        <f t="shared" si="12"/>
        <v>Fair</v>
      </c>
    </row>
    <row r="17" spans="1:40" s="58" customFormat="1">
      <c r="A17" t="str">
        <f t="shared" si="0"/>
        <v>BK1_2007-10-27</v>
      </c>
      <c r="B17" s="73" t="s">
        <v>51</v>
      </c>
      <c r="C17" s="88">
        <v>39382</v>
      </c>
      <c r="D17">
        <f>SUMIF(DATA_WITHOUT_GENUS!A:A,A17,DATA_WITHOUT_GENUS!E:E)</f>
        <v>102</v>
      </c>
      <c r="E17">
        <f>SUMIF(DATA_WITHOUT_GENUS!A:A,A17,DATA_WITHOUT_GENUS!I:I)</f>
        <v>100</v>
      </c>
      <c r="F17" s="97">
        <f>SUMIFS(DATA_WITHOUT_GENUS!M:M,DATA_WITHOUT_GENUS!A:A,A17)/100</f>
        <v>4.1500000000000004</v>
      </c>
      <c r="G17" s="18">
        <f>COUNTIFS(DATA_WITHOUT_GENUS!A:A,A17,DATA_WITHOUT_GENUS!I:I, "&gt;0")</f>
        <v>12</v>
      </c>
      <c r="H17">
        <f>COUNTIFS(DATA_WITHOUT_GENUS!A:A,A17,DATA_WITHOUT_GENUS!J:J,TRUE)</f>
        <v>3</v>
      </c>
      <c r="I17" s="18">
        <f>SUMIFS(DATA_WITHOUT_GENUS!I:I,DATA_WITHOUT_GENUS!A:A,A17,DATA_WITHOUT_GENUS!J:J,TRUE)</f>
        <v>61</v>
      </c>
      <c r="J17">
        <f>_xlfn.MAXIFS(DATA_WITHOUT_GENUS!I:I,DATA_WITHOUT_GENUS!A:A,A17)</f>
        <v>30</v>
      </c>
      <c r="K17" s="18" t="str" cm="1">
        <f t="array" ref="K17">_xlfn._xlws.FILTER(DATA_WITHOUT_GENUS!D:D,(DATA_WITHOUT_GENUS!A:A=A17)*(DATA_WITHOUT_GENUS!I:I=J17)*ROW(DATA_WITHOUT_GENUS!D:D),0)</f>
        <v>Philopotamidae</v>
      </c>
      <c r="L17" s="30">
        <f t="shared" si="31"/>
        <v>6</v>
      </c>
      <c r="M17">
        <f t="shared" si="32"/>
        <v>6</v>
      </c>
      <c r="N17" s="31">
        <f t="shared" si="33"/>
        <v>3</v>
      </c>
      <c r="O17" s="32">
        <f t="shared" si="34"/>
        <v>6</v>
      </c>
      <c r="P17">
        <f t="shared" si="35"/>
        <v>6</v>
      </c>
      <c r="Q17" s="100">
        <f t="shared" si="36"/>
        <v>27</v>
      </c>
      <c r="R17" s="15" t="str">
        <f t="shared" si="7"/>
        <v>Non-Impaired</v>
      </c>
      <c r="S17" s="40"/>
      <c r="T17" s="53"/>
      <c r="U17" s="53"/>
      <c r="V17" s="52"/>
      <c r="W17" s="51"/>
      <c r="X17" s="51"/>
      <c r="Y17" s="51"/>
      <c r="Z17" s="51"/>
      <c r="AA17" s="50"/>
      <c r="AB17" s="50"/>
      <c r="AC17" s="52"/>
      <c r="AD17" s="50"/>
      <c r="AE17" s="101"/>
      <c r="AF17" s="51"/>
      <c r="AG17" s="19">
        <f t="shared" si="8"/>
        <v>3</v>
      </c>
      <c r="AH17" s="19">
        <f>ROUND((((COUNTIFS(DATA_WITHOUT_GENUS!A:A,A17,DATA_WITHOUT_GENUS!N:N,FALSE))/G17)*100),1)</f>
        <v>33.299999999999997</v>
      </c>
      <c r="AI17" s="89">
        <f>SUMIFS(DATA_WITHOUT_GENUS!I:I,DATA_WITHOUT_GENUS!A:A,A17,DATA_WITHOUT_GENUS!O:O,TRUE)</f>
        <v>33</v>
      </c>
      <c r="AJ17" s="19">
        <f>COUNTIFS(DATA_WITHOUT_GENUS!A:A,A17,DATA_WITHOUT_GENUS!P:P,TRUE)</f>
        <v>2</v>
      </c>
      <c r="AK17" s="19">
        <f t="shared" si="9"/>
        <v>3.4067421179358952</v>
      </c>
      <c r="AL17" s="19">
        <f t="shared" si="10"/>
        <v>47.007510330281264</v>
      </c>
      <c r="AM17" s="98">
        <f t="shared" si="11"/>
        <v>55.31584236368569</v>
      </c>
      <c r="AN17" s="19" t="str">
        <f t="shared" si="12"/>
        <v>Good</v>
      </c>
    </row>
    <row r="18" spans="1:40" s="58" customFormat="1">
      <c r="A18" t="str">
        <f t="shared" si="0"/>
        <v>BK1_2008-03-29</v>
      </c>
      <c r="B18" s="73" t="s">
        <v>51</v>
      </c>
      <c r="C18" s="88">
        <v>39536</v>
      </c>
      <c r="D18">
        <f>SUMIF(DATA_WITHOUT_GENUS!A:A,A18,DATA_WITHOUT_GENUS!E:E)</f>
        <v>101</v>
      </c>
      <c r="E18">
        <f>SUMIF(DATA_WITHOUT_GENUS!A:A,A18,DATA_WITHOUT_GENUS!I:I)</f>
        <v>100</v>
      </c>
      <c r="F18" s="97">
        <f>SUMIFS(DATA_WITHOUT_GENUS!M:M,DATA_WITHOUT_GENUS!A:A,A18)/100</f>
        <v>4.66</v>
      </c>
      <c r="G18" s="18">
        <f>COUNTIFS(DATA_WITHOUT_GENUS!A:A,A18,DATA_WITHOUT_GENUS!I:I, "&gt;0")</f>
        <v>12</v>
      </c>
      <c r="H18">
        <f>COUNTIFS(DATA_WITHOUT_GENUS!A:A,A18,DATA_WITHOUT_GENUS!J:J,TRUE)</f>
        <v>4</v>
      </c>
      <c r="I18" s="18">
        <f>SUMIFS(DATA_WITHOUT_GENUS!I:I,DATA_WITHOUT_GENUS!A:A,A18,DATA_WITHOUT_GENUS!J:J,TRUE)</f>
        <v>20</v>
      </c>
      <c r="J18">
        <f>_xlfn.MAXIFS(DATA_WITHOUT_GENUS!I:I,DATA_WITHOUT_GENUS!A:A,A18)</f>
        <v>41</v>
      </c>
      <c r="K18" s="18" t="str" cm="1">
        <f t="array" ref="K18">_xlfn._xlws.FILTER(DATA_WITHOUT_GENUS!D:D,(DATA_WITHOUT_GENUS!A:A=A18)*(DATA_WITHOUT_GENUS!I:I=J18)*ROW(DATA_WITHOUT_GENUS!D:D),0)</f>
        <v>Psephenidae</v>
      </c>
      <c r="L18" s="30">
        <f t="shared" si="31"/>
        <v>6</v>
      </c>
      <c r="M18">
        <f t="shared" si="32"/>
        <v>6</v>
      </c>
      <c r="N18" s="31">
        <f t="shared" si="33"/>
        <v>3</v>
      </c>
      <c r="O18" s="32">
        <f t="shared" si="34"/>
        <v>3</v>
      </c>
      <c r="P18">
        <f t="shared" si="35"/>
        <v>3</v>
      </c>
      <c r="Q18" s="100">
        <f t="shared" si="36"/>
        <v>21</v>
      </c>
      <c r="R18" s="15" t="str">
        <f t="shared" si="7"/>
        <v>Moderately Impaired</v>
      </c>
      <c r="S18" s="40"/>
      <c r="T18" s="53"/>
      <c r="U18" s="53"/>
      <c r="V18" s="52"/>
      <c r="W18" s="51"/>
      <c r="X18" s="51"/>
      <c r="Y18" s="51"/>
      <c r="Z18" s="51"/>
      <c r="AA18" s="50"/>
      <c r="AB18" s="50"/>
      <c r="AC18" s="52"/>
      <c r="AD18" s="50"/>
      <c r="AE18" s="101"/>
      <c r="AF18" s="51"/>
      <c r="AG18" s="19">
        <f t="shared" si="8"/>
        <v>4</v>
      </c>
      <c r="AH18" s="19">
        <f>ROUND((((COUNTIFS(DATA_WITHOUT_GENUS!A:A,A18,DATA_WITHOUT_GENUS!N:N,FALSE))/G18)*100),1)</f>
        <v>16.7</v>
      </c>
      <c r="AI18" s="89">
        <f>SUMIFS(DATA_WITHOUT_GENUS!I:I,DATA_WITHOUT_GENUS!A:A,A18,DATA_WITHOUT_GENUS!O:O,TRUE)</f>
        <v>12</v>
      </c>
      <c r="AJ18" s="19">
        <f>COUNTIFS(DATA_WITHOUT_GENUS!A:A,A18,DATA_WITHOUT_GENUS!P:P,TRUE)</f>
        <v>2</v>
      </c>
      <c r="AK18" s="19">
        <f t="shared" si="9"/>
        <v>3.9167421179358968</v>
      </c>
      <c r="AL18" s="19">
        <f t="shared" si="10"/>
        <v>26.007510330281256</v>
      </c>
      <c r="AM18" s="98">
        <f t="shared" si="11"/>
        <v>53.433693583775721</v>
      </c>
      <c r="AN18" s="19" t="str">
        <f t="shared" si="12"/>
        <v>Good</v>
      </c>
    </row>
    <row r="19" spans="1:40" s="58" customFormat="1">
      <c r="A19" t="str">
        <f t="shared" si="0"/>
        <v>BK1_2008-07-19</v>
      </c>
      <c r="B19" s="73" t="s">
        <v>51</v>
      </c>
      <c r="C19" s="88">
        <v>39648</v>
      </c>
      <c r="D19">
        <f>SUMIF(DATA_WITHOUT_GENUS!A:A,A19,DATA_WITHOUT_GENUS!E:E)</f>
        <v>104</v>
      </c>
      <c r="E19">
        <f>SUMIF(DATA_WITHOUT_GENUS!A:A,A19,DATA_WITHOUT_GENUS!I:I)</f>
        <v>100</v>
      </c>
      <c r="F19" s="97">
        <f>SUMIFS(DATA_WITHOUT_GENUS!M:M,DATA_WITHOUT_GENUS!A:A,A19)/100</f>
        <v>4.49</v>
      </c>
      <c r="G19" s="18">
        <f>COUNTIFS(DATA_WITHOUT_GENUS!A:A,A19,DATA_WITHOUT_GENUS!I:I, "&gt;0")</f>
        <v>14</v>
      </c>
      <c r="H19">
        <f>COUNTIFS(DATA_WITHOUT_GENUS!A:A,A19,DATA_WITHOUT_GENUS!J:J,TRUE)</f>
        <v>3</v>
      </c>
      <c r="I19" s="18">
        <f>SUMIFS(DATA_WITHOUT_GENUS!I:I,DATA_WITHOUT_GENUS!A:A,A19,DATA_WITHOUT_GENUS!J:J,TRUE)</f>
        <v>23</v>
      </c>
      <c r="J19">
        <f>_xlfn.MAXIFS(DATA_WITHOUT_GENUS!I:I,DATA_WITHOUT_GENUS!A:A,A19)</f>
        <v>31</v>
      </c>
      <c r="K19" s="18" t="str" cm="1">
        <f t="array" ref="K19">_xlfn._xlws.FILTER(DATA_WITHOUT_GENUS!D:D,(DATA_WITHOUT_GENUS!A:A=A19)*(DATA_WITHOUT_GENUS!I:I=J19)*ROW(DATA_WITHOUT_GENUS!D:D),0)</f>
        <v>Elmidae</v>
      </c>
      <c r="L19" s="30">
        <f t="shared" si="31"/>
        <v>6</v>
      </c>
      <c r="M19">
        <f t="shared" si="32"/>
        <v>6</v>
      </c>
      <c r="N19" s="31">
        <f t="shared" si="33"/>
        <v>3</v>
      </c>
      <c r="O19" s="32">
        <f t="shared" si="34"/>
        <v>3</v>
      </c>
      <c r="P19">
        <f t="shared" si="35"/>
        <v>6</v>
      </c>
      <c r="Q19" s="100">
        <f t="shared" si="36"/>
        <v>24</v>
      </c>
      <c r="R19" s="15" t="str">
        <f t="shared" si="7"/>
        <v>Non-Impaired</v>
      </c>
      <c r="S19" s="40"/>
      <c r="T19" s="53"/>
      <c r="U19" s="53"/>
      <c r="V19" s="52"/>
      <c r="W19" s="51"/>
      <c r="X19" s="51"/>
      <c r="Y19" s="51"/>
      <c r="Z19" s="51"/>
      <c r="AA19" s="50"/>
      <c r="AB19" s="50"/>
      <c r="AC19" s="52"/>
      <c r="AD19" s="50"/>
      <c r="AE19" s="101"/>
      <c r="AF19" s="51"/>
      <c r="AG19" s="19">
        <f t="shared" si="8"/>
        <v>3</v>
      </c>
      <c r="AH19" s="19">
        <f>ROUND((((COUNTIFS(DATA_WITHOUT_GENUS!A:A,A19,DATA_WITHOUT_GENUS!N:N,FALSE))/G19)*100),1)</f>
        <v>21.4</v>
      </c>
      <c r="AI19" s="89">
        <f>SUMIFS(DATA_WITHOUT_GENUS!I:I,DATA_WITHOUT_GENUS!A:A,A19,DATA_WITHOUT_GENUS!O:O,TRUE)</f>
        <v>6</v>
      </c>
      <c r="AJ19" s="19">
        <f>COUNTIFS(DATA_WITHOUT_GENUS!A:A,A19,DATA_WITHOUT_GENUS!P:P,TRUE)</f>
        <v>2</v>
      </c>
      <c r="AK19" s="19">
        <f t="shared" si="9"/>
        <v>3.7467421179358951</v>
      </c>
      <c r="AL19" s="19">
        <f t="shared" si="10"/>
        <v>20.007510330281256</v>
      </c>
      <c r="AM19" s="98">
        <f t="shared" si="11"/>
        <v>49.333918648926158</v>
      </c>
      <c r="AN19" s="19" t="str">
        <f t="shared" si="12"/>
        <v>Good</v>
      </c>
    </row>
    <row r="20" spans="1:40" s="58" customFormat="1">
      <c r="A20" t="str">
        <f t="shared" si="0"/>
        <v>BK1_2008-10-18</v>
      </c>
      <c r="B20" s="73" t="s">
        <v>51</v>
      </c>
      <c r="C20" s="88">
        <v>39739</v>
      </c>
      <c r="D20">
        <f>SUMIF(DATA_WITHOUT_GENUS!A:A,A20,DATA_WITHOUT_GENUS!E:E)</f>
        <v>122</v>
      </c>
      <c r="E20">
        <f>SUMIF(DATA_WITHOUT_GENUS!A:A,A20,DATA_WITHOUT_GENUS!I:I)</f>
        <v>100</v>
      </c>
      <c r="F20" s="97">
        <f>SUMIFS(DATA_WITHOUT_GENUS!M:M,DATA_WITHOUT_GENUS!A:A,A20)/100</f>
        <v>4.04</v>
      </c>
      <c r="G20" s="18">
        <f>COUNTIFS(DATA_WITHOUT_GENUS!A:A,A20,DATA_WITHOUT_GENUS!I:I, "&gt;0")</f>
        <v>13</v>
      </c>
      <c r="H20">
        <f>COUNTIFS(DATA_WITHOUT_GENUS!A:A,A20,DATA_WITHOUT_GENUS!J:J,TRUE)</f>
        <v>3</v>
      </c>
      <c r="I20" s="18">
        <f>SUMIFS(DATA_WITHOUT_GENUS!I:I,DATA_WITHOUT_GENUS!A:A,A20,DATA_WITHOUT_GENUS!J:J,TRUE)</f>
        <v>35</v>
      </c>
      <c r="J20">
        <f>_xlfn.MAXIFS(DATA_WITHOUT_GENUS!I:I,DATA_WITHOUT_GENUS!A:A,A20)</f>
        <v>41</v>
      </c>
      <c r="K20" s="18" t="str" cm="1">
        <f t="array" ref="K20">_xlfn._xlws.FILTER(DATA_WITHOUT_GENUS!D:D,(DATA_WITHOUT_GENUS!A:A=A20)*(DATA_WITHOUT_GENUS!I:I=J20)*ROW(DATA_WITHOUT_GENUS!D:D),0)</f>
        <v>Psephenidae</v>
      </c>
      <c r="L20" s="30">
        <f t="shared" si="31"/>
        <v>6</v>
      </c>
      <c r="M20">
        <f t="shared" si="32"/>
        <v>6</v>
      </c>
      <c r="N20" s="31">
        <f t="shared" si="33"/>
        <v>3</v>
      </c>
      <c r="O20" s="32">
        <f t="shared" si="34"/>
        <v>3</v>
      </c>
      <c r="P20">
        <f t="shared" si="35"/>
        <v>3</v>
      </c>
      <c r="Q20" s="100">
        <f t="shared" si="36"/>
        <v>21</v>
      </c>
      <c r="R20" s="15" t="str">
        <f t="shared" si="7"/>
        <v>Moderately Impaired</v>
      </c>
      <c r="S20" s="40"/>
      <c r="T20" s="53"/>
      <c r="U20" s="53"/>
      <c r="V20" s="52"/>
      <c r="W20" s="51"/>
      <c r="X20" s="51"/>
      <c r="Y20" s="51"/>
      <c r="Z20" s="51"/>
      <c r="AA20" s="50"/>
      <c r="AB20" s="50"/>
      <c r="AC20" s="52"/>
      <c r="AD20" s="50"/>
      <c r="AE20" s="101"/>
      <c r="AF20" s="51"/>
      <c r="AG20" s="19">
        <f t="shared" si="8"/>
        <v>3</v>
      </c>
      <c r="AH20" s="19">
        <f>ROUND((((COUNTIFS(DATA_WITHOUT_GENUS!A:A,A20,DATA_WITHOUT_GENUS!N:N,FALSE))/G20)*100),1)</f>
        <v>23.1</v>
      </c>
      <c r="AI20" s="89">
        <f>SUMIFS(DATA_WITHOUT_GENUS!I:I,DATA_WITHOUT_GENUS!A:A,A20,DATA_WITHOUT_GENUS!O:O,TRUE)</f>
        <v>15</v>
      </c>
      <c r="AJ20" s="19">
        <f>COUNTIFS(DATA_WITHOUT_GENUS!A:A,A20,DATA_WITHOUT_GENUS!P:P,TRUE)</f>
        <v>2</v>
      </c>
      <c r="AK20" s="19">
        <f t="shared" si="9"/>
        <v>3.2967421179358958</v>
      </c>
      <c r="AL20" s="19">
        <f t="shared" si="10"/>
        <v>29.007510330281256</v>
      </c>
      <c r="AM20" s="98">
        <f t="shared" si="11"/>
        <v>53.730803273422723</v>
      </c>
      <c r="AN20" s="19" t="str">
        <f t="shared" si="12"/>
        <v>Good</v>
      </c>
    </row>
    <row r="21" spans="1:40" s="58" customFormat="1">
      <c r="A21" t="str">
        <f t="shared" si="0"/>
        <v>BK1_2009-03-28</v>
      </c>
      <c r="B21" s="73" t="s">
        <v>51</v>
      </c>
      <c r="C21" s="88">
        <v>39900</v>
      </c>
      <c r="D21">
        <f>SUMIF(DATA_WITHOUT_GENUS!A:A,A21,DATA_WITHOUT_GENUS!E:E)</f>
        <v>134</v>
      </c>
      <c r="E21">
        <f>SUMIF(DATA_WITHOUT_GENUS!A:A,A21,DATA_WITHOUT_GENUS!I:I)</f>
        <v>100</v>
      </c>
      <c r="F21" s="97">
        <f>SUMIFS(DATA_WITHOUT_GENUS!M:M,DATA_WITHOUT_GENUS!A:A,A21)/100</f>
        <v>5.43</v>
      </c>
      <c r="G21" s="18">
        <f>COUNTIFS(DATA_WITHOUT_GENUS!A:A,A21,DATA_WITHOUT_GENUS!I:I, "&gt;0")</f>
        <v>9</v>
      </c>
      <c r="H21">
        <f>COUNTIFS(DATA_WITHOUT_GENUS!A:A,A21,DATA_WITHOUT_GENUS!J:J,TRUE)</f>
        <v>4</v>
      </c>
      <c r="I21" s="18">
        <f>SUMIFS(DATA_WITHOUT_GENUS!I:I,DATA_WITHOUT_GENUS!A:A,A21,DATA_WITHOUT_GENUS!J:J,TRUE)</f>
        <v>20</v>
      </c>
      <c r="J21">
        <f>_xlfn.MAXIFS(DATA_WITHOUT_GENUS!I:I,DATA_WITHOUT_GENUS!A:A,A21)</f>
        <v>39</v>
      </c>
      <c r="K21" s="18" t="str" cm="1">
        <f t="array" ref="K21">_xlfn._xlws.FILTER(DATA_WITHOUT_GENUS!D:D,(DATA_WITHOUT_GENUS!A:A=A21)*(DATA_WITHOUT_GENUS!I:I=J21)*ROW(DATA_WITHOUT_GENUS!D:D),0)</f>
        <v>Simuliidae</v>
      </c>
      <c r="L21" s="30">
        <f t="shared" si="31"/>
        <v>3</v>
      </c>
      <c r="M21">
        <f t="shared" si="32"/>
        <v>3</v>
      </c>
      <c r="N21" s="31">
        <f t="shared" si="33"/>
        <v>3</v>
      </c>
      <c r="O21" s="32">
        <f t="shared" si="34"/>
        <v>3</v>
      </c>
      <c r="P21">
        <f t="shared" si="35"/>
        <v>6</v>
      </c>
      <c r="Q21" s="100">
        <f t="shared" si="36"/>
        <v>18</v>
      </c>
      <c r="R21" s="15" t="str">
        <f t="shared" si="7"/>
        <v>Moderately Impaired</v>
      </c>
      <c r="S21" s="40"/>
      <c r="T21" s="53"/>
      <c r="U21" s="53"/>
      <c r="V21" s="52"/>
      <c r="W21" s="51"/>
      <c r="X21" s="51"/>
      <c r="Y21" s="51"/>
      <c r="Z21" s="51"/>
      <c r="AA21" s="50"/>
      <c r="AB21" s="50"/>
      <c r="AC21" s="52"/>
      <c r="AD21" s="50"/>
      <c r="AE21" s="101"/>
      <c r="AF21" s="51"/>
      <c r="AG21" s="19">
        <f t="shared" si="8"/>
        <v>4</v>
      </c>
      <c r="AH21" s="19">
        <f>ROUND((((COUNTIFS(DATA_WITHOUT_GENUS!A:A,A21,DATA_WITHOUT_GENUS!N:N,FALSE))/G21)*100),1)</f>
        <v>11.1</v>
      </c>
      <c r="AI21" s="89">
        <f>SUMIFS(DATA_WITHOUT_GENUS!I:I,DATA_WITHOUT_GENUS!A:A,A21,DATA_WITHOUT_GENUS!O:O,TRUE)</f>
        <v>13</v>
      </c>
      <c r="AJ21" s="19">
        <f>COUNTIFS(DATA_WITHOUT_GENUS!A:A,A21,DATA_WITHOUT_GENUS!P:P,TRUE)</f>
        <v>2</v>
      </c>
      <c r="AK21" s="19">
        <f t="shared" si="9"/>
        <v>4.6867421179358963</v>
      </c>
      <c r="AL21" s="19">
        <f t="shared" si="10"/>
        <v>27.007510330281256</v>
      </c>
      <c r="AM21" s="98">
        <f t="shared" si="11"/>
        <v>51.659978824240056</v>
      </c>
      <c r="AN21" s="19" t="str">
        <f t="shared" si="12"/>
        <v>Good</v>
      </c>
    </row>
    <row r="22" spans="1:40" s="58" customFormat="1">
      <c r="A22" t="str">
        <f t="shared" si="0"/>
        <v>BK1_2009-07-18</v>
      </c>
      <c r="B22" s="73" t="s">
        <v>51</v>
      </c>
      <c r="C22" s="88">
        <v>40012</v>
      </c>
      <c r="D22">
        <f>SUMIF(DATA_WITHOUT_GENUS!A:A,A22,DATA_WITHOUT_GENUS!E:E)</f>
        <v>120</v>
      </c>
      <c r="E22">
        <f>SUMIF(DATA_WITHOUT_GENUS!A:A,A22,DATA_WITHOUT_GENUS!I:I)</f>
        <v>100</v>
      </c>
      <c r="F22" s="97">
        <f>SUMIFS(DATA_WITHOUT_GENUS!M:M,DATA_WITHOUT_GENUS!A:A,A22)/100</f>
        <v>4.1399999999999997</v>
      </c>
      <c r="G22" s="18">
        <f>COUNTIFS(DATA_WITHOUT_GENUS!A:A,A22,DATA_WITHOUT_GENUS!I:I, "&gt;0")</f>
        <v>13</v>
      </c>
      <c r="H22">
        <f>COUNTIFS(DATA_WITHOUT_GENUS!A:A,A22,DATA_WITHOUT_GENUS!J:J,TRUE)</f>
        <v>4</v>
      </c>
      <c r="I22" s="18">
        <f>SUMIFS(DATA_WITHOUT_GENUS!I:I,DATA_WITHOUT_GENUS!A:A,A22,DATA_WITHOUT_GENUS!J:J,TRUE)</f>
        <v>36</v>
      </c>
      <c r="J22">
        <f>_xlfn.MAXIFS(DATA_WITHOUT_GENUS!I:I,DATA_WITHOUT_GENUS!A:A,A22)</f>
        <v>27</v>
      </c>
      <c r="K22" s="18" t="str" cm="1">
        <f t="array" ref="K22">_xlfn._xlws.FILTER(DATA_WITHOUT_GENUS!D:D,(DATA_WITHOUT_GENUS!A:A=A22)*(DATA_WITHOUT_GENUS!I:I=J22)*ROW(DATA_WITHOUT_GENUS!D:D),0)</f>
        <v>Elmidae</v>
      </c>
      <c r="L22" s="30">
        <f t="shared" si="31"/>
        <v>6</v>
      </c>
      <c r="M22">
        <f t="shared" si="32"/>
        <v>6</v>
      </c>
      <c r="N22" s="31">
        <f t="shared" si="33"/>
        <v>3</v>
      </c>
      <c r="O22" s="32">
        <f t="shared" si="34"/>
        <v>6</v>
      </c>
      <c r="P22">
        <f t="shared" si="35"/>
        <v>6</v>
      </c>
      <c r="Q22" s="100">
        <f t="shared" si="36"/>
        <v>27</v>
      </c>
      <c r="R22" s="15" t="str">
        <f t="shared" si="7"/>
        <v>Non-Impaired</v>
      </c>
      <c r="S22" s="40"/>
      <c r="T22" s="53"/>
      <c r="U22" s="53"/>
      <c r="V22" s="52"/>
      <c r="W22" s="51"/>
      <c r="X22" s="51"/>
      <c r="Y22" s="51"/>
      <c r="Z22" s="51"/>
      <c r="AA22" s="50"/>
      <c r="AB22" s="50"/>
      <c r="AC22" s="52"/>
      <c r="AD22" s="50"/>
      <c r="AE22" s="101"/>
      <c r="AF22" s="51"/>
      <c r="AG22" s="19">
        <f t="shared" si="8"/>
        <v>4</v>
      </c>
      <c r="AH22" s="19">
        <f>ROUND((((COUNTIFS(DATA_WITHOUT_GENUS!A:A,A22,DATA_WITHOUT_GENUS!N:N,FALSE))/G22)*100),1)</f>
        <v>23.1</v>
      </c>
      <c r="AI22" s="89">
        <f>SUMIFS(DATA_WITHOUT_GENUS!I:I,DATA_WITHOUT_GENUS!A:A,A22,DATA_WITHOUT_GENUS!O:O,TRUE)</f>
        <v>14</v>
      </c>
      <c r="AJ22" s="19">
        <f>COUNTIFS(DATA_WITHOUT_GENUS!A:A,A22,DATA_WITHOUT_GENUS!P:P,TRUE)</f>
        <v>3</v>
      </c>
      <c r="AK22" s="19">
        <f t="shared" si="9"/>
        <v>3.3967421179358954</v>
      </c>
      <c r="AL22" s="19">
        <f t="shared" si="10"/>
        <v>28.007510330281256</v>
      </c>
      <c r="AM22" s="98">
        <f t="shared" si="11"/>
        <v>57.93229581073615</v>
      </c>
      <c r="AN22" s="19" t="str">
        <f t="shared" si="12"/>
        <v>Good</v>
      </c>
    </row>
    <row r="23" spans="1:40" s="58" customFormat="1">
      <c r="A23" t="str">
        <f t="shared" si="0"/>
        <v>BK1_2009-10-17</v>
      </c>
      <c r="B23" s="73" t="s">
        <v>51</v>
      </c>
      <c r="C23" s="88">
        <v>40103</v>
      </c>
      <c r="D23">
        <f>SUMIF(DATA_WITHOUT_GENUS!A:A,A23,DATA_WITHOUT_GENUS!E:E)</f>
        <v>107</v>
      </c>
      <c r="E23">
        <f>SUMIF(DATA_WITHOUT_GENUS!A:A,A23,DATA_WITHOUT_GENUS!I:I)</f>
        <v>100</v>
      </c>
      <c r="F23" s="97">
        <f>SUMIFS(DATA_WITHOUT_GENUS!M:M,DATA_WITHOUT_GENUS!A:A,A23)/100</f>
        <v>5.51</v>
      </c>
      <c r="G23" s="18">
        <f>COUNTIFS(DATA_WITHOUT_GENUS!A:A,A23,DATA_WITHOUT_GENUS!I:I, "&gt;0")</f>
        <v>11</v>
      </c>
      <c r="H23">
        <f>COUNTIFS(DATA_WITHOUT_GENUS!A:A,A23,DATA_WITHOUT_GENUS!J:J,TRUE)</f>
        <v>4</v>
      </c>
      <c r="I23" s="18">
        <f>SUMIFS(DATA_WITHOUT_GENUS!I:I,DATA_WITHOUT_GENUS!A:A,A23,DATA_WITHOUT_GENUS!J:J,TRUE)</f>
        <v>17</v>
      </c>
      <c r="J23">
        <f>_xlfn.MAXIFS(DATA_WITHOUT_GENUS!I:I,DATA_WITHOUT_GENUS!A:A,A23)</f>
        <v>35</v>
      </c>
      <c r="K23" s="18" t="str" cm="1">
        <f t="array" ref="K23">_xlfn._xlws.FILTER(DATA_WITHOUT_GENUS!D:D,(DATA_WITHOUT_GENUS!A:A=A23)*(DATA_WITHOUT_GENUS!I:I=J23)*ROW(DATA_WITHOUT_GENUS!D:D),0)</f>
        <v>Chironomidae</v>
      </c>
      <c r="L23" s="30">
        <f t="shared" si="31"/>
        <v>3</v>
      </c>
      <c r="M23">
        <f t="shared" si="32"/>
        <v>6</v>
      </c>
      <c r="N23" s="31">
        <f t="shared" si="33"/>
        <v>3</v>
      </c>
      <c r="O23" s="32">
        <f t="shared" si="34"/>
        <v>3</v>
      </c>
      <c r="P23">
        <f t="shared" si="35"/>
        <v>6</v>
      </c>
      <c r="Q23" s="100">
        <f t="shared" si="36"/>
        <v>21</v>
      </c>
      <c r="R23" s="15" t="str">
        <f t="shared" si="7"/>
        <v>Moderately Impaired</v>
      </c>
      <c r="S23" s="40"/>
      <c r="T23" s="53"/>
      <c r="U23" s="53"/>
      <c r="V23" s="52"/>
      <c r="W23" s="51"/>
      <c r="X23" s="51"/>
      <c r="Y23" s="51"/>
      <c r="Z23" s="51"/>
      <c r="AA23" s="50"/>
      <c r="AB23" s="50"/>
      <c r="AC23" s="52"/>
      <c r="AD23" s="50"/>
      <c r="AE23" s="101"/>
      <c r="AF23" s="51"/>
      <c r="AG23" s="19">
        <f t="shared" si="8"/>
        <v>4</v>
      </c>
      <c r="AH23" s="19">
        <f>ROUND((((COUNTIFS(DATA_WITHOUT_GENUS!A:A,A23,DATA_WITHOUT_GENUS!N:N,FALSE))/G23)*100),1)</f>
        <v>18.2</v>
      </c>
      <c r="AI23" s="89">
        <f>SUMIFS(DATA_WITHOUT_GENUS!I:I,DATA_WITHOUT_GENUS!A:A,A23,DATA_WITHOUT_GENUS!O:O,TRUE)</f>
        <v>11</v>
      </c>
      <c r="AJ23" s="19">
        <f>COUNTIFS(DATA_WITHOUT_GENUS!A:A,A23,DATA_WITHOUT_GENUS!P:P,TRUE)</f>
        <v>3</v>
      </c>
      <c r="AK23" s="19">
        <f t="shared" si="9"/>
        <v>4.7667421179358946</v>
      </c>
      <c r="AL23" s="19">
        <f t="shared" si="10"/>
        <v>25.007510330281256</v>
      </c>
      <c r="AM23" s="98">
        <f t="shared" si="11"/>
        <v>51.74232897823201</v>
      </c>
      <c r="AN23" s="19" t="str">
        <f t="shared" si="12"/>
        <v>Good</v>
      </c>
    </row>
    <row r="24" spans="1:40" s="58" customFormat="1">
      <c r="A24" t="str">
        <f t="shared" si="0"/>
        <v>BK1_2010-03-20</v>
      </c>
      <c r="B24" s="73" t="s">
        <v>51</v>
      </c>
      <c r="C24" s="88">
        <v>40257</v>
      </c>
      <c r="D24">
        <f>SUMIF(DATA_WITHOUT_GENUS!A:A,A24,DATA_WITHOUT_GENUS!E:E)</f>
        <v>103</v>
      </c>
      <c r="E24">
        <f>SUMIF(DATA_WITHOUT_GENUS!A:A,A24,DATA_WITHOUT_GENUS!I:I)</f>
        <v>100</v>
      </c>
      <c r="F24" s="97">
        <f>SUMIFS(DATA_WITHOUT_GENUS!M:M,DATA_WITHOUT_GENUS!A:A,A24)/100</f>
        <v>4.67</v>
      </c>
      <c r="G24" s="18">
        <f>COUNTIFS(DATA_WITHOUT_GENUS!A:A,A24,DATA_WITHOUT_GENUS!I:I, "&gt;0")</f>
        <v>16</v>
      </c>
      <c r="H24">
        <f>COUNTIFS(DATA_WITHOUT_GENUS!A:A,A24,DATA_WITHOUT_GENUS!J:J,TRUE)</f>
        <v>5</v>
      </c>
      <c r="I24" s="18">
        <f>SUMIFS(DATA_WITHOUT_GENUS!I:I,DATA_WITHOUT_GENUS!A:A,A24,DATA_WITHOUT_GENUS!J:J,TRUE)</f>
        <v>42</v>
      </c>
      <c r="J24">
        <f>_xlfn.MAXIFS(DATA_WITHOUT_GENUS!I:I,DATA_WITHOUT_GENUS!A:A,A24)</f>
        <v>17</v>
      </c>
      <c r="K24" s="18" t="str" cm="1">
        <f t="array" ref="K24">_xlfn._xlws.FILTER(DATA_WITHOUT_GENUS!D:D,(DATA_WITHOUT_GENUS!A:A=A24)*(DATA_WITHOUT_GENUS!I:I=J24)*ROW(DATA_WITHOUT_GENUS!D:D),0)</f>
        <v>Philopotamidae</v>
      </c>
      <c r="L24" s="30">
        <f t="shared" si="31"/>
        <v>6</v>
      </c>
      <c r="M24">
        <f t="shared" si="32"/>
        <v>6</v>
      </c>
      <c r="N24" s="31">
        <f t="shared" si="33"/>
        <v>3</v>
      </c>
      <c r="O24" s="32">
        <f t="shared" si="34"/>
        <v>6</v>
      </c>
      <c r="P24">
        <f t="shared" si="35"/>
        <v>6</v>
      </c>
      <c r="Q24" s="100">
        <f t="shared" si="36"/>
        <v>27</v>
      </c>
      <c r="R24" s="15" t="str">
        <f t="shared" si="7"/>
        <v>Non-Impaired</v>
      </c>
      <c r="S24" s="40"/>
      <c r="T24" s="53"/>
      <c r="U24" s="53"/>
      <c r="V24" s="52"/>
      <c r="W24" s="51"/>
      <c r="X24" s="51"/>
      <c r="Y24" s="51"/>
      <c r="Z24" s="51"/>
      <c r="AA24" s="50"/>
      <c r="AB24" s="50"/>
      <c r="AC24" s="52"/>
      <c r="AD24" s="50"/>
      <c r="AE24" s="101"/>
      <c r="AF24" s="51"/>
      <c r="AG24" s="19">
        <f t="shared" si="8"/>
        <v>5</v>
      </c>
      <c r="AH24" s="19">
        <f>ROUND((((COUNTIFS(DATA_WITHOUT_GENUS!A:A,A24,DATA_WITHOUT_GENUS!N:N,FALSE))/G24)*100),1)</f>
        <v>31.3</v>
      </c>
      <c r="AI24" s="89">
        <f>SUMIFS(DATA_WITHOUT_GENUS!I:I,DATA_WITHOUT_GENUS!A:A,A24,DATA_WITHOUT_GENUS!O:O,TRUE)</f>
        <v>31</v>
      </c>
      <c r="AJ24" s="19">
        <f>COUNTIFS(DATA_WITHOUT_GENUS!A:A,A24,DATA_WITHOUT_GENUS!P:P,TRUE)</f>
        <v>2</v>
      </c>
      <c r="AK24" s="19">
        <f t="shared" si="9"/>
        <v>3.9267421179358948</v>
      </c>
      <c r="AL24" s="19">
        <f t="shared" si="10"/>
        <v>45.007510330281264</v>
      </c>
      <c r="AM24" s="98">
        <f t="shared" si="11"/>
        <v>56.08708140656654</v>
      </c>
      <c r="AN24" s="19" t="str">
        <f t="shared" si="12"/>
        <v>Good</v>
      </c>
    </row>
    <row r="25" spans="1:40" s="58" customFormat="1">
      <c r="A25" t="str">
        <f t="shared" si="0"/>
        <v>BK1_2010-07-24</v>
      </c>
      <c r="B25" s="73" t="s">
        <v>51</v>
      </c>
      <c r="C25" s="88">
        <v>40383</v>
      </c>
      <c r="D25">
        <f>SUMIF(DATA_WITHOUT_GENUS!A:A,A25,DATA_WITHOUT_GENUS!E:E)</f>
        <v>100</v>
      </c>
      <c r="E25">
        <f>SUMIF(DATA_WITHOUT_GENUS!A:A,A25,DATA_WITHOUT_GENUS!I:I)</f>
        <v>100</v>
      </c>
      <c r="F25" s="97">
        <f>SUMIFS(DATA_WITHOUT_GENUS!M:M,DATA_WITHOUT_GENUS!A:A,A25)/100</f>
        <v>4.07</v>
      </c>
      <c r="G25" s="18">
        <f>COUNTIFS(DATA_WITHOUT_GENUS!A:A,A25,DATA_WITHOUT_GENUS!I:I, "&gt;0")</f>
        <v>13</v>
      </c>
      <c r="H25">
        <f>COUNTIFS(DATA_WITHOUT_GENUS!A:A,A25,DATA_WITHOUT_GENUS!J:J,TRUE)</f>
        <v>4</v>
      </c>
      <c r="I25" s="18">
        <f>SUMIFS(DATA_WITHOUT_GENUS!I:I,DATA_WITHOUT_GENUS!A:A,A25,DATA_WITHOUT_GENUS!J:J,TRUE)</f>
        <v>27</v>
      </c>
      <c r="J25">
        <f>_xlfn.MAXIFS(DATA_WITHOUT_GENUS!I:I,DATA_WITHOUT_GENUS!A:A,A25)</f>
        <v>43</v>
      </c>
      <c r="K25" s="18" t="str" cm="1">
        <f t="array" ref="K25">_xlfn._xlws.FILTER(DATA_WITHOUT_GENUS!D:D,(DATA_WITHOUT_GENUS!A:A=A25)*(DATA_WITHOUT_GENUS!I:I=J25)*ROW(DATA_WITHOUT_GENUS!D:D),0)</f>
        <v>Psephenidae</v>
      </c>
      <c r="L25" s="30">
        <f t="shared" si="31"/>
        <v>6</v>
      </c>
      <c r="M25">
        <f t="shared" si="32"/>
        <v>6</v>
      </c>
      <c r="N25" s="31">
        <f t="shared" si="33"/>
        <v>3</v>
      </c>
      <c r="O25" s="32">
        <f t="shared" si="34"/>
        <v>3</v>
      </c>
      <c r="P25">
        <f t="shared" si="35"/>
        <v>3</v>
      </c>
      <c r="Q25" s="100">
        <f t="shared" si="36"/>
        <v>21</v>
      </c>
      <c r="R25" s="15" t="str">
        <f t="shared" si="7"/>
        <v>Moderately Impaired</v>
      </c>
      <c r="S25" s="40"/>
      <c r="T25" s="53"/>
      <c r="U25" s="53"/>
      <c r="V25" s="52"/>
      <c r="W25" s="51"/>
      <c r="X25" s="51"/>
      <c r="Y25" s="51"/>
      <c r="Z25" s="51"/>
      <c r="AA25" s="50"/>
      <c r="AB25" s="50"/>
      <c r="AC25" s="52"/>
      <c r="AD25" s="50"/>
      <c r="AE25" s="101"/>
      <c r="AF25" s="51"/>
      <c r="AG25" s="19">
        <f t="shared" si="8"/>
        <v>4</v>
      </c>
      <c r="AH25" s="19">
        <f>ROUND((((COUNTIFS(DATA_WITHOUT_GENUS!A:A,A25,DATA_WITHOUT_GENUS!N:N,FALSE))/G25)*100),1)</f>
        <v>23.1</v>
      </c>
      <c r="AI25" s="89">
        <f>SUMIFS(DATA_WITHOUT_GENUS!I:I,DATA_WITHOUT_GENUS!A:A,A25,DATA_WITHOUT_GENUS!O:O,TRUE)</f>
        <v>12</v>
      </c>
      <c r="AJ25" s="19">
        <f>COUNTIFS(DATA_WITHOUT_GENUS!A:A,A25,DATA_WITHOUT_GENUS!P:P,TRUE)</f>
        <v>2</v>
      </c>
      <c r="AK25" s="19">
        <f t="shared" si="9"/>
        <v>3.3267421179358969</v>
      </c>
      <c r="AL25" s="19">
        <f t="shared" si="10"/>
        <v>26.007510330281256</v>
      </c>
      <c r="AM25" s="98">
        <f t="shared" si="11"/>
        <v>54.351947552029685</v>
      </c>
      <c r="AN25" s="19" t="str">
        <f t="shared" si="12"/>
        <v>Good</v>
      </c>
    </row>
    <row r="26" spans="1:40" s="58" customFormat="1">
      <c r="A26" t="str">
        <f t="shared" si="0"/>
        <v>BK1_2010-10-16</v>
      </c>
      <c r="B26" s="73" t="s">
        <v>51</v>
      </c>
      <c r="C26" s="88">
        <v>40467</v>
      </c>
      <c r="D26">
        <f>SUMIF(DATA_WITHOUT_GENUS!A:A,A26,DATA_WITHOUT_GENUS!E:E)</f>
        <v>105</v>
      </c>
      <c r="E26">
        <f>SUMIF(DATA_WITHOUT_GENUS!A:A,A26,DATA_WITHOUT_GENUS!I:I)</f>
        <v>100</v>
      </c>
      <c r="F26" s="97">
        <f>SUMIFS(DATA_WITHOUT_GENUS!M:M,DATA_WITHOUT_GENUS!A:A,A26)/100</f>
        <v>5.31</v>
      </c>
      <c r="G26" s="18">
        <f>COUNTIFS(DATA_WITHOUT_GENUS!A:A,A26,DATA_WITHOUT_GENUS!I:I, "&gt;0")</f>
        <v>14</v>
      </c>
      <c r="H26">
        <f>COUNTIFS(DATA_WITHOUT_GENUS!A:A,A26,DATA_WITHOUT_GENUS!J:J,TRUE)</f>
        <v>3</v>
      </c>
      <c r="I26" s="18">
        <f>SUMIFS(DATA_WITHOUT_GENUS!I:I,DATA_WITHOUT_GENUS!A:A,A26,DATA_WITHOUT_GENUS!J:J,TRUE)</f>
        <v>13</v>
      </c>
      <c r="J26">
        <f>_xlfn.MAXIFS(DATA_WITHOUT_GENUS!I:I,DATA_WITHOUT_GENUS!A:A,A26)</f>
        <v>26</v>
      </c>
      <c r="K26" s="18" t="str" cm="1">
        <f t="array" ref="K26">_xlfn._xlws.FILTER(DATA_WITHOUT_GENUS!D:D,(DATA_WITHOUT_GENUS!A:A=A26)*(DATA_WITHOUT_GENUS!I:I=J26)*ROW(DATA_WITHOUT_GENUS!D:D),0)</f>
        <v>Psephenidae</v>
      </c>
      <c r="L26" s="30">
        <f t="shared" si="31"/>
        <v>3</v>
      </c>
      <c r="M26">
        <f t="shared" si="32"/>
        <v>6</v>
      </c>
      <c r="N26" s="31">
        <f t="shared" si="33"/>
        <v>3</v>
      </c>
      <c r="O26" s="32">
        <f t="shared" si="34"/>
        <v>3</v>
      </c>
      <c r="P26">
        <f t="shared" si="35"/>
        <v>6</v>
      </c>
      <c r="Q26" s="100">
        <f t="shared" si="36"/>
        <v>21</v>
      </c>
      <c r="R26" s="15" t="str">
        <f t="shared" si="7"/>
        <v>Moderately Impaired</v>
      </c>
      <c r="S26" s="40"/>
      <c r="T26" s="53"/>
      <c r="U26" s="53"/>
      <c r="V26" s="52"/>
      <c r="W26" s="51"/>
      <c r="X26" s="51"/>
      <c r="Y26" s="51"/>
      <c r="Z26" s="51"/>
      <c r="AA26" s="50"/>
      <c r="AB26" s="50"/>
      <c r="AC26" s="52"/>
      <c r="AD26" s="50"/>
      <c r="AE26" s="101"/>
      <c r="AF26" s="51"/>
      <c r="AG26" s="19">
        <f>H26</f>
        <v>3</v>
      </c>
      <c r="AH26" s="19">
        <f>ROUND((((COUNTIFS(DATA_WITHOUT_GENUS!A:A,A26,DATA_WITHOUT_GENUS!N:N,FALSE))/G26)*100),1)</f>
        <v>28.6</v>
      </c>
      <c r="AI26" s="89">
        <f>SUMIFS(DATA_WITHOUT_GENUS!I:I,DATA_WITHOUT_GENUS!A:A,A26,DATA_WITHOUT_GENUS!O:O,TRUE)</f>
        <v>12</v>
      </c>
      <c r="AJ26" s="19">
        <f>COUNTIFS(DATA_WITHOUT_GENUS!A:A,A26,DATA_WITHOUT_GENUS!P:P,TRUE)</f>
        <v>3</v>
      </c>
      <c r="AK26" s="19">
        <f>F26+4.19-(3.636+0.615*(LOG10(128.6359653)))</f>
        <v>4.5667421179358954</v>
      </c>
      <c r="AL26" s="19">
        <f t="shared" si="10"/>
        <v>26.007510330281256</v>
      </c>
      <c r="AM26" s="98">
        <f t="shared" si="11"/>
        <v>48.072582472664607</v>
      </c>
      <c r="AN26" s="19" t="str">
        <f>IF(AM26&gt;=63, "Excellent", IF(AM26&lt;21, "Poor", IF(AM26&lt;42, "Fair","Good")))</f>
        <v>Good</v>
      </c>
    </row>
    <row r="27" spans="1:40" s="58" customFormat="1">
      <c r="A27" t="str">
        <f t="shared" si="0"/>
        <v>BK1_2011-03-19</v>
      </c>
      <c r="B27" s="73" t="s">
        <v>51</v>
      </c>
      <c r="C27" s="88">
        <v>40621</v>
      </c>
      <c r="D27">
        <f>SUMIF(DATA_WITHOUT_GENUS!A:A,A27,DATA_WITHOUT_GENUS!E:E)</f>
        <v>122</v>
      </c>
      <c r="E27">
        <f>SUMIF(DATA_WITHOUT_GENUS!A:A,A27,DATA_WITHOUT_GENUS!I:I)</f>
        <v>100</v>
      </c>
      <c r="F27" s="97">
        <f>SUMIFS(DATA_WITHOUT_GENUS!M:M,DATA_WITHOUT_GENUS!A:A,A27)/100</f>
        <v>6.01</v>
      </c>
      <c r="G27" s="18">
        <f>COUNTIFS(DATA_WITHOUT_GENUS!A:A,A27,DATA_WITHOUT_GENUS!I:I, "&gt;0")</f>
        <v>16</v>
      </c>
      <c r="H27">
        <f>COUNTIFS(DATA_WITHOUT_GENUS!A:A,A27,DATA_WITHOUT_GENUS!J:J,TRUE)</f>
        <v>5</v>
      </c>
      <c r="I27" s="18">
        <f>SUMIFS(DATA_WITHOUT_GENUS!I:I,DATA_WITHOUT_GENUS!A:A,A27,DATA_WITHOUT_GENUS!J:J,TRUE)</f>
        <v>8</v>
      </c>
      <c r="J27">
        <f>_xlfn.MAXIFS(DATA_WITHOUT_GENUS!I:I,DATA_WITHOUT_GENUS!A:A,A27)</f>
        <v>31</v>
      </c>
      <c r="K27" s="18" t="str" cm="1">
        <f t="array" ref="K27">_xlfn._xlws.FILTER(DATA_WITHOUT_GENUS!D:D,(DATA_WITHOUT_GENUS!A:A=A27)*(DATA_WITHOUT_GENUS!I:I=J27)*ROW(DATA_WITHOUT_GENUS!D:D),0)</f>
        <v>BloodRed Chironomidae</v>
      </c>
      <c r="L27" s="30">
        <f t="shared" si="31"/>
        <v>3</v>
      </c>
      <c r="M27">
        <f t="shared" si="32"/>
        <v>6</v>
      </c>
      <c r="N27" s="31">
        <f t="shared" si="33"/>
        <v>3</v>
      </c>
      <c r="O27" s="32">
        <f t="shared" si="34"/>
        <v>0</v>
      </c>
      <c r="P27">
        <f t="shared" si="35"/>
        <v>6</v>
      </c>
      <c r="Q27" s="100">
        <f t="shared" si="36"/>
        <v>18</v>
      </c>
      <c r="R27" s="15" t="str">
        <f t="shared" si="7"/>
        <v>Moderately Impaired</v>
      </c>
      <c r="S27" s="40"/>
      <c r="T27" s="53"/>
      <c r="U27" s="53"/>
      <c r="V27" s="52"/>
      <c r="W27" s="51"/>
      <c r="X27" s="51"/>
      <c r="Y27" s="51"/>
      <c r="Z27" s="51"/>
      <c r="AA27" s="50"/>
      <c r="AB27" s="50"/>
      <c r="AC27" s="52"/>
      <c r="AD27" s="50"/>
      <c r="AE27" s="101"/>
      <c r="AF27" s="51"/>
      <c r="AG27" s="19">
        <f t="shared" ref="AG27:AG33" si="37">H27</f>
        <v>5</v>
      </c>
      <c r="AH27" s="19">
        <f>ROUND((((COUNTIFS(DATA_WITHOUT_GENUS!A:A,A27,DATA_WITHOUT_GENUS!N:N,FALSE))/G27)*100),1)</f>
        <v>18.8</v>
      </c>
      <c r="AI27" s="89">
        <f>SUMIFS(DATA_WITHOUT_GENUS!I:I,DATA_WITHOUT_GENUS!A:A,A27,DATA_WITHOUT_GENUS!O:O,TRUE)</f>
        <v>7</v>
      </c>
      <c r="AJ27" s="19">
        <f>COUNTIFS(DATA_WITHOUT_GENUS!A:A,A27,DATA_WITHOUT_GENUS!P:P,TRUE)</f>
        <v>2</v>
      </c>
      <c r="AK27" s="19">
        <f t="shared" ref="AK27:AK33" si="38">F27+4.19-(3.636+0.615*(LOG10(128.6359653)))</f>
        <v>5.2667421179358946</v>
      </c>
      <c r="AL27" s="19">
        <f t="shared" si="10"/>
        <v>21.007510330281256</v>
      </c>
      <c r="AM27" s="98">
        <f t="shared" si="11"/>
        <v>46.191156270342887</v>
      </c>
      <c r="AN27" s="19" t="str">
        <f t="shared" si="12"/>
        <v>Good</v>
      </c>
    </row>
    <row r="28" spans="1:40" s="58" customFormat="1">
      <c r="A28" t="str">
        <f t="shared" si="0"/>
        <v>BK1_2011-07-23</v>
      </c>
      <c r="B28" s="73" t="s">
        <v>51</v>
      </c>
      <c r="C28" s="88">
        <v>40747</v>
      </c>
      <c r="D28">
        <f>SUMIF(DATA_WITHOUT_GENUS!A:A,A28,DATA_WITHOUT_GENUS!E:E)</f>
        <v>119</v>
      </c>
      <c r="E28">
        <f>SUMIF(DATA_WITHOUT_GENUS!A:A,A28,DATA_WITHOUT_GENUS!I:I)</f>
        <v>100</v>
      </c>
      <c r="F28" s="97">
        <f>SUMIFS(DATA_WITHOUT_GENUS!M:M,DATA_WITHOUT_GENUS!A:A,A28)/100</f>
        <v>4.3099999999999996</v>
      </c>
      <c r="G28" s="18">
        <f>COUNTIFS(DATA_WITHOUT_GENUS!A:A,A28,DATA_WITHOUT_GENUS!I:I, "&gt;0")</f>
        <v>15</v>
      </c>
      <c r="H28">
        <f>COUNTIFS(DATA_WITHOUT_GENUS!A:A,A28,DATA_WITHOUT_GENUS!J:J,TRUE)</f>
        <v>3</v>
      </c>
      <c r="I28" s="18">
        <f>SUMIFS(DATA_WITHOUT_GENUS!I:I,DATA_WITHOUT_GENUS!A:A,A28,DATA_WITHOUT_GENUS!J:J,TRUE)</f>
        <v>19</v>
      </c>
      <c r="J28">
        <f>_xlfn.MAXIFS(DATA_WITHOUT_GENUS!I:I,DATA_WITHOUT_GENUS!A:A,A28)</f>
        <v>52</v>
      </c>
      <c r="K28" s="18" t="str" cm="1">
        <f t="array" ref="K28">_xlfn._xlws.FILTER(DATA_WITHOUT_GENUS!D:D,(DATA_WITHOUT_GENUS!A:A=A28)*(DATA_WITHOUT_GENUS!I:I=J28)*ROW(DATA_WITHOUT_GENUS!D:D),0)</f>
        <v>Elmidae</v>
      </c>
      <c r="L28" s="30">
        <f t="shared" si="31"/>
        <v>6</v>
      </c>
      <c r="M28">
        <f t="shared" si="32"/>
        <v>6</v>
      </c>
      <c r="N28" s="31">
        <f t="shared" si="33"/>
        <v>3</v>
      </c>
      <c r="O28" s="32">
        <f t="shared" si="34"/>
        <v>3</v>
      </c>
      <c r="P28">
        <f t="shared" si="35"/>
        <v>3</v>
      </c>
      <c r="Q28" s="100">
        <f t="shared" si="36"/>
        <v>21</v>
      </c>
      <c r="R28" s="15" t="str">
        <f t="shared" si="7"/>
        <v>Moderately Impaired</v>
      </c>
      <c r="S28" s="40"/>
      <c r="T28" s="53"/>
      <c r="U28" s="53"/>
      <c r="V28" s="52"/>
      <c r="W28" s="51"/>
      <c r="X28" s="51"/>
      <c r="Y28" s="51"/>
      <c r="Z28" s="51"/>
      <c r="AA28" s="50"/>
      <c r="AB28" s="50"/>
      <c r="AC28" s="52"/>
      <c r="AD28" s="50"/>
      <c r="AE28" s="101"/>
      <c r="AF28" s="51"/>
      <c r="AG28" s="19">
        <f t="shared" si="37"/>
        <v>3</v>
      </c>
      <c r="AH28" s="19">
        <f>ROUND((((COUNTIFS(DATA_WITHOUT_GENUS!A:A,A28,DATA_WITHOUT_GENUS!N:N,FALSE))/G28)*100),1)</f>
        <v>40</v>
      </c>
      <c r="AI28" s="89">
        <f>SUMIFS(DATA_WITHOUT_GENUS!I:I,DATA_WITHOUT_GENUS!A:A,A28,DATA_WITHOUT_GENUS!O:O,TRUE)</f>
        <v>8</v>
      </c>
      <c r="AJ28" s="19">
        <f>COUNTIFS(DATA_WITHOUT_GENUS!A:A,A28,DATA_WITHOUT_GENUS!P:P,TRUE)</f>
        <v>2</v>
      </c>
      <c r="AK28" s="19">
        <f t="shared" si="38"/>
        <v>3.5667421179358954</v>
      </c>
      <c r="AL28" s="19">
        <f t="shared" si="10"/>
        <v>22.007510330281256</v>
      </c>
      <c r="AM28" s="98">
        <f t="shared" si="11"/>
        <v>44.926171669537389</v>
      </c>
      <c r="AN28" s="19" t="str">
        <f t="shared" si="12"/>
        <v>Good</v>
      </c>
    </row>
    <row r="29" spans="1:40" s="58" customFormat="1">
      <c r="A29" t="str">
        <f t="shared" si="0"/>
        <v>BK1_2012-03-17</v>
      </c>
      <c r="B29" s="73" t="s">
        <v>51</v>
      </c>
      <c r="C29" s="88">
        <v>40985</v>
      </c>
      <c r="D29">
        <f>SUMIF(DATA_WITHOUT_GENUS!A:A,A29,DATA_WITHOUT_GENUS!E:E)</f>
        <v>117</v>
      </c>
      <c r="E29">
        <f>SUMIF(DATA_WITHOUT_GENUS!A:A,A29,DATA_WITHOUT_GENUS!I:I)</f>
        <v>100</v>
      </c>
      <c r="F29" s="97">
        <f>SUMIFS(DATA_WITHOUT_GENUS!M:M,DATA_WITHOUT_GENUS!A:A,A29)/100</f>
        <v>4.9800000000000004</v>
      </c>
      <c r="G29" s="18">
        <f>COUNTIFS(DATA_WITHOUT_GENUS!A:A,A29,DATA_WITHOUT_GENUS!I:I, "&gt;0")</f>
        <v>10</v>
      </c>
      <c r="H29">
        <f>COUNTIFS(DATA_WITHOUT_GENUS!A:A,A29,DATA_WITHOUT_GENUS!J:J,TRUE)</f>
        <v>3</v>
      </c>
      <c r="I29" s="18">
        <f>SUMIFS(DATA_WITHOUT_GENUS!I:I,DATA_WITHOUT_GENUS!A:A,A29,DATA_WITHOUT_GENUS!J:J,TRUE)</f>
        <v>36</v>
      </c>
      <c r="J29">
        <f>_xlfn.MAXIFS(DATA_WITHOUT_GENUS!I:I,DATA_WITHOUT_GENUS!A:A,A29)</f>
        <v>55</v>
      </c>
      <c r="K29" s="18" t="str" cm="1">
        <f t="array" ref="K29">_xlfn._xlws.FILTER(DATA_WITHOUT_GENUS!D:D,(DATA_WITHOUT_GENUS!A:A=A29)*(DATA_WITHOUT_GENUS!I:I=J29)*ROW(DATA_WITHOUT_GENUS!D:D),0)</f>
        <v>Chironomidae</v>
      </c>
      <c r="L29" s="30">
        <f t="shared" si="31"/>
        <v>6</v>
      </c>
      <c r="M29">
        <f t="shared" si="32"/>
        <v>3</v>
      </c>
      <c r="N29" s="31">
        <f t="shared" si="33"/>
        <v>3</v>
      </c>
      <c r="O29" s="32">
        <f t="shared" si="34"/>
        <v>6</v>
      </c>
      <c r="P29">
        <f t="shared" si="35"/>
        <v>3</v>
      </c>
      <c r="Q29" s="100">
        <f t="shared" si="36"/>
        <v>21</v>
      </c>
      <c r="R29" s="15" t="str">
        <f t="shared" si="7"/>
        <v>Moderately Impaired</v>
      </c>
      <c r="S29" s="40"/>
      <c r="T29" s="53"/>
      <c r="U29" s="53"/>
      <c r="V29" s="52"/>
      <c r="W29" s="51"/>
      <c r="X29" s="51"/>
      <c r="Y29" s="51"/>
      <c r="Z29" s="51"/>
      <c r="AA29" s="50"/>
      <c r="AB29" s="50"/>
      <c r="AC29" s="52"/>
      <c r="AD29" s="50"/>
      <c r="AE29" s="101"/>
      <c r="AF29" s="51"/>
      <c r="AG29" s="19">
        <f t="shared" si="37"/>
        <v>3</v>
      </c>
      <c r="AH29" s="19">
        <f>ROUND((((COUNTIFS(DATA_WITHOUT_GENUS!A:A,A29,DATA_WITHOUT_GENUS!N:N,FALSE))/G29)*100),1)</f>
        <v>20</v>
      </c>
      <c r="AI29" s="89">
        <f>SUMIFS(DATA_WITHOUT_GENUS!I:I,DATA_WITHOUT_GENUS!A:A,A29,DATA_WITHOUT_GENUS!O:O,TRUE)</f>
        <v>14</v>
      </c>
      <c r="AJ29" s="19">
        <f>COUNTIFS(DATA_WITHOUT_GENUS!A:A,A29,DATA_WITHOUT_GENUS!P:P,TRUE)</f>
        <v>2</v>
      </c>
      <c r="AK29" s="19">
        <f t="shared" si="38"/>
        <v>4.2367421179358971</v>
      </c>
      <c r="AL29" s="19">
        <f t="shared" si="10"/>
        <v>28.007510330281256</v>
      </c>
      <c r="AM29" s="98">
        <f t="shared" si="11"/>
        <v>49.716422794863135</v>
      </c>
      <c r="AN29" s="19" t="str">
        <f t="shared" si="12"/>
        <v>Good</v>
      </c>
    </row>
    <row r="30" spans="1:40" s="58" customFormat="1">
      <c r="A30" t="str">
        <f t="shared" si="0"/>
        <v>BK1_2012-08-04</v>
      </c>
      <c r="B30" s="73" t="s">
        <v>51</v>
      </c>
      <c r="C30" s="88">
        <v>41125</v>
      </c>
      <c r="D30">
        <f>SUMIF(DATA_WITHOUT_GENUS!A:A,A30,DATA_WITHOUT_GENUS!E:E)</f>
        <v>120</v>
      </c>
      <c r="E30">
        <f>SUMIF(DATA_WITHOUT_GENUS!A:A,A30,DATA_WITHOUT_GENUS!I:I)</f>
        <v>100</v>
      </c>
      <c r="F30" s="97">
        <f>SUMIFS(DATA_WITHOUT_GENUS!M:M,DATA_WITHOUT_GENUS!A:A,A30)/100</f>
        <v>4.2</v>
      </c>
      <c r="G30" s="18">
        <f>COUNTIFS(DATA_WITHOUT_GENUS!A:A,A30,DATA_WITHOUT_GENUS!I:I, "&gt;0")</f>
        <v>18</v>
      </c>
      <c r="H30">
        <f>COUNTIFS(DATA_WITHOUT_GENUS!A:A,A30,DATA_WITHOUT_GENUS!J:J,TRUE)</f>
        <v>6</v>
      </c>
      <c r="I30" s="18">
        <f>SUMIFS(DATA_WITHOUT_GENUS!I:I,DATA_WITHOUT_GENUS!A:A,A30,DATA_WITHOUT_GENUS!J:J,TRUE)</f>
        <v>46</v>
      </c>
      <c r="J30">
        <f>_xlfn.MAXIFS(DATA_WITHOUT_GENUS!I:I,DATA_WITHOUT_GENUS!A:A,A30)</f>
        <v>27</v>
      </c>
      <c r="K30" s="18" t="str" cm="1">
        <f t="array" ref="K30">_xlfn._xlws.FILTER(DATA_WITHOUT_GENUS!D:D,(DATA_WITHOUT_GENUS!A:A=A30)*(DATA_WITHOUT_GENUS!I:I=J30)*ROW(DATA_WITHOUT_GENUS!D:D),0)</f>
        <v>Hydropsychidae</v>
      </c>
      <c r="L30" s="30">
        <f t="shared" si="31"/>
        <v>6</v>
      </c>
      <c r="M30">
        <f t="shared" si="32"/>
        <v>6</v>
      </c>
      <c r="N30" s="31">
        <f t="shared" si="33"/>
        <v>6</v>
      </c>
      <c r="O30" s="32">
        <f t="shared" si="34"/>
        <v>6</v>
      </c>
      <c r="P30">
        <f t="shared" si="35"/>
        <v>6</v>
      </c>
      <c r="Q30" s="100">
        <f t="shared" si="36"/>
        <v>30</v>
      </c>
      <c r="R30" s="15" t="str">
        <f t="shared" si="7"/>
        <v>Non-Impaired</v>
      </c>
      <c r="S30" s="40"/>
      <c r="T30" s="53"/>
      <c r="U30" s="53"/>
      <c r="V30" s="52"/>
      <c r="W30" s="51"/>
      <c r="X30" s="51"/>
      <c r="Y30" s="51"/>
      <c r="Z30" s="51"/>
      <c r="AA30" s="50"/>
      <c r="AB30" s="50"/>
      <c r="AC30" s="52"/>
      <c r="AD30" s="50"/>
      <c r="AE30" s="101"/>
      <c r="AF30" s="51"/>
      <c r="AG30" s="19">
        <f t="shared" si="37"/>
        <v>6</v>
      </c>
      <c r="AH30" s="19">
        <f>ROUND((((COUNTIFS(DATA_WITHOUT_GENUS!A:A,A30,DATA_WITHOUT_GENUS!N:N,FALSE))/G30)*100),1)</f>
        <v>27.8</v>
      </c>
      <c r="AI30" s="89">
        <f>SUMIFS(DATA_WITHOUT_GENUS!I:I,DATA_WITHOUT_GENUS!A:A,A30,DATA_WITHOUT_GENUS!O:O,TRUE)</f>
        <v>19</v>
      </c>
      <c r="AJ30" s="19">
        <f>COUNTIFS(DATA_WITHOUT_GENUS!A:A,A30,DATA_WITHOUT_GENUS!P:P,TRUE)</f>
        <v>2</v>
      </c>
      <c r="AK30" s="19">
        <f t="shared" si="38"/>
        <v>3.4567421179358959</v>
      </c>
      <c r="AL30" s="19">
        <f t="shared" si="10"/>
        <v>33.007510330281256</v>
      </c>
      <c r="AM30" s="98">
        <f t="shared" si="11"/>
        <v>57.6327696321055</v>
      </c>
      <c r="AN30" s="19" t="str">
        <f t="shared" si="12"/>
        <v>Good</v>
      </c>
    </row>
    <row r="31" spans="1:40" s="58" customFormat="1">
      <c r="A31" t="str">
        <f t="shared" si="0"/>
        <v>BK1_2012-10-20</v>
      </c>
      <c r="B31" s="73" t="s">
        <v>51</v>
      </c>
      <c r="C31" s="88">
        <v>41202</v>
      </c>
      <c r="D31">
        <f>SUMIF(DATA_WITHOUT_GENUS!A:A,A31,DATA_WITHOUT_GENUS!E:E)</f>
        <v>101</v>
      </c>
      <c r="E31">
        <f>SUMIF(DATA_WITHOUT_GENUS!A:A,A31,DATA_WITHOUT_GENUS!I:I)</f>
        <v>100</v>
      </c>
      <c r="F31" s="97">
        <f>SUMIFS(DATA_WITHOUT_GENUS!M:M,DATA_WITHOUT_GENUS!A:A,A31)/100</f>
        <v>4.12</v>
      </c>
      <c r="G31" s="18">
        <f>COUNTIFS(DATA_WITHOUT_GENUS!A:A,A31,DATA_WITHOUT_GENUS!I:I, "&gt;0")</f>
        <v>13</v>
      </c>
      <c r="H31">
        <f>COUNTIFS(DATA_WITHOUT_GENUS!A:A,A31,DATA_WITHOUT_GENUS!J:J,TRUE)</f>
        <v>3</v>
      </c>
      <c r="I31" s="18">
        <f>SUMIFS(DATA_WITHOUT_GENUS!I:I,DATA_WITHOUT_GENUS!A:A,A31,DATA_WITHOUT_GENUS!J:J,TRUE)</f>
        <v>31</v>
      </c>
      <c r="J31">
        <f>_xlfn.MAXIFS(DATA_WITHOUT_GENUS!I:I,DATA_WITHOUT_GENUS!A:A,A31)</f>
        <v>28</v>
      </c>
      <c r="K31" s="18" t="str" cm="1">
        <f t="array" ref="K31">_xlfn._xlws.FILTER(DATA_WITHOUT_GENUS!D:D,(DATA_WITHOUT_GENUS!A:A=A31)*(DATA_WITHOUT_GENUS!I:I=J31)*ROW(DATA_WITHOUT_GENUS!D:D),0)</f>
        <v>Psephenidae</v>
      </c>
      <c r="L31" s="30">
        <f t="shared" si="31"/>
        <v>6</v>
      </c>
      <c r="M31">
        <f t="shared" si="32"/>
        <v>6</v>
      </c>
      <c r="N31" s="31">
        <f t="shared" si="33"/>
        <v>3</v>
      </c>
      <c r="O31" s="32">
        <f t="shared" si="34"/>
        <v>3</v>
      </c>
      <c r="P31">
        <f t="shared" si="35"/>
        <v>6</v>
      </c>
      <c r="Q31" s="100">
        <f t="shared" si="36"/>
        <v>24</v>
      </c>
      <c r="R31" s="15" t="str">
        <f t="shared" si="7"/>
        <v>Non-Impaired</v>
      </c>
      <c r="S31" s="40"/>
      <c r="T31" s="53"/>
      <c r="U31" s="53"/>
      <c r="V31" s="52"/>
      <c r="W31" s="51"/>
      <c r="X31" s="51"/>
      <c r="Y31" s="51"/>
      <c r="Z31" s="51"/>
      <c r="AA31" s="50"/>
      <c r="AB31" s="50"/>
      <c r="AC31" s="52"/>
      <c r="AD31" s="50"/>
      <c r="AE31" s="101"/>
      <c r="AF31" s="51"/>
      <c r="AG31" s="19">
        <f t="shared" si="37"/>
        <v>3</v>
      </c>
      <c r="AH31" s="19">
        <f>ROUND((((COUNTIFS(DATA_WITHOUT_GENUS!A:A,A31,DATA_WITHOUT_GENUS!N:N,FALSE))/G31)*100),1)</f>
        <v>38.5</v>
      </c>
      <c r="AI31" s="89">
        <f>SUMIFS(DATA_WITHOUT_GENUS!I:I,DATA_WITHOUT_GENUS!A:A,A31,DATA_WITHOUT_GENUS!O:O,TRUE)</f>
        <v>25</v>
      </c>
      <c r="AJ31" s="19">
        <f>COUNTIFS(DATA_WITHOUT_GENUS!A:A,A31,DATA_WITHOUT_GENUS!P:P,TRUE)</f>
        <v>2</v>
      </c>
      <c r="AK31" s="19">
        <f t="shared" si="38"/>
        <v>3.3767421179358958</v>
      </c>
      <c r="AL31" s="19">
        <f t="shared" si="10"/>
        <v>39.007510330281256</v>
      </c>
      <c r="AM31" s="98">
        <f t="shared" si="11"/>
        <v>51.426989011399506</v>
      </c>
      <c r="AN31" s="19" t="str">
        <f t="shared" si="12"/>
        <v>Good</v>
      </c>
    </row>
    <row r="32" spans="1:40" s="58" customFormat="1">
      <c r="A32" t="str">
        <f t="shared" si="0"/>
        <v>BK1_2013-07-20</v>
      </c>
      <c r="B32" s="73" t="s">
        <v>51</v>
      </c>
      <c r="C32" s="88">
        <v>41475</v>
      </c>
      <c r="D32">
        <f>SUMIF(DATA_WITHOUT_GENUS!A:A,A32,DATA_WITHOUT_GENUS!E:E)</f>
        <v>104</v>
      </c>
      <c r="E32">
        <f>SUMIF(DATA_WITHOUT_GENUS!A:A,A32,DATA_WITHOUT_GENUS!I:I)</f>
        <v>100</v>
      </c>
      <c r="F32" s="97">
        <f>SUMIFS(DATA_WITHOUT_GENUS!M:M,DATA_WITHOUT_GENUS!A:A,A32)/100</f>
        <v>4.12</v>
      </c>
      <c r="G32" s="18">
        <f>COUNTIFS(DATA_WITHOUT_GENUS!A:A,A32,DATA_WITHOUT_GENUS!I:I, "&gt;0")</f>
        <v>10</v>
      </c>
      <c r="H32">
        <f>COUNTIFS(DATA_WITHOUT_GENUS!A:A,A32,DATA_WITHOUT_GENUS!J:J,TRUE)</f>
        <v>2</v>
      </c>
      <c r="I32" s="18">
        <f>SUMIFS(DATA_WITHOUT_GENUS!I:I,DATA_WITHOUT_GENUS!A:A,A32,DATA_WITHOUT_GENUS!J:J,TRUE)</f>
        <v>12</v>
      </c>
      <c r="J32">
        <f>_xlfn.MAXIFS(DATA_WITHOUT_GENUS!I:I,DATA_WITHOUT_GENUS!A:A,A32)</f>
        <v>58</v>
      </c>
      <c r="K32" s="18" t="str" cm="1">
        <f t="array" ref="K32">_xlfn._xlws.FILTER(DATA_WITHOUT_GENUS!D:D,(DATA_WITHOUT_GENUS!A:A=A32)*(DATA_WITHOUT_GENUS!I:I=J32)*ROW(DATA_WITHOUT_GENUS!D:D),0)</f>
        <v>Psephenidae</v>
      </c>
      <c r="L32" s="30">
        <f t="shared" si="31"/>
        <v>6</v>
      </c>
      <c r="M32">
        <f t="shared" si="32"/>
        <v>3</v>
      </c>
      <c r="N32" s="31">
        <f t="shared" si="33"/>
        <v>0</v>
      </c>
      <c r="O32" s="32">
        <f t="shared" si="34"/>
        <v>3</v>
      </c>
      <c r="P32">
        <f t="shared" si="35"/>
        <v>3</v>
      </c>
      <c r="Q32" s="100">
        <f t="shared" si="36"/>
        <v>15</v>
      </c>
      <c r="R32" s="15" t="str">
        <f t="shared" si="7"/>
        <v>Moderately Impaired</v>
      </c>
      <c r="S32" s="40"/>
      <c r="T32" s="53"/>
      <c r="U32" s="53"/>
      <c r="V32" s="52"/>
      <c r="W32" s="51"/>
      <c r="X32" s="51"/>
      <c r="Y32" s="51"/>
      <c r="Z32" s="51"/>
      <c r="AA32" s="50"/>
      <c r="AB32" s="50"/>
      <c r="AC32" s="52"/>
      <c r="AD32" s="50"/>
      <c r="AE32" s="101"/>
      <c r="AF32" s="51"/>
      <c r="AG32" s="19">
        <f t="shared" si="37"/>
        <v>2</v>
      </c>
      <c r="AH32" s="19">
        <f>ROUND((((COUNTIFS(DATA_WITHOUT_GENUS!A:A,A32,DATA_WITHOUT_GENUS!N:N,FALSE))/G32)*100),1)</f>
        <v>40</v>
      </c>
      <c r="AI32" s="89">
        <f>SUMIFS(DATA_WITHOUT_GENUS!I:I,DATA_WITHOUT_GENUS!A:A,A32,DATA_WITHOUT_GENUS!O:O,TRUE)</f>
        <v>1</v>
      </c>
      <c r="AJ32" s="19">
        <f>COUNTIFS(DATA_WITHOUT_GENUS!A:A,A32,DATA_WITHOUT_GENUS!P:P,TRUE)</f>
        <v>2</v>
      </c>
      <c r="AK32" s="19">
        <f t="shared" si="38"/>
        <v>3.3767421179358958</v>
      </c>
      <c r="AL32" s="19">
        <f t="shared" si="10"/>
        <v>15.007510330281256</v>
      </c>
      <c r="AM32" s="98">
        <f t="shared" si="11"/>
        <v>42.119952764064749</v>
      </c>
      <c r="AN32" s="19" t="str">
        <f t="shared" si="12"/>
        <v>Good</v>
      </c>
    </row>
    <row r="33" spans="1:40" s="58" customFormat="1">
      <c r="A33" t="str">
        <f t="shared" si="0"/>
        <v>BK1_2013-10-19</v>
      </c>
      <c r="B33" s="73" t="s">
        <v>51</v>
      </c>
      <c r="C33" s="88">
        <v>41566</v>
      </c>
      <c r="D33">
        <f>SUMIF(DATA_WITHOUT_GENUS!A:A,A33,DATA_WITHOUT_GENUS!E:E)</f>
        <v>104</v>
      </c>
      <c r="E33">
        <f>SUMIF(DATA_WITHOUT_GENUS!A:A,A33,DATA_WITHOUT_GENUS!I:I)</f>
        <v>100</v>
      </c>
      <c r="F33" s="97">
        <f>SUMIFS(DATA_WITHOUT_GENUS!M:M,DATA_WITHOUT_GENUS!A:A,A33)/100</f>
        <v>4.28</v>
      </c>
      <c r="G33" s="18">
        <f>COUNTIFS(DATA_WITHOUT_GENUS!A:A,A33,DATA_WITHOUT_GENUS!I:I, "&gt;0")</f>
        <v>12</v>
      </c>
      <c r="H33">
        <f>COUNTIFS(DATA_WITHOUT_GENUS!A:A,A33,DATA_WITHOUT_GENUS!J:J,TRUE)</f>
        <v>2</v>
      </c>
      <c r="I33" s="18">
        <f>SUMIFS(DATA_WITHOUT_GENUS!I:I,DATA_WITHOUT_GENUS!A:A,A33,DATA_WITHOUT_GENUS!J:J,TRUE)</f>
        <v>6</v>
      </c>
      <c r="J33">
        <f>_xlfn.MAXIFS(DATA_WITHOUT_GENUS!I:I,DATA_WITHOUT_GENUS!A:A,A33)</f>
        <v>64</v>
      </c>
      <c r="K33" s="18" t="str" cm="1">
        <f t="array" ref="K33">_xlfn._xlws.FILTER(DATA_WITHOUT_GENUS!D:D,(DATA_WITHOUT_GENUS!A:A=A33)*(DATA_WITHOUT_GENUS!I:I=J33)*ROW(DATA_WITHOUT_GENUS!D:D),0)</f>
        <v>Gammaridae</v>
      </c>
      <c r="L33" s="30">
        <f t="shared" si="31"/>
        <v>6</v>
      </c>
      <c r="M33">
        <f t="shared" si="32"/>
        <v>6</v>
      </c>
      <c r="N33" s="31">
        <f t="shared" si="33"/>
        <v>0</v>
      </c>
      <c r="O33" s="32">
        <f t="shared" si="34"/>
        <v>0</v>
      </c>
      <c r="P33">
        <f t="shared" si="35"/>
        <v>0</v>
      </c>
      <c r="Q33" s="100">
        <f t="shared" si="36"/>
        <v>12</v>
      </c>
      <c r="R33" s="15" t="str">
        <f t="shared" si="7"/>
        <v>Moderately Impaired</v>
      </c>
      <c r="S33" s="40"/>
      <c r="T33" s="53"/>
      <c r="U33" s="53"/>
      <c r="V33" s="52"/>
      <c r="W33" s="51"/>
      <c r="X33" s="51"/>
      <c r="Y33" s="51"/>
      <c r="Z33" s="51"/>
      <c r="AA33" s="50"/>
      <c r="AB33" s="50"/>
      <c r="AC33" s="52"/>
      <c r="AD33" s="50"/>
      <c r="AE33" s="101"/>
      <c r="AF33" s="51"/>
      <c r="AG33" s="19">
        <f t="shared" si="37"/>
        <v>2</v>
      </c>
      <c r="AH33" s="19">
        <f>ROUND((((COUNTIFS(DATA_WITHOUT_GENUS!A:A,A33,DATA_WITHOUT_GENUS!N:N,FALSE))/G33)*100),1)</f>
        <v>16.7</v>
      </c>
      <c r="AI33" s="89">
        <f>SUMIFS(DATA_WITHOUT_GENUS!I:I,DATA_WITHOUT_GENUS!A:A,A33,DATA_WITHOUT_GENUS!O:O,TRUE)</f>
        <v>1</v>
      </c>
      <c r="AJ33" s="19">
        <f>COUNTIFS(DATA_WITHOUT_GENUS!A:A,A33,DATA_WITHOUT_GENUS!P:P,TRUE)</f>
        <v>2</v>
      </c>
      <c r="AK33" s="19">
        <f t="shared" si="38"/>
        <v>3.536742117935896</v>
      </c>
      <c r="AL33" s="19">
        <f t="shared" si="10"/>
        <v>15.007510330281256</v>
      </c>
      <c r="AM33" s="98">
        <f t="shared" si="11"/>
        <v>48.716778160890144</v>
      </c>
      <c r="AN33" s="19" t="str">
        <f t="shared" si="12"/>
        <v>Good</v>
      </c>
    </row>
    <row r="34" spans="1:40">
      <c r="A34" t="str">
        <f>B34&amp;"_"&amp;TEXT(C34,"yyyy-mm-dd")</f>
        <v>BK1_2014-07-20</v>
      </c>
      <c r="B34" s="64" t="s">
        <v>51</v>
      </c>
      <c r="C34" s="3">
        <v>41840</v>
      </c>
      <c r="D34">
        <f>SUMIF(DATA_WITH_GENUS_OLD!A:A,A34,DATA_WITH_GENUS_OLD!F:F)</f>
        <v>129</v>
      </c>
      <c r="E34">
        <f>SUMIF(DATA_WITH_GENUS_OLD!A:A,A34,DATA_WITH_GENUS_OLD!J:J)</f>
        <v>100</v>
      </c>
      <c r="F34" s="98">
        <f>SUMIFS(DATA_WITH_GENUS_OLD!T:T,DATA_WITH_GENUS_OLD!A:A,A34)/100</f>
        <v>3.79</v>
      </c>
      <c r="G34" cm="1">
        <f t="array" ref="G34">COUNTA(_xlfn.UNIQUE(_xlfn._xlws.FILTER(DATA_WITH_GENUS_OLD!A:A&amp;DATA_WITH_GENUS_OLD!D:D,(DATA_WITH_GENUS_OLD!A:A = A34)*(DATA_WITH_GENUS_OLD!J:J&gt;0))))</f>
        <v>12</v>
      </c>
      <c r="H34">
        <f>COUNTIFS(DATA_WITH_GENUS_OLD!A:A,A34,DATA_WITH_GENUS_OLD!K:K,"~*")</f>
        <v>4</v>
      </c>
      <c r="I34">
        <f>COUNTIFS(DATA_WITH_GENUS_OLD!A:A,A34,DATA_WITH_GENUS_OLD!K:K,"~*")</f>
        <v>4</v>
      </c>
      <c r="J34">
        <f>_xlfn.MAXIFS(DATA_WITH_GENUS_OLD!J:J,DATA_WITH_GENUS_OLD!A:A,A34)</f>
        <v>36</v>
      </c>
      <c r="K34" s="18" t="str" cm="1">
        <f t="array" ref="K34">_xlfn._xlws.FILTER(DATA_WITH_GENUS_OLD!E:E,(DATA_WITH_GENUS_OLD!A:A=A34)*(DATA_WITH_GENUS_OLD!J:J=J34)*ROW(DATA_WITH_GENUS_OLD!E:E),0)</f>
        <v>Philopotamidae</v>
      </c>
      <c r="L34" s="11">
        <f>IF(F34="","",IF(F34&gt;7,0,IF(F34&lt;5,6,IF(F34&lt;=7,3))))</f>
        <v>6</v>
      </c>
      <c r="M34">
        <f>IF(G34="","",IF(G34&gt;10,6,IF(G34&lt;5,0,IF(G34&lt;=10,3))))</f>
        <v>6</v>
      </c>
      <c r="N34" s="13">
        <f>IF(H34="","",IF(H34&gt;5,6,IF(H34&lt;3,0,IF(H34&lt;=5,3))))</f>
        <v>3</v>
      </c>
      <c r="O34" s="14">
        <f>IF(I34="","",IF(I34&gt;35,6,IF(I34&lt;1,0,IF(I34&lt;=35,3,IF(I34&lt;1,0)))))</f>
        <v>3</v>
      </c>
      <c r="P34">
        <f>IF(J34="","",IF(J34&gt;60,0,IF(J34&lt;40,6,IF(J34&lt;=60,3))))</f>
        <v>6</v>
      </c>
      <c r="Q34" s="100">
        <f>SUM(L34:P34)</f>
        <v>24</v>
      </c>
      <c r="R34" s="15" t="str">
        <f>IF(Q34&gt;=24, "Non-Impaired", IF(Q34&lt;=6, "Severally Impaired", IF(Q34&gt;=9, "Moderately Impaired","")))</f>
        <v>Non-Impaired</v>
      </c>
      <c r="S34" s="15">
        <f>COUNTIFS(DATA_WITH_GENUS_OLD!A:A,A34,DATA_WITH_GENUS_OLD!J:J, "&gt;0")</f>
        <v>12</v>
      </c>
      <c r="T34" s="20">
        <f>ROUND((((COUNTIFS(DATA_WITH_GENUS_OLD!A:A,A34,DATA_WITH_GENUS_OLD!O:O,FALSE))/G34)*100),1)</f>
        <v>41.7</v>
      </c>
      <c r="U34" s="23">
        <f>SUMIFS(DATA_WITH_GENUS_OLD!J:J,DATA_WITH_GENUS_OLD!A:A,A34,DATA_WITH_GENUS_OLD!P:P,TRUE)</f>
        <v>39</v>
      </c>
      <c r="V34">
        <f>SUMIFS(DATA_WITH_GENUS_OLD!U:U,DATA_WITH_GENUS_OLD!A:A,A34)/100</f>
        <v>3.79</v>
      </c>
      <c r="W34" s="18">
        <f>COUNTIFS(DATA_WITH_GENUS_OLD!A:A,A34,DATA_WITH_GENUS_OLD!R:R,TRUE)</f>
        <v>4</v>
      </c>
      <c r="X34" s="18">
        <f>COUNTIFS(DATA_WITH_GENUS_OLD!A:A,A34,DATA_WITH_GENUS_OLD!S:S,2)</f>
        <v>0</v>
      </c>
      <c r="Y34">
        <f>COUNTIFS(DATA_WITH_GENUS_OLD!A:A,A34,DATA_WITH_GENUS_OLD!S:S,3)</f>
        <v>0</v>
      </c>
      <c r="Z34">
        <f>S34+26.53-(22.776+4.173*(LOG10(12.25807133)))</f>
        <v>11.21201439228237</v>
      </c>
      <c r="AA34">
        <f>T34</f>
        <v>41.7</v>
      </c>
      <c r="AB34">
        <f>(U34)+37.49-(49.22-13.8*(LOG10(12.25807133)))</f>
        <v>42.290225589864221</v>
      </c>
      <c r="AC34">
        <f>V34 + 4.23-(3.407+0.981*(LOG10(12.25807133)))</f>
        <v>3.545257876546609</v>
      </c>
      <c r="AD34">
        <f>V34 + 5.44-(3.889+0.981*(LOG10(12.25807133)))</f>
        <v>4.2732578765466105</v>
      </c>
      <c r="AE34" s="98">
        <f t="shared" ref="AE34:AE38" si="39">((100*Z34/31)+(100*(60-T34)/55)+(100*AB34/69)+(100*(7.2-AC34)/4.6)+(100*AD34/11)+(100*X34/8)+(100*Y34/8))/7</f>
        <v>35.575630322024075</v>
      </c>
      <c r="AF34" t="str">
        <f>IF(AE34&gt;=63, "Excellent", IF(AE34&lt;21, "Poor", IF(AE34&lt;42, "Fair","Good")))</f>
        <v>Fair</v>
      </c>
      <c r="AG34" s="19"/>
      <c r="AH34" s="19"/>
      <c r="AI34" s="89"/>
      <c r="AJ34" s="19"/>
      <c r="AK34" s="19"/>
      <c r="AL34" s="19"/>
      <c r="AN34" s="19"/>
    </row>
    <row r="35" spans="1:40">
      <c r="A35" t="str">
        <f>B35&amp;"_"&amp;TEXT(C35,"yyyy-mm-dd")</f>
        <v>BK1_2014-03-16</v>
      </c>
      <c r="B35" s="64" t="s">
        <v>51</v>
      </c>
      <c r="C35" s="36">
        <v>41714</v>
      </c>
      <c r="D35">
        <f>SUMIF(DATA_WITH_GENUS_OLD!A:A,A35,DATA_WITH_GENUS_OLD!F:F)</f>
        <v>140</v>
      </c>
      <c r="E35">
        <f>SUMIF(DATA_WITH_GENUS_OLD!A:A,A35,DATA_WITH_GENUS_OLD!J:J)</f>
        <v>100</v>
      </c>
      <c r="F35" s="98">
        <f>SUMIFS(DATA_WITH_GENUS_OLD!T:T,DATA_WITH_GENUS_OLD!A:A,A35)/100</f>
        <v>4.41</v>
      </c>
      <c r="G35" cm="1">
        <f t="array" ref="G35">COUNTA(_xlfn.UNIQUE(_xlfn._xlws.FILTER(DATA_WITH_GENUS_OLD!A:A&amp;DATA_WITH_GENUS_OLD!D:D,(DATA_WITH_GENUS_OLD!A:A = A35)*(DATA_WITH_GENUS_OLD!J:J&gt;0))))</f>
        <v>12</v>
      </c>
      <c r="H35">
        <f>COUNTIFS(DATA_WITH_GENUS_OLD!A:A,A35,DATA_WITH_GENUS_OLD!K:K,"~*")</f>
        <v>4</v>
      </c>
      <c r="I35">
        <f>COUNTIFS(DATA_WITH_GENUS_OLD!A:A,A35,DATA_WITH_GENUS_OLD!K:K,"~*")</f>
        <v>4</v>
      </c>
      <c r="J35">
        <f>_xlfn.MAXIFS(DATA_WITH_GENUS_OLD!J:J,DATA_WITH_GENUS_OLD!A:A,A35)</f>
        <v>40</v>
      </c>
      <c r="K35" s="18" t="str" cm="1">
        <f t="array" ref="K35">_xlfn._xlws.FILTER(DATA_WITH_GENUS_OLD!E:E,(DATA_WITH_GENUS_OLD!A:A=A35)*(DATA_WITH_GENUS_OLD!J:J=J35)*ROW(DATA_WITH_GENUS_OLD!E:E),0)</f>
        <v>Gammaridae</v>
      </c>
      <c r="L35" s="11">
        <f>IF(F35="","",IF(F35&gt;7,0,IF(F35&lt;5,6,IF(F35&lt;=7,3))))</f>
        <v>6</v>
      </c>
      <c r="M35">
        <f>IF(G35="","",IF(G35&gt;10,6,IF(G35&lt;5,0,IF(G35&lt;=10,3))))</f>
        <v>6</v>
      </c>
      <c r="N35" s="13">
        <f>IF(H35="","",IF(H35&gt;5,6,IF(H35&lt;3,0,IF(H35&lt;=5,3))))</f>
        <v>3</v>
      </c>
      <c r="O35" s="14">
        <f>IF(I35="","",IF(I35&gt;35,6,IF(I35&lt;1,0,IF(I35&lt;=35,3,IF(I35&lt;1,0)))))</f>
        <v>3</v>
      </c>
      <c r="P35">
        <f>IF(J35="","",IF(J35&gt;60,0,IF(J35&lt;40,6,IF(J35&lt;=60,3))))</f>
        <v>3</v>
      </c>
      <c r="Q35" s="100">
        <f>SUM(L35:P35)</f>
        <v>21</v>
      </c>
      <c r="R35" s="15" t="str">
        <f>IF(Q35&gt;=24, "Non-Impaired", IF(Q35&lt;=6, "Severally Impaired", IF(Q35&gt;=9, "Moderately Impaired","")))</f>
        <v>Moderately Impaired</v>
      </c>
      <c r="S35" s="15">
        <f>COUNTIFS(DATA_WITH_GENUS_OLD!A:A,A35,DATA_WITH_GENUS_OLD!J:J, "&gt;0")</f>
        <v>12</v>
      </c>
      <c r="T35" s="20">
        <f>ROUND((((COUNTIFS(DATA_WITH_GENUS_OLD!A:A,A35,DATA_WITH_GENUS_OLD!O:O,FALSE))/G35)*100),1)</f>
        <v>25</v>
      </c>
      <c r="U35" s="23">
        <f>SUMIFS(DATA_WITH_GENUS_OLD!J:J,DATA_WITH_GENUS_OLD!A:A,A35,DATA_WITH_GENUS_OLD!P:P,TRUE)</f>
        <v>3</v>
      </c>
      <c r="V35">
        <f>SUMIFS(DATA_WITH_GENUS_OLD!U:U,DATA_WITH_GENUS_OLD!A:A,A35)/100</f>
        <v>4.37</v>
      </c>
      <c r="W35" s="18">
        <f>COUNTIFS(DATA_WITH_GENUS_OLD!A:A,A35,DATA_WITH_GENUS_OLD!R:R,TRUE)</f>
        <v>2</v>
      </c>
      <c r="X35" s="18">
        <f>COUNTIFS(DATA_WITH_GENUS_OLD!A:A,A35,DATA_WITH_GENUS_OLD!S:S,2)</f>
        <v>1</v>
      </c>
      <c r="Y35">
        <f>COUNTIFS(DATA_WITH_GENUS_OLD!A:A,A35,DATA_WITH_GENUS_OLD!S:S,3)</f>
        <v>1</v>
      </c>
      <c r="Z35">
        <f>S35+26.53-(22.776+4.173*(LOG10(12.25807133)))</f>
        <v>11.21201439228237</v>
      </c>
      <c r="AA35">
        <f>T35</f>
        <v>25</v>
      </c>
      <c r="AB35">
        <f t="shared" ref="AB35:AB38" si="40">(U35)+37.49-(49.22-13.8*(LOG10(12.25807133)))</f>
        <v>6.2902255898642139</v>
      </c>
      <c r="AC35">
        <f>V35 + 4.23-(3.407+0.981*(LOG10(12.25807133)))</f>
        <v>4.1252578765466108</v>
      </c>
      <c r="AD35">
        <f>V35 + 5.44-(3.889+0.981*(LOG10(12.25807133)))</f>
        <v>4.8532578765466106</v>
      </c>
      <c r="AE35" s="98">
        <f t="shared" si="39"/>
        <v>34.983309599268566</v>
      </c>
      <c r="AF35" t="str">
        <f>IF(AE35&gt;=63, "Excellent", IF(AE35&lt;21, "Poor", IF(AE35&lt;42, "Fair","Good")))</f>
        <v>Fair</v>
      </c>
      <c r="AI35" s="47"/>
      <c r="AJ35" s="45"/>
    </row>
    <row r="36" spans="1:40">
      <c r="A36" t="str">
        <f>B36&amp;"_"&amp;TEXT(C36,"yyyy-mm-dd")</f>
        <v>BK1_2014-10-18</v>
      </c>
      <c r="B36" s="64" t="s">
        <v>51</v>
      </c>
      <c r="C36" s="3">
        <v>41930</v>
      </c>
      <c r="D36">
        <f>SUMIF(DATA_WITH_GENUS_OLD!A:A,A36,DATA_WITH_GENUS_OLD!F:F)</f>
        <v>100</v>
      </c>
      <c r="E36">
        <f>SUMIF(DATA_WITH_GENUS_OLD!A:A,A36,DATA_WITH_GENUS_OLD!J:J)</f>
        <v>100</v>
      </c>
      <c r="F36" s="98">
        <f>SUMIFS(DATA_WITH_GENUS_OLD!T:T,DATA_WITH_GENUS_OLD!A:A,A36)/100</f>
        <v>5.54</v>
      </c>
      <c r="G36" cm="1">
        <f t="array" ref="G36">COUNTA(_xlfn.UNIQUE(_xlfn._xlws.FILTER(DATA_WITH_GENUS_OLD!A:A&amp;DATA_WITH_GENUS_OLD!D:D,(DATA_WITH_GENUS_OLD!A:A = A36)*(DATA_WITH_GENUS_OLD!J:J&gt;0))))</f>
        <v>9</v>
      </c>
      <c r="H36">
        <f>COUNTIFS(DATA_WITH_GENUS_OLD!A:A,A36,DATA_WITH_GENUS_OLD!K:K,"~*")</f>
        <v>2</v>
      </c>
      <c r="I36">
        <f>COUNTIFS(DATA_WITH_GENUS_OLD!A:A,A36,DATA_WITH_GENUS_OLD!K:K,"~*")</f>
        <v>2</v>
      </c>
      <c r="J36">
        <f>_xlfn.MAXIFS(DATA_WITH_GENUS_OLD!J:J,DATA_WITH_GENUS_OLD!A:A,A36)</f>
        <v>76</v>
      </c>
      <c r="K36" s="18" t="str" cm="1">
        <f t="array" ref="K36">_xlfn._xlws.FILTER(DATA_WITH_GENUS_OLD!E:E,(DATA_WITH_GENUS_OLD!A:A=A36)*(DATA_WITH_GENUS_OLD!J:J=J36)*ROW(DATA_WITH_GENUS_OLD!E:E),0)</f>
        <v>Polycentropodidae</v>
      </c>
      <c r="L36" s="11">
        <f t="shared" ref="L36:L38" si="41">IF(F36="","",IF(F36&gt;7,0,IF(F36&lt;5,6,IF(F36&lt;=7,3))))</f>
        <v>3</v>
      </c>
      <c r="M36">
        <f t="shared" ref="M36:M38" si="42">IF(G36="","",IF(G36&gt;10,6,IF(G36&lt;5,0,IF(G36&lt;=10,3))))</f>
        <v>3</v>
      </c>
      <c r="N36" s="13">
        <f t="shared" ref="N36:N38" si="43">IF(H36="","",IF(H36&gt;5,6,IF(H36&lt;3,0,IF(H36&lt;=5,3))))</f>
        <v>0</v>
      </c>
      <c r="O36" s="14">
        <f t="shared" ref="O36:O38" si="44">IF(I36="","",IF(I36&gt;35,6,IF(I36&lt;1,0,IF(I36&lt;=35,3,IF(I36&lt;1,0)))))</f>
        <v>3</v>
      </c>
      <c r="P36">
        <f t="shared" ref="P36:P38" si="45">IF(J36="","",IF(J36&gt;60,0,IF(J36&lt;40,6,IF(J36&lt;=60,3))))</f>
        <v>0</v>
      </c>
      <c r="Q36" s="100">
        <f t="shared" ref="Q36:Q38" si="46">SUM(L36:P36)</f>
        <v>9</v>
      </c>
      <c r="R36" s="15" t="str">
        <f t="shared" ref="R36:R38" si="47">IF(Q36&gt;=24, "Non-Impaired", IF(Q36&lt;=6, "Severally Impaired", IF(Q36&gt;=9, "Moderately Impaired","")))</f>
        <v>Moderately Impaired</v>
      </c>
      <c r="S36" s="15">
        <f>COUNTIFS(DATA_WITH_GENUS_OLD!A:A,A36,DATA_WITH_GENUS_OLD!J:J, "&gt;0")</f>
        <v>9</v>
      </c>
      <c r="T36" s="20">
        <f>ROUND((((COUNTIFS(DATA_WITH_GENUS_OLD!A:A,A36,DATA_WITH_GENUS_OLD!O:O,FALSE))/G36)*100),1)</f>
        <v>44.4</v>
      </c>
      <c r="U36" s="23">
        <f>SUMIFS(DATA_WITH_GENUS_OLD!J:J,DATA_WITH_GENUS_OLD!A:A,A36,DATA_WITH_GENUS_OLD!P:P,TRUE)</f>
        <v>76</v>
      </c>
      <c r="V36">
        <f>SUMIFS(DATA_WITH_GENUS_OLD!U:U,DATA_WITH_GENUS_OLD!A:A,A36)/100</f>
        <v>5.54</v>
      </c>
      <c r="W36" s="18">
        <f>COUNTIFS(DATA_WITH_GENUS_OLD!A:A,A36,DATA_WITH_GENUS_OLD!R:R,TRUE)</f>
        <v>1</v>
      </c>
      <c r="X36" s="18">
        <f>COUNTIFS(DATA_WITH_GENUS_OLD!A:A,A36,DATA_WITH_GENUS_OLD!S:S,2)</f>
        <v>0</v>
      </c>
      <c r="Y36">
        <f>COUNTIFS(DATA_WITH_GENUS_OLD!A:A,A36,DATA_WITH_GENUS_OLD!S:S,3)</f>
        <v>0</v>
      </c>
      <c r="Z36">
        <f t="shared" ref="Z36:Z38" si="48">S36+26.53-(22.776+4.173*(LOG10(12.25807133)))</f>
        <v>8.2120143922823701</v>
      </c>
      <c r="AA36">
        <f>T36</f>
        <v>44.4</v>
      </c>
      <c r="AB36">
        <f t="shared" si="40"/>
        <v>79.290225589864221</v>
      </c>
      <c r="AC36">
        <f t="shared" ref="AC36:AC38" si="49">V36 + 4.23-(3.407+0.981*(LOG10(12.25807133)))</f>
        <v>5.295257876546609</v>
      </c>
      <c r="AD36">
        <f t="shared" ref="AD36:AD38" si="50">V36 + 5.44-(3.889+0.981*(LOG10(12.25807133)))</f>
        <v>6.0232578765466105</v>
      </c>
      <c r="AE36" s="98">
        <f t="shared" si="39"/>
        <v>37.990243292036766</v>
      </c>
      <c r="AF36" t="str">
        <f t="shared" ref="AF36:AF38" si="51">IF(AE36&gt;=63, "Excellent", IF(AE36&lt;21, "Poor", IF(AE36&lt;42, "Fair","Good")))</f>
        <v>Fair</v>
      </c>
    </row>
    <row r="37" spans="1:40">
      <c r="A37" t="str">
        <f>B37&amp;"_"&amp;TEXT(C37,"yyyy-mm-dd")</f>
        <v>BK1_2015-07-19</v>
      </c>
      <c r="B37" s="64" t="s">
        <v>51</v>
      </c>
      <c r="C37" s="3">
        <v>42204</v>
      </c>
      <c r="D37">
        <f>SUMIF(DATA_WITH_GENUS_OLD!A:A,A37,DATA_WITH_GENUS_OLD!F:F)</f>
        <v>127</v>
      </c>
      <c r="E37">
        <f>SUMIF(DATA_WITH_GENUS_OLD!A:A,A37,DATA_WITH_GENUS_OLD!J:J)</f>
        <v>100</v>
      </c>
      <c r="F37" s="98">
        <f>SUMIFS(DATA_WITH_GENUS_OLD!T:T,DATA_WITH_GENUS_OLD!A:A,A37)/100</f>
        <v>3.55</v>
      </c>
      <c r="G37" cm="1">
        <f t="array" ref="G37">COUNTA(_xlfn.UNIQUE(_xlfn._xlws.FILTER(DATA_WITH_GENUS_OLD!A:A&amp;DATA_WITH_GENUS_OLD!D:D,(DATA_WITH_GENUS_OLD!A:A = A37)*(DATA_WITH_GENUS_OLD!J:J&gt;0))))</f>
        <v>10</v>
      </c>
      <c r="H37">
        <f>COUNTIFS(DATA_WITH_GENUS_OLD!A:A,A37,DATA_WITH_GENUS_OLD!K:K,"~*")</f>
        <v>3</v>
      </c>
      <c r="I37">
        <f>COUNTIFS(DATA_WITH_GENUS_OLD!A:A,A37,DATA_WITH_GENUS_OLD!K:K,"~*")</f>
        <v>3</v>
      </c>
      <c r="J37">
        <f>_xlfn.MAXIFS(DATA_WITH_GENUS_OLD!J:J,DATA_WITH_GENUS_OLD!A:A,A37)</f>
        <v>42</v>
      </c>
      <c r="K37" s="18" t="str" cm="1">
        <f t="array" ref="K37">_xlfn._xlws.FILTER(DATA_WITH_GENUS_OLD!E:E,(DATA_WITH_GENUS_OLD!A:A=A37)*(DATA_WITH_GENUS_OLD!J:J=J37)*ROW(DATA_WITH_GENUS_OLD!E:E),0)</f>
        <v>Philopotamidae</v>
      </c>
      <c r="L37" s="11">
        <f t="shared" si="41"/>
        <v>6</v>
      </c>
      <c r="M37">
        <f t="shared" si="42"/>
        <v>3</v>
      </c>
      <c r="N37" s="13">
        <f t="shared" si="43"/>
        <v>3</v>
      </c>
      <c r="O37" s="14">
        <f t="shared" si="44"/>
        <v>3</v>
      </c>
      <c r="P37">
        <f t="shared" si="45"/>
        <v>3</v>
      </c>
      <c r="Q37" s="100">
        <f t="shared" si="46"/>
        <v>18</v>
      </c>
      <c r="R37" s="15" t="str">
        <f t="shared" si="47"/>
        <v>Moderately Impaired</v>
      </c>
      <c r="S37" s="15">
        <f>COUNTIFS(DATA_WITH_GENUS_OLD!A:A,A37,DATA_WITH_GENUS_OLD!J:J, "&gt;0")</f>
        <v>10</v>
      </c>
      <c r="T37" s="20">
        <f>ROUND((((COUNTIFS(DATA_WITH_GENUS_OLD!A:A,A37,DATA_WITH_GENUS_OLD!O:O,FALSE))/G37)*100),1)</f>
        <v>0</v>
      </c>
      <c r="U37" s="23">
        <f>SUMIFS(DATA_WITH_GENUS_OLD!J:J,DATA_WITH_GENUS_OLD!A:A,A37,DATA_WITH_GENUS_OLD!P:P,TRUE)</f>
        <v>44</v>
      </c>
      <c r="V37">
        <f>SUMIFS(DATA_WITH_GENUS_OLD!U:U,DATA_WITH_GENUS_OLD!A:A,A37)/100</f>
        <v>3.55</v>
      </c>
      <c r="W37" s="18">
        <f>COUNTIFS(DATA_WITH_GENUS_OLD!A:A,A37,DATA_WITH_GENUS_OLD!R:R,TRUE)</f>
        <v>3</v>
      </c>
      <c r="X37" s="18">
        <f>COUNTIFS(DATA_WITH_GENUS_OLD!A:A,A37,DATA_WITH_GENUS_OLD!S:S,2)</f>
        <v>0</v>
      </c>
      <c r="Y37">
        <f>COUNTIFS(DATA_WITH_GENUS_OLD!A:A,A37,DATA_WITH_GENUS_OLD!S:S,3)</f>
        <v>1</v>
      </c>
      <c r="Z37">
        <f t="shared" si="48"/>
        <v>9.2120143922823701</v>
      </c>
      <c r="AA37">
        <f>T37</f>
        <v>0</v>
      </c>
      <c r="AB37">
        <f t="shared" si="40"/>
        <v>47.290225589864221</v>
      </c>
      <c r="AC37">
        <f t="shared" si="49"/>
        <v>3.3052578765466096</v>
      </c>
      <c r="AD37">
        <f t="shared" si="50"/>
        <v>4.0332578765466103</v>
      </c>
      <c r="AE37" s="98">
        <f t="shared" si="39"/>
        <v>48.739704443321202</v>
      </c>
      <c r="AF37" t="str">
        <f t="shared" si="51"/>
        <v>Good</v>
      </c>
      <c r="AI37" s="2"/>
      <c r="AJ37" s="45"/>
    </row>
    <row r="38" spans="1:40">
      <c r="A38" t="str">
        <f>B38&amp;"_"&amp;TEXT(C38,"yyyy-mm-dd")</f>
        <v>BK1_2015-10-18</v>
      </c>
      <c r="B38" s="64" t="s">
        <v>51</v>
      </c>
      <c r="C38" s="3">
        <v>42295</v>
      </c>
      <c r="D38">
        <f>SUMIF(DATA_WITH_GENUS_OLD!A:A,A38,DATA_WITH_GENUS_OLD!F:F)</f>
        <v>104</v>
      </c>
      <c r="E38">
        <f>SUMIF(DATA_WITH_GENUS_OLD!A:A,A38,DATA_WITH_GENUS_OLD!J:J)</f>
        <v>100</v>
      </c>
      <c r="F38" s="98">
        <f>SUMIFS(DATA_WITH_GENUS_OLD!T:T,DATA_WITH_GENUS_OLD!A:A,A38)/100</f>
        <v>4.53</v>
      </c>
      <c r="G38" cm="1">
        <f t="array" ref="G38">COUNTA(_xlfn.UNIQUE(_xlfn._xlws.FILTER(DATA_WITH_GENUS_OLD!A:A&amp;DATA_WITH_GENUS_OLD!D:D,(DATA_WITH_GENUS_OLD!A:A = A38)*(DATA_WITH_GENUS_OLD!J:J&gt;0))))</f>
        <v>13</v>
      </c>
      <c r="H38">
        <f>COUNTIFS(DATA_WITH_GENUS_OLD!A:A,A38,DATA_WITH_GENUS_OLD!K:K,"~*")</f>
        <v>2</v>
      </c>
      <c r="I38">
        <f>COUNTIFS(DATA_WITH_GENUS_OLD!A:A,A38,DATA_WITH_GENUS_OLD!K:K,"~*")</f>
        <v>2</v>
      </c>
      <c r="J38">
        <f>_xlfn.MAXIFS(DATA_WITH_GENUS_OLD!J:J,DATA_WITH_GENUS_OLD!A:A,A38)</f>
        <v>27</v>
      </c>
      <c r="K38" s="18" t="str" cm="1">
        <f t="array" ref="K38">_xlfn._xlws.FILTER(DATA_WITH_GENUS_OLD!E:E,(DATA_WITH_GENUS_OLD!A:A=A38)*(DATA_WITH_GENUS_OLD!J:J=J38)*ROW(DATA_WITH_GENUS_OLD!E:E),0)</f>
        <v>Psephenidae</v>
      </c>
      <c r="L38" s="11">
        <f t="shared" si="41"/>
        <v>6</v>
      </c>
      <c r="M38">
        <f t="shared" si="42"/>
        <v>6</v>
      </c>
      <c r="N38" s="13">
        <f t="shared" si="43"/>
        <v>0</v>
      </c>
      <c r="O38" s="14">
        <f t="shared" si="44"/>
        <v>3</v>
      </c>
      <c r="P38">
        <f t="shared" si="45"/>
        <v>6</v>
      </c>
      <c r="Q38" s="100">
        <f t="shared" si="46"/>
        <v>21</v>
      </c>
      <c r="R38" s="15" t="str">
        <f t="shared" si="47"/>
        <v>Moderately Impaired</v>
      </c>
      <c r="S38" s="15">
        <f>COUNTIFS(DATA_WITH_GENUS_OLD!A:A,A38,DATA_WITH_GENUS_OLD!J:J, "&gt;0")</f>
        <v>13</v>
      </c>
      <c r="T38" s="20">
        <f>ROUND((((COUNTIFS(DATA_WITH_GENUS_OLD!A:A,A38,DATA_WITH_GENUS_OLD!O:O,FALSE))/G38)*100),1)</f>
        <v>15.4</v>
      </c>
      <c r="U38" s="23">
        <f>SUMIFS(DATA_WITH_GENUS_OLD!J:J,DATA_WITH_GENUS_OLD!A:A,A38,DATA_WITH_GENUS_OLD!P:P,TRUE)</f>
        <v>1</v>
      </c>
      <c r="V38">
        <f>SUMIFS(DATA_WITH_GENUS_OLD!U:U,DATA_WITH_GENUS_OLD!A:A,A38)/100</f>
        <v>4.53</v>
      </c>
      <c r="W38" s="18">
        <f>COUNTIFS(DATA_WITH_GENUS_OLD!A:A,A38,DATA_WITH_GENUS_OLD!R:R,TRUE)</f>
        <v>4</v>
      </c>
      <c r="X38" s="18">
        <f>COUNTIFS(DATA_WITH_GENUS_OLD!A:A,A38,DATA_WITH_GENUS_OLD!S:S,2)</f>
        <v>0</v>
      </c>
      <c r="Y38">
        <f>COUNTIFS(DATA_WITH_GENUS_OLD!A:A,A38,DATA_WITH_GENUS_OLD!S:S,3)</f>
        <v>1</v>
      </c>
      <c r="Z38">
        <f t="shared" si="48"/>
        <v>12.21201439228237</v>
      </c>
      <c r="AA38">
        <f>T38</f>
        <v>15.4</v>
      </c>
      <c r="AB38">
        <f t="shared" si="40"/>
        <v>4.2902255898642139</v>
      </c>
      <c r="AC38">
        <f t="shared" si="49"/>
        <v>4.2852578765466109</v>
      </c>
      <c r="AD38">
        <f t="shared" si="50"/>
        <v>5.0132578765466107</v>
      </c>
      <c r="AE38" s="98">
        <f t="shared" si="39"/>
        <v>35.448750423054413</v>
      </c>
      <c r="AF38" t="str">
        <f t="shared" si="51"/>
        <v>Fair</v>
      </c>
    </row>
    <row r="39" spans="1:40">
      <c r="B39" s="64"/>
      <c r="Z39" s="37"/>
    </row>
    <row r="40" spans="1:40">
      <c r="Z40" s="46"/>
    </row>
    <row r="41" spans="1:40">
      <c r="Z41" s="24"/>
      <c r="AD41" s="24"/>
    </row>
  </sheetData>
  <phoneticPr fontId="2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69DBD-DF05-44D4-BC39-B2E9082A3DBF}">
  <sheetPr>
    <tabColor rgb="FF00B0F0"/>
  </sheetPr>
  <dimension ref="A1:AD35"/>
  <sheetViews>
    <sheetView zoomScaleNormal="222" workbookViewId="0">
      <selection activeCell="S26" sqref="S26"/>
    </sheetView>
  </sheetViews>
  <sheetFormatPr baseColWidth="10" defaultColWidth="8.83203125" defaultRowHeight="15"/>
  <cols>
    <col min="1" max="1" width="17" customWidth="1"/>
    <col min="2" max="2" width="8.6640625" customWidth="1"/>
    <col min="3" max="3" width="11.5" customWidth="1"/>
    <col min="4" max="4" width="11.6640625" customWidth="1"/>
    <col min="5" max="5" width="12.33203125" customWidth="1"/>
    <col min="6" max="6" width="11.1640625" style="98" customWidth="1"/>
    <col min="7" max="7" width="9.5" customWidth="1"/>
    <col min="8" max="8" width="10.83203125" customWidth="1"/>
    <col min="9" max="9" width="11.83203125" customWidth="1"/>
    <col min="10" max="10" width="13.5" customWidth="1"/>
    <col min="11" max="11" width="25.33203125" customWidth="1"/>
    <col min="12" max="12" width="11.83203125" customWidth="1"/>
    <col min="13" max="13" width="11.33203125" customWidth="1"/>
    <col min="14" max="15" width="12.5" customWidth="1"/>
    <col min="16" max="16" width="16.5" customWidth="1"/>
    <col min="17" max="17" width="12" style="98" customWidth="1"/>
    <col min="18" max="18" width="18.1640625" customWidth="1"/>
    <col min="19" max="20" width="14.5" customWidth="1"/>
    <col min="21" max="21" width="16.5" customWidth="1"/>
    <col min="22" max="22" width="14.5" customWidth="1"/>
    <col min="23" max="23" width="11.33203125" customWidth="1"/>
    <col min="24" max="24" width="12.6640625" customWidth="1"/>
    <col min="25" max="25" width="17.1640625" customWidth="1"/>
    <col min="26" max="26" width="15.6640625" customWidth="1"/>
    <col min="27" max="27" width="13.83203125" customWidth="1"/>
    <col min="28" max="28" width="15" customWidth="1"/>
    <col min="29" max="29" width="11.33203125" style="98" customWidth="1"/>
    <col min="30" max="30" width="13.1640625" customWidth="1"/>
  </cols>
  <sheetData>
    <row r="1" spans="1:30" s="58" customFormat="1" ht="48">
      <c r="A1" s="48" t="s">
        <v>0</v>
      </c>
      <c r="B1" s="49" t="s">
        <v>1</v>
      </c>
      <c r="C1" s="49" t="s">
        <v>2</v>
      </c>
      <c r="D1" s="48" t="s">
        <v>3</v>
      </c>
      <c r="E1" s="48" t="s">
        <v>4</v>
      </c>
      <c r="F1" s="96" t="s">
        <v>5</v>
      </c>
      <c r="G1" s="50" t="s">
        <v>2966</v>
      </c>
      <c r="H1" s="51" t="s">
        <v>7</v>
      </c>
      <c r="I1" s="50" t="s">
        <v>8</v>
      </c>
      <c r="J1" s="52" t="s">
        <v>9</v>
      </c>
      <c r="K1" s="53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99" t="s">
        <v>16</v>
      </c>
      <c r="R1" s="17" t="s">
        <v>17</v>
      </c>
      <c r="S1" s="53" t="s">
        <v>18</v>
      </c>
      <c r="T1" s="53" t="s">
        <v>19</v>
      </c>
      <c r="U1" s="53" t="s">
        <v>20</v>
      </c>
      <c r="V1" s="52" t="s">
        <v>21</v>
      </c>
      <c r="W1" s="53" t="s">
        <v>22</v>
      </c>
      <c r="X1" s="54" t="s">
        <v>23</v>
      </c>
      <c r="Y1" s="54" t="s">
        <v>24</v>
      </c>
      <c r="Z1" s="59" t="s">
        <v>25</v>
      </c>
      <c r="AA1" s="57" t="s">
        <v>26</v>
      </c>
      <c r="AB1" s="57" t="s">
        <v>27</v>
      </c>
      <c r="AC1" s="101" t="s">
        <v>28</v>
      </c>
      <c r="AD1" s="55" t="s">
        <v>2997</v>
      </c>
    </row>
    <row r="2" spans="1:30" s="58" customFormat="1">
      <c r="A2" t="str">
        <f t="shared" ref="A2:A34" si="0">B2&amp;"_"&amp;TEXT(C2,"yyyy-mm-dd")</f>
        <v>CB2_2003-10-18</v>
      </c>
      <c r="B2" s="90" t="s">
        <v>52</v>
      </c>
      <c r="C2" s="91">
        <v>37912</v>
      </c>
      <c r="D2">
        <f>SUMIF(DATA_WITHOUT_GENUS!A:A,A2,DATA_WITHOUT_GENUS!E:E)</f>
        <v>153</v>
      </c>
      <c r="E2">
        <f>SUMIF(DATA_WITHOUT_GENUS!A:A,A2,DATA_WITHOUT_GENUS!I:I)</f>
        <v>100</v>
      </c>
      <c r="F2" s="97">
        <f>SUMIFS(DATA_WITHOUT_GENUS!M:M,DATA_WITHOUT_GENUS!A:A,A2)/100</f>
        <v>7.06</v>
      </c>
      <c r="G2">
        <f>COUNTIFS(DATA_WITHOUT_GENUS!A:A,A2,DATA_WITHOUT_GENUS!I:I, "&gt;0")</f>
        <v>10</v>
      </c>
      <c r="H2">
        <f>COUNTIFS(DATA_WITHOUT_GENUS!A:A,A2,DATA_WITHOUT_GENUS!J:J,TRUE)</f>
        <v>5</v>
      </c>
      <c r="I2" s="18">
        <f>SUMIFS(DATA_WITHOUT_GENUS!I:I,DATA_WITHOUT_GENUS!A:A,A2,DATA_WITHOUT_GENUS!J:J,TRUE)</f>
        <v>13</v>
      </c>
      <c r="J2">
        <f>_xlfn.MAXIFS(DATA_WITHOUT_GENUS!I:I,DATA_WITHOUT_GENUS!A:A,A2)</f>
        <v>72</v>
      </c>
      <c r="K2" s="18" t="str" cm="1">
        <f t="array" ref="K2">_xlfn._xlws.FILTER(DATA_WITHOUT_GENUS!D:D,(DATA_WITHOUT_GENUS!A:A=A2)*(DATA_WITHOUT_GENUS!I:I=J2)*ROW(DATA_WITHOUT_GENUS!D:D),0)</f>
        <v>Clams</v>
      </c>
      <c r="L2" s="30">
        <f>IF(F2="","",IF(F2&gt;7,0,IF(F2&lt;5,6,IF(F2&lt;=7,3))))</f>
        <v>0</v>
      </c>
      <c r="M2">
        <f>IF(G2="","",IF(G2&gt;10,6,IF(G2&lt;5,0,IF(G2&lt;=10,3))))</f>
        <v>3</v>
      </c>
      <c r="N2" s="31">
        <f>IF(H2="","",IF(H2&gt;5,6,IF(H2&lt;3,0,IF(H2&lt;=5,3))))</f>
        <v>3</v>
      </c>
      <c r="O2" s="32">
        <f>IF(I2="","",IF(I2&gt;35,6,IF(I2&lt;10,0,IF(I2&lt;=35,3,IF(I2&lt;10,0)))))</f>
        <v>3</v>
      </c>
      <c r="P2">
        <f>IF(J2="","",IF(J2&gt;60,0,IF(J2&lt;40,6,IF(J2&lt;=60,3))))</f>
        <v>0</v>
      </c>
      <c r="Q2" s="100">
        <f>SUM(L2:P2)</f>
        <v>9</v>
      </c>
      <c r="R2" s="15" t="str">
        <f>IF(Q2&gt;=24, "Non-Impaired", IF(Q2&lt;=6, "Severally Impaired", IF(Q2&gt;=9, "Moderately Impaired","")))</f>
        <v>Moderately Impaired</v>
      </c>
      <c r="S2" s="53"/>
      <c r="T2" s="53"/>
      <c r="U2" s="53"/>
      <c r="V2" s="52"/>
      <c r="W2" s="53"/>
      <c r="X2" s="109"/>
      <c r="Y2" s="109"/>
      <c r="Z2" s="110"/>
      <c r="AA2" s="111"/>
      <c r="AB2" s="111"/>
      <c r="AC2" s="101"/>
      <c r="AD2" s="112"/>
    </row>
    <row r="3" spans="1:30" s="58" customFormat="1">
      <c r="A3" t="str">
        <f t="shared" si="0"/>
        <v>CB2_2004-03-20</v>
      </c>
      <c r="B3" s="73" t="s">
        <v>52</v>
      </c>
      <c r="C3" s="87">
        <v>38066</v>
      </c>
      <c r="D3">
        <f>SUMIF(DATA_WITHOUT_GENUS!A:A,A3,DATA_WITHOUT_GENUS!E:E)</f>
        <v>131</v>
      </c>
      <c r="E3">
        <f>SUMIF(DATA_WITHOUT_GENUS!A:A,A3,DATA_WITHOUT_GENUS!I:I)</f>
        <v>100</v>
      </c>
      <c r="F3" s="97">
        <f>SUMIFS(DATA_WITHOUT_GENUS!M:M,DATA_WITHOUT_GENUS!A:A,A3)/100</f>
        <v>6.86</v>
      </c>
      <c r="G3">
        <f>COUNTIFS(DATA_WITHOUT_GENUS!A:A,A3,DATA_WITHOUT_GENUS!I:I, "&gt;0")</f>
        <v>8</v>
      </c>
      <c r="H3">
        <f>COUNTIFS(DATA_WITHOUT_GENUS!A:A,A3,DATA_WITHOUT_GENUS!J:J,TRUE)</f>
        <v>1</v>
      </c>
      <c r="I3" s="18">
        <f>SUMIFS(DATA_WITHOUT_GENUS!I:I,DATA_WITHOUT_GENUS!A:A,A3,DATA_WITHOUT_GENUS!J:J,TRUE)</f>
        <v>26</v>
      </c>
      <c r="J3">
        <f>_xlfn.MAXIFS(DATA_WITHOUT_GENUS!I:I,DATA_WITHOUT_GENUS!A:A,A3)</f>
        <v>50</v>
      </c>
      <c r="K3" s="18" t="str" cm="1">
        <f t="array" ref="K3">_xlfn._xlws.FILTER(DATA_WITHOUT_GENUS!D:D,(DATA_WITHOUT_GENUS!A:A=A3)*(DATA_WITHOUT_GENUS!I:I=J3)*ROW(DATA_WITHOUT_GENUS!D:D),0)</f>
        <v>Clams</v>
      </c>
      <c r="L3" s="30">
        <f t="shared" ref="L3:L8" si="1">IF(F3="","",IF(F3&gt;7,0,IF(F3&lt;5,6,IF(F3&lt;=7,3))))</f>
        <v>3</v>
      </c>
      <c r="M3">
        <f t="shared" ref="M3:M8" si="2">IF(G3="","",IF(G3&gt;10,6,IF(G3&lt;5,0,IF(G3&lt;=10,3))))</f>
        <v>3</v>
      </c>
      <c r="N3" s="31">
        <f t="shared" ref="N3:N8" si="3">IF(H3="","",IF(H3&gt;5,6,IF(H3&lt;3,0,IF(H3&lt;=5,3))))</f>
        <v>0</v>
      </c>
      <c r="O3" s="32">
        <f t="shared" ref="O3:O8" si="4">IF(I3="","",IF(I3&gt;35,6,IF(I3&lt;10,0,IF(I3&lt;=35,3,IF(I3&lt;10,0)))))</f>
        <v>3</v>
      </c>
      <c r="P3">
        <f t="shared" ref="P3:P8" si="5">IF(J3="","",IF(J3&gt;60,0,IF(J3&lt;40,6,IF(J3&lt;=60,3))))</f>
        <v>3</v>
      </c>
      <c r="Q3" s="100">
        <f t="shared" ref="Q3:Q8" si="6">SUM(L3:P3)</f>
        <v>12</v>
      </c>
      <c r="R3" s="15" t="str">
        <f t="shared" ref="R3:R25" si="7">IF(Q3&gt;=24, "Non-Impaired", IF(Q3&lt;=6, "Severally Impaired", IF(Q3&gt;=9, "Moderately Impaired","")))</f>
        <v>Moderately Impaired</v>
      </c>
      <c r="S3" s="53"/>
      <c r="T3" s="53"/>
      <c r="U3" s="53"/>
      <c r="V3" s="52"/>
      <c r="W3" s="53"/>
      <c r="X3" s="109"/>
      <c r="Y3" s="109"/>
      <c r="Z3" s="110"/>
      <c r="AA3" s="111"/>
      <c r="AB3" s="111"/>
      <c r="AC3" s="101"/>
      <c r="AD3" s="112"/>
    </row>
    <row r="4" spans="1:30" s="58" customFormat="1">
      <c r="A4" t="str">
        <f t="shared" si="0"/>
        <v>CB2_2005-10-28</v>
      </c>
      <c r="B4" s="73" t="s">
        <v>52</v>
      </c>
      <c r="C4" s="87">
        <v>38653</v>
      </c>
      <c r="D4">
        <f>SUMIF(DATA_WITHOUT_GENUS!A:A,A4,DATA_WITHOUT_GENUS!E:E)</f>
        <v>116</v>
      </c>
      <c r="E4">
        <f>SUMIF(DATA_WITHOUT_GENUS!A:A,A4,DATA_WITHOUT_GENUS!I:I)</f>
        <v>100</v>
      </c>
      <c r="F4" s="97">
        <f>SUMIFS(DATA_WITHOUT_GENUS!M:M,DATA_WITHOUT_GENUS!A:A,A4)/100</f>
        <v>4.33</v>
      </c>
      <c r="G4">
        <f>COUNTIFS(DATA_WITHOUT_GENUS!A:A,A4,DATA_WITHOUT_GENUS!I:I, "&gt;0")</f>
        <v>8</v>
      </c>
      <c r="H4">
        <f>COUNTIFS(DATA_WITHOUT_GENUS!A:A,A4,DATA_WITHOUT_GENUS!J:J,TRUE)</f>
        <v>1</v>
      </c>
      <c r="I4" s="18">
        <f>SUMIFS(DATA_WITHOUT_GENUS!I:I,DATA_WITHOUT_GENUS!A:A,A4,DATA_WITHOUT_GENUS!J:J,TRUE)</f>
        <v>69</v>
      </c>
      <c r="J4">
        <f>_xlfn.MAXIFS(DATA_WITHOUT_GENUS!I:I,DATA_WITHOUT_GENUS!A:A,A4)</f>
        <v>69</v>
      </c>
      <c r="K4" s="18" t="str" cm="1">
        <f t="array" ref="K4">_xlfn._xlws.FILTER(DATA_WITHOUT_GENUS!D:D,(DATA_WITHOUT_GENUS!A:A=A4)*(DATA_WITHOUT_GENUS!I:I=J4)*ROW(DATA_WITHOUT_GENUS!D:D),0)</f>
        <v>Hydropsychidae</v>
      </c>
      <c r="L4" s="30">
        <f t="shared" si="1"/>
        <v>6</v>
      </c>
      <c r="M4">
        <f t="shared" si="2"/>
        <v>3</v>
      </c>
      <c r="N4" s="31">
        <f t="shared" si="3"/>
        <v>0</v>
      </c>
      <c r="O4" s="32">
        <f t="shared" si="4"/>
        <v>6</v>
      </c>
      <c r="P4">
        <f t="shared" si="5"/>
        <v>0</v>
      </c>
      <c r="Q4" s="100">
        <f t="shared" si="6"/>
        <v>15</v>
      </c>
      <c r="R4" s="15" t="str">
        <f t="shared" si="7"/>
        <v>Moderately Impaired</v>
      </c>
      <c r="S4" s="53"/>
      <c r="T4" s="53"/>
      <c r="U4" s="53"/>
      <c r="V4" s="52"/>
      <c r="W4" s="53"/>
      <c r="X4" s="109"/>
      <c r="Y4" s="109"/>
      <c r="Z4" s="110"/>
      <c r="AA4" s="111"/>
      <c r="AB4" s="111"/>
      <c r="AC4" s="101"/>
      <c r="AD4" s="112"/>
    </row>
    <row r="5" spans="1:30" s="58" customFormat="1">
      <c r="A5" t="str">
        <f t="shared" si="0"/>
        <v>CB2_2006-03-18</v>
      </c>
      <c r="B5" s="73" t="s">
        <v>52</v>
      </c>
      <c r="C5" s="87">
        <v>38794</v>
      </c>
      <c r="D5">
        <f>SUMIF(DATA_WITHOUT_GENUS!A:A,A5,DATA_WITHOUT_GENUS!E:E)</f>
        <v>124</v>
      </c>
      <c r="E5">
        <f>SUMIF(DATA_WITHOUT_GENUS!A:A,A5,DATA_WITHOUT_GENUS!I:I)</f>
        <v>100</v>
      </c>
      <c r="F5" s="97">
        <f>SUMIFS(DATA_WITHOUT_GENUS!M:M,DATA_WITHOUT_GENUS!A:A,A5)/100</f>
        <v>4.9400000000000004</v>
      </c>
      <c r="G5">
        <f>COUNTIFS(DATA_WITHOUT_GENUS!A:A,A5,DATA_WITHOUT_GENUS!I:I, "&gt;0")</f>
        <v>13</v>
      </c>
      <c r="H5">
        <f>COUNTIFS(DATA_WITHOUT_GENUS!A:A,A5,DATA_WITHOUT_GENUS!J:J,TRUE)</f>
        <v>2</v>
      </c>
      <c r="I5" s="18">
        <f>SUMIFS(DATA_WITHOUT_GENUS!I:I,DATA_WITHOUT_GENUS!A:A,A5,DATA_WITHOUT_GENUS!J:J,TRUE)</f>
        <v>22</v>
      </c>
      <c r="J5">
        <f>_xlfn.MAXIFS(DATA_WITHOUT_GENUS!I:I,DATA_WITHOUT_GENUS!A:A,A5)</f>
        <v>37</v>
      </c>
      <c r="K5" s="18" t="str" cm="1">
        <f t="array" ref="K5">_xlfn._xlws.FILTER(DATA_WITHOUT_GENUS!D:D,(DATA_WITHOUT_GENUS!A:A=A5)*(DATA_WITHOUT_GENUS!I:I=J5)*ROW(DATA_WITHOUT_GENUS!D:D),0)</f>
        <v>Elmidae</v>
      </c>
      <c r="L5" s="30">
        <f t="shared" si="1"/>
        <v>6</v>
      </c>
      <c r="M5">
        <f t="shared" si="2"/>
        <v>6</v>
      </c>
      <c r="N5" s="31">
        <f t="shared" si="3"/>
        <v>0</v>
      </c>
      <c r="O5" s="32">
        <f t="shared" si="4"/>
        <v>3</v>
      </c>
      <c r="P5">
        <f t="shared" si="5"/>
        <v>6</v>
      </c>
      <c r="Q5" s="100">
        <f t="shared" si="6"/>
        <v>21</v>
      </c>
      <c r="R5" s="15" t="str">
        <f t="shared" si="7"/>
        <v>Moderately Impaired</v>
      </c>
      <c r="S5" s="53"/>
      <c r="T5" s="53"/>
      <c r="U5" s="53"/>
      <c r="V5" s="52"/>
      <c r="W5" s="53"/>
      <c r="X5" s="109"/>
      <c r="Y5" s="109"/>
      <c r="Z5" s="110"/>
      <c r="AA5" s="111"/>
      <c r="AB5" s="111"/>
      <c r="AC5" s="101"/>
      <c r="AD5" s="112"/>
    </row>
    <row r="6" spans="1:30" s="58" customFormat="1">
      <c r="A6" t="str">
        <f t="shared" si="0"/>
        <v>CB2_2006-10-14</v>
      </c>
      <c r="B6" s="73" t="s">
        <v>52</v>
      </c>
      <c r="C6" s="87">
        <v>39004</v>
      </c>
      <c r="D6">
        <f>SUMIF(DATA_WITHOUT_GENUS!A:A,A6,DATA_WITHOUT_GENUS!E:E)</f>
        <v>107</v>
      </c>
      <c r="E6">
        <f>SUMIF(DATA_WITHOUT_GENUS!A:A,A6,DATA_WITHOUT_GENUS!I:I)</f>
        <v>100</v>
      </c>
      <c r="F6" s="97">
        <f>SUMIFS(DATA_WITHOUT_GENUS!M:M,DATA_WITHOUT_GENUS!A:A,A6)/100</f>
        <v>5.34</v>
      </c>
      <c r="G6">
        <f>COUNTIFS(DATA_WITHOUT_GENUS!A:A,A6,DATA_WITHOUT_GENUS!I:I, "&gt;0")</f>
        <v>9</v>
      </c>
      <c r="H6">
        <f>COUNTIFS(DATA_WITHOUT_GENUS!A:A,A6,DATA_WITHOUT_GENUS!J:J,TRUE)</f>
        <v>2</v>
      </c>
      <c r="I6" s="23">
        <f>SUMIFS(DATA_WITHOUT_GENUS!I:I,DATA_WITHOUT_GENUS!A:A,A6,DATA_WITHOUT_GENUS!J:J,TRUE)</f>
        <v>32</v>
      </c>
      <c r="J6">
        <f>_xlfn.MAXIFS(DATA_WITHOUT_GENUS!I:I,DATA_WITHOUT_GENUS!A:A,A6)</f>
        <v>47</v>
      </c>
      <c r="K6" s="18" t="str" cm="1">
        <f t="array" ref="K6">_xlfn._xlws.FILTER(DATA_WITHOUT_GENUS!D:D,(DATA_WITHOUT_GENUS!A:A=A6)*(DATA_WITHOUT_GENUS!I:I=J6)*ROW(DATA_WITHOUT_GENUS!D:D),0)</f>
        <v>Chironomidae</v>
      </c>
      <c r="L6" s="30">
        <f t="shared" si="1"/>
        <v>3</v>
      </c>
      <c r="M6">
        <f t="shared" si="2"/>
        <v>3</v>
      </c>
      <c r="N6" s="31">
        <f t="shared" si="3"/>
        <v>0</v>
      </c>
      <c r="O6" s="32">
        <f t="shared" si="4"/>
        <v>3</v>
      </c>
      <c r="P6">
        <f t="shared" si="5"/>
        <v>3</v>
      </c>
      <c r="Q6" s="100">
        <f t="shared" si="6"/>
        <v>12</v>
      </c>
      <c r="R6" s="15" t="str">
        <f t="shared" si="7"/>
        <v>Moderately Impaired</v>
      </c>
      <c r="S6" s="53"/>
      <c r="T6" s="53"/>
      <c r="U6" s="53"/>
      <c r="V6" s="52"/>
      <c r="W6" s="53"/>
      <c r="X6" s="109"/>
      <c r="Y6" s="109"/>
      <c r="Z6" s="110"/>
      <c r="AA6" s="111"/>
      <c r="AB6" s="111"/>
      <c r="AC6" s="101"/>
      <c r="AD6" s="112"/>
    </row>
    <row r="7" spans="1:30" s="58" customFormat="1">
      <c r="A7" t="str">
        <f t="shared" si="0"/>
        <v>CB2_2007-03-17</v>
      </c>
      <c r="B7" s="73" t="s">
        <v>52</v>
      </c>
      <c r="C7" s="87">
        <v>39158</v>
      </c>
      <c r="D7">
        <f>SUMIF(DATA_WITHOUT_GENUS!A:A,A7,DATA_WITHOUT_GENUS!E:E)</f>
        <v>119</v>
      </c>
      <c r="E7">
        <f>SUMIF(DATA_WITHOUT_GENUS!A:A,A7,DATA_WITHOUT_GENUS!I:I)</f>
        <v>100</v>
      </c>
      <c r="F7" s="97">
        <f>SUMIFS(DATA_WITHOUT_GENUS!M:M,DATA_WITHOUT_GENUS!A:A,A7)/100</f>
        <v>6.09</v>
      </c>
      <c r="G7">
        <f>COUNTIFS(DATA_WITHOUT_GENUS!A:A,A7,DATA_WITHOUT_GENUS!I:I, "&gt;0")</f>
        <v>11</v>
      </c>
      <c r="H7">
        <f>COUNTIFS(DATA_WITHOUT_GENUS!A:A,A7,DATA_WITHOUT_GENUS!J:J,TRUE)</f>
        <v>1</v>
      </c>
      <c r="I7" s="18">
        <f>SUMIFS(DATA_WITHOUT_GENUS!I:I,DATA_WITHOUT_GENUS!A:A,A7,DATA_WITHOUT_GENUS!J:J,TRUE)</f>
        <v>31</v>
      </c>
      <c r="J7">
        <f>_xlfn.MAXIFS(DATA_WITHOUT_GENUS!I:I,DATA_WITHOUT_GENUS!A:A,A7)</f>
        <v>31</v>
      </c>
      <c r="K7" t="s">
        <v>2955</v>
      </c>
      <c r="L7" s="30">
        <f t="shared" si="1"/>
        <v>3</v>
      </c>
      <c r="M7">
        <f t="shared" si="2"/>
        <v>6</v>
      </c>
      <c r="N7" s="31">
        <f t="shared" si="3"/>
        <v>0</v>
      </c>
      <c r="O7" s="32">
        <f t="shared" si="4"/>
        <v>3</v>
      </c>
      <c r="P7">
        <f t="shared" si="5"/>
        <v>6</v>
      </c>
      <c r="Q7" s="100">
        <f t="shared" si="6"/>
        <v>18</v>
      </c>
      <c r="R7" s="15" t="str">
        <f t="shared" si="7"/>
        <v>Moderately Impaired</v>
      </c>
      <c r="S7" s="53"/>
      <c r="T7" s="53"/>
      <c r="U7" s="53"/>
      <c r="V7" s="52"/>
      <c r="W7" s="53"/>
      <c r="X7" s="109"/>
      <c r="Y7" s="109"/>
      <c r="Z7" s="110"/>
      <c r="AA7" s="111"/>
      <c r="AB7" s="111"/>
      <c r="AC7" s="101"/>
      <c r="AD7" s="112"/>
    </row>
    <row r="8" spans="1:30" s="58" customFormat="1">
      <c r="A8" t="str">
        <f t="shared" si="0"/>
        <v>CB2_2007-07-21</v>
      </c>
      <c r="B8" s="73" t="s">
        <v>52</v>
      </c>
      <c r="C8" s="87">
        <v>39284</v>
      </c>
      <c r="D8">
        <f>SUMIF(DATA_WITHOUT_GENUS!A:A,A8,DATA_WITHOUT_GENUS!E:E)</f>
        <v>148</v>
      </c>
      <c r="E8">
        <f>SUMIF(DATA_WITHOUT_GENUS!A:A,A8,DATA_WITHOUT_GENUS!I:I)</f>
        <v>100</v>
      </c>
      <c r="F8" s="97">
        <f>SUMIFS(DATA_WITHOUT_GENUS!M:M,DATA_WITHOUT_GENUS!A:A,A8)/100</f>
        <v>4.26</v>
      </c>
      <c r="G8">
        <f>COUNTIFS(DATA_WITHOUT_GENUS!A:A,A8,DATA_WITHOUT_GENUS!I:I, "&gt;0")</f>
        <v>7</v>
      </c>
      <c r="H8">
        <f>COUNTIFS(DATA_WITHOUT_GENUS!A:A,A8,DATA_WITHOUT_GENUS!J:J,TRUE)</f>
        <v>2</v>
      </c>
      <c r="I8" s="18">
        <f>SUMIFS(DATA_WITHOUT_GENUS!I:I,DATA_WITHOUT_GENUS!A:A,A8,DATA_WITHOUT_GENUS!J:J,TRUE)</f>
        <v>84</v>
      </c>
      <c r="J8">
        <f>_xlfn.MAXIFS(DATA_WITHOUT_GENUS!I:I,DATA_WITHOUT_GENUS!A:A,A8)</f>
        <v>82</v>
      </c>
      <c r="K8" s="18" t="str" cm="1">
        <f t="array" ref="K8">_xlfn._xlws.FILTER(DATA_WITHOUT_GENUS!D:D,(DATA_WITHOUT_GENUS!A:A=A8)*(DATA_WITHOUT_GENUS!I:I=J8)*ROW(DATA_WITHOUT_GENUS!D:D),0)</f>
        <v>Hydropsychidae</v>
      </c>
      <c r="L8" s="30">
        <f t="shared" si="1"/>
        <v>6</v>
      </c>
      <c r="M8">
        <f t="shared" si="2"/>
        <v>3</v>
      </c>
      <c r="N8" s="31">
        <f t="shared" si="3"/>
        <v>0</v>
      </c>
      <c r="O8" s="32">
        <f t="shared" si="4"/>
        <v>6</v>
      </c>
      <c r="P8">
        <f t="shared" si="5"/>
        <v>0</v>
      </c>
      <c r="Q8" s="100">
        <f t="shared" si="6"/>
        <v>15</v>
      </c>
      <c r="R8" s="15" t="str">
        <f t="shared" si="7"/>
        <v>Moderately Impaired</v>
      </c>
      <c r="S8" s="53"/>
      <c r="T8" s="53"/>
      <c r="U8" s="53"/>
      <c r="V8" s="52"/>
      <c r="W8" s="53"/>
      <c r="X8" s="109"/>
      <c r="Y8" s="109"/>
      <c r="Z8" s="110"/>
      <c r="AA8" s="111"/>
      <c r="AB8" s="111"/>
      <c r="AC8" s="101"/>
      <c r="AD8" s="112"/>
    </row>
    <row r="9" spans="1:30" s="58" customFormat="1">
      <c r="A9" t="str">
        <f t="shared" si="0"/>
        <v>CB2_2007-10-27</v>
      </c>
      <c r="B9" s="73" t="s">
        <v>52</v>
      </c>
      <c r="C9" s="87">
        <v>39382</v>
      </c>
      <c r="D9">
        <f>SUMIF(DATA_WITHOUT_GENUS!A:A,A9,DATA_WITHOUT_GENUS!E:E)</f>
        <v>150</v>
      </c>
      <c r="E9">
        <f>SUMIF(DATA_WITHOUT_GENUS!A:A,A9,DATA_WITHOUT_GENUS!I:I)</f>
        <v>100</v>
      </c>
      <c r="F9" s="97">
        <f>SUMIFS(DATA_WITHOUT_GENUS!M:M,DATA_WITHOUT_GENUS!A:A,A9)/100</f>
        <v>6.38</v>
      </c>
      <c r="G9">
        <f>COUNTIFS(DATA_WITHOUT_GENUS!A:A,A9,DATA_WITHOUT_GENUS!I:I, "&gt;0")</f>
        <v>13</v>
      </c>
      <c r="H9">
        <f>COUNTIFS(DATA_WITHOUT_GENUS!A:A,A9,DATA_WITHOUT_GENUS!J:J,TRUE)</f>
        <v>2</v>
      </c>
      <c r="I9" s="18">
        <f>SUMIFS(DATA_WITHOUT_GENUS!I:I,DATA_WITHOUT_GENUS!A:A,A9,DATA_WITHOUT_GENUS!J:J,TRUE)</f>
        <v>21</v>
      </c>
      <c r="J9">
        <f>_xlfn.MAXIFS(DATA_WITHOUT_GENUS!I:I,DATA_WITHOUT_GENUS!A:A,A9)</f>
        <v>50</v>
      </c>
      <c r="K9" s="18" t="str" cm="1">
        <f t="array" ref="K9">_xlfn._xlws.FILTER(DATA_WITHOUT_GENUS!D:D,(DATA_WITHOUT_GENUS!A:A=A9)*(DATA_WITHOUT_GENUS!I:I=J9)*ROW(DATA_WITHOUT_GENUS!D:D),0)</f>
        <v>BloodRed Chironomidae</v>
      </c>
      <c r="L9" s="30">
        <f t="shared" ref="L9:L16" si="8">IF(F9="","",IF(F9&gt;7,0,IF(F9&lt;5,6,IF(F9&lt;=7,3))))</f>
        <v>3</v>
      </c>
      <c r="M9">
        <f t="shared" ref="M9:M16" si="9">IF(G9="","",IF(G9&gt;10,6,IF(G9&lt;5,0,IF(G9&lt;=10,3))))</f>
        <v>6</v>
      </c>
      <c r="N9" s="31">
        <f t="shared" ref="N9:N16" si="10">IF(H9="","",IF(H9&gt;5,6,IF(H9&lt;3,0,IF(H9&lt;=5,3))))</f>
        <v>0</v>
      </c>
      <c r="O9" s="32">
        <f t="shared" ref="O9:O16" si="11">IF(I9="","",IF(I9&gt;35,6,IF(I9&lt;10,0,IF(I9&lt;=35,3,IF(I9&lt;10,0)))))</f>
        <v>3</v>
      </c>
      <c r="P9">
        <f t="shared" ref="P9:P16" si="12">IF(J9="","",IF(J9&gt;60,0,IF(J9&lt;40,6,IF(J9&lt;=60,3))))</f>
        <v>3</v>
      </c>
      <c r="Q9" s="100">
        <f t="shared" ref="Q9:Q16" si="13">SUM(L9:P9)</f>
        <v>15</v>
      </c>
      <c r="R9" s="15" t="str">
        <f t="shared" si="7"/>
        <v>Moderately Impaired</v>
      </c>
      <c r="S9" s="53"/>
      <c r="T9" s="53"/>
      <c r="U9" s="53"/>
      <c r="V9" s="52"/>
      <c r="W9" s="53"/>
      <c r="X9" s="109"/>
      <c r="Y9" s="109"/>
      <c r="Z9" s="110"/>
      <c r="AA9" s="111"/>
      <c r="AB9" s="111"/>
      <c r="AC9" s="101"/>
      <c r="AD9" s="112"/>
    </row>
    <row r="10" spans="1:30" s="58" customFormat="1">
      <c r="A10" t="str">
        <f t="shared" si="0"/>
        <v>CB2_2008-03-29</v>
      </c>
      <c r="B10" s="73" t="s">
        <v>52</v>
      </c>
      <c r="C10" s="87">
        <v>39536</v>
      </c>
      <c r="D10">
        <f>SUMIF(DATA_WITHOUT_GENUS!A:A,A10,DATA_WITHOUT_GENUS!E:E)</f>
        <v>157</v>
      </c>
      <c r="E10">
        <f>SUMIF(DATA_WITHOUT_GENUS!A:A,A10,DATA_WITHOUT_GENUS!I:I)</f>
        <v>100</v>
      </c>
      <c r="F10" s="97">
        <f>SUMIFS(DATA_WITHOUT_GENUS!M:M,DATA_WITHOUT_GENUS!A:A,A10)/100</f>
        <v>4.7699999999999996</v>
      </c>
      <c r="G10">
        <f>COUNTIFS(DATA_WITHOUT_GENUS!A:A,A10,DATA_WITHOUT_GENUS!I:I, "&gt;0")</f>
        <v>10</v>
      </c>
      <c r="H10">
        <f>COUNTIFS(DATA_WITHOUT_GENUS!A:A,A10,DATA_WITHOUT_GENUS!J:J,TRUE)</f>
        <v>1</v>
      </c>
      <c r="I10" s="18">
        <f>SUMIFS(DATA_WITHOUT_GENUS!I:I,DATA_WITHOUT_GENUS!A:A,A10,DATA_WITHOUT_GENUS!J:J,TRUE)</f>
        <v>34</v>
      </c>
      <c r="J10">
        <f>_xlfn.MAXIFS(DATA_WITHOUT_GENUS!I:I,DATA_WITHOUT_GENUS!A:A,A10)</f>
        <v>34</v>
      </c>
      <c r="K10" s="18" t="str" cm="1">
        <f t="array" ref="K10">_xlfn._xlws.FILTER(DATA_WITHOUT_GENUS!D:D,(DATA_WITHOUT_GENUS!A:A=A10)*(DATA_WITHOUT_GENUS!I:I=J10)*ROW(DATA_WITHOUT_GENUS!D:D),0)</f>
        <v>Hydropsychidae</v>
      </c>
      <c r="L10" s="30">
        <f t="shared" si="8"/>
        <v>6</v>
      </c>
      <c r="M10">
        <f t="shared" si="9"/>
        <v>3</v>
      </c>
      <c r="N10" s="31">
        <f t="shared" si="10"/>
        <v>0</v>
      </c>
      <c r="O10" s="32">
        <f t="shared" si="11"/>
        <v>3</v>
      </c>
      <c r="P10">
        <f t="shared" si="12"/>
        <v>6</v>
      </c>
      <c r="Q10" s="100">
        <f t="shared" si="13"/>
        <v>18</v>
      </c>
      <c r="R10" s="15" t="str">
        <f t="shared" si="7"/>
        <v>Moderately Impaired</v>
      </c>
      <c r="S10" s="53"/>
      <c r="T10" s="53"/>
      <c r="U10" s="53"/>
      <c r="V10" s="52"/>
      <c r="W10" s="53"/>
      <c r="X10" s="109"/>
      <c r="Y10" s="109"/>
      <c r="Z10" s="110"/>
      <c r="AA10" s="111"/>
      <c r="AB10" s="111"/>
      <c r="AC10" s="101"/>
      <c r="AD10" s="112"/>
    </row>
    <row r="11" spans="1:30" s="58" customFormat="1">
      <c r="A11" t="str">
        <f t="shared" si="0"/>
        <v>CB2_2008-07-19</v>
      </c>
      <c r="B11" s="73" t="s">
        <v>52</v>
      </c>
      <c r="C11" s="87">
        <v>39648</v>
      </c>
      <c r="D11">
        <f>SUMIF(DATA_WITHOUT_GENUS!A:A,A11,DATA_WITHOUT_GENUS!E:E)</f>
        <v>254</v>
      </c>
      <c r="E11">
        <f>SUMIF(DATA_WITHOUT_GENUS!A:A,A11,DATA_WITHOUT_GENUS!I:I)</f>
        <v>100</v>
      </c>
      <c r="F11" s="97">
        <f>SUMIFS(DATA_WITHOUT_GENUS!M:M,DATA_WITHOUT_GENUS!A:A,A11)/100</f>
        <v>4.62</v>
      </c>
      <c r="G11">
        <f>COUNTIFS(DATA_WITHOUT_GENUS!A:A,A11,DATA_WITHOUT_GENUS!I:I, "&gt;0")</f>
        <v>6</v>
      </c>
      <c r="H11">
        <f>COUNTIFS(DATA_WITHOUT_GENUS!A:A,A11,DATA_WITHOUT_GENUS!J:J,TRUE)</f>
        <v>1</v>
      </c>
      <c r="I11" s="18">
        <f>SUMIFS(DATA_WITHOUT_GENUS!I:I,DATA_WITHOUT_GENUS!A:A,A11,DATA_WITHOUT_GENUS!J:J,TRUE)</f>
        <v>81</v>
      </c>
      <c r="J11">
        <f>_xlfn.MAXIFS(DATA_WITHOUT_GENUS!I:I,DATA_WITHOUT_GENUS!A:A,A11)</f>
        <v>81</v>
      </c>
      <c r="K11" s="18" t="str" cm="1">
        <f t="array" ref="K11">_xlfn._xlws.FILTER(DATA_WITHOUT_GENUS!D:D,(DATA_WITHOUT_GENUS!A:A=A11)*(DATA_WITHOUT_GENUS!I:I=J11)*ROW(DATA_WITHOUT_GENUS!D:D),0)</f>
        <v>Hydropsychidae</v>
      </c>
      <c r="L11" s="30">
        <f t="shared" si="8"/>
        <v>6</v>
      </c>
      <c r="M11">
        <f t="shared" si="9"/>
        <v>3</v>
      </c>
      <c r="N11" s="31">
        <f t="shared" si="10"/>
        <v>0</v>
      </c>
      <c r="O11" s="32">
        <f t="shared" si="11"/>
        <v>6</v>
      </c>
      <c r="P11">
        <f t="shared" si="12"/>
        <v>0</v>
      </c>
      <c r="Q11" s="100">
        <f t="shared" si="13"/>
        <v>15</v>
      </c>
      <c r="R11" s="15" t="str">
        <f t="shared" si="7"/>
        <v>Moderately Impaired</v>
      </c>
      <c r="S11" s="53"/>
      <c r="T11" s="53"/>
      <c r="U11" s="53"/>
      <c r="V11" s="52"/>
      <c r="W11" s="53"/>
      <c r="X11" s="109"/>
      <c r="Y11" s="109"/>
      <c r="Z11" s="110"/>
      <c r="AA11" s="111"/>
      <c r="AB11" s="111"/>
      <c r="AC11" s="101"/>
      <c r="AD11" s="112"/>
    </row>
    <row r="12" spans="1:30" s="58" customFormat="1">
      <c r="A12" t="str">
        <f t="shared" si="0"/>
        <v>CB2_2008-10-18</v>
      </c>
      <c r="B12" s="73" t="s">
        <v>52</v>
      </c>
      <c r="C12" s="87">
        <v>39739</v>
      </c>
      <c r="D12">
        <f>SUMIF(DATA_WITHOUT_GENUS!A:A,A12,DATA_WITHOUT_GENUS!E:E)</f>
        <v>207</v>
      </c>
      <c r="E12">
        <f>SUMIF(DATA_WITHOUT_GENUS!A:A,A12,DATA_WITHOUT_GENUS!I:I)</f>
        <v>100</v>
      </c>
      <c r="F12" s="97">
        <f>SUMIFS(DATA_WITHOUT_GENUS!M:M,DATA_WITHOUT_GENUS!A:A,A12)/100</f>
        <v>6.69</v>
      </c>
      <c r="G12">
        <f>COUNTIFS(DATA_WITHOUT_GENUS!A:A,A12,DATA_WITHOUT_GENUS!I:I, "&gt;0")</f>
        <v>13</v>
      </c>
      <c r="H12">
        <f>COUNTIFS(DATA_WITHOUT_GENUS!A:A,A12,DATA_WITHOUT_GENUS!J:J,TRUE)</f>
        <v>2</v>
      </c>
      <c r="I12" s="18">
        <f>SUMIFS(DATA_WITHOUT_GENUS!I:I,DATA_WITHOUT_GENUS!A:A,A12,DATA_WITHOUT_GENUS!J:J,TRUE)</f>
        <v>13</v>
      </c>
      <c r="J12">
        <f>_xlfn.MAXIFS(DATA_WITHOUT_GENUS!I:I,DATA_WITHOUT_GENUS!A:A,A12)</f>
        <v>54</v>
      </c>
      <c r="K12" s="18" t="str" cm="1">
        <f t="array" ref="K12">_xlfn._xlws.FILTER(DATA_WITHOUT_GENUS!D:D,(DATA_WITHOUT_GENUS!A:A=A12)*(DATA_WITHOUT_GENUS!I:I=J12)*ROW(DATA_WITHOUT_GENUS!D:D),0)</f>
        <v>BloodRed Chironomidae</v>
      </c>
      <c r="L12" s="30">
        <f t="shared" si="8"/>
        <v>3</v>
      </c>
      <c r="M12">
        <f t="shared" si="9"/>
        <v>6</v>
      </c>
      <c r="N12" s="31">
        <f t="shared" si="10"/>
        <v>0</v>
      </c>
      <c r="O12" s="32">
        <f t="shared" si="11"/>
        <v>3</v>
      </c>
      <c r="P12">
        <f t="shared" si="12"/>
        <v>3</v>
      </c>
      <c r="Q12" s="100">
        <f t="shared" si="13"/>
        <v>15</v>
      </c>
      <c r="R12" s="15" t="str">
        <f t="shared" si="7"/>
        <v>Moderately Impaired</v>
      </c>
      <c r="S12" s="53"/>
      <c r="T12" s="53"/>
      <c r="U12" s="53"/>
      <c r="V12" s="52"/>
      <c r="W12" s="53"/>
      <c r="X12" s="109"/>
      <c r="Y12" s="109"/>
      <c r="Z12" s="110"/>
      <c r="AA12" s="111"/>
      <c r="AB12" s="111"/>
      <c r="AC12" s="101"/>
      <c r="AD12" s="112"/>
    </row>
    <row r="13" spans="1:30" s="58" customFormat="1">
      <c r="A13" t="str">
        <f t="shared" si="0"/>
        <v>CB2_2009-03-28</v>
      </c>
      <c r="B13" s="73" t="s">
        <v>52</v>
      </c>
      <c r="C13" s="87">
        <v>39900</v>
      </c>
      <c r="D13">
        <f>SUMIF(DATA_WITHOUT_GENUS!A:A,A13,DATA_WITHOUT_GENUS!E:E)</f>
        <v>107</v>
      </c>
      <c r="E13">
        <f>SUMIF(DATA_WITHOUT_GENUS!A:A,A13,DATA_WITHOUT_GENUS!I:I)</f>
        <v>100</v>
      </c>
      <c r="F13" s="97">
        <f>SUMIFS(DATA_WITHOUT_GENUS!M:M,DATA_WITHOUT_GENUS!A:A,A13)/100</f>
        <v>5.72</v>
      </c>
      <c r="G13">
        <f>COUNTIFS(DATA_WITHOUT_GENUS!A:A,A13,DATA_WITHOUT_GENUS!I:I, "&gt;0")</f>
        <v>9</v>
      </c>
      <c r="H13">
        <f>COUNTIFS(DATA_WITHOUT_GENUS!A:A,A13,DATA_WITHOUT_GENUS!J:J,TRUE)</f>
        <v>1</v>
      </c>
      <c r="I13" s="18">
        <f>SUMIFS(DATA_WITHOUT_GENUS!I:I,DATA_WITHOUT_GENUS!A:A,A13,DATA_WITHOUT_GENUS!J:J,TRUE)</f>
        <v>20</v>
      </c>
      <c r="J13">
        <f>_xlfn.MAXIFS(DATA_WITHOUT_GENUS!I:I,DATA_WITHOUT_GENUS!A:A,A13)</f>
        <v>34</v>
      </c>
      <c r="K13" s="18" t="str" cm="1">
        <f t="array" ref="K13">_xlfn._xlws.FILTER(DATA_WITHOUT_GENUS!D:D,(DATA_WITHOUT_GENUS!A:A=A13)*(DATA_WITHOUT_GENUS!I:I=J13)*ROW(DATA_WITHOUT_GENUS!D:D),0)</f>
        <v>BloodRed Chironomidae</v>
      </c>
      <c r="L13" s="30">
        <f t="shared" si="8"/>
        <v>3</v>
      </c>
      <c r="M13">
        <f t="shared" si="9"/>
        <v>3</v>
      </c>
      <c r="N13" s="31">
        <f t="shared" si="10"/>
        <v>0</v>
      </c>
      <c r="O13" s="32">
        <f t="shared" si="11"/>
        <v>3</v>
      </c>
      <c r="P13">
        <f t="shared" si="12"/>
        <v>6</v>
      </c>
      <c r="Q13" s="100">
        <f t="shared" si="13"/>
        <v>15</v>
      </c>
      <c r="R13" s="15" t="str">
        <f t="shared" si="7"/>
        <v>Moderately Impaired</v>
      </c>
      <c r="S13" s="53"/>
      <c r="T13" s="53"/>
      <c r="U13" s="53"/>
      <c r="V13" s="52"/>
      <c r="W13" s="53"/>
      <c r="X13" s="109"/>
      <c r="Y13" s="109"/>
      <c r="Z13" s="110"/>
      <c r="AA13" s="111"/>
      <c r="AB13" s="111"/>
      <c r="AC13" s="101"/>
      <c r="AD13" s="112"/>
    </row>
    <row r="14" spans="1:30" s="58" customFormat="1">
      <c r="A14" t="str">
        <f t="shared" si="0"/>
        <v>CB2_2009-07-18</v>
      </c>
      <c r="B14" s="73" t="s">
        <v>52</v>
      </c>
      <c r="C14" s="87">
        <v>40012</v>
      </c>
      <c r="D14">
        <f>SUMIF(DATA_WITHOUT_GENUS!A:A,A14,DATA_WITHOUT_GENUS!E:E)</f>
        <v>313</v>
      </c>
      <c r="E14">
        <f>SUMIF(DATA_WITHOUT_GENUS!A:A,A14,DATA_WITHOUT_GENUS!I:I)</f>
        <v>100</v>
      </c>
      <c r="F14" s="97">
        <f>SUMIFS(DATA_WITHOUT_GENUS!M:M,DATA_WITHOUT_GENUS!A:A,A14)/100</f>
        <v>4.7300000000000004</v>
      </c>
      <c r="G14">
        <f>COUNTIFS(DATA_WITHOUT_GENUS!A:A,A14,DATA_WITHOUT_GENUS!I:I, "&gt;0")</f>
        <v>10</v>
      </c>
      <c r="H14">
        <f>COUNTIFS(DATA_WITHOUT_GENUS!A:A,A14,DATA_WITHOUT_GENUS!J:J,TRUE)</f>
        <v>2</v>
      </c>
      <c r="I14" s="18">
        <f>SUMIFS(DATA_WITHOUT_GENUS!I:I,DATA_WITHOUT_GENUS!A:A,A14,DATA_WITHOUT_GENUS!J:J,TRUE)</f>
        <v>59</v>
      </c>
      <c r="J14">
        <f>_xlfn.MAXIFS(DATA_WITHOUT_GENUS!I:I,DATA_WITHOUT_GENUS!A:A,A14)</f>
        <v>59</v>
      </c>
      <c r="K14" s="18" t="str" cm="1">
        <f t="array" ref="K14">_xlfn._xlws.FILTER(DATA_WITHOUT_GENUS!D:D,(DATA_WITHOUT_GENUS!A:A=A14)*(DATA_WITHOUT_GENUS!I:I=J14)*ROW(DATA_WITHOUT_GENUS!D:D),0)</f>
        <v>Hydropsychidae</v>
      </c>
      <c r="L14" s="30">
        <f t="shared" si="8"/>
        <v>6</v>
      </c>
      <c r="M14">
        <f t="shared" si="9"/>
        <v>3</v>
      </c>
      <c r="N14" s="31">
        <f t="shared" si="10"/>
        <v>0</v>
      </c>
      <c r="O14" s="32">
        <f t="shared" si="11"/>
        <v>6</v>
      </c>
      <c r="P14">
        <f t="shared" si="12"/>
        <v>3</v>
      </c>
      <c r="Q14" s="100">
        <f t="shared" si="13"/>
        <v>18</v>
      </c>
      <c r="R14" s="15" t="str">
        <f t="shared" si="7"/>
        <v>Moderately Impaired</v>
      </c>
      <c r="S14" s="53"/>
      <c r="T14" s="53"/>
      <c r="U14" s="53"/>
      <c r="V14" s="52"/>
      <c r="W14" s="53"/>
      <c r="X14" s="109"/>
      <c r="Y14" s="109"/>
      <c r="Z14" s="110"/>
      <c r="AA14" s="111"/>
      <c r="AB14" s="111"/>
      <c r="AC14" s="101"/>
      <c r="AD14" s="112"/>
    </row>
    <row r="15" spans="1:30" s="58" customFormat="1">
      <c r="A15" t="str">
        <f t="shared" si="0"/>
        <v>CB2_2010-03-20</v>
      </c>
      <c r="B15" s="73" t="s">
        <v>52</v>
      </c>
      <c r="C15" s="87">
        <v>40257</v>
      </c>
      <c r="D15">
        <f>SUMIF(DATA_WITHOUT_GENUS!A:A,A15,DATA_WITHOUT_GENUS!E:E)</f>
        <v>125</v>
      </c>
      <c r="E15">
        <f>SUMIF(DATA_WITHOUT_GENUS!A:A,A15,DATA_WITHOUT_GENUS!I:I)</f>
        <v>100</v>
      </c>
      <c r="F15" s="97">
        <f>SUMIFS(DATA_WITHOUT_GENUS!M:M,DATA_WITHOUT_GENUS!A:A,A15)/100</f>
        <v>4.76</v>
      </c>
      <c r="G15">
        <f>COUNTIFS(DATA_WITHOUT_GENUS!A:A,A15,DATA_WITHOUT_GENUS!I:I, "&gt;0")</f>
        <v>11</v>
      </c>
      <c r="H15">
        <f>COUNTIFS(DATA_WITHOUT_GENUS!A:A,A15,DATA_WITHOUT_GENUS!J:J,TRUE)</f>
        <v>1</v>
      </c>
      <c r="I15" s="18">
        <f>SUMIFS(DATA_WITHOUT_GENUS!I:I,DATA_WITHOUT_GENUS!A:A,A15,DATA_WITHOUT_GENUS!J:J,TRUE)</f>
        <v>33</v>
      </c>
      <c r="J15">
        <f>_xlfn.MAXIFS(DATA_WITHOUT_GENUS!I:I,DATA_WITHOUT_GENUS!A:A,A15)</f>
        <v>33</v>
      </c>
      <c r="K15" s="18" t="str" cm="1">
        <f t="array" ref="K15">_xlfn._xlws.FILTER(DATA_WITHOUT_GENUS!D:D,(DATA_WITHOUT_GENUS!A:A=A15)*(DATA_WITHOUT_GENUS!I:I=J15)*ROW(DATA_WITHOUT_GENUS!D:D),0)</f>
        <v>Hydropsychidae</v>
      </c>
      <c r="L15" s="30">
        <f t="shared" si="8"/>
        <v>6</v>
      </c>
      <c r="M15">
        <f t="shared" si="9"/>
        <v>6</v>
      </c>
      <c r="N15" s="31">
        <f t="shared" si="10"/>
        <v>0</v>
      </c>
      <c r="O15" s="32">
        <f t="shared" si="11"/>
        <v>3</v>
      </c>
      <c r="P15">
        <f t="shared" si="12"/>
        <v>6</v>
      </c>
      <c r="Q15" s="100">
        <f t="shared" si="13"/>
        <v>21</v>
      </c>
      <c r="R15" s="15" t="str">
        <f t="shared" si="7"/>
        <v>Moderately Impaired</v>
      </c>
      <c r="S15" s="53"/>
      <c r="T15" s="53"/>
      <c r="U15" s="53"/>
      <c r="V15" s="52"/>
      <c r="W15" s="53"/>
      <c r="X15" s="109"/>
      <c r="Y15" s="109"/>
      <c r="Z15" s="110"/>
      <c r="AA15" s="111"/>
      <c r="AB15" s="111"/>
      <c r="AC15" s="101"/>
      <c r="AD15" s="112"/>
    </row>
    <row r="16" spans="1:30" s="58" customFormat="1">
      <c r="A16" t="str">
        <f t="shared" si="0"/>
        <v>CB2_2010-07-24</v>
      </c>
      <c r="B16" s="73" t="s">
        <v>52</v>
      </c>
      <c r="C16" s="87">
        <v>40383</v>
      </c>
      <c r="D16">
        <f>SUMIF(DATA_WITHOUT_GENUS!A:A,A16,DATA_WITHOUT_GENUS!E:E)</f>
        <v>620</v>
      </c>
      <c r="E16">
        <f>SUMIF(DATA_WITHOUT_GENUS!A:A,A16,DATA_WITHOUT_GENUS!I:I)</f>
        <v>100</v>
      </c>
      <c r="F16" s="97">
        <f>SUMIFS(DATA_WITHOUT_GENUS!M:M,DATA_WITHOUT_GENUS!A:A,A16)/100</f>
        <v>5.31</v>
      </c>
      <c r="G16">
        <f>COUNTIFS(DATA_WITHOUT_GENUS!A:A,A16,DATA_WITHOUT_GENUS!I:I, "&gt;0")</f>
        <v>10</v>
      </c>
      <c r="H16">
        <f>COUNTIFS(DATA_WITHOUT_GENUS!A:A,A16,DATA_WITHOUT_GENUS!J:J,TRUE)</f>
        <v>3</v>
      </c>
      <c r="I16" s="18">
        <f>SUMIFS(DATA_WITHOUT_GENUS!I:I,DATA_WITHOUT_GENUS!A:A,A16,DATA_WITHOUT_GENUS!J:J,TRUE)</f>
        <v>62</v>
      </c>
      <c r="J16">
        <f>_xlfn.MAXIFS(DATA_WITHOUT_GENUS!I:I,DATA_WITHOUT_GENUS!A:A,A16)</f>
        <v>61</v>
      </c>
      <c r="K16" s="18" t="str" cm="1">
        <f t="array" ref="K16">_xlfn._xlws.FILTER(DATA_WITHOUT_GENUS!D:D,(DATA_WITHOUT_GENUS!A:A=A16)*(DATA_WITHOUT_GENUS!I:I=J16)*ROW(DATA_WITHOUT_GENUS!D:D),0)</f>
        <v>Hydropsychidae</v>
      </c>
      <c r="L16" s="30">
        <f t="shared" si="8"/>
        <v>3</v>
      </c>
      <c r="M16">
        <f t="shared" si="9"/>
        <v>3</v>
      </c>
      <c r="N16" s="31">
        <f t="shared" si="10"/>
        <v>3</v>
      </c>
      <c r="O16" s="32">
        <f t="shared" si="11"/>
        <v>6</v>
      </c>
      <c r="P16">
        <f t="shared" si="12"/>
        <v>0</v>
      </c>
      <c r="Q16" s="100">
        <f t="shared" si="13"/>
        <v>15</v>
      </c>
      <c r="R16" s="15" t="str">
        <f t="shared" si="7"/>
        <v>Moderately Impaired</v>
      </c>
      <c r="S16" s="53"/>
      <c r="T16" s="53"/>
      <c r="U16" s="53"/>
      <c r="V16" s="52"/>
      <c r="W16" s="53"/>
      <c r="X16" s="109"/>
      <c r="Y16" s="109"/>
      <c r="Z16" s="110"/>
      <c r="AA16" s="111"/>
      <c r="AB16" s="111"/>
      <c r="AC16" s="101"/>
      <c r="AD16" s="112"/>
    </row>
    <row r="17" spans="1:30" s="58" customFormat="1">
      <c r="A17" t="str">
        <f t="shared" si="0"/>
        <v>CB2_2010-10-16</v>
      </c>
      <c r="B17" s="73" t="s">
        <v>52</v>
      </c>
      <c r="C17" s="87">
        <v>40467</v>
      </c>
      <c r="D17">
        <f>SUMIF(DATA_WITHOUT_GENUS!A:A,A17,DATA_WITHOUT_GENUS!E:E)</f>
        <v>349</v>
      </c>
      <c r="E17">
        <f>SUMIF(DATA_WITHOUT_GENUS!A:A,A17,DATA_WITHOUT_GENUS!I:I)</f>
        <v>100</v>
      </c>
      <c r="F17" s="97">
        <f>SUMIFS(DATA_WITHOUT_GENUS!M:M,DATA_WITHOUT_GENUS!A:A,A17)/100</f>
        <v>5.12</v>
      </c>
      <c r="G17">
        <f>COUNTIFS(DATA_WITHOUT_GENUS!A:A,A17,DATA_WITHOUT_GENUS!I:I, "&gt;0")</f>
        <v>8</v>
      </c>
      <c r="H17">
        <f>COUNTIFS(DATA_WITHOUT_GENUS!A:A,A17,DATA_WITHOUT_GENUS!J:J,TRUE)</f>
        <v>1</v>
      </c>
      <c r="I17" s="18">
        <f>SUMIFS(DATA_WITHOUT_GENUS!I:I,DATA_WITHOUT_GENUS!A:A,A17,DATA_WITHOUT_GENUS!J:J,TRUE)</f>
        <v>17</v>
      </c>
      <c r="J17">
        <f>_xlfn.MAXIFS(DATA_WITHOUT_GENUS!I:I,DATA_WITHOUT_GENUS!A:A,A17)</f>
        <v>50</v>
      </c>
      <c r="K17" s="18" t="str" cm="1">
        <f t="array" ref="K17">_xlfn._xlws.FILTER(DATA_WITHOUT_GENUS!D:D,(DATA_WITHOUT_GENUS!A:A=A17)*(DATA_WITHOUT_GENUS!I:I=J17)*ROW(DATA_WITHOUT_GENUS!D:D),0)</f>
        <v>Planariidae</v>
      </c>
      <c r="L17" s="30">
        <f t="shared" ref="L17:L20" si="14">IF(F17="","",IF(F17&gt;7,0,IF(F17&lt;5,6,IF(F17&lt;=7,3))))</f>
        <v>3</v>
      </c>
      <c r="M17">
        <f t="shared" ref="M17:M20" si="15">IF(G17="","",IF(G17&gt;10,6,IF(G17&lt;5,0,IF(G17&lt;=10,3))))</f>
        <v>3</v>
      </c>
      <c r="N17" s="31">
        <f t="shared" ref="N17:N20" si="16">IF(H17="","",IF(H17&gt;5,6,IF(H17&lt;3,0,IF(H17&lt;=5,3))))</f>
        <v>0</v>
      </c>
      <c r="O17" s="32">
        <f t="shared" ref="O17:O20" si="17">IF(I17="","",IF(I17&gt;35,6,IF(I17&lt;10,0,IF(I17&lt;=35,3,IF(I17&lt;10,0)))))</f>
        <v>3</v>
      </c>
      <c r="P17">
        <f t="shared" ref="P17:P20" si="18">IF(J17="","",IF(J17&gt;60,0,IF(J17&lt;40,6,IF(J17&lt;=60,3))))</f>
        <v>3</v>
      </c>
      <c r="Q17" s="100">
        <f t="shared" ref="Q17:Q20" si="19">SUM(L17:P17)</f>
        <v>12</v>
      </c>
      <c r="R17" s="15" t="str">
        <f t="shared" si="7"/>
        <v>Moderately Impaired</v>
      </c>
      <c r="S17" s="53"/>
      <c r="T17" s="53"/>
      <c r="U17" s="53"/>
      <c r="V17" s="52"/>
      <c r="W17" s="53"/>
      <c r="X17" s="109"/>
      <c r="Y17" s="109"/>
      <c r="Z17" s="110"/>
      <c r="AA17" s="111"/>
      <c r="AB17" s="111"/>
      <c r="AC17" s="101"/>
      <c r="AD17" s="112"/>
    </row>
    <row r="18" spans="1:30" s="58" customFormat="1">
      <c r="A18" t="str">
        <f t="shared" si="0"/>
        <v>CB2_2011-03-19</v>
      </c>
      <c r="B18" s="73" t="s">
        <v>52</v>
      </c>
      <c r="C18" s="87">
        <v>40621</v>
      </c>
      <c r="D18">
        <f>SUMIF(DATA_WITHOUT_GENUS!A:A,A18,DATA_WITHOUT_GENUS!E:E)</f>
        <v>128</v>
      </c>
      <c r="E18">
        <f>SUMIF(DATA_WITHOUT_GENUS!A:A,A18,DATA_WITHOUT_GENUS!I:I)</f>
        <v>100</v>
      </c>
      <c r="F18" s="97">
        <f>SUMIFS(DATA_WITHOUT_GENUS!M:M,DATA_WITHOUT_GENUS!A:A,A18)/100</f>
        <v>5.73</v>
      </c>
      <c r="G18">
        <f>COUNTIFS(DATA_WITHOUT_GENUS!A:A,A18,DATA_WITHOUT_GENUS!I:I, "&gt;0")</f>
        <v>12</v>
      </c>
      <c r="H18">
        <f>COUNTIFS(DATA_WITHOUT_GENUS!A:A,A18,DATA_WITHOUT_GENUS!J:J,TRUE)</f>
        <v>1</v>
      </c>
      <c r="I18" s="18">
        <f>SUMIFS(DATA_WITHOUT_GENUS!I:I,DATA_WITHOUT_GENUS!A:A,A18,DATA_WITHOUT_GENUS!J:J,TRUE)</f>
        <v>34</v>
      </c>
      <c r="J18">
        <f>_xlfn.MAXIFS(DATA_WITHOUT_GENUS!I:I,DATA_WITHOUT_GENUS!A:A,A18)</f>
        <v>34</v>
      </c>
      <c r="K18" s="18" t="str" cm="1">
        <f t="array" ref="K18">_xlfn._xlws.FILTER(DATA_WITHOUT_GENUS!D:D,(DATA_WITHOUT_GENUS!A:A=A18)*(DATA_WITHOUT_GENUS!I:I=J18)*ROW(DATA_WITHOUT_GENUS!D:D),0)</f>
        <v>Hydropsychidae</v>
      </c>
      <c r="L18" s="30">
        <f t="shared" si="14"/>
        <v>3</v>
      </c>
      <c r="M18">
        <f t="shared" si="15"/>
        <v>6</v>
      </c>
      <c r="N18" s="31">
        <f t="shared" si="16"/>
        <v>0</v>
      </c>
      <c r="O18" s="32">
        <f t="shared" si="17"/>
        <v>3</v>
      </c>
      <c r="P18">
        <f t="shared" si="18"/>
        <v>6</v>
      </c>
      <c r="Q18" s="100">
        <f t="shared" si="19"/>
        <v>18</v>
      </c>
      <c r="R18" s="15" t="str">
        <f t="shared" si="7"/>
        <v>Moderately Impaired</v>
      </c>
      <c r="S18" s="53"/>
      <c r="T18" s="53"/>
      <c r="U18" s="53"/>
      <c r="V18" s="52"/>
      <c r="W18" s="53"/>
      <c r="X18" s="109"/>
      <c r="Y18" s="109"/>
      <c r="Z18" s="110"/>
      <c r="AA18" s="111"/>
      <c r="AB18" s="111"/>
      <c r="AC18" s="101"/>
      <c r="AD18" s="112"/>
    </row>
    <row r="19" spans="1:30" s="58" customFormat="1">
      <c r="A19" t="str">
        <f t="shared" si="0"/>
        <v>CB2_2011-07-23</v>
      </c>
      <c r="B19" s="73" t="s">
        <v>52</v>
      </c>
      <c r="C19" s="87">
        <v>40747</v>
      </c>
      <c r="D19">
        <f>SUMIF(DATA_WITHOUT_GENUS!A:A,A19,DATA_WITHOUT_GENUS!E:E)</f>
        <v>400</v>
      </c>
      <c r="E19">
        <f>SUMIF(DATA_WITHOUT_GENUS!A:A,A19,DATA_WITHOUT_GENUS!I:I)</f>
        <v>100</v>
      </c>
      <c r="F19" s="97">
        <f>SUMIFS(DATA_WITHOUT_GENUS!M:M,DATA_WITHOUT_GENUS!A:A,A19)/100</f>
        <v>5.54</v>
      </c>
      <c r="G19">
        <f>COUNTIFS(DATA_WITHOUT_GENUS!A:A,A19,DATA_WITHOUT_GENUS!I:I, "&gt;0")</f>
        <v>10</v>
      </c>
      <c r="H19">
        <f>COUNTIFS(DATA_WITHOUT_GENUS!A:A,A19,DATA_WITHOUT_GENUS!J:J,TRUE)</f>
        <v>2</v>
      </c>
      <c r="I19" s="18">
        <f>SUMIFS(DATA_WITHOUT_GENUS!I:I,DATA_WITHOUT_GENUS!A:A,A19,DATA_WITHOUT_GENUS!J:J,TRUE)</f>
        <v>54</v>
      </c>
      <c r="J19">
        <f>_xlfn.MAXIFS(DATA_WITHOUT_GENUS!I:I,DATA_WITHOUT_GENUS!A:A,A19)</f>
        <v>53</v>
      </c>
      <c r="K19" s="18" t="str" cm="1">
        <f t="array" ref="K19">_xlfn._xlws.FILTER(DATA_WITHOUT_GENUS!D:D,(DATA_WITHOUT_GENUS!A:A=A19)*(DATA_WITHOUT_GENUS!I:I=J19)*ROW(DATA_WITHOUT_GENUS!D:D),0)</f>
        <v>Hydropsychidae</v>
      </c>
      <c r="L19" s="30">
        <f t="shared" si="14"/>
        <v>3</v>
      </c>
      <c r="M19">
        <f t="shared" si="15"/>
        <v>3</v>
      </c>
      <c r="N19" s="31">
        <f t="shared" si="16"/>
        <v>0</v>
      </c>
      <c r="O19" s="32">
        <f t="shared" si="17"/>
        <v>6</v>
      </c>
      <c r="P19">
        <f t="shared" si="18"/>
        <v>3</v>
      </c>
      <c r="Q19" s="100">
        <f t="shared" si="19"/>
        <v>15</v>
      </c>
      <c r="R19" s="15" t="str">
        <f t="shared" si="7"/>
        <v>Moderately Impaired</v>
      </c>
      <c r="S19" s="53"/>
      <c r="T19" s="53"/>
      <c r="U19" s="53"/>
      <c r="V19" s="52"/>
      <c r="W19" s="53"/>
      <c r="X19" s="109"/>
      <c r="Y19" s="109"/>
      <c r="Z19" s="110"/>
      <c r="AA19" s="111"/>
      <c r="AB19" s="111"/>
      <c r="AC19" s="101"/>
      <c r="AD19" s="112"/>
    </row>
    <row r="20" spans="1:30" s="58" customFormat="1">
      <c r="A20" t="str">
        <f t="shared" si="0"/>
        <v>CB2_2011-10-22</v>
      </c>
      <c r="B20" s="73" t="s">
        <v>52</v>
      </c>
      <c r="C20" s="87">
        <v>40838</v>
      </c>
      <c r="D20">
        <f>SUMIF(DATA_WITHOUT_GENUS!A:A,A20,DATA_WITHOUT_GENUS!E:E)</f>
        <v>463</v>
      </c>
      <c r="E20">
        <f>SUMIF(DATA_WITHOUT_GENUS!A:A,A20,DATA_WITHOUT_GENUS!I:I)</f>
        <v>100</v>
      </c>
      <c r="F20" s="97">
        <f>SUMIFS(DATA_WITHOUT_GENUS!M:M,DATA_WITHOUT_GENUS!A:A,A20)/100</f>
        <v>4.3899999999999997</v>
      </c>
      <c r="G20">
        <f>COUNTIFS(DATA_WITHOUT_GENUS!A:A,A20,DATA_WITHOUT_GENUS!I:I, "&gt;0")</f>
        <v>9</v>
      </c>
      <c r="H20">
        <f>COUNTIFS(DATA_WITHOUT_GENUS!A:A,A20,DATA_WITHOUT_GENUS!J:J,TRUE)</f>
        <v>1</v>
      </c>
      <c r="I20" s="18">
        <f>SUMIFS(DATA_WITHOUT_GENUS!I:I,DATA_WITHOUT_GENUS!A:A,A20,DATA_WITHOUT_GENUS!J:J,TRUE)</f>
        <v>84</v>
      </c>
      <c r="J20">
        <f>_xlfn.MAXIFS(DATA_WITHOUT_GENUS!I:I,DATA_WITHOUT_GENUS!A:A,A20)</f>
        <v>84</v>
      </c>
      <c r="K20" s="18" t="str" cm="1">
        <f t="array" ref="K20">_xlfn._xlws.FILTER(DATA_WITHOUT_GENUS!D:D,(DATA_WITHOUT_GENUS!A:A=A20)*(DATA_WITHOUT_GENUS!I:I=J20)*ROW(DATA_WITHOUT_GENUS!D:D),0)</f>
        <v>Hydropsychidae</v>
      </c>
      <c r="L20" s="30">
        <f t="shared" si="14"/>
        <v>6</v>
      </c>
      <c r="M20">
        <f t="shared" si="15"/>
        <v>3</v>
      </c>
      <c r="N20" s="31">
        <f t="shared" si="16"/>
        <v>0</v>
      </c>
      <c r="O20" s="32">
        <f t="shared" si="17"/>
        <v>6</v>
      </c>
      <c r="P20">
        <f t="shared" si="18"/>
        <v>0</v>
      </c>
      <c r="Q20" s="100">
        <f t="shared" si="19"/>
        <v>15</v>
      </c>
      <c r="R20" s="15" t="str">
        <f t="shared" si="7"/>
        <v>Moderately Impaired</v>
      </c>
      <c r="S20" s="53"/>
      <c r="T20" s="53"/>
      <c r="U20" s="53"/>
      <c r="V20" s="52"/>
      <c r="W20" s="53"/>
      <c r="X20" s="109"/>
      <c r="Y20" s="109"/>
      <c r="Z20" s="110"/>
      <c r="AA20" s="111"/>
      <c r="AB20" s="111"/>
      <c r="AC20" s="101"/>
      <c r="AD20" s="112"/>
    </row>
    <row r="21" spans="1:30" s="58" customFormat="1">
      <c r="A21" t="str">
        <f t="shared" si="0"/>
        <v>CB2_2012-03-17</v>
      </c>
      <c r="B21" s="73" t="s">
        <v>52</v>
      </c>
      <c r="C21" s="87">
        <v>40985</v>
      </c>
      <c r="D21">
        <f>SUMIF(DATA_WITHOUT_GENUS!A:A,A21,DATA_WITHOUT_GENUS!E:E)</f>
        <v>408</v>
      </c>
      <c r="E21">
        <f>SUMIF(DATA_WITHOUT_GENUS!A:A,A21,DATA_WITHOUT_GENUS!I:I)</f>
        <v>100</v>
      </c>
      <c r="F21" s="97">
        <f>SUMIFS(DATA_WITHOUT_GENUS!M:M,DATA_WITHOUT_GENUS!A:A,A21)/100</f>
        <v>4.2300000000000004</v>
      </c>
      <c r="G21">
        <f>COUNTIFS(DATA_WITHOUT_GENUS!A:A,A21,DATA_WITHOUT_GENUS!I:I, "&gt;0")</f>
        <v>6</v>
      </c>
      <c r="H21">
        <f>COUNTIFS(DATA_WITHOUT_GENUS!A:A,A21,DATA_WITHOUT_GENUS!J:J,TRUE)</f>
        <v>1</v>
      </c>
      <c r="I21" s="18">
        <f>SUMIFS(DATA_WITHOUT_GENUS!I:I,DATA_WITHOUT_GENUS!A:A,A21,DATA_WITHOUT_GENUS!J:J,TRUE)</f>
        <v>89</v>
      </c>
      <c r="J21">
        <f>_xlfn.MAXIFS(DATA_WITHOUT_GENUS!I:I,DATA_WITHOUT_GENUS!A:A,A21)</f>
        <v>89</v>
      </c>
      <c r="K21" s="18" t="str" cm="1">
        <f t="array" ref="K21">_xlfn._xlws.FILTER(DATA_WITHOUT_GENUS!D:D,(DATA_WITHOUT_GENUS!A:A=A21)*(DATA_WITHOUT_GENUS!I:I=J21)*ROW(DATA_WITHOUT_GENUS!D:D),0)</f>
        <v>Hydropsychidae</v>
      </c>
      <c r="L21" s="30">
        <f t="shared" ref="L21:L25" si="20">IF(F21="","",IF(F21&gt;7,0,IF(F21&lt;5,6,IF(F21&lt;=7,3))))</f>
        <v>6</v>
      </c>
      <c r="M21">
        <f t="shared" ref="M21:M25" si="21">IF(G21="","",IF(G21&gt;10,6,IF(G21&lt;5,0,IF(G21&lt;=10,3))))</f>
        <v>3</v>
      </c>
      <c r="N21" s="31">
        <f t="shared" ref="N21:N25" si="22">IF(H21="","",IF(H21&gt;5,6,IF(H21&lt;3,0,IF(H21&lt;=5,3))))</f>
        <v>0</v>
      </c>
      <c r="O21" s="32">
        <f t="shared" ref="O21:O25" si="23">IF(I21="","",IF(I21&gt;35,6,IF(I21&lt;10,0,IF(I21&lt;=35,3,IF(I21&lt;10,0)))))</f>
        <v>6</v>
      </c>
      <c r="P21">
        <f t="shared" ref="P21:P25" si="24">IF(J21="","",IF(J21&gt;60,0,IF(J21&lt;40,6,IF(J21&lt;=60,3))))</f>
        <v>0</v>
      </c>
      <c r="Q21" s="100">
        <f t="shared" ref="Q21:Q25" si="25">SUM(L21:P21)</f>
        <v>15</v>
      </c>
      <c r="R21" s="15" t="str">
        <f t="shared" si="7"/>
        <v>Moderately Impaired</v>
      </c>
      <c r="S21" s="53"/>
      <c r="T21" s="53"/>
      <c r="U21" s="53"/>
      <c r="V21" s="52"/>
      <c r="W21" s="53"/>
      <c r="X21" s="109"/>
      <c r="Y21" s="109"/>
      <c r="Z21" s="110"/>
      <c r="AA21" s="111"/>
      <c r="AB21" s="111"/>
      <c r="AC21" s="101"/>
      <c r="AD21" s="112"/>
    </row>
    <row r="22" spans="1:30" s="58" customFormat="1">
      <c r="A22" t="str">
        <f t="shared" si="0"/>
        <v>CB2_2012-08-09</v>
      </c>
      <c r="B22" s="73" t="s">
        <v>52</v>
      </c>
      <c r="C22" s="87">
        <v>41130</v>
      </c>
      <c r="D22">
        <f>SUMIF(DATA_WITHOUT_GENUS!A:A,A22,DATA_WITHOUT_GENUS!E:E)</f>
        <v>430</v>
      </c>
      <c r="E22">
        <f>SUMIF(DATA_WITHOUT_GENUS!A:A,A22,DATA_WITHOUT_GENUS!I:I)</f>
        <v>100</v>
      </c>
      <c r="F22" s="97">
        <f>SUMIFS(DATA_WITHOUT_GENUS!M:M,DATA_WITHOUT_GENUS!A:A,A22)/100</f>
        <v>5.8</v>
      </c>
      <c r="G22">
        <f>COUNTIFS(DATA_WITHOUT_GENUS!A:A,A22,DATA_WITHOUT_GENUS!I:I, "&gt;0")</f>
        <v>7</v>
      </c>
      <c r="H22">
        <f>COUNTIFS(DATA_WITHOUT_GENUS!A:A,A22,DATA_WITHOUT_GENUS!J:J,TRUE)</f>
        <v>3</v>
      </c>
      <c r="I22" s="18">
        <f>SUMIFS(DATA_WITHOUT_GENUS!I:I,DATA_WITHOUT_GENUS!A:A,A22,DATA_WITHOUT_GENUS!J:J,TRUE)</f>
        <v>45</v>
      </c>
      <c r="J22">
        <f>_xlfn.MAXIFS(DATA_WITHOUT_GENUS!I:I,DATA_WITHOUT_GENUS!A:A,A22)</f>
        <v>45</v>
      </c>
      <c r="K22" s="18" t="str" cm="1">
        <f t="array" ref="K22">_xlfn._xlws.FILTER(DATA_WITHOUT_GENUS!D:D,(DATA_WITHOUT_GENUS!A:A=A22)*(DATA_WITHOUT_GENUS!I:I=J22)*ROW(DATA_WITHOUT_GENUS!D:D),0)</f>
        <v>Hydropsychidae</v>
      </c>
      <c r="L22" s="30">
        <f t="shared" si="20"/>
        <v>3</v>
      </c>
      <c r="M22">
        <f t="shared" si="21"/>
        <v>3</v>
      </c>
      <c r="N22" s="31">
        <f t="shared" si="22"/>
        <v>3</v>
      </c>
      <c r="O22" s="32">
        <f t="shared" si="23"/>
        <v>6</v>
      </c>
      <c r="P22">
        <f t="shared" si="24"/>
        <v>3</v>
      </c>
      <c r="Q22" s="100">
        <f t="shared" si="25"/>
        <v>18</v>
      </c>
      <c r="R22" s="15" t="str">
        <f t="shared" si="7"/>
        <v>Moderately Impaired</v>
      </c>
      <c r="S22" s="53"/>
      <c r="T22" s="53"/>
      <c r="U22" s="53"/>
      <c r="V22" s="52"/>
      <c r="W22" s="53"/>
      <c r="X22" s="109"/>
      <c r="Y22" s="109"/>
      <c r="Z22" s="110"/>
      <c r="AA22" s="111"/>
      <c r="AB22" s="111"/>
      <c r="AC22" s="101"/>
      <c r="AD22" s="112"/>
    </row>
    <row r="23" spans="1:30" s="58" customFormat="1">
      <c r="A23" t="str">
        <f t="shared" ref="A23:A24" si="26">B23&amp;"_"&amp;TEXT(C23,"yyyy-mm-dd")</f>
        <v>CB2_2013-03-23</v>
      </c>
      <c r="B23" s="73" t="s">
        <v>52</v>
      </c>
      <c r="C23" s="87">
        <v>41356</v>
      </c>
      <c r="D23">
        <f>SUMIF(DATA_WITHOUT_GENUS!A:A,A23,DATA_WITHOUT_GENUS!E:E)</f>
        <v>136</v>
      </c>
      <c r="E23">
        <f>SUMIF(DATA_WITHOUT_GENUS!A:A,A23,DATA_WITHOUT_GENUS!I:I)</f>
        <v>100</v>
      </c>
      <c r="F23" s="97">
        <f>SUMIFS(DATA_WITHOUT_GENUS!M:M,DATA_WITHOUT_GENUS!A:A,A23)/100</f>
        <v>4.3</v>
      </c>
      <c r="G23">
        <f>COUNTIFS(DATA_WITHOUT_GENUS!A:A,A23,DATA_WITHOUT_GENUS!I:I, "&gt;0")</f>
        <v>7</v>
      </c>
      <c r="H23">
        <f>COUNTIFS(DATA_WITHOUT_GENUS!A:A,A23,DATA_WITHOUT_GENUS!J:J,TRUE)</f>
        <v>1</v>
      </c>
      <c r="I23" s="18">
        <f>SUMIFS(DATA_WITHOUT_GENUS!I:I,DATA_WITHOUT_GENUS!A:A,A23,DATA_WITHOUT_GENUS!J:J,TRUE)</f>
        <v>80</v>
      </c>
      <c r="J23">
        <f>_xlfn.MAXIFS(DATA_WITHOUT_GENUS!I:I,DATA_WITHOUT_GENUS!A:A,A23)</f>
        <v>80</v>
      </c>
      <c r="K23" s="18" t="str" cm="1">
        <f t="array" ref="K23">_xlfn._xlws.FILTER(DATA_WITHOUT_GENUS!D:D,(DATA_WITHOUT_GENUS!A:A=A23)*(DATA_WITHOUT_GENUS!I:I=J23)*ROW(DATA_WITHOUT_GENUS!D:D),0)</f>
        <v>Hydropsychidae</v>
      </c>
      <c r="L23" s="30">
        <f t="shared" ref="L23:L24" si="27">IF(F23="","",IF(F23&gt;7,0,IF(F23&lt;5,6,IF(F23&lt;=7,3))))</f>
        <v>6</v>
      </c>
      <c r="M23">
        <f t="shared" ref="M23:M24" si="28">IF(G23="","",IF(G23&gt;10,6,IF(G23&lt;5,0,IF(G23&lt;=10,3))))</f>
        <v>3</v>
      </c>
      <c r="N23" s="31">
        <f t="shared" ref="N23:N24" si="29">IF(H23="","",IF(H23&gt;5,6,IF(H23&lt;3,0,IF(H23&lt;=5,3))))</f>
        <v>0</v>
      </c>
      <c r="O23" s="32">
        <f t="shared" ref="O23:O24" si="30">IF(I23="","",IF(I23&gt;35,6,IF(I23&lt;10,0,IF(I23&lt;=35,3,IF(I23&lt;10,0)))))</f>
        <v>6</v>
      </c>
      <c r="P23">
        <f t="shared" ref="P23:P24" si="31">IF(J23="","",IF(J23&gt;60,0,IF(J23&lt;40,6,IF(J23&lt;=60,3))))</f>
        <v>0</v>
      </c>
      <c r="Q23" s="100">
        <f t="shared" ref="Q23:Q24" si="32">SUM(L23:P23)</f>
        <v>15</v>
      </c>
      <c r="R23" s="15" t="str">
        <f t="shared" si="7"/>
        <v>Moderately Impaired</v>
      </c>
      <c r="S23" s="53"/>
      <c r="T23" s="53"/>
      <c r="U23" s="53"/>
      <c r="V23" s="52"/>
      <c r="W23" s="53"/>
      <c r="X23" s="109"/>
      <c r="Y23" s="109"/>
      <c r="Z23" s="110"/>
      <c r="AA23" s="111"/>
      <c r="AB23" s="111"/>
      <c r="AC23" s="101"/>
      <c r="AD23" s="112"/>
    </row>
    <row r="24" spans="1:30" s="58" customFormat="1">
      <c r="A24" t="str">
        <f t="shared" si="26"/>
        <v>CB2_2013-07-22</v>
      </c>
      <c r="B24" s="73" t="s">
        <v>52</v>
      </c>
      <c r="C24" s="87">
        <v>41477</v>
      </c>
      <c r="D24">
        <f>SUMIF(DATA_WITHOUT_GENUS!A:A,A24,DATA_WITHOUT_GENUS!E:E)</f>
        <v>343</v>
      </c>
      <c r="E24">
        <f>SUMIF(DATA_WITHOUT_GENUS!A:A,A24,DATA_WITHOUT_GENUS!I:I)</f>
        <v>100</v>
      </c>
      <c r="F24" s="97">
        <f>SUMIFS(DATA_WITHOUT_GENUS!M:M,DATA_WITHOUT_GENUS!A:A,A24)/100</f>
        <v>5.39</v>
      </c>
      <c r="G24">
        <f>COUNTIFS(DATA_WITHOUT_GENUS!A:A,A24,DATA_WITHOUT_GENUS!I:I, "&gt;0")</f>
        <v>9</v>
      </c>
      <c r="H24">
        <f>COUNTIFS(DATA_WITHOUT_GENUS!A:A,A24,DATA_WITHOUT_GENUS!J:J,TRUE)</f>
        <v>2</v>
      </c>
      <c r="I24" s="18">
        <f>SUMIFS(DATA_WITHOUT_GENUS!I:I,DATA_WITHOUT_GENUS!A:A,A24,DATA_WITHOUT_GENUS!J:J,TRUE)</f>
        <v>62</v>
      </c>
      <c r="J24">
        <f>_xlfn.MAXIFS(DATA_WITHOUT_GENUS!I:I,DATA_WITHOUT_GENUS!A:A,A24)</f>
        <v>62</v>
      </c>
      <c r="K24" s="18" t="str" cm="1">
        <f t="array" ref="K24">_xlfn._xlws.FILTER(DATA_WITHOUT_GENUS!D:D,(DATA_WITHOUT_GENUS!A:A=A24)*(DATA_WITHOUT_GENUS!I:I=J24)*ROW(DATA_WITHOUT_GENUS!D:D),0)</f>
        <v>Hydropsychidae</v>
      </c>
      <c r="L24" s="30">
        <f t="shared" si="27"/>
        <v>3</v>
      </c>
      <c r="M24">
        <f t="shared" si="28"/>
        <v>3</v>
      </c>
      <c r="N24" s="31">
        <f t="shared" si="29"/>
        <v>0</v>
      </c>
      <c r="O24" s="32">
        <f t="shared" si="30"/>
        <v>6</v>
      </c>
      <c r="P24">
        <f t="shared" si="31"/>
        <v>0</v>
      </c>
      <c r="Q24" s="100">
        <f t="shared" si="32"/>
        <v>12</v>
      </c>
      <c r="R24" s="15" t="str">
        <f t="shared" si="7"/>
        <v>Moderately Impaired</v>
      </c>
      <c r="S24" s="53"/>
      <c r="T24" s="53"/>
      <c r="U24" s="53"/>
      <c r="V24" s="52"/>
      <c r="W24" s="53"/>
      <c r="X24" s="109"/>
      <c r="Y24" s="109"/>
      <c r="Z24" s="110"/>
      <c r="AA24" s="111"/>
      <c r="AB24" s="111"/>
      <c r="AC24" s="101"/>
      <c r="AD24" s="112"/>
    </row>
    <row r="25" spans="1:30" s="58" customFormat="1">
      <c r="A25" t="str">
        <f t="shared" si="0"/>
        <v>CB2_2013-10-19</v>
      </c>
      <c r="B25" s="73" t="s">
        <v>52</v>
      </c>
      <c r="C25" s="87">
        <v>41566</v>
      </c>
      <c r="D25">
        <f>SUMIF(DATA_WITHOUT_GENUS!A:A,A25,DATA_WITHOUT_GENUS!E:E)</f>
        <v>768</v>
      </c>
      <c r="E25">
        <f>SUMIF(DATA_WITHOUT_GENUS!A:A,A25,DATA_WITHOUT_GENUS!I:I)</f>
        <v>100</v>
      </c>
      <c r="F25" s="97">
        <f>SUMIFS(DATA_WITHOUT_GENUS!M:M,DATA_WITHOUT_GENUS!A:A,A25)/100</f>
        <v>4.28</v>
      </c>
      <c r="G25">
        <f>COUNTIFS(DATA_WITHOUT_GENUS!A:A,A25,DATA_WITHOUT_GENUS!I:I, "&gt;0")</f>
        <v>7</v>
      </c>
      <c r="H25">
        <f>COUNTIFS(DATA_WITHOUT_GENUS!A:A,A25,DATA_WITHOUT_GENUS!J:J,TRUE)</f>
        <v>2</v>
      </c>
      <c r="I25" s="18">
        <f>SUMIFS(DATA_WITHOUT_GENUS!I:I,DATA_WITHOUT_GENUS!A:A,A25,DATA_WITHOUT_GENUS!J:J,TRUE)</f>
        <v>90</v>
      </c>
      <c r="J25">
        <f>_xlfn.MAXIFS(DATA_WITHOUT_GENUS!I:I,DATA_WITHOUT_GENUS!A:A,A25)</f>
        <v>90</v>
      </c>
      <c r="K25" s="18" t="str" cm="1">
        <f t="array" ref="K25">_xlfn._xlws.FILTER(DATA_WITHOUT_GENUS!D:D,(DATA_WITHOUT_GENUS!A:A=A25)*(DATA_WITHOUT_GENUS!I:I=J25)*ROW(DATA_WITHOUT_GENUS!D:D),0)</f>
        <v>Hydropsychidae</v>
      </c>
      <c r="L25" s="30">
        <f t="shared" si="20"/>
        <v>6</v>
      </c>
      <c r="M25">
        <f t="shared" si="21"/>
        <v>3</v>
      </c>
      <c r="N25" s="31">
        <f t="shared" si="22"/>
        <v>0</v>
      </c>
      <c r="O25" s="32">
        <f t="shared" si="23"/>
        <v>6</v>
      </c>
      <c r="P25">
        <f t="shared" si="24"/>
        <v>0</v>
      </c>
      <c r="Q25" s="100">
        <f t="shared" si="25"/>
        <v>15</v>
      </c>
      <c r="R25" s="15" t="str">
        <f t="shared" si="7"/>
        <v>Moderately Impaired</v>
      </c>
      <c r="S25" s="53"/>
      <c r="T25" s="53"/>
      <c r="U25" s="53"/>
      <c r="V25" s="52"/>
      <c r="W25" s="53"/>
      <c r="X25" s="109"/>
      <c r="Y25" s="109"/>
      <c r="Z25" s="110"/>
      <c r="AA25" s="111"/>
      <c r="AB25" s="111"/>
      <c r="AC25" s="101"/>
      <c r="AD25" s="112"/>
    </row>
    <row r="26" spans="1:30">
      <c r="A26" t="str">
        <f t="shared" si="0"/>
        <v>CB2_2014-03-15</v>
      </c>
      <c r="B26" t="s">
        <v>52</v>
      </c>
      <c r="C26" s="67">
        <v>41713</v>
      </c>
      <c r="D26">
        <f>SUMIF(DATA_WITH_GENUS_OLD!A:A,A26,DATA_WITH_GENUS_OLD!F:F)</f>
        <v>103</v>
      </c>
      <c r="E26">
        <f>SUMIF(DATA_WITH_GENUS_OLD!A:A,A26,DATA_WITH_GENUS_OLD!J:J)</f>
        <v>100</v>
      </c>
      <c r="F26" s="103">
        <f>SUMIFS(DATA_WITH_GENUS_OLD!T:T,DATA_WITH_GENUS_OLD!A:A,A26)/100</f>
        <v>4.99</v>
      </c>
      <c r="G26" cm="1">
        <f t="array" ref="G26">COUNTA(_xlfn.UNIQUE(_xlfn._xlws.FILTER(DATA_WITH_GENUS_OLD!A:A&amp;DATA_WITH_GENUS_OLD!D:D,(DATA_WITH_GENUS_OLD!A:A = A26)*(DATA_WITH_GENUS_OLD!J:J&gt;0))))</f>
        <v>8</v>
      </c>
      <c r="H26">
        <f>COUNTIFS(DATA_WITH_GENUS_OLD!A:A,A26,DATA_WITH_GENUS_OLD!K:K,"~*")</f>
        <v>0</v>
      </c>
      <c r="I26">
        <f>SUMIFS(DATA_WITH_GENUS_OLD!J:J,DATA_WITH_GENUS_OLD!A:A,A26,DATA_WITH_GENUS_OLD!K:K,"~*")</f>
        <v>0</v>
      </c>
      <c r="J26">
        <f>_xlfn.MAXIFS(DATA_WITH_GENUS_OLD!J:J,DATA_WITH_GENUS_OLD!A:A,A26)</f>
        <v>46</v>
      </c>
      <c r="K26" s="18" t="str" cm="1">
        <f t="array" ref="K26">_xlfn._xlws.FILTER(DATA_WITH_GENUS_OLD!E:E,(DATA_WITH_GENUS_OLD!A:A=A26)*(DATA_WITH_GENUS_OLD!J:J=J26)*ROW(DATA_WITH_GENUS_OLD!E:E),0)</f>
        <v>Chironomidae</v>
      </c>
      <c r="L26" s="11">
        <f>IF(F26="","",IF(F26&gt;7,0,IF(F26&lt;5,6,IF(F26&lt;=7,3))))</f>
        <v>6</v>
      </c>
      <c r="M26">
        <f>IF(G26="","",IF(G26&gt;10,6,IF(G26&lt;5,0,IF(G26&lt;=10,3))))</f>
        <v>3</v>
      </c>
      <c r="N26" s="13">
        <f>IF(H26="","",IF(H26&gt;5,6,IF(H26&lt;3,0,IF(H26&lt;=5,3))))</f>
        <v>0</v>
      </c>
      <c r="O26" s="14">
        <f>IF(I26="","",IF(I26&gt;35,6,IF(I26&lt;10,0,IF(I26&lt;=35,3,IF(I26&lt;10,0)))))</f>
        <v>0</v>
      </c>
      <c r="P26">
        <f>IF(J26="","",IF(J26&gt;60,0,IF(J26&lt;40,6,IF(J26&lt;=60,3))))</f>
        <v>3</v>
      </c>
      <c r="Q26" s="100">
        <f>SUM(L26:P26)</f>
        <v>12</v>
      </c>
      <c r="R26" s="15" t="str">
        <f>IF(Q26&gt;=24, "Non-Impaired", IF(Q26&lt;=6, "Severally Impaired", IF(Q26&gt;=9, "Moderately Impaired","")))</f>
        <v>Moderately Impaired</v>
      </c>
      <c r="S26">
        <f>COUNTIFS(DATA_WITH_GENUS_OLD!A:A,A26,DATA_WITH_GENUS_OLD!J:J, "&gt;0")</f>
        <v>8</v>
      </c>
      <c r="T26">
        <f>COUNTIFS(DATA_WITH_GENUS_OLD!A:A,A26,DATA_WITH_GENUS_OLD!K:K,"~*")</f>
        <v>0</v>
      </c>
      <c r="U26">
        <f>(COUNTIFS(DATA_WITH_GENUS_OLD!A:A,A26,DATA_WITH_GENUS_OLD!L:L,"Ephemeroptera"))/100</f>
        <v>0</v>
      </c>
      <c r="V26">
        <f>SUMIFS(DATA_WITH_GENUS_OLD!U:U,DATA_WITH_GENUS_OLD!A:A,A26)/100</f>
        <v>4.95</v>
      </c>
      <c r="W26">
        <f>((SUMIFS(DATA_WITH_GENUS_OLD!J:J,DATA_WITH_GENUS_OLD!A:A,A26,DATA_WITH_GENUS_OLD!Q:Q,TRUE)))</f>
        <v>25</v>
      </c>
      <c r="X26">
        <f>IF(S26&gt;25,6,IF(S26&lt;9, 0, IF(S26&gt;=17,4,2)))</f>
        <v>0</v>
      </c>
      <c r="Y26" s="18">
        <f>IF(T26&gt;9,6,IF(T26&lt;4, 0, IF(T26&gt;=7,4,2)))</f>
        <v>0</v>
      </c>
      <c r="Z26" s="18">
        <f>IF(U26&gt;29,6,IF(U26&lt;10, 0, IF(U26&gt;=20,4,2)))</f>
        <v>0</v>
      </c>
      <c r="AA26" s="18">
        <f>IF(V26&lt;4.9,6,IF(V26&gt;7.3, 0, IF(V26&gt;6,2,4)))</f>
        <v>4</v>
      </c>
      <c r="AB26" s="18">
        <f>IF(W26&gt;51,6,IF(W26&lt;17, 0, IF(W26&gt;34,4,2)))</f>
        <v>2</v>
      </c>
      <c r="AC26" s="98">
        <f>SUM(X26:AB26)</f>
        <v>6</v>
      </c>
      <c r="AD26" t="str">
        <f>IF(AC26="","",IF(AC26&gt;=22,"Excellent",IF(AC26&lt;6,"Poor",IF(AC26&gt;=12, "Good","Fair"))))</f>
        <v>Fair</v>
      </c>
    </row>
    <row r="27" spans="1:30">
      <c r="A27" t="str">
        <f t="shared" si="0"/>
        <v>CB2_2014-07-25</v>
      </c>
      <c r="B27" t="s">
        <v>52</v>
      </c>
      <c r="C27" s="67">
        <v>41845</v>
      </c>
      <c r="D27">
        <f>SUMIF(DATA_WITH_GENUS_OLD!A:A,A27,DATA_WITH_GENUS_OLD!F:F)</f>
        <v>115</v>
      </c>
      <c r="E27">
        <f>SUMIF(DATA_WITH_GENUS_OLD!A:A,A27,DATA_WITH_GENUS_OLD!J:J)</f>
        <v>100</v>
      </c>
      <c r="F27" s="103">
        <f>SUMIFS(DATA_WITH_GENUS_OLD!T:T,DATA_WITH_GENUS_OLD!A:A,A27)/100</f>
        <v>5.36</v>
      </c>
      <c r="G27" cm="1">
        <f t="array" ref="G27">COUNTA(_xlfn.UNIQUE(_xlfn._xlws.FILTER(DATA_WITH_GENUS_OLD!A:A&amp;DATA_WITH_GENUS_OLD!D:D,(DATA_WITH_GENUS_OLD!A:A = A27)*(DATA_WITH_GENUS_OLD!J:J&gt;0))))</f>
        <v>11</v>
      </c>
      <c r="H27">
        <f>COUNTIFS(DATA_WITH_GENUS_OLD!A:A,A27,DATA_WITH_GENUS_OLD!K:K,"~*")</f>
        <v>0</v>
      </c>
      <c r="I27">
        <f>SUMIFS(DATA_WITH_GENUS_OLD!J:J,DATA_WITH_GENUS_OLD!A:A,A27,DATA_WITH_GENUS_OLD!K:K,"~*")</f>
        <v>0</v>
      </c>
      <c r="J27">
        <f>_xlfn.MAXIFS(DATA_WITH_GENUS_OLD!J:J,DATA_WITH_GENUS_OLD!A:A,A27)</f>
        <v>50</v>
      </c>
      <c r="K27" s="18" t="str" cm="1">
        <f t="array" ref="K27">_xlfn._xlws.FILTER(DATA_WITH_GENUS_OLD!E:E,(DATA_WITH_GENUS_OLD!A:A=A27)*(DATA_WITH_GENUS_OLD!J:J=J27)*ROW(DATA_WITH_GENUS_OLD!E:E),0)</f>
        <v>Gammaridae</v>
      </c>
      <c r="L27" s="11">
        <f>IF(F27="","",IF(F27&gt;7,0,IF(F27&lt;5,6,IF(F27&lt;=7,3))))</f>
        <v>3</v>
      </c>
      <c r="M27">
        <f>IF(G27="","",IF(G27&gt;10,6,IF(G27&lt;5,0,IF(G27&lt;=10,3))))</f>
        <v>6</v>
      </c>
      <c r="N27" s="13">
        <f>IF(H27="","",IF(H27&gt;5,6,IF(H27&lt;3,0,IF(H27&lt;=5,3))))</f>
        <v>0</v>
      </c>
      <c r="O27" s="14">
        <f>IF(I27="","",IF(I27&gt;35,6,IF(I27&lt;10,0,IF(I27&lt;=35,3,IF(I27&lt;10,0)))))</f>
        <v>0</v>
      </c>
      <c r="P27">
        <f>IF(J27="","",IF(J27&gt;60,0,IF(J27&lt;40,6,IF(J27&lt;=60,3))))</f>
        <v>3</v>
      </c>
      <c r="Q27" s="100">
        <f>SUM(L27:P27)</f>
        <v>12</v>
      </c>
      <c r="R27" s="15" t="str">
        <f>IF(Q27&gt;=24, "Non-Impaired", IF(Q27&lt;=6, "Severally Impaired", IF(Q27&gt;=9, "Moderately Impaired","")))</f>
        <v>Moderately Impaired</v>
      </c>
      <c r="S27">
        <f>COUNTIFS(DATA_WITH_GENUS_OLD!A:A,A27,DATA_WITH_GENUS_OLD!J:J, "&gt;0")</f>
        <v>11</v>
      </c>
      <c r="T27">
        <f>COUNTIFS(DATA_WITH_GENUS_OLD!A:A,A27,DATA_WITH_GENUS_OLD!K:K,"~*")</f>
        <v>0</v>
      </c>
      <c r="U27">
        <f>(COUNTIFS(DATA_WITH_GENUS_OLD!A:A,A27,DATA_WITH_GENUS_OLD!L:L,"Ephemeroptera"))/100</f>
        <v>0</v>
      </c>
      <c r="V27">
        <f>SUMIFS(DATA_WITH_GENUS_OLD!U:U,DATA_WITH_GENUS_OLD!A:A,A27)/100</f>
        <v>5.36</v>
      </c>
      <c r="W27">
        <f>((SUMIFS(DATA_WITH_GENUS_OLD!J:J,DATA_WITH_GENUS_OLD!A:A,A27,DATA_WITH_GENUS_OLD!Q:Q,TRUE)))</f>
        <v>2</v>
      </c>
      <c r="X27">
        <f>IF(S27&gt;25,6,IF(S27&lt;9, 0, IF(S27&gt;=17,4,2)))</f>
        <v>2</v>
      </c>
      <c r="Y27" s="18">
        <f>IF(T27&gt;9,6,IF(T27&lt;4, 0, IF(T27&gt;=7,4,2)))</f>
        <v>0</v>
      </c>
      <c r="Z27" s="18">
        <f>IF(U27&gt;29,6,IF(U27&lt;10, 0, IF(U27&gt;=20,4,2)))</f>
        <v>0</v>
      </c>
      <c r="AA27" s="18">
        <f>IF(V27&lt;4.9,6,IF(V27&gt;7.3, 0, IF(V27&gt;6,2,4)))</f>
        <v>4</v>
      </c>
      <c r="AB27" s="18">
        <f>IF(W27&gt;51,6,IF(W27&lt;17, 0, IF(W27&gt;34,4,2)))</f>
        <v>0</v>
      </c>
      <c r="AC27" s="98">
        <f>SUM(X27:AB27)</f>
        <v>6</v>
      </c>
      <c r="AD27" t="str">
        <f t="shared" ref="AD27:AD34" si="33">IF(AC27="","",IF(AC27&gt;=22,"Excellent",IF(AC27&lt;6,"Poor",IF(AC27&gt;=12, "Good","Fair"))))</f>
        <v>Fair</v>
      </c>
    </row>
    <row r="28" spans="1:30">
      <c r="A28" t="str">
        <f t="shared" si="0"/>
        <v>CB2_2014-10-13</v>
      </c>
      <c r="B28" t="s">
        <v>52</v>
      </c>
      <c r="C28" s="36">
        <v>41925</v>
      </c>
      <c r="D28" s="105">
        <f>SUMIF(DATA_WITH_GENUS_OLD!A:A,A28,DATA_WITH_GENUS_OLD!F:F)</f>
        <v>65</v>
      </c>
      <c r="F28" s="103"/>
      <c r="K28" s="18"/>
      <c r="AD28" t="str">
        <f t="shared" si="33"/>
        <v/>
      </c>
    </row>
    <row r="29" spans="1:30">
      <c r="A29" t="str">
        <f t="shared" si="0"/>
        <v>CB2_2015-07-19</v>
      </c>
      <c r="B29" t="s">
        <v>52</v>
      </c>
      <c r="C29" s="36">
        <v>42204</v>
      </c>
      <c r="D29">
        <f>SUMIF(DATA_WITH_GENUS_OLD!A:A,A29,DATA_WITH_GENUS_OLD!F:F)</f>
        <v>381</v>
      </c>
      <c r="E29">
        <f>SUMIF(DATA_WITH_GENUS_OLD!A:A,A29,DATA_WITH_GENUS_OLD!J:J)</f>
        <v>100</v>
      </c>
      <c r="F29" s="103">
        <f>SUMIFS(DATA_WITH_GENUS_OLD!T:T,DATA_WITH_GENUS_OLD!A:A,A29)/100</f>
        <v>4.79</v>
      </c>
      <c r="G29" cm="1">
        <f t="array" ref="G29">COUNTA(_xlfn.UNIQUE(_xlfn._xlws.FILTER(DATA_WITH_GENUS_OLD!A:A&amp;DATA_WITH_GENUS_OLD!D:D,(DATA_WITH_GENUS_OLD!A:A = A29)*(DATA_WITH_GENUS_OLD!J:J&gt;0))))</f>
        <v>9</v>
      </c>
      <c r="H29">
        <f>COUNTIFS(DATA_WITH_GENUS_OLD!A:A,A29,DATA_WITH_GENUS_OLD!K:K,"~*")</f>
        <v>1</v>
      </c>
      <c r="I29">
        <f>SUMIFS(DATA_WITH_GENUS_OLD!J:J,DATA_WITH_GENUS_OLD!A:A,A29,DATA_WITH_GENUS_OLD!K:K,"~*")</f>
        <v>21</v>
      </c>
      <c r="J29">
        <f>_xlfn.MAXIFS(DATA_WITH_GENUS_OLD!J:J,DATA_WITH_GENUS_OLD!A:A,A29)</f>
        <v>51</v>
      </c>
      <c r="K29" s="18" t="str" cm="1">
        <f t="array" ref="K29">_xlfn._xlws.FILTER(DATA_WITH_GENUS_OLD!E:E,(DATA_WITH_GENUS_OLD!A:A=A29)*(DATA_WITH_GENUS_OLD!J:J=J29)*ROW(DATA_WITH_GENUS_OLD!E:E),0)</f>
        <v>Gammaridae</v>
      </c>
      <c r="L29" s="11">
        <f t="shared" ref="L29:L34" si="34">IF(F29="","",IF(F29&gt;7,0,IF(F29&lt;5,6,IF(F29&lt;=7,3))))</f>
        <v>6</v>
      </c>
      <c r="M29">
        <f t="shared" ref="M29:M35" si="35">IF(G29="","",IF(G29&gt;10,6,IF(G29&lt;5,0,IF(G29&lt;=10,3))))</f>
        <v>3</v>
      </c>
      <c r="N29" s="13">
        <f t="shared" ref="N29:N34" si="36">IF(H29="","",IF(H29&gt;5,6,IF(H29&lt;3,0,IF(H29&lt;=5,3))))</f>
        <v>0</v>
      </c>
      <c r="O29" s="14">
        <f t="shared" ref="O29:O34" si="37">IF(I29="","",IF(I29&gt;35,6,IF(I29&lt;10,0,IF(I29&lt;=35,3,IF(I29&lt;10,0)))))</f>
        <v>3</v>
      </c>
      <c r="P29">
        <f t="shared" ref="P29:P34" si="38">IF(J29="","",IF(J29&gt;60,0,IF(J29&lt;40,6,IF(J29&lt;=60,3))))</f>
        <v>3</v>
      </c>
      <c r="Q29" s="100">
        <f t="shared" ref="Q29:Q34" si="39">SUM(L29:P29)</f>
        <v>15</v>
      </c>
      <c r="R29" s="15" t="str">
        <f t="shared" ref="R29:R34" si="40">IF(Q29&gt;=24, "Non-Impaired", IF(Q29&lt;=6, "Severally Impaired", IF(Q29&gt;=9, "Moderately Impaired","")))</f>
        <v>Moderately Impaired</v>
      </c>
      <c r="S29">
        <f>COUNTIFS(DATA_WITH_GENUS_OLD!A:A,A29,DATA_WITH_GENUS_OLD!J:J, "&gt;0")</f>
        <v>9</v>
      </c>
      <c r="T29">
        <f>COUNTIFS(DATA_WITH_GENUS_OLD!A:A,A29,DATA_WITH_GENUS_OLD!K:K,"~*")</f>
        <v>1</v>
      </c>
      <c r="U29">
        <f>(COUNTIFS(DATA_WITH_GENUS_OLD!A:A,A29,DATA_WITH_GENUS_OLD!L:L,"Ephemeroptera"))/100</f>
        <v>0</v>
      </c>
      <c r="V29">
        <f>SUMIFS(DATA_WITH_GENUS_OLD!U:U,DATA_WITH_GENUS_OLD!A:A,A29)/100</f>
        <v>5.09</v>
      </c>
      <c r="W29">
        <f>((SUMIFS(DATA_WITH_GENUS_OLD!J:J,DATA_WITH_GENUS_OLD!A:A,A29,DATA_WITH_GENUS_OLD!Q:Q,TRUE)))</f>
        <v>24</v>
      </c>
      <c r="X29">
        <f t="shared" ref="X29:X34" si="41">IF(S29&gt;25,6,IF(S29&lt;9, 0, IF(S29&gt;=17,4,2)))</f>
        <v>2</v>
      </c>
      <c r="Y29" s="18">
        <f t="shared" ref="Y29:Y34" si="42">IF(T29&gt;9,6,IF(T29&lt;4, 0, IF(T29&gt;=7,4,2)))</f>
        <v>0</v>
      </c>
      <c r="Z29" s="18">
        <f t="shared" ref="Z29:Z34" si="43">IF(U29&gt;29,6,IF(U29&lt;10, 0, IF(U29&gt;=20,4,2)))</f>
        <v>0</v>
      </c>
      <c r="AA29" s="18">
        <f t="shared" ref="AA29:AA34" si="44">IF(V29&lt;4.9,6,IF(V29&gt;7.3, 0, IF(V29&gt;6,2,4)))</f>
        <v>4</v>
      </c>
      <c r="AB29" s="18">
        <f t="shared" ref="AB29:AB34" si="45">IF(W29&gt;51,6,IF(W29&lt;17, 0, IF(W29&gt;34,4,2)))</f>
        <v>2</v>
      </c>
      <c r="AC29" s="98">
        <f t="shared" ref="AC29:AC34" si="46">SUM(X29:AB29)</f>
        <v>8</v>
      </c>
      <c r="AD29" t="str">
        <f t="shared" si="33"/>
        <v>Fair</v>
      </c>
    </row>
    <row r="30" spans="1:30">
      <c r="A30" t="str">
        <f t="shared" si="0"/>
        <v>CB2_2016-04-08</v>
      </c>
      <c r="B30" t="s">
        <v>52</v>
      </c>
      <c r="C30" s="36">
        <v>42468</v>
      </c>
      <c r="D30">
        <f>SUMIF(DATA_WITH_GENUS_OLD!A:A,A30,DATA_WITH_GENUS_OLD!F:F)</f>
        <v>206</v>
      </c>
      <c r="E30">
        <f>SUMIF(DATA_WITH_GENUS_OLD!A:A,A30,DATA_WITH_GENUS_OLD!J:J)</f>
        <v>100</v>
      </c>
      <c r="F30" s="103">
        <f>SUMIFS(DATA_WITH_GENUS_OLD!T:T,DATA_WITH_GENUS_OLD!A:A,A30)/100</f>
        <v>5.13</v>
      </c>
      <c r="G30" cm="1">
        <f t="array" ref="G30">COUNTA(_xlfn.UNIQUE(_xlfn._xlws.FILTER(DATA_WITH_GENUS_OLD!A:A&amp;DATA_WITH_GENUS_OLD!D:D,(DATA_WITH_GENUS_OLD!A:A = A30)*(DATA_WITH_GENUS_OLD!J:J&gt;0))))</f>
        <v>9</v>
      </c>
      <c r="H30">
        <f>COUNTIFS(DATA_WITH_GENUS_OLD!A:A,A30,DATA_WITH_GENUS_OLD!K:K,"~*")</f>
        <v>1</v>
      </c>
      <c r="I30">
        <f>SUMIFS(DATA_WITH_GENUS_OLD!J:J,DATA_WITH_GENUS_OLD!A:A,A30,DATA_WITH_GENUS_OLD!K:K,"~*")</f>
        <v>1</v>
      </c>
      <c r="J30">
        <f>_xlfn.MAXIFS(DATA_WITH_GENUS_OLD!J:J,DATA_WITH_GENUS_OLD!A:A,A30)</f>
        <v>67</v>
      </c>
      <c r="K30" s="18" t="str" cm="1">
        <f t="array" ref="K30">_xlfn._xlws.FILTER(DATA_WITH_GENUS_OLD!E:E,(DATA_WITH_GENUS_OLD!A:A=A30)*(DATA_WITH_GENUS_OLD!J:J=J30)*ROW(DATA_WITH_GENUS_OLD!E:E),0)</f>
        <v>Gammaridae</v>
      </c>
      <c r="L30" s="11">
        <f t="shared" si="34"/>
        <v>3</v>
      </c>
      <c r="M30">
        <f t="shared" si="35"/>
        <v>3</v>
      </c>
      <c r="N30" s="13">
        <f t="shared" si="36"/>
        <v>0</v>
      </c>
      <c r="O30" s="14">
        <f t="shared" si="37"/>
        <v>0</v>
      </c>
      <c r="P30">
        <f t="shared" si="38"/>
        <v>0</v>
      </c>
      <c r="Q30" s="100">
        <f t="shared" si="39"/>
        <v>6</v>
      </c>
      <c r="R30" s="15" t="str">
        <f t="shared" si="40"/>
        <v>Severally Impaired</v>
      </c>
      <c r="S30">
        <f>COUNTIFS(DATA_WITH_GENUS_OLD!A:A,A30,DATA_WITH_GENUS_OLD!J:J, "&gt;0")</f>
        <v>9</v>
      </c>
      <c r="T30">
        <f>COUNTIFS(DATA_WITH_GENUS_OLD!A:A,A30,DATA_WITH_GENUS_OLD!K:K,"~*")</f>
        <v>1</v>
      </c>
      <c r="U30">
        <f>(COUNTIFS(DATA_WITH_GENUS_OLD!A:A,A30,DATA_WITH_GENUS_OLD!L:L,"Ephemeroptera"))/100</f>
        <v>0</v>
      </c>
      <c r="V30">
        <f>SUMIFS(DATA_WITH_GENUS_OLD!U:U,DATA_WITH_GENUS_OLD!A:A,A30)/100</f>
        <v>5.63</v>
      </c>
      <c r="W30">
        <f>((SUMIFS(DATA_WITH_GENUS_OLD!J:J,DATA_WITH_GENUS_OLD!A:A,A30,DATA_WITH_GENUS_OLD!Q:Q,TRUE)))</f>
        <v>2</v>
      </c>
      <c r="X30">
        <f t="shared" si="41"/>
        <v>2</v>
      </c>
      <c r="Y30" s="18">
        <f t="shared" si="42"/>
        <v>0</v>
      </c>
      <c r="Z30" s="18">
        <f t="shared" si="43"/>
        <v>0</v>
      </c>
      <c r="AA30" s="18">
        <f t="shared" si="44"/>
        <v>4</v>
      </c>
      <c r="AB30" s="18">
        <f t="shared" si="45"/>
        <v>0</v>
      </c>
      <c r="AC30" s="98">
        <f t="shared" si="46"/>
        <v>6</v>
      </c>
      <c r="AD30" t="str">
        <f t="shared" si="33"/>
        <v>Fair</v>
      </c>
    </row>
    <row r="31" spans="1:30">
      <c r="A31" t="str">
        <f t="shared" si="0"/>
        <v>CB2_2016-07-03</v>
      </c>
      <c r="B31" t="s">
        <v>52</v>
      </c>
      <c r="C31" s="36">
        <v>42554</v>
      </c>
      <c r="D31">
        <f>SUMIF(DATA_WITH_GENUS_OLD!A:A,A31,DATA_WITH_GENUS_OLD!F:F)</f>
        <v>122</v>
      </c>
      <c r="E31">
        <f>SUMIF(DATA_WITH_GENUS_OLD!A:A,A31,DATA_WITH_GENUS_OLD!J:J)</f>
        <v>100</v>
      </c>
      <c r="F31" s="103">
        <f>SUMIFS(DATA_WITH_GENUS_OLD!T:T,DATA_WITH_GENUS_OLD!A:A,A31)/100</f>
        <v>5.78</v>
      </c>
      <c r="G31" cm="1">
        <f t="array" ref="G31">COUNTA(_xlfn.UNIQUE(_xlfn._xlws.FILTER(DATA_WITH_GENUS_OLD!A:A&amp;DATA_WITH_GENUS_OLD!D:D,(DATA_WITH_GENUS_OLD!A:A = A31)*(DATA_WITH_GENUS_OLD!J:J&gt;0))))</f>
        <v>9</v>
      </c>
      <c r="H31">
        <f>COUNTIFS(DATA_WITH_GENUS_OLD!A:A,A31,DATA_WITH_GENUS_OLD!K:K,"~*")</f>
        <v>1</v>
      </c>
      <c r="I31">
        <f>SUMIFS(DATA_WITH_GENUS_OLD!J:J,DATA_WITH_GENUS_OLD!A:A,A31,DATA_WITH_GENUS_OLD!K:K,"~*")</f>
        <v>6</v>
      </c>
      <c r="J31">
        <f>_xlfn.MAXIFS(DATA_WITH_GENUS_OLD!J:J,DATA_WITH_GENUS_OLD!A:A,A31)</f>
        <v>39</v>
      </c>
      <c r="K31" s="18" t="str" cm="1">
        <f t="array" ref="K31">_xlfn._xlws.FILTER(DATA_WITH_GENUS_OLD!E:E,(DATA_WITH_GENUS_OLD!A:A=A31)*(DATA_WITH_GENUS_OLD!J:J=J31)*ROW(DATA_WITH_GENUS_OLD!E:E),0)</f>
        <v>Chironomus</v>
      </c>
      <c r="L31" s="11">
        <f t="shared" si="34"/>
        <v>3</v>
      </c>
      <c r="M31">
        <f t="shared" si="35"/>
        <v>3</v>
      </c>
      <c r="N31" s="13">
        <f t="shared" si="36"/>
        <v>0</v>
      </c>
      <c r="O31" s="14">
        <f t="shared" si="37"/>
        <v>0</v>
      </c>
      <c r="P31">
        <f t="shared" si="38"/>
        <v>6</v>
      </c>
      <c r="Q31" s="100">
        <f t="shared" si="39"/>
        <v>12</v>
      </c>
      <c r="R31" s="15" t="str">
        <f t="shared" si="40"/>
        <v>Moderately Impaired</v>
      </c>
      <c r="S31">
        <f>COUNTIFS(DATA_WITH_GENUS_OLD!A:A,A31,DATA_WITH_GENUS_OLD!J:J, "&gt;0")</f>
        <v>9</v>
      </c>
      <c r="T31">
        <f>COUNTIFS(DATA_WITH_GENUS_OLD!A:A,A31,DATA_WITH_GENUS_OLD!K:K,"~*")</f>
        <v>1</v>
      </c>
      <c r="U31">
        <f>(COUNTIFS(DATA_WITH_GENUS_OLD!A:A,A31,DATA_WITH_GENUS_OLD!L:L,"Ephemeroptera"))/100</f>
        <v>0</v>
      </c>
      <c r="V31">
        <f>SUMIFS(DATA_WITH_GENUS_OLD!U:U,DATA_WITH_GENUS_OLD!A:A,A31)/100</f>
        <v>6.56</v>
      </c>
      <c r="W31">
        <f>((SUMIFS(DATA_WITH_GENUS_OLD!J:J,DATA_WITH_GENUS_OLD!A:A,A31,DATA_WITH_GENUS_OLD!Q:Q,TRUE)))</f>
        <v>9</v>
      </c>
      <c r="X31">
        <f t="shared" si="41"/>
        <v>2</v>
      </c>
      <c r="Y31" s="18">
        <f t="shared" si="42"/>
        <v>0</v>
      </c>
      <c r="Z31" s="18">
        <f t="shared" si="43"/>
        <v>0</v>
      </c>
      <c r="AA31" s="18">
        <f t="shared" si="44"/>
        <v>2</v>
      </c>
      <c r="AB31" s="18">
        <f t="shared" si="45"/>
        <v>0</v>
      </c>
      <c r="AC31" s="98">
        <f t="shared" si="46"/>
        <v>4</v>
      </c>
      <c r="AD31" t="str">
        <f t="shared" si="33"/>
        <v>Poor</v>
      </c>
    </row>
    <row r="32" spans="1:30">
      <c r="A32" t="str">
        <f t="shared" si="0"/>
        <v>CB2_2016-10-16</v>
      </c>
      <c r="B32" t="s">
        <v>52</v>
      </c>
      <c r="C32" s="36">
        <v>42659</v>
      </c>
      <c r="D32">
        <f>SUMIF(DATA_WITH_GENUS_OLD!A:A,A32,DATA_WITH_GENUS_OLD!F:F)</f>
        <v>202</v>
      </c>
      <c r="E32">
        <f>SUMIF(DATA_WITH_GENUS_OLD!A:A,A32,DATA_WITH_GENUS_OLD!J:J)</f>
        <v>100</v>
      </c>
      <c r="F32" s="103">
        <f>SUMIFS(DATA_WITH_GENUS_OLD!T:T,DATA_WITH_GENUS_OLD!A:A,A32)/100</f>
        <v>5.73</v>
      </c>
      <c r="G32" cm="1">
        <f t="array" ref="G32">COUNTA(_xlfn.UNIQUE(_xlfn._xlws.FILTER(DATA_WITH_GENUS_OLD!A:A&amp;DATA_WITH_GENUS_OLD!D:D,(DATA_WITH_GENUS_OLD!A:A = A32)*(DATA_WITH_GENUS_OLD!J:J&gt;0))))</f>
        <v>9</v>
      </c>
      <c r="H32">
        <f>COUNTIFS(DATA_WITH_GENUS_OLD!A:A,A32,DATA_WITH_GENUS_OLD!K:K,"~*")</f>
        <v>1</v>
      </c>
      <c r="I32">
        <f>SUMIFS(DATA_WITH_GENUS_OLD!J:J,DATA_WITH_GENUS_OLD!A:A,A32,DATA_WITH_GENUS_OLD!K:K,"~*")</f>
        <v>32</v>
      </c>
      <c r="J32">
        <f>_xlfn.MAXIFS(DATA_WITH_GENUS_OLD!J:J,DATA_WITH_GENUS_OLD!A:A,A32)</f>
        <v>37</v>
      </c>
      <c r="K32" s="18" t="str" cm="1">
        <f t="array" ref="K32">_xlfn._xlws.FILTER(DATA_WITH_GENUS_OLD!E:E,(DATA_WITH_GENUS_OLD!A:A=A32)*(DATA_WITH_GENUS_OLD!J:J=J32)*ROW(DATA_WITH_GENUS_OLD!E:E),0)</f>
        <v>Chironomus</v>
      </c>
      <c r="L32" s="11">
        <f t="shared" si="34"/>
        <v>3</v>
      </c>
      <c r="M32">
        <f t="shared" si="35"/>
        <v>3</v>
      </c>
      <c r="N32" s="13">
        <f t="shared" si="36"/>
        <v>0</v>
      </c>
      <c r="O32" s="14">
        <f t="shared" si="37"/>
        <v>3</v>
      </c>
      <c r="P32">
        <f t="shared" si="38"/>
        <v>6</v>
      </c>
      <c r="Q32" s="100">
        <f t="shared" si="39"/>
        <v>15</v>
      </c>
      <c r="R32" s="15" t="str">
        <f t="shared" si="40"/>
        <v>Moderately Impaired</v>
      </c>
      <c r="S32">
        <f>COUNTIFS(DATA_WITH_GENUS_OLD!A:A,A32,DATA_WITH_GENUS_OLD!J:J, "&gt;0")</f>
        <v>9</v>
      </c>
      <c r="T32">
        <f>COUNTIFS(DATA_WITH_GENUS_OLD!A:A,A32,DATA_WITH_GENUS_OLD!K:K,"~*")</f>
        <v>1</v>
      </c>
      <c r="U32">
        <f>(COUNTIFS(DATA_WITH_GENUS_OLD!A:A,A32,DATA_WITH_GENUS_OLD!L:L,"Ephemeroptera"))/100</f>
        <v>0</v>
      </c>
      <c r="V32">
        <f>SUMIFS(DATA_WITH_GENUS_OLD!U:U,DATA_WITH_GENUS_OLD!A:A,A32)/100</f>
        <v>6.47</v>
      </c>
      <c r="W32">
        <f>((SUMIFS(DATA_WITH_GENUS_OLD!J:J,DATA_WITH_GENUS_OLD!A:A,A32,DATA_WITH_GENUS_OLD!Q:Q,TRUE)))</f>
        <v>40</v>
      </c>
      <c r="X32">
        <f t="shared" si="41"/>
        <v>2</v>
      </c>
      <c r="Y32" s="18">
        <f t="shared" si="42"/>
        <v>0</v>
      </c>
      <c r="Z32" s="18">
        <f t="shared" si="43"/>
        <v>0</v>
      </c>
      <c r="AA32" s="18">
        <f t="shared" si="44"/>
        <v>2</v>
      </c>
      <c r="AB32" s="18">
        <f t="shared" si="45"/>
        <v>4</v>
      </c>
      <c r="AC32" s="98">
        <f t="shared" si="46"/>
        <v>8</v>
      </c>
      <c r="AD32" t="str">
        <f t="shared" si="33"/>
        <v>Fair</v>
      </c>
    </row>
    <row r="33" spans="1:30">
      <c r="A33" t="str">
        <f t="shared" si="0"/>
        <v>CB2_2017-06-25</v>
      </c>
      <c r="B33" t="s">
        <v>52</v>
      </c>
      <c r="C33" s="3">
        <v>42911</v>
      </c>
      <c r="D33">
        <f>SUMIF(DATA_WITH_GENUS_OLD!A:A,A33,DATA_WITH_GENUS_OLD!F:F)</f>
        <v>302</v>
      </c>
      <c r="E33">
        <f>SUMIF(DATA_WITH_GENUS_OLD!A:A,A33,DATA_WITH_GENUS_OLD!J:J)</f>
        <v>100</v>
      </c>
      <c r="F33" s="103">
        <f>SUMIFS(DATA_WITH_GENUS_OLD!T:T,DATA_WITH_GENUS_OLD!A:A,A33)/100</f>
        <v>5.4</v>
      </c>
      <c r="G33" cm="1">
        <f t="array" ref="G33">COUNTA(_xlfn.UNIQUE(_xlfn._xlws.FILTER(DATA_WITH_GENUS_OLD!A:A&amp;DATA_WITH_GENUS_OLD!D:D,(DATA_WITH_GENUS_OLD!A:A = A33)*(DATA_WITH_GENUS_OLD!J:J&gt;0))))</f>
        <v>8</v>
      </c>
      <c r="H33">
        <f>COUNTIFS(DATA_WITH_GENUS_OLD!A:A,A33,DATA_WITH_GENUS_OLD!K:K,"~*")</f>
        <v>2</v>
      </c>
      <c r="I33">
        <f>SUMIFS(DATA_WITH_GENUS_OLD!J:J,DATA_WITH_GENUS_OLD!A:A,A33,DATA_WITH_GENUS_OLD!K:K,"~*")</f>
        <v>9</v>
      </c>
      <c r="J33">
        <f>_xlfn.MAXIFS(DATA_WITH_GENUS_OLD!J:J,DATA_WITH_GENUS_OLD!A:A,A33)</f>
        <v>51</v>
      </c>
      <c r="K33" s="18" t="str" cm="1">
        <f t="array" ref="K33">_xlfn._xlws.FILTER(DATA_WITH_GENUS_OLD!E:E,(DATA_WITH_GENUS_OLD!A:A=A33)*(DATA_WITH_GENUS_OLD!J:J=J33)*ROW(DATA_WITH_GENUS_OLD!E:E),0)</f>
        <v>Gammaridae</v>
      </c>
      <c r="L33" s="11">
        <f t="shared" si="34"/>
        <v>3</v>
      </c>
      <c r="M33">
        <f t="shared" si="35"/>
        <v>3</v>
      </c>
      <c r="N33" s="13">
        <f t="shared" si="36"/>
        <v>0</v>
      </c>
      <c r="O33" s="14">
        <f t="shared" si="37"/>
        <v>0</v>
      </c>
      <c r="P33">
        <f t="shared" si="38"/>
        <v>3</v>
      </c>
      <c r="Q33" s="100">
        <f t="shared" si="39"/>
        <v>9</v>
      </c>
      <c r="R33" s="15" t="str">
        <f t="shared" si="40"/>
        <v>Moderately Impaired</v>
      </c>
      <c r="S33">
        <f>COUNTIFS(DATA_WITH_GENUS_OLD!A:A,A33,DATA_WITH_GENUS_OLD!J:J, "&gt;0")</f>
        <v>8</v>
      </c>
      <c r="T33">
        <f>COUNTIFS(DATA_WITH_GENUS_OLD!A:A,A33,DATA_WITH_GENUS_OLD!K:K,"~*")</f>
        <v>2</v>
      </c>
      <c r="U33">
        <f>(COUNTIFS(DATA_WITH_GENUS_OLD!A:A,A33,DATA_WITH_GENUS_OLD!L:L,"Ephemeroptera"))/100</f>
        <v>0</v>
      </c>
      <c r="V33">
        <f>SUMIFS(DATA_WITH_GENUS_OLD!U:U,DATA_WITH_GENUS_OLD!A:A,A33)/100</f>
        <v>5.9</v>
      </c>
      <c r="W33">
        <f>((SUMIFS(DATA_WITH_GENUS_OLD!J:J,DATA_WITH_GENUS_OLD!A:A,A33,DATA_WITH_GENUS_OLD!Q:Q,TRUE)))</f>
        <v>13</v>
      </c>
      <c r="X33">
        <f t="shared" si="41"/>
        <v>0</v>
      </c>
      <c r="Y33" s="18">
        <f t="shared" si="42"/>
        <v>0</v>
      </c>
      <c r="Z33" s="18">
        <f t="shared" si="43"/>
        <v>0</v>
      </c>
      <c r="AA33" s="18">
        <f t="shared" si="44"/>
        <v>4</v>
      </c>
      <c r="AB33" s="18">
        <f t="shared" si="45"/>
        <v>0</v>
      </c>
      <c r="AC33" s="98">
        <f t="shared" si="46"/>
        <v>4</v>
      </c>
      <c r="AD33" t="str">
        <f t="shared" si="33"/>
        <v>Poor</v>
      </c>
    </row>
    <row r="34" spans="1:30">
      <c r="A34" t="str">
        <f t="shared" si="0"/>
        <v>CB2_2021-12-05</v>
      </c>
      <c r="B34" t="s">
        <v>52</v>
      </c>
      <c r="C34" s="3">
        <v>44535</v>
      </c>
      <c r="D34">
        <f>SUMIF(DATA_WITH_GENUS_OLD!A:A,A34,DATA_WITH_GENUS_OLD!F:F)</f>
        <v>121</v>
      </c>
      <c r="E34">
        <f>SUMIF(DATA_WITH_GENUS_OLD!A:A,A34,DATA_WITH_GENUS_OLD!J:J)</f>
        <v>100</v>
      </c>
      <c r="F34" s="103">
        <f>SUMIFS(DATA_WITH_GENUS_OLD!T:T,DATA_WITH_GENUS_OLD!A:A,A34)/100</f>
        <v>5.99</v>
      </c>
      <c r="G34" cm="1">
        <f t="array" ref="G34">COUNTA(_xlfn.UNIQUE(_xlfn._xlws.FILTER(DATA_WITH_GENUS_OLD!A:A&amp;DATA_WITH_GENUS_OLD!D:D,(DATA_WITH_GENUS_OLD!A:A = A34)*(DATA_WITH_GENUS_OLD!J:J&gt;0))))</f>
        <v>12</v>
      </c>
      <c r="H34">
        <f>COUNTIFS(DATA_WITH_GENUS_OLD!A:A,A34,DATA_WITH_GENUS_OLD!K:K,"~*")</f>
        <v>1</v>
      </c>
      <c r="I34">
        <f>SUMIFS(DATA_WITH_GENUS_OLD!J:J,DATA_WITH_GENUS_OLD!A:A,A34,DATA_WITH_GENUS_OLD!K:K,"~*")</f>
        <v>6</v>
      </c>
      <c r="J34">
        <f>_xlfn.MAXIFS(DATA_WITH_GENUS_OLD!J:J,DATA_WITH_GENUS_OLD!A:A,A34)</f>
        <v>34</v>
      </c>
      <c r="K34" s="18" t="str" cm="1">
        <f t="array" ref="K34">_xlfn._xlws.FILTER(DATA_WITH_GENUS_OLD!E:E,(DATA_WITH_GENUS_OLD!A:A=A34)*(DATA_WITH_GENUS_OLD!J:J=J34)*ROW(DATA_WITH_GENUS_OLD!E:E),0)</f>
        <v>Gammaridae</v>
      </c>
      <c r="L34" s="11">
        <f t="shared" si="34"/>
        <v>3</v>
      </c>
      <c r="M34">
        <f t="shared" si="35"/>
        <v>6</v>
      </c>
      <c r="N34" s="13">
        <f t="shared" si="36"/>
        <v>0</v>
      </c>
      <c r="O34" s="14">
        <f t="shared" si="37"/>
        <v>0</v>
      </c>
      <c r="P34">
        <f t="shared" si="38"/>
        <v>6</v>
      </c>
      <c r="Q34" s="100">
        <f t="shared" si="39"/>
        <v>15</v>
      </c>
      <c r="R34" s="15" t="str">
        <f t="shared" si="40"/>
        <v>Moderately Impaired</v>
      </c>
      <c r="S34">
        <f>COUNTIFS(DATA_WITH_GENUS_OLD!A:A,A34,DATA_WITH_GENUS_OLD!J:J, "&gt;0")</f>
        <v>12</v>
      </c>
      <c r="T34">
        <f>COUNTIFS(DATA_WITH_GENUS_OLD!A:A,A34,DATA_WITH_GENUS_OLD!K:K,"~*")</f>
        <v>1</v>
      </c>
      <c r="U34">
        <f>(COUNTIFS(DATA_WITH_GENUS_OLD!A:A,A34,DATA_WITH_GENUS_OLD!L:L,"Ephemeroptera"))/100</f>
        <v>0</v>
      </c>
      <c r="V34">
        <f>SUMIFS(DATA_WITH_GENUS_OLD!U:U,DATA_WITH_GENUS_OLD!A:A,A34)/100</f>
        <v>6.19</v>
      </c>
      <c r="W34">
        <f>((SUMIFS(DATA_WITH_GENUS_OLD!J:J,DATA_WITH_GENUS_OLD!A:A,A34,DATA_WITH_GENUS_OLD!Q:Q,TRUE)))</f>
        <v>6</v>
      </c>
      <c r="X34">
        <f t="shared" si="41"/>
        <v>2</v>
      </c>
      <c r="Y34" s="18">
        <f t="shared" si="42"/>
        <v>0</v>
      </c>
      <c r="Z34" s="18">
        <f t="shared" si="43"/>
        <v>0</v>
      </c>
      <c r="AA34" s="18">
        <f t="shared" si="44"/>
        <v>2</v>
      </c>
      <c r="AB34" s="18">
        <f t="shared" si="45"/>
        <v>0</v>
      </c>
      <c r="AC34" s="98">
        <f t="shared" si="46"/>
        <v>4</v>
      </c>
      <c r="AD34" t="str">
        <f t="shared" si="33"/>
        <v>Poor</v>
      </c>
    </row>
    <row r="35" spans="1:30">
      <c r="C35" s="3"/>
      <c r="M35" t="str">
        <f t="shared" si="35"/>
        <v/>
      </c>
    </row>
  </sheetData>
  <phoneticPr fontId="2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1BB0F-DD65-4B15-BBEE-31A5618BA831}">
  <sheetPr>
    <tabColor rgb="FF00B0F0"/>
  </sheetPr>
  <dimension ref="A1:AD3"/>
  <sheetViews>
    <sheetView workbookViewId="0">
      <selection activeCell="B2" sqref="B2:C2"/>
    </sheetView>
  </sheetViews>
  <sheetFormatPr baseColWidth="10" defaultColWidth="8.83203125" defaultRowHeight="15"/>
  <cols>
    <col min="1" max="1" width="17" customWidth="1"/>
    <col min="2" max="2" width="12.83203125" customWidth="1"/>
    <col min="3" max="3" width="11.5" customWidth="1"/>
    <col min="4" max="4" width="12.6640625" customWidth="1"/>
    <col min="5" max="5" width="11.83203125" customWidth="1"/>
    <col min="6" max="6" width="9.6640625" style="98" customWidth="1"/>
    <col min="7" max="7" width="9" customWidth="1"/>
    <col min="8" max="8" width="11.33203125" customWidth="1"/>
    <col min="9" max="9" width="11.5" customWidth="1"/>
    <col min="10" max="10" width="12.33203125" customWidth="1"/>
    <col min="11" max="11" width="19" customWidth="1"/>
    <col min="12" max="12" width="11.83203125" customWidth="1"/>
    <col min="13" max="13" width="11.33203125" customWidth="1"/>
    <col min="14" max="15" width="12.5" customWidth="1"/>
    <col min="16" max="16" width="16.5" customWidth="1"/>
    <col min="17" max="17" width="11.6640625" style="98" customWidth="1"/>
    <col min="18" max="18" width="18.1640625" customWidth="1"/>
    <col min="19" max="19" width="10.1640625" customWidth="1"/>
    <col min="20" max="20" width="11.6640625" customWidth="1"/>
    <col min="21" max="21" width="16.5" customWidth="1"/>
    <col min="22" max="22" width="9.33203125" customWidth="1"/>
    <col min="23" max="23" width="11.33203125" customWidth="1"/>
    <col min="24" max="24" width="12.6640625" customWidth="1"/>
    <col min="25" max="25" width="17.1640625" customWidth="1"/>
    <col min="26" max="26" width="15.6640625" customWidth="1"/>
    <col min="27" max="27" width="13.83203125" customWidth="1"/>
    <col min="28" max="28" width="15" customWidth="1"/>
    <col min="29" max="29" width="11.33203125" style="98" customWidth="1"/>
    <col min="30" max="30" width="12.83203125" customWidth="1"/>
  </cols>
  <sheetData>
    <row r="1" spans="1:30" s="58" customFormat="1" ht="64">
      <c r="A1" s="48" t="s">
        <v>0</v>
      </c>
      <c r="B1" s="49" t="s">
        <v>1</v>
      </c>
      <c r="C1" s="49" t="s">
        <v>2</v>
      </c>
      <c r="D1" s="48" t="s">
        <v>3</v>
      </c>
      <c r="E1" s="48" t="s">
        <v>4</v>
      </c>
      <c r="F1" s="96" t="s">
        <v>5</v>
      </c>
      <c r="G1" s="50" t="s">
        <v>2966</v>
      </c>
      <c r="H1" s="51" t="s">
        <v>7</v>
      </c>
      <c r="I1" s="50" t="s">
        <v>8</v>
      </c>
      <c r="J1" s="52" t="s">
        <v>9</v>
      </c>
      <c r="K1" s="53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99" t="s">
        <v>16</v>
      </c>
      <c r="R1" s="17" t="s">
        <v>17</v>
      </c>
      <c r="S1" s="53" t="s">
        <v>18</v>
      </c>
      <c r="T1" s="53" t="s">
        <v>19</v>
      </c>
      <c r="U1" s="53" t="s">
        <v>20</v>
      </c>
      <c r="V1" s="52" t="s">
        <v>21</v>
      </c>
      <c r="W1" s="53" t="s">
        <v>22</v>
      </c>
      <c r="X1" s="54" t="s">
        <v>23</v>
      </c>
      <c r="Y1" s="54" t="s">
        <v>24</v>
      </c>
      <c r="Z1" s="59" t="s">
        <v>25</v>
      </c>
      <c r="AA1" s="57" t="s">
        <v>26</v>
      </c>
      <c r="AB1" s="57" t="s">
        <v>27</v>
      </c>
      <c r="AC1" s="101" t="s">
        <v>28</v>
      </c>
      <c r="AD1" s="107" t="s">
        <v>2997</v>
      </c>
    </row>
    <row r="2" spans="1:30">
      <c r="A2" t="str">
        <f>B2&amp;"_"&amp;TEXT(C2,"yyyy-mm-dd")</f>
        <v>COL1_2021-11-15</v>
      </c>
      <c r="B2" t="s">
        <v>53</v>
      </c>
      <c r="C2" s="3">
        <v>44515</v>
      </c>
      <c r="D2">
        <f>SUMIF(DATA_WITH_GENUS_OLD!A:A,A2,DATA_WITH_GENUS_OLD!F:F)</f>
        <v>154</v>
      </c>
      <c r="E2">
        <f>SUMIF(DATA_WITH_GENUS_OLD!A:A,A2,DATA_WITH_GENUS_OLD!J:J)</f>
        <v>100</v>
      </c>
      <c r="F2" s="103">
        <f>SUMIFS(DATA_WITH_GENUS_OLD!U:U,DATA_WITH_GENUS_OLD!A:A,A2)/100</f>
        <v>4.24</v>
      </c>
      <c r="G2" cm="1">
        <f t="array" ref="G2">COUNTA(_xlfn.UNIQUE(_xlfn._xlws.FILTER(DATA_WITH_GENUS_OLD!A:A&amp;DATA_WITH_GENUS_OLD!D:D,(DATA_WITH_GENUS_OLD!A:A = A2)*(DATA_WITH_GENUS_OLD!J:J&gt;0))))</f>
        <v>7</v>
      </c>
      <c r="H2">
        <f>COUNTIFS(DATA_WITH_GENUS_OLD!A:A,A2,DATA_WITH_GENUS_OLD!K:K,"~*")</f>
        <v>3</v>
      </c>
      <c r="I2">
        <f>SUMIFS(DATA_WITH_GENUS_OLD!J:J,DATA_WITH_GENUS_OLD!A:A,A2,DATA_WITH_GENUS_OLD!K:K,"~*")</f>
        <v>13</v>
      </c>
      <c r="J2">
        <f>_xlfn.MAXIFS(DATA_WITH_GENUS_OLD!J:J,DATA_WITH_GENUS_OLD!A:A,A2)</f>
        <v>80</v>
      </c>
      <c r="K2" s="18" t="str" cm="1">
        <f t="array" ref="K2">_xlfn._xlws.FILTER(DATA_WITH_GENUS_OLD!E:E,(DATA_WITH_GENUS_OLD!A:A=A2)*(DATA_WITH_GENUS_OLD!J:J=J2)*ROW(DATA_WITH_GENUS_OLD!E:E),0)</f>
        <v>Gammaridae</v>
      </c>
      <c r="L2" s="11">
        <f>IF(F2="","",IF(F2&gt;7,0,IF(F2&lt;5,6,IF(F2&lt;=7,3))))</f>
        <v>6</v>
      </c>
      <c r="M2">
        <f>IF(G2="","",IF(G2&gt;10,6,IF(G2&lt;5,0,IF(G2&lt;=10,3))))</f>
        <v>3</v>
      </c>
      <c r="N2" s="13">
        <f>IF(H2="","",IF(H2&gt;5,6,IF(H2&lt;3,0,IF(H2&lt;=5,3))))</f>
        <v>3</v>
      </c>
      <c r="O2" s="14">
        <f>IF(I2="","",IF(I2&gt;35,6,IF(I2&lt;10,0,IF(I2&lt;=35,3,IF(I2&lt;10,0)))))</f>
        <v>3</v>
      </c>
      <c r="P2">
        <f>IF(J2="","",IF(J2&gt;60,0,IF(J2&lt;40,6,IF(J2&lt;=60,3))))</f>
        <v>0</v>
      </c>
      <c r="Q2" s="100">
        <f>SUM(L2:P2)</f>
        <v>15</v>
      </c>
      <c r="R2" s="15" t="str">
        <f>IF(Q2&gt;=24, "Non-Impaired", IF(Q2&lt;=6, "Severally Impaired", IF(Q2&gt;=9, "Moderately Impaired","")))</f>
        <v>Moderately Impaired</v>
      </c>
      <c r="S2">
        <f>COUNTIFS(DATA_WITH_GENUS_OLD!A:A,A2,DATA_WITH_GENUS_OLD!J:J, "&gt;0")</f>
        <v>7</v>
      </c>
      <c r="T2">
        <f>COUNTIFS(DATA_WITH_GENUS_OLD!A:A,A2,DATA_WITH_GENUS_OLD!K:K,"~*")</f>
        <v>3</v>
      </c>
      <c r="U2">
        <f>(COUNTIFS(DATA_WITH_GENUS_OLD!A:A,A2,DATA_WITH_GENUS_OLD!L:L,"Ephemeroptera"))/100</f>
        <v>0</v>
      </c>
      <c r="V2">
        <f>SUMIFS(DATA_WITH_GENUS_OLD!U:U,DATA_WITH_GENUS_OLD!A:A,A2)/100</f>
        <v>4.24</v>
      </c>
      <c r="W2">
        <f>((SUMIFS(DATA_WITH_GENUS_OLD!J:J,DATA_WITH_GENUS_OLD!A:A,A2,DATA_WITH_GENUS_OLD!Q:Q,TRUE)))</f>
        <v>12</v>
      </c>
      <c r="X2">
        <f>IF(S2&gt;25,6,IF(S2&lt;9, 0, IF(S2&gt;=17,4,2)))</f>
        <v>0</v>
      </c>
      <c r="Y2" s="18">
        <f>IF(T2&gt;9,6,IF(T2&lt;4, 0, IF(T2&gt;=7,4,2)))</f>
        <v>0</v>
      </c>
      <c r="Z2" s="18">
        <f>IF(U2&gt;29,6,IF(U2&lt;10, 0, IF(U2&gt;=20,4,2)))</f>
        <v>0</v>
      </c>
      <c r="AA2" s="18">
        <f>IF(V2&lt;4.9,6,IF(V2&gt;7.3, 0, IF(V2&gt;6,2,4)))</f>
        <v>6</v>
      </c>
      <c r="AB2" s="18">
        <f>IF(W2&gt;51,6,IF(W2&lt;17, 0, IF(W2&gt;34,4,2)))</f>
        <v>0</v>
      </c>
      <c r="AC2" s="98">
        <f>SUM(X2:AB2)</f>
        <v>6</v>
      </c>
      <c r="AD2" s="18" t="str">
        <f>IF(AC2="","",IF(AC2&gt;=22,"Excellent",IF(AC2&lt;6,"Poor",IF(AC2&gt;=12, "Good","Fair"))))</f>
        <v>Fair</v>
      </c>
    </row>
    <row r="3" spans="1:30">
      <c r="F3" s="97"/>
      <c r="K3" s="1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8D710-745C-4E60-BEA2-A844A824DD66}">
  <sheetPr>
    <tabColor rgb="FF00B0F0"/>
  </sheetPr>
  <dimension ref="A1:AD7"/>
  <sheetViews>
    <sheetView zoomScale="88" zoomScaleNormal="53" workbookViewId="0">
      <selection activeCell="B2" sqref="B2:C7"/>
    </sheetView>
  </sheetViews>
  <sheetFormatPr baseColWidth="10" defaultColWidth="8.83203125" defaultRowHeight="15"/>
  <cols>
    <col min="1" max="1" width="17" customWidth="1"/>
    <col min="2" max="2" width="12.83203125" customWidth="1"/>
    <col min="3" max="3" width="11.5" customWidth="1"/>
    <col min="4" max="4" width="12.83203125" customWidth="1"/>
    <col min="5" max="5" width="13.5" customWidth="1"/>
    <col min="6" max="6" width="12.1640625" style="98" customWidth="1"/>
    <col min="7" max="7" width="10" customWidth="1"/>
    <col min="8" max="9" width="12.83203125" customWidth="1"/>
    <col min="10" max="10" width="15" customWidth="1"/>
    <col min="11" max="11" width="20.5" customWidth="1"/>
    <col min="12" max="12" width="11.83203125" customWidth="1"/>
    <col min="13" max="13" width="11.33203125" customWidth="1"/>
    <col min="14" max="15" width="12.5" customWidth="1"/>
    <col min="16" max="16" width="13.83203125" customWidth="1"/>
    <col min="17" max="17" width="12.1640625" style="98" customWidth="1"/>
    <col min="18" max="18" width="18.1640625" customWidth="1"/>
    <col min="19" max="19" width="10.5" customWidth="1"/>
    <col min="20" max="20" width="11.5" customWidth="1"/>
    <col min="21" max="21" width="16.5" customWidth="1"/>
    <col min="22" max="22" width="10.1640625" customWidth="1"/>
    <col min="23" max="23" width="11.33203125" customWidth="1"/>
    <col min="24" max="24" width="12.6640625" customWidth="1"/>
    <col min="25" max="25" width="17.1640625" customWidth="1"/>
    <col min="26" max="26" width="15.6640625" customWidth="1"/>
    <col min="27" max="27" width="13.83203125" customWidth="1"/>
    <col min="28" max="28" width="15" customWidth="1"/>
    <col min="29" max="29" width="11.33203125" style="98" customWidth="1"/>
    <col min="30" max="30" width="12.5" customWidth="1"/>
  </cols>
  <sheetData>
    <row r="1" spans="1:30" s="58" customFormat="1" ht="64">
      <c r="A1" s="48" t="s">
        <v>0</v>
      </c>
      <c r="B1" s="49" t="s">
        <v>1</v>
      </c>
      <c r="C1" s="49" t="s">
        <v>2</v>
      </c>
      <c r="D1" s="48" t="s">
        <v>3</v>
      </c>
      <c r="E1" s="48" t="s">
        <v>4</v>
      </c>
      <c r="F1" s="96" t="s">
        <v>5</v>
      </c>
      <c r="G1" s="50" t="s">
        <v>2966</v>
      </c>
      <c r="H1" s="51" t="s">
        <v>7</v>
      </c>
      <c r="I1" s="50" t="s">
        <v>8</v>
      </c>
      <c r="J1" s="52" t="s">
        <v>9</v>
      </c>
      <c r="K1" s="53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99" t="s">
        <v>16</v>
      </c>
      <c r="R1" s="17" t="s">
        <v>17</v>
      </c>
      <c r="S1" s="53" t="s">
        <v>18</v>
      </c>
      <c r="T1" s="53" t="s">
        <v>19</v>
      </c>
      <c r="U1" s="53" t="s">
        <v>20</v>
      </c>
      <c r="V1" s="52" t="s">
        <v>21</v>
      </c>
      <c r="W1" s="53" t="s">
        <v>22</v>
      </c>
      <c r="X1" s="54" t="s">
        <v>23</v>
      </c>
      <c r="Y1" s="54" t="s">
        <v>24</v>
      </c>
      <c r="Z1" s="59" t="s">
        <v>25</v>
      </c>
      <c r="AA1" s="57" t="s">
        <v>26</v>
      </c>
      <c r="AB1" s="57" t="s">
        <v>54</v>
      </c>
      <c r="AC1" s="101" t="s">
        <v>28</v>
      </c>
      <c r="AD1" s="107" t="s">
        <v>2997</v>
      </c>
    </row>
    <row r="2" spans="1:30">
      <c r="A2" t="str">
        <f t="shared" ref="A2:A7" si="0">B2&amp;"_"&amp;TEXT(C2,"yyyy-mm-dd")</f>
        <v>RBA_2015-10-17</v>
      </c>
      <c r="B2" t="s">
        <v>55</v>
      </c>
      <c r="C2" s="36">
        <v>42294</v>
      </c>
      <c r="D2">
        <f>SUMIF(DATA_WITH_GENUS_OLD!A:A,A2,DATA_WITH_GENUS_OLD!F:F)</f>
        <v>135</v>
      </c>
      <c r="E2">
        <f>SUMIF(DATA_WITH_GENUS_OLD!A:A,A2,DATA_WITH_GENUS_OLD!J:J)</f>
        <v>100</v>
      </c>
      <c r="F2" s="103">
        <f>SUMIFS(DATA_WITH_GENUS_OLD!U:U,DATA_WITH_GENUS_OLD!A:A,A2)/100</f>
        <v>4.51</v>
      </c>
      <c r="G2" cm="1">
        <f t="array" ref="G2">COUNTA(_xlfn.UNIQUE(_xlfn._xlws.FILTER(DATA_WITH_GENUS_OLD!A:A&amp;DATA_WITH_GENUS_OLD!D:D&amp;DATA_WITH_GENUS_OLD!J:J,(DATA_WITH_GENUS_OLD!A:A = A2)*(DATA_WITH_GENUS_OLD!J:J&gt;0))))</f>
        <v>5</v>
      </c>
      <c r="H2">
        <f>COUNTIFS(DATA_WITH_GENUS_OLD!A:A,A2,DATA_WITH_GENUS_OLD!K:K,"~*")</f>
        <v>1</v>
      </c>
      <c r="I2">
        <f>SUMIFS(DATA_WITH_GENUS_OLD!J:J,DATA_WITH_GENUS_OLD!A:A,A2,DATA_WITH_GENUS_OLD!K:K,"~*")</f>
        <v>11</v>
      </c>
      <c r="J2">
        <f>_xlfn.MAXIFS(DATA_WITH_GENUS_OLD!J:J,DATA_WITH_GENUS_OLD!A:A,A2)</f>
        <v>75</v>
      </c>
      <c r="K2" s="18" t="str" cm="1">
        <f t="array" ref="K2">_xlfn._xlws.FILTER(DATA_WITH_GENUS_OLD!E:E,(DATA_WITH_GENUS_OLD!A:A=A2)*(DATA_WITH_GENUS_OLD!J:J=J2)*ROW(DATA_WITH_GENUS_OLD!E:E),0)</f>
        <v>Gammaridae</v>
      </c>
      <c r="L2" s="11">
        <f t="shared" ref="L2:L7" si="1">IF(F2="","",IF(F2&gt;7,0,IF(F2&lt;5,6,IF(F2&lt;=7,3))))</f>
        <v>6</v>
      </c>
      <c r="M2">
        <f>IF(G2="","",IF(G2&gt;10,6,IF(G2&lt;5,0,IF(G2&lt;=10,3))))</f>
        <v>3</v>
      </c>
      <c r="N2" s="13">
        <f t="shared" ref="N2:N7" si="2">IF(H2="","",IF(H2&gt;5,6,IF(H2&lt;3,0,IF(H2&lt;=5,3))))</f>
        <v>0</v>
      </c>
      <c r="O2" s="14">
        <f t="shared" ref="O2:O7" si="3">IF(I2="","",IF(I2&gt;35,6,IF(I2&lt;10,0,IF(I2&lt;=35,3,IF(I2&lt;10,0)))))</f>
        <v>3</v>
      </c>
      <c r="P2">
        <f>IF(J2="","",IF(J2&gt;60,0,IF(J2&lt;40,6,IF(J2&lt;=60,3))))</f>
        <v>0</v>
      </c>
      <c r="Q2" s="100">
        <f t="shared" ref="Q2:Q7" si="4">SUM(L2:P2)</f>
        <v>12</v>
      </c>
      <c r="R2" s="15" t="str">
        <f t="shared" ref="R2:R7" si="5">IF(Q2&gt;=24, "Non-Impaired", IF(Q2&lt;=6, "Severally Impaired", IF(Q2&gt;=9, "Moderately Impaired","")))</f>
        <v>Moderately Impaired</v>
      </c>
      <c r="S2">
        <f>COUNTIFS(DATA_WITH_GENUS_OLD!A:A,A2,DATA_WITH_GENUS_OLD!J:J, "&gt;0")</f>
        <v>5</v>
      </c>
      <c r="T2">
        <f>COUNTIFS(DATA_WITH_GENUS_OLD!A:A,A2,DATA_WITH_GENUS_OLD!K:K,"~*")</f>
        <v>1</v>
      </c>
      <c r="U2">
        <f>(COUNTIFS(DATA_WITH_GENUS_OLD!A:A,A2,DATA_WITH_GENUS_OLD!L:L,"Ephemeroptera"))/100</f>
        <v>0</v>
      </c>
      <c r="V2">
        <f>SUMIFS(DATA_WITH_GENUS_OLD!U:U,DATA_WITH_GENUS_OLD!A:A,A2)/100</f>
        <v>4.51</v>
      </c>
      <c r="W2">
        <f>((SUMIFS(DATA_WITH_GENUS_OLD!J:J,DATA_WITH_GENUS_OLD!A:A,A2,DATA_WITH_GENUS_OLD!Q:Q,TRUE)))</f>
        <v>11</v>
      </c>
      <c r="X2">
        <f t="shared" ref="X2:X7" si="6">IF(S2&gt;25,6,IF(S2&lt;9, 0, IF(S2&gt;=17,4,2)))</f>
        <v>0</v>
      </c>
      <c r="Y2" s="18">
        <f t="shared" ref="Y2:Y7" si="7">IF(T2&gt;9,6,IF(T2&lt;4, 0, IF(T2&gt;=7,4,2)))</f>
        <v>0</v>
      </c>
      <c r="Z2" s="18">
        <f t="shared" ref="Z2:Z7" si="8">IF(U2&gt;29,6,IF(U2&lt;10, 0, IF(U2&gt;=20,4,2)))</f>
        <v>0</v>
      </c>
      <c r="AA2" s="18">
        <f t="shared" ref="AA2:AA7" si="9">IF(V2&lt;4.9,6,IF(V2&gt;7.3, 0, IF(V2&gt;6,2,4)))</f>
        <v>6</v>
      </c>
      <c r="AB2" s="18">
        <f t="shared" ref="AB2:AB7" si="10">IF(W2&gt;51,6,IF(W2&lt;17, 0, IF(W2&gt;34,4,2)))</f>
        <v>0</v>
      </c>
      <c r="AC2" s="98">
        <f t="shared" ref="AC2:AC7" si="11">SUM(X2:AB2)</f>
        <v>6</v>
      </c>
      <c r="AD2" t="str">
        <f>IF(AC2="","",IF(AC2&gt;=22,"Excellent",IF(AC2&lt;6,"Poor",IF(AC2&gt;=12, "Good","Fair"))))</f>
        <v>Fair</v>
      </c>
    </row>
    <row r="3" spans="1:30">
      <c r="A3" t="str">
        <f t="shared" si="0"/>
        <v>RBA_2016-03-19</v>
      </c>
      <c r="B3" t="s">
        <v>55</v>
      </c>
      <c r="C3" s="36">
        <v>42448</v>
      </c>
      <c r="D3">
        <f>SUMIF(DATA_WITH_GENUS_OLD!A:A,A3,DATA_WITH_GENUS_OLD!F:F)</f>
        <v>135</v>
      </c>
      <c r="E3">
        <f>SUMIF(DATA_WITH_GENUS_OLD!A:A,A3,DATA_WITH_GENUS_OLD!J:J)</f>
        <v>100</v>
      </c>
      <c r="F3" s="103">
        <f>SUMIFS(DATA_WITH_GENUS_OLD!U:U,DATA_WITH_GENUS_OLD!A:A,A3)/100</f>
        <v>4.38</v>
      </c>
      <c r="G3" cm="1">
        <f t="array" ref="G3">COUNTA(_xlfn.UNIQUE(_xlfn._xlws.FILTER(DATA_WITH_GENUS_OLD!A:A&amp;DATA_WITH_GENUS_OLD!D:D&amp;DATA_WITH_GENUS_OLD!J:J,(DATA_WITH_GENUS_OLD!A:A = A3)*(DATA_WITH_GENUS_OLD!J:J&gt;0))))</f>
        <v>7</v>
      </c>
      <c r="H3">
        <f>COUNTIFS(DATA_WITH_GENUS_OLD!A:A,A3,DATA_WITH_GENUS_OLD!K:K,"~*")</f>
        <v>1</v>
      </c>
      <c r="I3">
        <f>SUMIFS(DATA_WITH_GENUS_OLD!J:J,DATA_WITH_GENUS_OLD!A:A,A3,DATA_WITH_GENUS_OLD!K:K,"~*")</f>
        <v>6</v>
      </c>
      <c r="J3">
        <f>_xlfn.MAXIFS(DATA_WITH_GENUS_OLD!J:J,DATA_WITH_GENUS_OLD!A:A,A3)</f>
        <v>84</v>
      </c>
      <c r="K3" s="18" t="str" cm="1">
        <f t="array" ref="K3">_xlfn._xlws.FILTER(DATA_WITH_GENUS_OLD!E:E,(DATA_WITH_GENUS_OLD!A:A=A3)*(DATA_WITH_GENUS_OLD!J:J=J3)*ROW(DATA_WITH_GENUS_OLD!E:E),0)</f>
        <v>Gammaridae</v>
      </c>
      <c r="L3" s="11">
        <f t="shared" si="1"/>
        <v>6</v>
      </c>
      <c r="M3">
        <f t="shared" ref="M3" si="12">IF(G3="","",IF(G3&gt;10,6,IF(G3&lt;5,0,IF(G3&lt;=10,3))))</f>
        <v>3</v>
      </c>
      <c r="N3" s="13">
        <f t="shared" si="2"/>
        <v>0</v>
      </c>
      <c r="O3" s="14">
        <f t="shared" si="3"/>
        <v>0</v>
      </c>
      <c r="P3">
        <f t="shared" ref="P3:P7" si="13">IF(J3="","",IF(J3&gt;60,0,IF(J3&lt;40,6,IF(J3&lt;=60,3))))</f>
        <v>0</v>
      </c>
      <c r="Q3" s="100">
        <f t="shared" si="4"/>
        <v>9</v>
      </c>
      <c r="R3" s="15" t="str">
        <f t="shared" si="5"/>
        <v>Moderately Impaired</v>
      </c>
      <c r="S3">
        <f>COUNTIFS(DATA_WITH_GENUS_OLD!A:A,A3,DATA_WITH_GENUS_OLD!J:J, "&gt;0")</f>
        <v>7</v>
      </c>
      <c r="T3">
        <f>COUNTIFS(DATA_WITH_GENUS_OLD!A:A,A3,DATA_WITH_GENUS_OLD!K:K,"~*")</f>
        <v>1</v>
      </c>
      <c r="U3">
        <f>(COUNTIFS(DATA_WITH_GENUS_OLD!A:A,A3,DATA_WITH_GENUS_OLD!L:L,"Ephemeroptera"))/100</f>
        <v>0</v>
      </c>
      <c r="V3">
        <f>SUMIFS(DATA_WITH_GENUS_OLD!U:U,DATA_WITH_GENUS_OLD!A:A,A3)/100</f>
        <v>4.38</v>
      </c>
      <c r="W3">
        <f>((SUMIFS(DATA_WITH_GENUS_OLD!J:J,DATA_WITH_GENUS_OLD!A:A,A3,DATA_WITH_GENUS_OLD!Q:Q,TRUE)))</f>
        <v>6</v>
      </c>
      <c r="X3">
        <f t="shared" si="6"/>
        <v>0</v>
      </c>
      <c r="Y3" s="18">
        <f t="shared" si="7"/>
        <v>0</v>
      </c>
      <c r="Z3" s="18">
        <f t="shared" si="8"/>
        <v>0</v>
      </c>
      <c r="AA3" s="18">
        <f t="shared" si="9"/>
        <v>6</v>
      </c>
      <c r="AB3" s="18">
        <f t="shared" si="10"/>
        <v>0</v>
      </c>
      <c r="AC3" s="98">
        <f t="shared" si="11"/>
        <v>6</v>
      </c>
      <c r="AD3" t="str">
        <f t="shared" ref="AD3:AD7" si="14">IF(AC3="","",IF(AC3&gt;=22,"Excellent",IF(AC3&lt;6,"Poor",IF(AC3&gt;=12, "Good","Fair"))))</f>
        <v>Fair</v>
      </c>
    </row>
    <row r="4" spans="1:30">
      <c r="A4" t="str">
        <f t="shared" si="0"/>
        <v>RBA_2016-07-16</v>
      </c>
      <c r="B4" t="s">
        <v>55</v>
      </c>
      <c r="C4" s="36">
        <v>42567</v>
      </c>
      <c r="D4">
        <f>SUMIF(DATA_WITH_GENUS_OLD!A:A,A4,DATA_WITH_GENUS_OLD!F:F)</f>
        <v>185</v>
      </c>
      <c r="E4">
        <f>SUMIF(DATA_WITH_GENUS_OLD!A:A,A4,DATA_WITH_GENUS_OLD!J:J)</f>
        <v>100</v>
      </c>
      <c r="F4" s="103">
        <f>SUMIFS(DATA_WITH_GENUS_OLD!U:U,DATA_WITH_GENUS_OLD!A:A,A4)/100</f>
        <v>4.3600000000000003</v>
      </c>
      <c r="G4" cm="1">
        <f t="array" ref="G4">COUNTA(_xlfn.UNIQUE(_xlfn._xlws.FILTER(DATA_WITH_GENUS_OLD!A:A&amp;DATA_WITH_GENUS_OLD!D:D&amp;DATA_WITH_GENUS_OLD!J:J,(DATA_WITH_GENUS_OLD!A:A = A4)*(DATA_WITH_GENUS_OLD!J:J&gt;0))))</f>
        <v>3</v>
      </c>
      <c r="H4">
        <f>COUNTIFS(DATA_WITH_GENUS_OLD!A:A,A4,DATA_WITH_GENUS_OLD!K:K,"~*")</f>
        <v>1</v>
      </c>
      <c r="I4">
        <f>SUMIFS(DATA_WITH_GENUS_OLD!J:J,DATA_WITH_GENUS_OLD!A:A,A4,DATA_WITH_GENUS_OLD!K:K,"~*")</f>
        <v>8</v>
      </c>
      <c r="J4">
        <f>_xlfn.MAXIFS(DATA_WITH_GENUS_OLD!J:J,DATA_WITH_GENUS_OLD!A:A,A4)</f>
        <v>83</v>
      </c>
      <c r="K4" s="18" t="str" cm="1">
        <f t="array" ref="K4">_xlfn._xlws.FILTER(DATA_WITH_GENUS_OLD!E:E,(DATA_WITH_GENUS_OLD!A:A=A4)*(DATA_WITH_GENUS_OLD!J:J=J4)*ROW(DATA_WITH_GENUS_OLD!E:E),0)</f>
        <v>Gammaridae</v>
      </c>
      <c r="L4" s="11">
        <f t="shared" si="1"/>
        <v>6</v>
      </c>
      <c r="M4">
        <f>IF(G4="","",IF(G4&gt;10,6,IF(G4&lt;5,0,IF(G4&lt;=10,3))))</f>
        <v>0</v>
      </c>
      <c r="N4" s="13">
        <f t="shared" si="2"/>
        <v>0</v>
      </c>
      <c r="O4" s="14">
        <f t="shared" si="3"/>
        <v>0</v>
      </c>
      <c r="P4">
        <f t="shared" si="13"/>
        <v>0</v>
      </c>
      <c r="Q4" s="100">
        <f t="shared" si="4"/>
        <v>6</v>
      </c>
      <c r="R4" s="15" t="str">
        <f t="shared" si="5"/>
        <v>Severally Impaired</v>
      </c>
      <c r="S4">
        <f>COUNTIFS(DATA_WITH_GENUS_OLD!A:A,A4,DATA_WITH_GENUS_OLD!J:J, "&gt;0")</f>
        <v>3</v>
      </c>
      <c r="T4">
        <f>COUNTIFS(DATA_WITH_GENUS_OLD!A:A,A4,DATA_WITH_GENUS_OLD!K:K,"~*")</f>
        <v>1</v>
      </c>
      <c r="U4">
        <f>(COUNTIFS(DATA_WITH_GENUS_OLD!A:A,A4,DATA_WITH_GENUS_OLD!L:L,"Ephemeroptera"))/100</f>
        <v>0</v>
      </c>
      <c r="V4">
        <f>SUMIFS(DATA_WITH_GENUS_OLD!U:U,DATA_WITH_GENUS_OLD!A:A,A4)/100</f>
        <v>4.3600000000000003</v>
      </c>
      <c r="W4">
        <f>((SUMIFS(DATA_WITH_GENUS_OLD!J:J,DATA_WITH_GENUS_OLD!A:A,A4,DATA_WITH_GENUS_OLD!Q:Q,TRUE)))</f>
        <v>8</v>
      </c>
      <c r="X4">
        <f t="shared" si="6"/>
        <v>0</v>
      </c>
      <c r="Y4" s="18">
        <f t="shared" si="7"/>
        <v>0</v>
      </c>
      <c r="Z4" s="18">
        <f t="shared" si="8"/>
        <v>0</v>
      </c>
      <c r="AA4" s="18">
        <f t="shared" si="9"/>
        <v>6</v>
      </c>
      <c r="AB4" s="18">
        <f t="shared" si="10"/>
        <v>0</v>
      </c>
      <c r="AC4" s="98">
        <f t="shared" si="11"/>
        <v>6</v>
      </c>
      <c r="AD4" t="str">
        <f t="shared" si="14"/>
        <v>Fair</v>
      </c>
    </row>
    <row r="5" spans="1:30">
      <c r="A5" t="str">
        <f t="shared" si="0"/>
        <v>RBA_2016-10-15</v>
      </c>
      <c r="B5" t="s">
        <v>55</v>
      </c>
      <c r="C5" s="36">
        <v>42658</v>
      </c>
      <c r="D5">
        <f>SUMIF(DATA_WITH_GENUS_OLD!A:A,A5,DATA_WITH_GENUS_OLD!F:F)</f>
        <v>154</v>
      </c>
      <c r="E5">
        <f>SUMIF(DATA_WITH_GENUS_OLD!A:A,A5,DATA_WITH_GENUS_OLD!J:J)</f>
        <v>100</v>
      </c>
      <c r="F5" s="103">
        <f>SUMIFS(DATA_WITH_GENUS_OLD!U:U,DATA_WITH_GENUS_OLD!A:A,A5)/100</f>
        <v>4.12</v>
      </c>
      <c r="G5" cm="1">
        <f t="array" ref="G5">COUNTA(_xlfn.UNIQUE(_xlfn._xlws.FILTER(DATA_WITH_GENUS_OLD!A:A&amp;DATA_WITH_GENUS_OLD!D:D&amp;DATA_WITH_GENUS_OLD!J:J,(DATA_WITH_GENUS_OLD!A:A = A5)*(DATA_WITH_GENUS_OLD!J:J&gt;0))))</f>
        <v>4</v>
      </c>
      <c r="H5">
        <f>COUNTIFS(DATA_WITH_GENUS_OLD!A:A,A5,DATA_WITH_GENUS_OLD!K:K,"~*")</f>
        <v>1</v>
      </c>
      <c r="I5">
        <f>SUMIFS(DATA_WITH_GENUS_OLD!J:J,DATA_WITH_GENUS_OLD!A:A,A5,DATA_WITH_GENUS_OLD!K:K,"~*")</f>
        <v>3</v>
      </c>
      <c r="J5">
        <f>_xlfn.MAXIFS(DATA_WITH_GENUS_OLD!J:J,DATA_WITH_GENUS_OLD!A:A,A5)</f>
        <v>94</v>
      </c>
      <c r="K5" s="18" t="str" cm="1">
        <f t="array" ref="K5">_xlfn._xlws.FILTER(DATA_WITH_GENUS_OLD!E:E,(DATA_WITH_GENUS_OLD!A:A=A5)*(DATA_WITH_GENUS_OLD!J:J=J5)*ROW(DATA_WITH_GENUS_OLD!E:E),0)</f>
        <v>Gammaridae</v>
      </c>
      <c r="L5" s="11">
        <f t="shared" si="1"/>
        <v>6</v>
      </c>
      <c r="M5">
        <f>IF(G5="","",IF(G5&gt;10,6,IF(G5&lt;5,0,IF(G5&lt;=10,3))))</f>
        <v>0</v>
      </c>
      <c r="N5" s="13">
        <f t="shared" si="2"/>
        <v>0</v>
      </c>
      <c r="O5" s="14">
        <f t="shared" si="3"/>
        <v>0</v>
      </c>
      <c r="P5">
        <f t="shared" si="13"/>
        <v>0</v>
      </c>
      <c r="Q5" s="100">
        <f t="shared" si="4"/>
        <v>6</v>
      </c>
      <c r="R5" s="15" t="str">
        <f t="shared" si="5"/>
        <v>Severally Impaired</v>
      </c>
      <c r="S5">
        <f>COUNTIFS(DATA_WITH_GENUS_OLD!A:A,A5,DATA_WITH_GENUS_OLD!J:J, "&gt;0")</f>
        <v>4</v>
      </c>
      <c r="T5">
        <f>COUNTIFS(DATA_WITH_GENUS_OLD!A:A,A5,DATA_WITH_GENUS_OLD!K:K,"~*")</f>
        <v>1</v>
      </c>
      <c r="U5">
        <f>(COUNTIFS(DATA_WITH_GENUS_OLD!A:A,A5,DATA_WITH_GENUS_OLD!L:L,"Ephemeroptera"))/100</f>
        <v>0</v>
      </c>
      <c r="V5">
        <f>SUMIFS(DATA_WITH_GENUS_OLD!U:U,DATA_WITH_GENUS_OLD!A:A,A5)/100</f>
        <v>4.12</v>
      </c>
      <c r="W5">
        <f>((SUMIFS(DATA_WITH_GENUS_OLD!J:J,DATA_WITH_GENUS_OLD!A:A,A5,DATA_WITH_GENUS_OLD!Q:Q,TRUE)))</f>
        <v>3</v>
      </c>
      <c r="X5">
        <f t="shared" si="6"/>
        <v>0</v>
      </c>
      <c r="Y5" s="18">
        <f t="shared" si="7"/>
        <v>0</v>
      </c>
      <c r="Z5" s="18">
        <f t="shared" si="8"/>
        <v>0</v>
      </c>
      <c r="AA5" s="18">
        <f t="shared" si="9"/>
        <v>6</v>
      </c>
      <c r="AB5" s="18">
        <f t="shared" si="10"/>
        <v>0</v>
      </c>
      <c r="AC5" s="98">
        <f t="shared" si="11"/>
        <v>6</v>
      </c>
      <c r="AD5" t="str">
        <f t="shared" si="14"/>
        <v>Fair</v>
      </c>
    </row>
    <row r="6" spans="1:30">
      <c r="A6" t="str">
        <f t="shared" si="0"/>
        <v>RBA_2017-06-17</v>
      </c>
      <c r="B6" t="s">
        <v>55</v>
      </c>
      <c r="C6" s="3">
        <v>42903</v>
      </c>
      <c r="D6">
        <f>SUMIF(DATA_WITH_GENUS_OLD!A:A,A6,DATA_WITH_GENUS_OLD!F:F)</f>
        <v>546</v>
      </c>
      <c r="E6">
        <f>SUMIF(DATA_WITH_GENUS_OLD!A:A,A6,DATA_WITH_GENUS_OLD!J:J)</f>
        <v>100</v>
      </c>
      <c r="F6" s="103">
        <f>SUMIFS(DATA_WITH_GENUS_OLD!U:U,DATA_WITH_GENUS_OLD!A:A,A6)/100</f>
        <v>4.08</v>
      </c>
      <c r="G6" cm="1">
        <f t="array" ref="G6">COUNTA(_xlfn.UNIQUE(_xlfn._xlws.FILTER(DATA_WITH_GENUS_OLD!A:A&amp;DATA_WITH_GENUS_OLD!D:D&amp;DATA_WITH_GENUS_OLD!J:J,(DATA_WITH_GENUS_OLD!A:A = A6)*(DATA_WITH_GENUS_OLD!J:J&gt;0))))</f>
        <v>4</v>
      </c>
      <c r="H6">
        <f>COUNTIFS(DATA_WITH_GENUS_OLD!A:A,A6,DATA_WITH_GENUS_OLD!K:K,"~*")</f>
        <v>1</v>
      </c>
      <c r="I6">
        <f>SUMIFS(DATA_WITH_GENUS_OLD!J:J,DATA_WITH_GENUS_OLD!A:A,A6,DATA_WITH_GENUS_OLD!K:K,"~*")</f>
        <v>2</v>
      </c>
      <c r="J6">
        <f>_xlfn.MAXIFS(DATA_WITH_GENUS_OLD!J:J,DATA_WITH_GENUS_OLD!A:A,A6)</f>
        <v>96</v>
      </c>
      <c r="K6" s="18" t="str" cm="1">
        <f t="array" ref="K6">_xlfn._xlws.FILTER(DATA_WITH_GENUS_OLD!E:E,(DATA_WITH_GENUS_OLD!A:A=A6)*(DATA_WITH_GENUS_OLD!J:J=J6)*ROW(DATA_WITH_GENUS_OLD!E:E),0)</f>
        <v>Gammaridae</v>
      </c>
      <c r="L6" s="11">
        <f t="shared" si="1"/>
        <v>6</v>
      </c>
      <c r="M6">
        <f>IF(G6="","",IF(G6&gt;10,6,IF(G6&lt;5,0,IF(G6&lt;=10,3))))</f>
        <v>0</v>
      </c>
      <c r="N6" s="13">
        <f t="shared" si="2"/>
        <v>0</v>
      </c>
      <c r="O6" s="14">
        <f t="shared" si="3"/>
        <v>0</v>
      </c>
      <c r="P6">
        <f t="shared" si="13"/>
        <v>0</v>
      </c>
      <c r="Q6" s="100">
        <f t="shared" si="4"/>
        <v>6</v>
      </c>
      <c r="R6" s="15" t="str">
        <f t="shared" si="5"/>
        <v>Severally Impaired</v>
      </c>
      <c r="S6">
        <f>COUNTIFS(DATA_WITH_GENUS_OLD!A:A,A6,DATA_WITH_GENUS_OLD!J:J, "&gt;0")</f>
        <v>4</v>
      </c>
      <c r="T6">
        <f>COUNTIFS(DATA_WITH_GENUS_OLD!A:A,A6,DATA_WITH_GENUS_OLD!K:K,"~*")</f>
        <v>1</v>
      </c>
      <c r="U6">
        <f>(COUNTIFS(DATA_WITH_GENUS_OLD!A:A,A6,DATA_WITH_GENUS_OLD!L:L,"Ephemeroptera"))/100</f>
        <v>0</v>
      </c>
      <c r="V6">
        <f>SUMIFS(DATA_WITH_GENUS_OLD!U:U,DATA_WITH_GENUS_OLD!A:A,A6)/100</f>
        <v>4.08</v>
      </c>
      <c r="W6">
        <f>((SUMIFS(DATA_WITH_GENUS_OLD!J:J,DATA_WITH_GENUS_OLD!A:A,A6,DATA_WITH_GENUS_OLD!Q:Q,TRUE)))</f>
        <v>2</v>
      </c>
      <c r="X6">
        <f t="shared" si="6"/>
        <v>0</v>
      </c>
      <c r="Y6" s="18">
        <f t="shared" si="7"/>
        <v>0</v>
      </c>
      <c r="Z6" s="18">
        <f t="shared" si="8"/>
        <v>0</v>
      </c>
      <c r="AA6" s="18">
        <f t="shared" si="9"/>
        <v>6</v>
      </c>
      <c r="AB6" s="18">
        <f t="shared" si="10"/>
        <v>0</v>
      </c>
      <c r="AC6" s="98">
        <f t="shared" si="11"/>
        <v>6</v>
      </c>
      <c r="AD6" t="str">
        <f t="shared" si="14"/>
        <v>Fair</v>
      </c>
    </row>
    <row r="7" spans="1:30">
      <c r="A7" t="str">
        <f t="shared" si="0"/>
        <v>RBA_2021-11-21</v>
      </c>
      <c r="B7" t="s">
        <v>55</v>
      </c>
      <c r="C7" s="3">
        <v>44521</v>
      </c>
      <c r="D7">
        <f>SUMIF(DATA_WITH_GENUS_OLD!A:A,A7,DATA_WITH_GENUS_OLD!F:F)</f>
        <v>100</v>
      </c>
      <c r="E7">
        <f>SUMIF(DATA_WITH_GENUS_OLD!A:A,A7,DATA_WITH_GENUS_OLD!J:J)</f>
        <v>100</v>
      </c>
      <c r="F7" s="103">
        <f>SUMIFS(DATA_WITH_GENUS_OLD!U:U,DATA_WITH_GENUS_OLD!A:A,A7)/100</f>
        <v>4.37</v>
      </c>
      <c r="G7" cm="1">
        <f t="array" ref="G7">COUNTA(_xlfn.UNIQUE(_xlfn._xlws.FILTER(DATA_WITH_GENUS_OLD!A:A&amp;DATA_WITH_GENUS_OLD!D:D&amp;DATA_WITH_GENUS_OLD!J:J,(DATA_WITH_GENUS_OLD!A:A = A7)*(DATA_WITH_GENUS_OLD!J:J&gt;0))))</f>
        <v>6</v>
      </c>
      <c r="H7">
        <f>COUNTIFS(DATA_WITH_GENUS_OLD!A:A,A7,DATA_WITH_GENUS_OLD!K:K,"~*")</f>
        <v>1</v>
      </c>
      <c r="I7">
        <f>SUMIFS(DATA_WITH_GENUS_OLD!J:J,DATA_WITH_GENUS_OLD!A:A,A7,DATA_WITH_GENUS_OLD!K:K,"~*")</f>
        <v>19</v>
      </c>
      <c r="J7">
        <f>_xlfn.MAXIFS(DATA_WITH_GENUS_OLD!J:J,DATA_WITH_GENUS_OLD!A:A,A7)</f>
        <v>71</v>
      </c>
      <c r="K7" s="18" t="str" cm="1">
        <f t="array" ref="K7">_xlfn._xlws.FILTER(DATA_WITH_GENUS_OLD!E:E,(DATA_WITH_GENUS_OLD!A:A=A7)*(DATA_WITH_GENUS_OLD!J:J=J7)*ROW(DATA_WITH_GENUS_OLD!E:E),0)</f>
        <v>Gammaridae</v>
      </c>
      <c r="L7" s="11">
        <f t="shared" si="1"/>
        <v>6</v>
      </c>
      <c r="M7">
        <f>IF(G7="","",IF(G7&gt;10,6,IF(G7&lt;5,0,IF(G7&lt;=10,3))))</f>
        <v>3</v>
      </c>
      <c r="N7" s="13">
        <f t="shared" si="2"/>
        <v>0</v>
      </c>
      <c r="O7" s="14">
        <f t="shared" si="3"/>
        <v>3</v>
      </c>
      <c r="P7">
        <f t="shared" si="13"/>
        <v>0</v>
      </c>
      <c r="Q7" s="100">
        <f t="shared" si="4"/>
        <v>12</v>
      </c>
      <c r="R7" s="15" t="str">
        <f t="shared" si="5"/>
        <v>Moderately Impaired</v>
      </c>
      <c r="S7">
        <f>COUNTIFS(DATA_WITH_GENUS_OLD!A:A,A7,DATA_WITH_GENUS_OLD!J:J, "&gt;0")</f>
        <v>6</v>
      </c>
      <c r="T7">
        <f>COUNTIFS(DATA_WITH_GENUS_OLD!A:A,A7,DATA_WITH_GENUS_OLD!K:K,"~*")</f>
        <v>1</v>
      </c>
      <c r="U7">
        <f>(COUNTIFS(DATA_WITH_GENUS_OLD!A:A,A7,DATA_WITH_GENUS_OLD!L:L,"Ephemeroptera"))/100</f>
        <v>0</v>
      </c>
      <c r="V7">
        <f>SUMIFS(DATA_WITH_GENUS_OLD!U:U,DATA_WITH_GENUS_OLD!A:A,A7)/100</f>
        <v>4.37</v>
      </c>
      <c r="W7">
        <f>((SUMIFS(DATA_WITH_GENUS_OLD!J:J,DATA_WITH_GENUS_OLD!A:A,A7,DATA_WITH_GENUS_OLD!Q:Q,TRUE)))</f>
        <v>20</v>
      </c>
      <c r="X7">
        <f t="shared" si="6"/>
        <v>0</v>
      </c>
      <c r="Y7" s="18">
        <f t="shared" si="7"/>
        <v>0</v>
      </c>
      <c r="Z7" s="18">
        <f t="shared" si="8"/>
        <v>0</v>
      </c>
      <c r="AA7" s="18">
        <f t="shared" si="9"/>
        <v>6</v>
      </c>
      <c r="AB7" s="18">
        <f t="shared" si="10"/>
        <v>2</v>
      </c>
      <c r="AC7" s="98">
        <f t="shared" si="11"/>
        <v>8</v>
      </c>
      <c r="AD7" t="str">
        <f t="shared" si="14"/>
        <v>Fair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D2613-64D6-4FB1-B02D-FD4AB12CFA16}">
  <sheetPr>
    <tabColor rgb="FFFF0000"/>
  </sheetPr>
  <dimension ref="A1:AM11"/>
  <sheetViews>
    <sheetView zoomScaleNormal="100" workbookViewId="0">
      <selection activeCell="B2" sqref="B2:C10"/>
    </sheetView>
  </sheetViews>
  <sheetFormatPr baseColWidth="10" defaultColWidth="8.83203125" defaultRowHeight="15"/>
  <cols>
    <col min="1" max="1" width="16.6640625" customWidth="1"/>
    <col min="3" max="5" width="13.33203125" customWidth="1"/>
    <col min="6" max="6" width="8.83203125" style="98"/>
    <col min="7" max="7" width="9.33203125" customWidth="1"/>
    <col min="8" max="8" width="10.6640625" customWidth="1"/>
    <col min="9" max="9" width="12.6640625" customWidth="1"/>
    <col min="10" max="10" width="13.6640625" customWidth="1"/>
    <col min="11" max="11" width="19.5" customWidth="1"/>
    <col min="13" max="13" width="10.83203125" customWidth="1"/>
    <col min="15" max="15" width="11.83203125" customWidth="1"/>
    <col min="16" max="16" width="12.33203125" customWidth="1"/>
    <col min="17" max="17" width="8.83203125" style="98"/>
    <col min="18" max="18" width="18" customWidth="1"/>
    <col min="19" max="19" width="14.33203125" customWidth="1"/>
    <col min="20" max="20" width="17.5" customWidth="1"/>
    <col min="21" max="21" width="15" customWidth="1"/>
    <col min="22" max="22" width="11" customWidth="1"/>
    <col min="23" max="23" width="11.6640625" customWidth="1"/>
    <col min="24" max="24" width="11.1640625" customWidth="1"/>
    <col min="25" max="25" width="11.33203125" customWidth="1"/>
    <col min="26" max="26" width="16" customWidth="1"/>
    <col min="27" max="27" width="18.1640625" customWidth="1"/>
    <col min="28" max="28" width="11.33203125" customWidth="1"/>
    <col min="29" max="29" width="12.5" customWidth="1"/>
    <col min="30" max="30" width="13.1640625" style="98" customWidth="1"/>
    <col min="31" max="31" width="13.1640625" customWidth="1"/>
    <col min="32" max="32" width="10.1640625" customWidth="1"/>
    <col min="33" max="33" width="9.33203125" bestFit="1" customWidth="1"/>
    <col min="34" max="34" width="13.6640625" customWidth="1"/>
    <col min="35" max="35" width="11.6640625" customWidth="1"/>
    <col min="36" max="36" width="14.1640625" customWidth="1"/>
    <col min="37" max="37" width="14.33203125" customWidth="1"/>
    <col min="38" max="38" width="13.5" style="98" customWidth="1"/>
    <col min="39" max="39" width="12.33203125" customWidth="1"/>
  </cols>
  <sheetData>
    <row r="1" spans="1:39" s="58" customFormat="1" ht="64">
      <c r="A1" s="48" t="s">
        <v>0</v>
      </c>
      <c r="B1" s="49" t="s">
        <v>1</v>
      </c>
      <c r="C1" s="49" t="s">
        <v>2</v>
      </c>
      <c r="D1" s="48" t="s">
        <v>3</v>
      </c>
      <c r="E1" s="48" t="s">
        <v>4</v>
      </c>
      <c r="F1" s="96" t="s">
        <v>5</v>
      </c>
      <c r="G1" s="50" t="s">
        <v>2966</v>
      </c>
      <c r="H1" s="51" t="s">
        <v>7</v>
      </c>
      <c r="I1" s="50" t="s">
        <v>8</v>
      </c>
      <c r="J1" s="52" t="s">
        <v>9</v>
      </c>
      <c r="K1" s="53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99" t="s">
        <v>16</v>
      </c>
      <c r="R1" s="17" t="s">
        <v>17</v>
      </c>
      <c r="S1" s="40" t="s">
        <v>31</v>
      </c>
      <c r="T1" s="53" t="s">
        <v>32</v>
      </c>
      <c r="U1" s="53" t="s">
        <v>33</v>
      </c>
      <c r="V1" s="52" t="s">
        <v>21</v>
      </c>
      <c r="W1" s="51" t="s">
        <v>34</v>
      </c>
      <c r="X1" s="51" t="s">
        <v>35</v>
      </c>
      <c r="Y1" s="51" t="s">
        <v>36</v>
      </c>
      <c r="Z1" s="54" t="s">
        <v>37</v>
      </c>
      <c r="AA1" s="55" t="s">
        <v>39</v>
      </c>
      <c r="AB1" s="56" t="s">
        <v>40</v>
      </c>
      <c r="AC1" s="55" t="s">
        <v>2637</v>
      </c>
      <c r="AD1" s="101" t="s">
        <v>41</v>
      </c>
      <c r="AE1" s="54" t="s">
        <v>2995</v>
      </c>
      <c r="AF1" s="51" t="s">
        <v>43</v>
      </c>
      <c r="AG1" s="51" t="s">
        <v>44</v>
      </c>
      <c r="AH1" s="51" t="s">
        <v>33</v>
      </c>
      <c r="AI1" s="51" t="s">
        <v>45</v>
      </c>
      <c r="AJ1" s="57" t="s">
        <v>46</v>
      </c>
      <c r="AK1" s="54" t="s">
        <v>47</v>
      </c>
      <c r="AL1" s="101" t="s">
        <v>48</v>
      </c>
      <c r="AM1" s="107" t="s">
        <v>2995</v>
      </c>
    </row>
    <row r="2" spans="1:39">
      <c r="A2" t="str">
        <f t="shared" ref="A2:A9" si="0">B2&amp;"_"&amp;TEXT(C2,"yyyy-mm-dd")</f>
        <v>SB1_2014-03-15</v>
      </c>
      <c r="B2" t="s">
        <v>56</v>
      </c>
      <c r="C2" s="3">
        <v>41713</v>
      </c>
      <c r="D2">
        <f>SUMIF(DATA_WITH_GENUS_OLD!A:A,A2,DATA_WITH_GENUS_OLD!F:F)</f>
        <v>109</v>
      </c>
      <c r="E2">
        <f>SUMIF(DATA_WITH_GENUS_OLD!A:A,A2,DATA_WITH_GENUS_OLD!J:J)</f>
        <v>100</v>
      </c>
      <c r="F2" s="98">
        <f>SUMIFS(DATA_WITH_GENUS_OLD!T:T,DATA_WITH_GENUS_OLD!A:A,A2)/100</f>
        <v>5.0599999999999996</v>
      </c>
      <c r="G2" cm="1">
        <f t="array" ref="G2">COUNTA(_xlfn.UNIQUE(_xlfn._xlws.FILTER(DATA_WITH_GENUS_OLD!A:A&amp;DATA_WITH_GENUS_OLD!D:D&amp;DATA_WITH_GENUS_OLD!J:J,(DATA_WITH_GENUS_OLD!A:A = A2)*(DATA_WITH_GENUS_OLD!J:J&gt;0))))</f>
        <v>16</v>
      </c>
      <c r="H2">
        <f>COUNTIFS(DATA_WITH_GENUS_OLD!A:A,A2,DATA_WITH_GENUS_OLD!K:K,"~*")</f>
        <v>3</v>
      </c>
      <c r="I2">
        <f>COUNTIFS(DATA_WITH_GENUS_OLD!A:A,A2,DATA_WITH_GENUS_OLD!K:K,"~*")</f>
        <v>3</v>
      </c>
      <c r="J2">
        <f>_xlfn.MAXIFS(DATA_WITH_GENUS_OLD!J:J,DATA_WITH_GENUS_OLD!A:A,A2)</f>
        <v>48</v>
      </c>
      <c r="K2" s="18" t="str" cm="1">
        <f t="array" ref="K2">_xlfn._xlws.FILTER(DATA_WITH_GENUS_OLD!E:E,(DATA_WITH_GENUS_OLD!A:A=A2)*(DATA_WITH_GENUS_OLD!J:J=J2)*ROW(DATA_WITH_GENUS_OLD!E:E),0)</f>
        <v>Gammaridae</v>
      </c>
      <c r="L2" s="11">
        <f t="shared" ref="L2:L9" si="1">IF(F2="","",IF(F2&gt;7,0,IF(F2&lt;5,6,IF(F2&lt;=7,3))))</f>
        <v>3</v>
      </c>
      <c r="M2">
        <f t="shared" ref="M2:M9" si="2">IF(G2="","",IF(G2&gt;10,6,IF(G2&lt;5,0,IF(G2&lt;=10,3))))</f>
        <v>6</v>
      </c>
      <c r="N2" s="13">
        <f t="shared" ref="N2:N9" si="3">IF(H2="","",IF(H2&gt;5,6,IF(H2&lt;3,0,IF(H2&lt;=5,3))))</f>
        <v>3</v>
      </c>
      <c r="O2" s="14">
        <f t="shared" ref="O2:O9" si="4">IF(I2="","",IF(I2&gt;35,6,IF(I2&lt;1,0,IF(I2&lt;=35,3,IF(I2&lt;1,0)))))</f>
        <v>3</v>
      </c>
      <c r="P2">
        <f t="shared" ref="P2:P9" si="5">IF(J2="","",IF(J2&gt;60,0,IF(J2&lt;40,6,IF(J2&lt;=60,3))))</f>
        <v>3</v>
      </c>
      <c r="Q2" s="100">
        <f>SUM(L2:P2)</f>
        <v>18</v>
      </c>
      <c r="R2" s="15" t="str">
        <f t="shared" ref="R2:R9" si="6">IF(Q2&gt;=24, "Non-Impaired", IF(Q2&lt;=6, "Severally Impaired", IF(Q2&gt;=9, "Moderately Impaired","")))</f>
        <v>Moderately Impaired</v>
      </c>
      <c r="S2" s="15">
        <f>COUNTIFS(DATA_WITH_GENUS_OLD!A:A,A2,DATA_WITH_GENUS_OLD!J:J, "&gt;0")</f>
        <v>16</v>
      </c>
      <c r="T2" s="20">
        <f>ROUND((((COUNTIFS(DATA_WITH_GENUS_OLD!A:A,A2,DATA_WITH_GENUS_OLD!O:O,FALSE))/G2)*100),1)</f>
        <v>43.8</v>
      </c>
      <c r="U2" s="23">
        <f>SUMIFS(DATA_WITH_GENUS_OLD!J:J,DATA_WITH_GENUS_OLD!A:A,A2,DATA_WITH_GENUS_OLD!P:P,TRUE)</f>
        <v>5</v>
      </c>
      <c r="V2">
        <f>SUMIFS(DATA_WITH_GENUS_OLD!U:U,DATA_WITH_GENUS_OLD!A:A,A2)/100</f>
        <v>4.96</v>
      </c>
      <c r="W2" s="18">
        <f>COUNTIFS(DATA_WITH_GENUS_OLD!A:A,A2,DATA_WITH_GENUS_OLD!R:R,TRUE)</f>
        <v>3</v>
      </c>
      <c r="X2" s="18">
        <f>COUNTIFS(DATA_WITH_GENUS_OLD!A:A,A2,DATA_WITH_GENUS_OLD!S:S,2)</f>
        <v>1</v>
      </c>
      <c r="Y2">
        <f>COUNTIFS(DATA_WITH_GENUS_OLD!A:A,A2,DATA_WITH_GENUS_OLD!S:S,3)</f>
        <v>0</v>
      </c>
      <c r="Z2">
        <f t="shared" ref="Z2:Z9" si="7">S2+26.53-(22.776+4.173*(LOG10(117.3157442)))</f>
        <v>11.118576160402522</v>
      </c>
      <c r="AA2">
        <f t="shared" ref="AA2:AA9" si="8">(U2)+37.49-(49.22-13.8*(LOG10(117.3157442)))</f>
        <v>21.827116938999573</v>
      </c>
      <c r="AB2">
        <f t="shared" ref="AB2:AB9" si="9">V2 + 4.23-(3.407+0.981*(LOG10(117.3157442)))</f>
        <v>3.7529614697711189</v>
      </c>
      <c r="AC2">
        <f t="shared" ref="AC2:AC9" si="10">V2 + 5.44-(3.889+0.981*(LOG10(117.3157442)))</f>
        <v>4.4809614697711186</v>
      </c>
      <c r="AD2" s="98">
        <f t="shared" ref="AD2:AD9" si="11">((100*Z2/31)+(100*(60-T2)/55)+(100*AA2/69)+(100*(7.2-AB2)/4.6)+(100*AC2/11)+(100*X2/8)+(100*Y2/8))/7</f>
        <v>32.160865222798321</v>
      </c>
      <c r="AE2" t="str">
        <f t="shared" ref="AE2:AE9" si="12">IF(AD2&gt;=63, "Excellent", IF(AD2&lt;21, "Poor", IF(AD2&lt;42, "Fair","Good")))</f>
        <v>Fair</v>
      </c>
      <c r="AK2" t="str">
        <f>IF(AH2="","",(AH2+35.15)-(45.59-(11.59*LOG10(16.73739082))))</f>
        <v/>
      </c>
    </row>
    <row r="3" spans="1:39">
      <c r="A3" t="str">
        <f t="shared" si="0"/>
        <v>SB1_2014-07-13</v>
      </c>
      <c r="B3" t="s">
        <v>56</v>
      </c>
      <c r="C3" s="36">
        <v>41833</v>
      </c>
      <c r="D3">
        <f>SUMIF(DATA_WITH_GENUS_OLD!A:A,A3,DATA_WITH_GENUS_OLD!F:F)</f>
        <v>207</v>
      </c>
      <c r="E3">
        <f>SUMIF(DATA_WITH_GENUS_OLD!A:A,A3,DATA_WITH_GENUS_OLD!J:J)</f>
        <v>100</v>
      </c>
      <c r="F3" s="98">
        <f>SUMIFS(DATA_WITH_GENUS_OLD!T:T,DATA_WITH_GENUS_OLD!A:A,A3)/100</f>
        <v>3.94</v>
      </c>
      <c r="G3" cm="1">
        <f t="array" ref="G3">COUNTA(_xlfn.UNIQUE(_xlfn._xlws.FILTER(DATA_WITH_GENUS_OLD!A:A&amp;DATA_WITH_GENUS_OLD!D:D&amp;DATA_WITH_GENUS_OLD!J:J,(DATA_WITH_GENUS_OLD!A:A = A3)*(DATA_WITH_GENUS_OLD!J:J&gt;0))))</f>
        <v>11</v>
      </c>
      <c r="H3">
        <f>COUNTIFS(DATA_WITH_GENUS_OLD!A:A,A3,DATA_WITH_GENUS_OLD!K:K,"~*")</f>
        <v>4</v>
      </c>
      <c r="I3">
        <f>COUNTIFS(DATA_WITH_GENUS_OLD!A:A,A3,DATA_WITH_GENUS_OLD!K:K,"~*")</f>
        <v>4</v>
      </c>
      <c r="J3">
        <f>_xlfn.MAXIFS(DATA_WITH_GENUS_OLD!J:J,DATA_WITH_GENUS_OLD!A:A,A3)</f>
        <v>26</v>
      </c>
      <c r="K3" s="18" t="str" cm="1">
        <f t="array" ref="K3">_xlfn._xlws.FILTER(DATA_WITH_GENUS_OLD!E:E,(DATA_WITH_GENUS_OLD!A:A=A3)*(DATA_WITH_GENUS_OLD!J:J=J3)*ROW(DATA_WITH_GENUS_OLD!E:E),0)</f>
        <v>Hydropsychidae</v>
      </c>
      <c r="L3" s="11">
        <f t="shared" si="1"/>
        <v>6</v>
      </c>
      <c r="M3">
        <f t="shared" si="2"/>
        <v>6</v>
      </c>
      <c r="N3" s="13">
        <f t="shared" si="3"/>
        <v>3</v>
      </c>
      <c r="O3" s="14">
        <f t="shared" si="4"/>
        <v>3</v>
      </c>
      <c r="P3">
        <f t="shared" si="5"/>
        <v>6</v>
      </c>
      <c r="Q3" s="100">
        <f>SUM(L3:P3)</f>
        <v>24</v>
      </c>
      <c r="R3" s="15" t="str">
        <f t="shared" si="6"/>
        <v>Non-Impaired</v>
      </c>
      <c r="S3" s="15">
        <f>COUNTIFS(DATA_WITH_GENUS_OLD!A:A,A3,DATA_WITH_GENUS_OLD!J:J, "&gt;0")</f>
        <v>11</v>
      </c>
      <c r="T3" s="20">
        <f>ROUND((((COUNTIFS(DATA_WITH_GENUS_OLD!A:A,A3,DATA_WITH_GENUS_OLD!O:O,FALSE))/G3)*100),1)</f>
        <v>63.6</v>
      </c>
      <c r="U3" s="23">
        <f>SUMIFS(DATA_WITH_GENUS_OLD!J:J,DATA_WITH_GENUS_OLD!A:A,A3,DATA_WITH_GENUS_OLD!P:P,TRUE)</f>
        <v>36</v>
      </c>
      <c r="V3">
        <f>SUMIFS(DATA_WITH_GENUS_OLD!U:U,DATA_WITH_GENUS_OLD!A:A,A3)/100</f>
        <v>3.94</v>
      </c>
      <c r="W3" s="18">
        <f>COUNTIFS(DATA_WITH_GENUS_OLD!A:A,A3,DATA_WITH_GENUS_OLD!R:R,TRUE)</f>
        <v>4</v>
      </c>
      <c r="X3" s="18">
        <f>COUNTIFS(DATA_WITH_GENUS_OLD!A:A,A3,DATA_WITH_GENUS_OLD!S:S,2)</f>
        <v>0</v>
      </c>
      <c r="Y3">
        <f>COUNTIFS(DATA_WITH_GENUS_OLD!A:A,A3,DATA_WITH_GENUS_OLD!S:S,3)</f>
        <v>0</v>
      </c>
      <c r="Z3">
        <f t="shared" si="7"/>
        <v>6.1185761604025224</v>
      </c>
      <c r="AA3">
        <f t="shared" si="8"/>
        <v>52.82711693899958</v>
      </c>
      <c r="AB3">
        <f t="shared" si="9"/>
        <v>2.7329614697711175</v>
      </c>
      <c r="AC3">
        <f t="shared" si="10"/>
        <v>3.4609614697711191</v>
      </c>
      <c r="AD3" s="98">
        <f t="shared" si="11"/>
        <v>31.189392329165546</v>
      </c>
      <c r="AE3" t="str">
        <f t="shared" si="12"/>
        <v>Fair</v>
      </c>
    </row>
    <row r="4" spans="1:39">
      <c r="A4" t="str">
        <f t="shared" si="0"/>
        <v>SB1_2014-10-18</v>
      </c>
      <c r="B4" t="s">
        <v>56</v>
      </c>
      <c r="C4" s="3">
        <v>41930</v>
      </c>
      <c r="D4">
        <f>SUMIF(DATA_WITH_GENUS_OLD!A:A,A4,DATA_WITH_GENUS_OLD!F:F)</f>
        <v>108</v>
      </c>
      <c r="E4">
        <f>SUMIF(DATA_WITH_GENUS_OLD!A:A,A4,DATA_WITH_GENUS_OLD!J:J)</f>
        <v>100</v>
      </c>
      <c r="F4" s="98">
        <f>SUMIFS(DATA_WITH_GENUS_OLD!T:T,DATA_WITH_GENUS_OLD!A:A,A4)/100</f>
        <v>4.37</v>
      </c>
      <c r="G4" cm="1">
        <f t="array" ref="G4">COUNTA(_xlfn.UNIQUE(_xlfn._xlws.FILTER(DATA_WITH_GENUS_OLD!A:A&amp;DATA_WITH_GENUS_OLD!D:D&amp;DATA_WITH_GENUS_OLD!J:J,(DATA_WITH_GENUS_OLD!A:A = A4)*(DATA_WITH_GENUS_OLD!J:J&gt;0))))</f>
        <v>14</v>
      </c>
      <c r="H4">
        <f>COUNTIFS(DATA_WITH_GENUS_OLD!A:A,A4,DATA_WITH_GENUS_OLD!K:K,"~*")</f>
        <v>4</v>
      </c>
      <c r="I4">
        <f>COUNTIFS(DATA_WITH_GENUS_OLD!A:A,A4,DATA_WITH_GENUS_OLD!K:K,"~*")</f>
        <v>4</v>
      </c>
      <c r="J4">
        <f>_xlfn.MAXIFS(DATA_WITH_GENUS_OLD!J:J,DATA_WITH_GENUS_OLD!A:A,A4)</f>
        <v>33</v>
      </c>
      <c r="K4" s="18" t="str" cm="1">
        <f t="array" ref="K4">_xlfn._xlws.FILTER(DATA_WITH_GENUS_OLD!E:E,(DATA_WITH_GENUS_OLD!A:A=A4)*(DATA_WITH_GENUS_OLD!J:J=J4)*ROW(DATA_WITH_GENUS_OLD!E:E),0)</f>
        <v>Elmidae</v>
      </c>
      <c r="L4" s="11">
        <f t="shared" si="1"/>
        <v>6</v>
      </c>
      <c r="M4">
        <f t="shared" si="2"/>
        <v>6</v>
      </c>
      <c r="N4" s="13">
        <f t="shared" si="3"/>
        <v>3</v>
      </c>
      <c r="O4" s="14">
        <f t="shared" si="4"/>
        <v>3</v>
      </c>
      <c r="P4">
        <f t="shared" si="5"/>
        <v>6</v>
      </c>
      <c r="Q4" s="100">
        <f t="shared" ref="Q4:Q9" si="13">SUM(L4:P4)</f>
        <v>24</v>
      </c>
      <c r="R4" s="15" t="str">
        <f t="shared" si="6"/>
        <v>Non-Impaired</v>
      </c>
      <c r="S4" s="15">
        <f>COUNTIFS(DATA_WITH_GENUS_OLD!A:A,A4,DATA_WITH_GENUS_OLD!J:J, "&gt;0")</f>
        <v>14</v>
      </c>
      <c r="T4" s="20">
        <f>ROUND((((COUNTIFS(DATA_WITH_GENUS_OLD!A:A,A4,DATA_WITH_GENUS_OLD!O:O,FALSE))/G4)*100),1)</f>
        <v>42.9</v>
      </c>
      <c r="U4" s="23">
        <f>SUMIFS(DATA_WITH_GENUS_OLD!J:J,DATA_WITH_GENUS_OLD!A:A,A4,DATA_WITH_GENUS_OLD!P:P,TRUE)</f>
        <v>21</v>
      </c>
      <c r="V4">
        <f>SUMIFS(DATA_WITH_GENUS_OLD!U:U,DATA_WITH_GENUS_OLD!A:A,A4)/100</f>
        <v>4.37</v>
      </c>
      <c r="W4" s="18">
        <f>COUNTIFS(DATA_WITH_GENUS_OLD!A:A,A4,DATA_WITH_GENUS_OLD!R:R,TRUE)</f>
        <v>6</v>
      </c>
      <c r="X4" s="18">
        <f>COUNTIFS(DATA_WITH_GENUS_OLD!A:A,A4,DATA_WITH_GENUS_OLD!S:S,2)</f>
        <v>0</v>
      </c>
      <c r="Y4">
        <f>COUNTIFS(DATA_WITH_GENUS_OLD!A:A,A4,DATA_WITH_GENUS_OLD!S:S,3)</f>
        <v>0</v>
      </c>
      <c r="Z4">
        <f t="shared" si="7"/>
        <v>9.1185761604025224</v>
      </c>
      <c r="AA4">
        <f t="shared" si="8"/>
        <v>37.827116938999573</v>
      </c>
      <c r="AB4">
        <f t="shared" si="9"/>
        <v>3.162961469771119</v>
      </c>
      <c r="AC4">
        <f t="shared" si="10"/>
        <v>3.8909614697711188</v>
      </c>
      <c r="AD4" s="98">
        <f t="shared" si="11"/>
        <v>34.065951954673274</v>
      </c>
      <c r="AE4" t="str">
        <f t="shared" si="12"/>
        <v>Fair</v>
      </c>
      <c r="AH4" s="2"/>
    </row>
    <row r="5" spans="1:39">
      <c r="A5" t="str">
        <f t="shared" si="0"/>
        <v>SB1_2015-03-19</v>
      </c>
      <c r="B5" t="s">
        <v>56</v>
      </c>
      <c r="C5" s="3">
        <v>42082</v>
      </c>
      <c r="D5">
        <f>SUMIF(DATA_WITH_GENUS_OLD!A:A,A5,DATA_WITH_GENUS_OLD!F:F)</f>
        <v>117</v>
      </c>
      <c r="E5">
        <f>SUMIF(DATA_WITH_GENUS_OLD!A:A,A5,DATA_WITH_GENUS_OLD!J:J)</f>
        <v>100</v>
      </c>
      <c r="F5" s="98">
        <f>SUMIFS(DATA_WITH_GENUS_OLD!T:T,DATA_WITH_GENUS_OLD!A:A,A5)/100</f>
        <v>6.16</v>
      </c>
      <c r="G5" cm="1">
        <f t="array" ref="G5">COUNTA(_xlfn.UNIQUE(_xlfn._xlws.FILTER(DATA_WITH_GENUS_OLD!A:A&amp;DATA_WITH_GENUS_OLD!D:D&amp;DATA_WITH_GENUS_OLD!J:J,(DATA_WITH_GENUS_OLD!A:A = A5)*(DATA_WITH_GENUS_OLD!J:J&gt;0))))</f>
        <v>16</v>
      </c>
      <c r="H5">
        <f>COUNTIFS(DATA_WITH_GENUS_OLD!A:A,A5,DATA_WITH_GENUS_OLD!K:K,"~*")</f>
        <v>3</v>
      </c>
      <c r="I5">
        <f>COUNTIFS(DATA_WITH_GENUS_OLD!A:A,A5,DATA_WITH_GENUS_OLD!K:K,"~*")</f>
        <v>3</v>
      </c>
      <c r="J5">
        <f>_xlfn.MAXIFS(DATA_WITH_GENUS_OLD!J:J,DATA_WITH_GENUS_OLD!A:A,A5)</f>
        <v>28</v>
      </c>
      <c r="K5" s="18" t="s">
        <v>2695</v>
      </c>
      <c r="L5" s="11">
        <f t="shared" si="1"/>
        <v>3</v>
      </c>
      <c r="M5">
        <f t="shared" si="2"/>
        <v>6</v>
      </c>
      <c r="N5" s="13">
        <f t="shared" si="3"/>
        <v>3</v>
      </c>
      <c r="O5" s="14">
        <f t="shared" si="4"/>
        <v>3</v>
      </c>
      <c r="P5">
        <f t="shared" si="5"/>
        <v>6</v>
      </c>
      <c r="Q5" s="100">
        <f t="shared" si="13"/>
        <v>21</v>
      </c>
      <c r="R5" s="15" t="str">
        <f t="shared" si="6"/>
        <v>Moderately Impaired</v>
      </c>
      <c r="S5" s="15">
        <f>COUNTIFS(DATA_WITH_GENUS_OLD!A:A,A5,DATA_WITH_GENUS_OLD!J:J, "&gt;0")</f>
        <v>16</v>
      </c>
      <c r="T5" s="20">
        <f>ROUND((((COUNTIFS(DATA_WITH_GENUS_OLD!A:A,A5,DATA_WITH_GENUS_OLD!O:O,FALSE))/G5)*100),1)</f>
        <v>37.5</v>
      </c>
      <c r="U5" s="23">
        <f>SUMIFS(DATA_WITH_GENUS_OLD!J:J,DATA_WITH_GENUS_OLD!A:A,A5,DATA_WITH_GENUS_OLD!P:P,TRUE)</f>
        <v>3</v>
      </c>
      <c r="V5">
        <f>SUMIFS(DATA_WITH_GENUS_OLD!U:U,DATA_WITH_GENUS_OLD!A:A,A5)/100</f>
        <v>6.64</v>
      </c>
      <c r="W5" s="18">
        <f>COUNTIFS(DATA_WITH_GENUS_OLD!A:A,A5,DATA_WITH_GENUS_OLD!R:R,TRUE)</f>
        <v>4</v>
      </c>
      <c r="X5" s="18">
        <f>COUNTIFS(DATA_WITH_GENUS_OLD!A:A,A5,DATA_WITH_GENUS_OLD!S:S,2)</f>
        <v>0</v>
      </c>
      <c r="Y5">
        <f>COUNTIFS(DATA_WITH_GENUS_OLD!A:A,A5,DATA_WITH_GENUS_OLD!S:S,3)</f>
        <v>0</v>
      </c>
      <c r="Z5">
        <f t="shared" si="7"/>
        <v>11.118576160402522</v>
      </c>
      <c r="AA5">
        <f t="shared" si="8"/>
        <v>19.827116938999573</v>
      </c>
      <c r="AB5">
        <f t="shared" si="9"/>
        <v>5.4329614697711186</v>
      </c>
      <c r="AC5">
        <f t="shared" si="10"/>
        <v>6.1609614697711184</v>
      </c>
      <c r="AD5" s="98">
        <f t="shared" si="11"/>
        <v>28.561862775969789</v>
      </c>
      <c r="AE5" t="str">
        <f t="shared" si="12"/>
        <v>Fair</v>
      </c>
    </row>
    <row r="6" spans="1:39">
      <c r="A6" t="str">
        <f>B6&amp;"_"&amp;TEXT(C6,"yyyy-mm-dd")</f>
        <v>SB1_2016-07-10</v>
      </c>
      <c r="B6" t="s">
        <v>56</v>
      </c>
      <c r="C6" s="3">
        <v>42561</v>
      </c>
      <c r="D6">
        <f>SUMIF(DATA_WITH_GENUS_OLD!A:A,A6,DATA_WITH_GENUS_OLD!F:F)</f>
        <v>108</v>
      </c>
      <c r="E6">
        <f>SUMIF(DATA_WITH_GENUS_OLD!A:A,A6,DATA_WITH_GENUS_OLD!J:J)</f>
        <v>100</v>
      </c>
      <c r="F6" s="98">
        <f>SUMIFS(DATA_WITH_GENUS_OLD!T:T,DATA_WITH_GENUS_OLD!A:A,A6)/100</f>
        <v>5.08</v>
      </c>
      <c r="G6" cm="1">
        <f t="array" ref="G6">COUNTA(_xlfn.UNIQUE(_xlfn._xlws.FILTER(DATA_WITH_GENUS_OLD!A:A&amp;DATA_WITH_GENUS_OLD!D:D&amp;DATA_WITH_GENUS_OLD!J:J,(DATA_WITH_GENUS_OLD!A:A = A6)*(DATA_WITH_GENUS_OLD!J:J&gt;0))))</f>
        <v>15</v>
      </c>
      <c r="H6">
        <f>COUNTIFS(DATA_WITH_GENUS_OLD!A:A,A6,DATA_WITH_GENUS_OLD!K:K,"~*")</f>
        <v>1</v>
      </c>
      <c r="I6">
        <f>COUNTIFS(DATA_WITH_GENUS_OLD!A:A,A6,DATA_WITH_GENUS_OLD!K:K,"~*")</f>
        <v>1</v>
      </c>
      <c r="J6">
        <f>_xlfn.MAXIFS(DATA_WITH_GENUS_OLD!J:J,DATA_WITH_GENUS_OLD!A:A,A6)</f>
        <v>23</v>
      </c>
      <c r="K6" s="18" t="str" cm="1">
        <f t="array" ref="K6">_xlfn._xlws.FILTER(DATA_WITH_GENUS_OLD!E:E,(DATA_WITH_GENUS_OLD!A:A=A6)*(DATA_WITH_GENUS_OLD!J:J=J6)*ROW(DATA_WITH_GENUS_OLD!E:E),0)</f>
        <v>Elmidae</v>
      </c>
      <c r="L6" s="11">
        <f t="shared" si="1"/>
        <v>3</v>
      </c>
      <c r="M6">
        <f t="shared" si="2"/>
        <v>6</v>
      </c>
      <c r="N6" s="13">
        <f t="shared" si="3"/>
        <v>0</v>
      </c>
      <c r="O6" s="14">
        <f t="shared" si="4"/>
        <v>3</v>
      </c>
      <c r="P6">
        <f t="shared" si="5"/>
        <v>6</v>
      </c>
      <c r="Q6" s="100">
        <f t="shared" si="13"/>
        <v>18</v>
      </c>
      <c r="R6" s="15" t="str">
        <f t="shared" si="6"/>
        <v>Moderately Impaired</v>
      </c>
      <c r="S6" s="15">
        <f>COUNTIFS(DATA_WITH_GENUS_OLD!A:A,A6,DATA_WITH_GENUS_OLD!J:J, "&gt;0")</f>
        <v>15</v>
      </c>
      <c r="T6" s="20">
        <f>ROUND((((COUNTIFS(DATA_WITH_GENUS_OLD!A:A,A6,DATA_WITH_GENUS_OLD!O:O,FALSE))/G6)*100),1)</f>
        <v>66.7</v>
      </c>
      <c r="U6" s="23">
        <f>SUMIFS(DATA_WITH_GENUS_OLD!J:J,DATA_WITH_GENUS_OLD!A:A,A6,DATA_WITH_GENUS_OLD!P:P,TRUE)</f>
        <v>13</v>
      </c>
      <c r="V6">
        <f>SUMIFS(DATA_WITH_GENUS_OLD!U:U,DATA_WITH_GENUS_OLD!A:A,A6)/100</f>
        <v>5.08</v>
      </c>
      <c r="W6" s="18">
        <f>COUNTIFS(DATA_WITH_GENUS_OLD!A:A,A6,DATA_WITH_GENUS_OLD!R:R,TRUE)</f>
        <v>6</v>
      </c>
      <c r="X6" s="18">
        <f>COUNTIFS(DATA_WITH_GENUS_OLD!A:A,A6,DATA_WITH_GENUS_OLD!S:S,2)</f>
        <v>0</v>
      </c>
      <c r="Y6">
        <f>COUNTIFS(DATA_WITH_GENUS_OLD!A:A,A6,DATA_WITH_GENUS_OLD!S:S,3)</f>
        <v>0</v>
      </c>
      <c r="Z6">
        <f t="shared" si="7"/>
        <v>10.118576160402522</v>
      </c>
      <c r="AA6">
        <f t="shared" si="8"/>
        <v>29.827116938999573</v>
      </c>
      <c r="AB6">
        <f t="shared" si="9"/>
        <v>3.8729614697711181</v>
      </c>
      <c r="AC6">
        <f t="shared" si="10"/>
        <v>4.6009614697711179</v>
      </c>
      <c r="AD6" s="98">
        <f t="shared" si="11"/>
        <v>25.405757544128232</v>
      </c>
      <c r="AE6" t="str">
        <f t="shared" si="12"/>
        <v>Fair</v>
      </c>
    </row>
    <row r="7" spans="1:39">
      <c r="A7" t="str">
        <f t="shared" si="0"/>
        <v>SB1_2016-10-16</v>
      </c>
      <c r="B7" t="s">
        <v>56</v>
      </c>
      <c r="C7" s="3">
        <v>42659</v>
      </c>
      <c r="D7">
        <f>SUMIF(DATA_WITH_GENUS_OLD!A:A,A7,DATA_WITH_GENUS_OLD!F:F)</f>
        <v>107</v>
      </c>
      <c r="E7">
        <f>SUMIF(DATA_WITH_GENUS_OLD!A:A,A7,DATA_WITH_GENUS_OLD!J:J)</f>
        <v>100</v>
      </c>
      <c r="F7" s="98">
        <f>SUMIFS(DATA_WITH_GENUS_OLD!T:T,DATA_WITH_GENUS_OLD!A:A,A7)/100</f>
        <v>5.25</v>
      </c>
      <c r="G7" cm="1">
        <f t="array" ref="G7">COUNTA(_xlfn.UNIQUE(_xlfn._xlws.FILTER(DATA_WITH_GENUS_OLD!A:A&amp;DATA_WITH_GENUS_OLD!D:D&amp;DATA_WITH_GENUS_OLD!J:J,(DATA_WITH_GENUS_OLD!A:A = A7)*(DATA_WITH_GENUS_OLD!J:J&gt;0))))</f>
        <v>13</v>
      </c>
      <c r="H7">
        <f>COUNTIFS(DATA_WITH_GENUS_OLD!A:A,A7,DATA_WITH_GENUS_OLD!K:K,"~*")</f>
        <v>1</v>
      </c>
      <c r="I7">
        <f>COUNTIFS(DATA_WITH_GENUS_OLD!A:A,A7,DATA_WITH_GENUS_OLD!K:K,"~*")</f>
        <v>1</v>
      </c>
      <c r="J7">
        <f>_xlfn.MAXIFS(DATA_WITH_GENUS_OLD!J:J,DATA_WITH_GENUS_OLD!A:A,A7)</f>
        <v>35</v>
      </c>
      <c r="K7" s="18" t="str" cm="1">
        <f t="array" ref="K7">_xlfn._xlws.FILTER(DATA_WITH_GENUS_OLD!E:E,(DATA_WITH_GENUS_OLD!A:A=A7)*(DATA_WITH_GENUS_OLD!J:J=J7)*ROW(DATA_WITH_GENUS_OLD!E:E),0)</f>
        <v>Psephenidae</v>
      </c>
      <c r="L7" s="11">
        <f t="shared" si="1"/>
        <v>3</v>
      </c>
      <c r="M7">
        <f t="shared" si="2"/>
        <v>6</v>
      </c>
      <c r="N7" s="13">
        <f t="shared" si="3"/>
        <v>0</v>
      </c>
      <c r="O7" s="14">
        <f t="shared" si="4"/>
        <v>3</v>
      </c>
      <c r="P7">
        <f t="shared" si="5"/>
        <v>6</v>
      </c>
      <c r="Q7" s="100">
        <f t="shared" si="13"/>
        <v>18</v>
      </c>
      <c r="R7" s="15" t="str">
        <f t="shared" si="6"/>
        <v>Moderately Impaired</v>
      </c>
      <c r="S7" s="15">
        <f>COUNTIFS(DATA_WITH_GENUS_OLD!A:A,A7,DATA_WITH_GENUS_OLD!J:J, "&gt;0")</f>
        <v>13</v>
      </c>
      <c r="T7" s="20">
        <f>ROUND((((COUNTIFS(DATA_WITH_GENUS_OLD!A:A,A7,DATA_WITH_GENUS_OLD!O:O,FALSE))/G7)*100),1)</f>
        <v>61.5</v>
      </c>
      <c r="U7" s="23">
        <f>SUMIFS(DATA_WITH_GENUS_OLD!J:J,DATA_WITH_GENUS_OLD!A:A,A7,DATA_WITH_GENUS_OLD!P:P,TRUE)</f>
        <v>8</v>
      </c>
      <c r="V7">
        <f>SUMIFS(DATA_WITH_GENUS_OLD!U:U,DATA_WITH_GENUS_OLD!A:A,A7)/100</f>
        <v>5.25</v>
      </c>
      <c r="W7" s="18">
        <f>COUNTIFS(DATA_WITH_GENUS_OLD!A:A,A7,DATA_WITH_GENUS_OLD!R:R,TRUE)</f>
        <v>5</v>
      </c>
      <c r="X7" s="18">
        <f>COUNTIFS(DATA_WITH_GENUS_OLD!A:A,A7,DATA_WITH_GENUS_OLD!S:S,2)</f>
        <v>0</v>
      </c>
      <c r="Y7">
        <f>COUNTIFS(DATA_WITH_GENUS_OLD!A:A,A7,DATA_WITH_GENUS_OLD!S:S,3)</f>
        <v>0</v>
      </c>
      <c r="Z7">
        <f t="shared" si="7"/>
        <v>8.1185761604025224</v>
      </c>
      <c r="AA7">
        <f t="shared" si="8"/>
        <v>24.827116938999573</v>
      </c>
      <c r="AB7">
        <f t="shared" si="9"/>
        <v>4.042961469771118</v>
      </c>
      <c r="AC7">
        <f t="shared" si="10"/>
        <v>4.7709614697711196</v>
      </c>
      <c r="AD7" s="98">
        <f t="shared" si="11"/>
        <v>24.492380131452087</v>
      </c>
      <c r="AE7" t="str">
        <f t="shared" si="12"/>
        <v>Fair</v>
      </c>
    </row>
    <row r="8" spans="1:39">
      <c r="A8" t="str">
        <f>B8&amp;"_"&amp;TEXT(C8,"yyyy-mm-dd")</f>
        <v>SB1_2017-03-19</v>
      </c>
      <c r="B8" t="s">
        <v>56</v>
      </c>
      <c r="C8" s="3">
        <v>42813</v>
      </c>
      <c r="D8">
        <f>SUMIF(DATA_WITH_GENUS_OLD!A:A,A8,DATA_WITH_GENUS_OLD!F:F)</f>
        <v>120</v>
      </c>
      <c r="E8">
        <f>SUMIF(DATA_WITH_GENUS_OLD!A:A,A8,DATA_WITH_GENUS_OLD!J:J)</f>
        <v>100</v>
      </c>
      <c r="F8" s="98">
        <f>SUMIFS(DATA_WITH_GENUS_OLD!T:T,DATA_WITH_GENUS_OLD!A:A,A8)/100</f>
        <v>5.05</v>
      </c>
      <c r="G8" cm="1">
        <f t="array" ref="G8">COUNTA(_xlfn.UNIQUE(_xlfn._xlws.FILTER(DATA_WITH_GENUS_OLD!A:A&amp;DATA_WITH_GENUS_OLD!D:D&amp;DATA_WITH_GENUS_OLD!J:J,(DATA_WITH_GENUS_OLD!A:A = A8)*(DATA_WITH_GENUS_OLD!J:J&gt;0))))</f>
        <v>21</v>
      </c>
      <c r="H8">
        <f>COUNTIFS(DATA_WITH_GENUS_OLD!A:A,A8,DATA_WITH_GENUS_OLD!K:K,"~*")</f>
        <v>4</v>
      </c>
      <c r="I8">
        <f>COUNTIFS(DATA_WITH_GENUS_OLD!A:A,A8,DATA_WITH_GENUS_OLD!K:K,"~*")</f>
        <v>4</v>
      </c>
      <c r="J8">
        <f>_xlfn.MAXIFS(DATA_WITH_GENUS_OLD!J:J,DATA_WITH_GENUS_OLD!A:A,A8)</f>
        <v>47</v>
      </c>
      <c r="K8" s="18" t="str" cm="1">
        <f t="array" ref="K8">_xlfn._xlws.FILTER(DATA_WITH_GENUS_OLD!E:E,(DATA_WITH_GENUS_OLD!A:A=A8)*(DATA_WITH_GENUS_OLD!J:J=J8)*ROW(DATA_WITH_GENUS_OLD!E:E),0)</f>
        <v>Gammaridae</v>
      </c>
      <c r="L8" s="11">
        <f t="shared" si="1"/>
        <v>3</v>
      </c>
      <c r="M8">
        <f t="shared" si="2"/>
        <v>6</v>
      </c>
      <c r="N8" s="13">
        <f t="shared" si="3"/>
        <v>3</v>
      </c>
      <c r="O8" s="14">
        <f t="shared" si="4"/>
        <v>3</v>
      </c>
      <c r="P8">
        <f t="shared" si="5"/>
        <v>3</v>
      </c>
      <c r="Q8" s="100">
        <f t="shared" si="13"/>
        <v>18</v>
      </c>
      <c r="R8" s="15" t="str">
        <f t="shared" si="6"/>
        <v>Moderately Impaired</v>
      </c>
      <c r="S8" s="15">
        <f>COUNTIFS(DATA_WITH_GENUS_OLD!A:A,A8,DATA_WITH_GENUS_OLD!J:J, "&gt;0")</f>
        <v>21</v>
      </c>
      <c r="T8" s="20">
        <f>ROUND((((COUNTIFS(DATA_WITH_GENUS_OLD!A:A,A8,DATA_WITH_GENUS_OLD!O:O,FALSE))/G8)*100),1)</f>
        <v>47.6</v>
      </c>
      <c r="U8" s="23">
        <f>SUMIFS(DATA_WITH_GENUS_OLD!J:J,DATA_WITH_GENUS_OLD!A:A,A8,DATA_WITH_GENUS_OLD!P:P,TRUE)</f>
        <v>3</v>
      </c>
      <c r="V8">
        <f>SUMIFS(DATA_WITH_GENUS_OLD!U:U,DATA_WITH_GENUS_OLD!A:A,A8)/100</f>
        <v>5.01</v>
      </c>
      <c r="W8" s="18">
        <f>COUNTIFS(DATA_WITH_GENUS_OLD!A:A,A8,DATA_WITH_GENUS_OLD!R:R,TRUE)</f>
        <v>4</v>
      </c>
      <c r="X8" s="18">
        <f>COUNTIFS(DATA_WITH_GENUS_OLD!A:A,A8,DATA_WITH_GENUS_OLD!S:S,2)</f>
        <v>0</v>
      </c>
      <c r="Y8">
        <f>COUNTIFS(DATA_WITH_GENUS_OLD!A:A,A8,DATA_WITH_GENUS_OLD!S:S,3)</f>
        <v>0</v>
      </c>
      <c r="Z8">
        <f t="shared" si="7"/>
        <v>16.118576160402522</v>
      </c>
      <c r="AA8">
        <f t="shared" si="8"/>
        <v>19.827116938999573</v>
      </c>
      <c r="AB8">
        <f t="shared" si="9"/>
        <v>3.8029614697711178</v>
      </c>
      <c r="AC8">
        <f t="shared" si="10"/>
        <v>4.5309614697711176</v>
      </c>
      <c r="AD8" s="98">
        <f t="shared" si="11"/>
        <v>31.187862302390073</v>
      </c>
      <c r="AE8" t="str">
        <f t="shared" si="12"/>
        <v>Fair</v>
      </c>
    </row>
    <row r="9" spans="1:39">
      <c r="A9" t="str">
        <f t="shared" si="0"/>
        <v>SB1_2017-06-25</v>
      </c>
      <c r="B9" t="s">
        <v>56</v>
      </c>
      <c r="C9" s="3">
        <v>42911</v>
      </c>
      <c r="D9">
        <f>SUMIF(DATA_WITH_GENUS_OLD!A:A,A9,DATA_WITH_GENUS_OLD!F:F)</f>
        <v>152</v>
      </c>
      <c r="E9">
        <f>SUMIF(DATA_WITH_GENUS_OLD!A:A,A9,DATA_WITH_GENUS_OLD!J:J)</f>
        <v>100</v>
      </c>
      <c r="F9" s="98">
        <f>SUMIFS(DATA_WITH_GENUS_OLD!T:T,DATA_WITH_GENUS_OLD!A:A,A9)/100</f>
        <v>4.47</v>
      </c>
      <c r="G9" cm="1">
        <f t="array" ref="G9">COUNTA(_xlfn.UNIQUE(_xlfn._xlws.FILTER(DATA_WITH_GENUS_OLD!A:A&amp;DATA_WITH_GENUS_OLD!D:D&amp;DATA_WITH_GENUS_OLD!J:J,(DATA_WITH_GENUS_OLD!A:A = A9)*(DATA_WITH_GENUS_OLD!J:J&gt;0))))</f>
        <v>16</v>
      </c>
      <c r="H9">
        <f>COUNTIFS(DATA_WITH_GENUS_OLD!A:A,A9,DATA_WITH_GENUS_OLD!K:K,"~*")</f>
        <v>3</v>
      </c>
      <c r="I9">
        <f>COUNTIFS(DATA_WITH_GENUS_OLD!A:A,A9,DATA_WITH_GENUS_OLD!K:K,"~*")</f>
        <v>3</v>
      </c>
      <c r="J9">
        <f>_xlfn.MAXIFS(DATA_WITH_GENUS_OLD!J:J,DATA_WITH_GENUS_OLD!A:A,A9)</f>
        <v>53</v>
      </c>
      <c r="K9" s="18" t="str" cm="1">
        <f t="array" ref="K9">_xlfn._xlws.FILTER(DATA_WITH_GENUS_OLD!E:E,(DATA_WITH_GENUS_OLD!A:A=A9)*(DATA_WITH_GENUS_OLD!J:J=J9)*ROW(DATA_WITH_GENUS_OLD!E:E),0)</f>
        <v>Gammaridae</v>
      </c>
      <c r="L9" s="11">
        <f t="shared" si="1"/>
        <v>6</v>
      </c>
      <c r="M9">
        <f t="shared" si="2"/>
        <v>6</v>
      </c>
      <c r="N9" s="13">
        <f t="shared" si="3"/>
        <v>3</v>
      </c>
      <c r="O9" s="14">
        <f t="shared" si="4"/>
        <v>3</v>
      </c>
      <c r="P9">
        <f t="shared" si="5"/>
        <v>3</v>
      </c>
      <c r="Q9" s="100">
        <f t="shared" si="13"/>
        <v>21</v>
      </c>
      <c r="R9" s="15" t="str">
        <f t="shared" si="6"/>
        <v>Moderately Impaired</v>
      </c>
      <c r="S9" s="15">
        <f>COUNTIFS(DATA_WITH_GENUS_OLD!A:A,A9,DATA_WITH_GENUS_OLD!J:J, "&gt;0")</f>
        <v>16</v>
      </c>
      <c r="T9" s="20">
        <f>ROUND((((COUNTIFS(DATA_WITH_GENUS_OLD!A:A,A9,DATA_WITH_GENUS_OLD!O:O,FALSE))/G9)*100),1)</f>
        <v>50</v>
      </c>
      <c r="U9" s="23">
        <f>SUMIFS(DATA_WITH_GENUS_OLD!J:J,DATA_WITH_GENUS_OLD!A:A,A9,DATA_WITH_GENUS_OLD!P:P,TRUE)</f>
        <v>8</v>
      </c>
      <c r="V9">
        <f>SUMIFS(DATA_WITH_GENUS_OLD!U:U,DATA_WITH_GENUS_OLD!A:A,A9)/100</f>
        <v>4.47</v>
      </c>
      <c r="W9" s="18">
        <f>COUNTIFS(DATA_WITH_GENUS_OLD!A:A,A9,DATA_WITH_GENUS_OLD!R:R,TRUE)</f>
        <v>4</v>
      </c>
      <c r="X9" s="18">
        <f>COUNTIFS(DATA_WITH_GENUS_OLD!A:A,A9,DATA_WITH_GENUS_OLD!S:S,2)</f>
        <v>0</v>
      </c>
      <c r="Y9">
        <f>COUNTIFS(DATA_WITH_GENUS_OLD!A:A,A9,DATA_WITH_GENUS_OLD!S:S,3)</f>
        <v>0</v>
      </c>
      <c r="Z9">
        <f t="shared" si="7"/>
        <v>11.118576160402522</v>
      </c>
      <c r="AA9">
        <f t="shared" si="8"/>
        <v>24.827116938999573</v>
      </c>
      <c r="AB9">
        <f t="shared" si="9"/>
        <v>3.2629614697711169</v>
      </c>
      <c r="AC9">
        <f t="shared" si="10"/>
        <v>3.9909614697711184</v>
      </c>
      <c r="AD9" s="98">
        <f t="shared" si="11"/>
        <v>30.271254833187943</v>
      </c>
      <c r="AE9" t="str">
        <f t="shared" si="12"/>
        <v>Fair</v>
      </c>
    </row>
    <row r="10" spans="1:39">
      <c r="A10" t="str">
        <f>B10&amp;"_"&amp;TEXT(C10,"yyyy-mm-dd")</f>
        <v>SB1_2021-10-02</v>
      </c>
      <c r="B10" t="s">
        <v>56</v>
      </c>
      <c r="C10" s="36">
        <v>44471</v>
      </c>
      <c r="D10">
        <f>SUMIF(DATA_WITH_GENUS_OLD!A:A,A10,DATA_WITH_GENUS_OLD!F:F)</f>
        <v>112</v>
      </c>
      <c r="E10">
        <f>SUMIF(DATA_WITH_GENUS_OLD!A:A,A10,DATA_WITH_GENUS_OLD!J:J)</f>
        <v>100</v>
      </c>
      <c r="F10" s="98">
        <f>SUMIFS(DATA_WITH_GENUS_OLD!T:T,DATA_WITH_GENUS_OLD!A:A,A10)/100</f>
        <v>5.48</v>
      </c>
      <c r="G10" cm="1">
        <f t="array" ref="G10">COUNTA(_xlfn.UNIQUE(_xlfn._xlws.FILTER(DATA_WITH_GENUS_OLD!A:A&amp;DATA_WITH_GENUS_OLD!D:D&amp;DATA_WITH_GENUS_OLD!J:J,(DATA_WITH_GENUS_OLD!A:A = A10)*(DATA_WITH_GENUS_OLD!J:J&gt;0))))</f>
        <v>11</v>
      </c>
      <c r="H10">
        <f>COUNTIFS(DATA_WITH_GENUS_OLD!A:A,A10,DATA_WITH_GENUS_OLD!K:K,"~*")</f>
        <v>5</v>
      </c>
      <c r="I10">
        <f>COUNTIFS(DATA_WITH_GENUS_OLD!A:A,A10,DATA_WITH_GENUS_OLD!K:K,"~*")</f>
        <v>5</v>
      </c>
      <c r="J10">
        <f>_xlfn.MAXIFS(DATA_WITH_GENUS_OLD!J:J,DATA_WITH_GENUS_OLD!A:A,A10)</f>
        <v>70</v>
      </c>
      <c r="K10" s="18" t="str" cm="1">
        <f t="array" ref="K10">_xlfn._xlws.FILTER(DATA_WITH_GENUS_OLD!E:E,(DATA_WITH_GENUS_OLD!A:A=A10)*(DATA_WITH_GENUS_OLD!J:J=J10)*ROW(DATA_WITH_GENUS_OLD!E:E),0)</f>
        <v>Chironomidae</v>
      </c>
      <c r="L10" s="11">
        <f>IF(F10="","",IF(F10&gt;7,0,IF(F10&lt;5,6,IF(F10&lt;=7,3))))</f>
        <v>3</v>
      </c>
      <c r="M10">
        <f>IF(G10="","",IF(G10&gt;10,6,IF(G10&lt;5,0,IF(G10&lt;=10,3))))</f>
        <v>6</v>
      </c>
      <c r="N10" s="13">
        <f>IF(H10="","",IF(H10&gt;5,6,IF(H10&lt;3,0,IF(H10&lt;=5,3))))</f>
        <v>3</v>
      </c>
      <c r="O10" s="14">
        <f>IF(I10="","",IF(I10&gt;35,6,IF(I10&lt;1,0,IF(I10&lt;=35,3,IF(I10&lt;1,0)))))</f>
        <v>3</v>
      </c>
      <c r="P10">
        <f>IF(J10="","",IF(J10&gt;60,0,IF(J10&lt;40,6,IF(J10&lt;=60,3))))</f>
        <v>0</v>
      </c>
      <c r="Q10" s="100">
        <f>SUM(L10:P10)</f>
        <v>15</v>
      </c>
      <c r="R10" s="15" t="str">
        <f>IF(Q10&gt;=24, "Non-Impaired", IF(Q10&lt;=6, "Severally Impaired", IF(Q10&gt;=9, "Moderately Impaired","")))</f>
        <v>Moderately Impaired</v>
      </c>
      <c r="S10" s="15">
        <f>COUNTIFS(DATA_WITH_GENUS_OLD!A:A,A10,DATA_WITH_GENUS_OLD!J:J, "&gt;0")</f>
        <v>11</v>
      </c>
      <c r="T10" s="20">
        <f>ROUND((((COUNTIFS(DATA_WITH_GENUS_OLD!A:A,A10,DATA_WITH_GENUS_OLD!O:O,FALSE))/G10)*100),1)</f>
        <v>18.2</v>
      </c>
      <c r="U10" s="23">
        <f>SUMIFS(DATA_WITH_GENUS_OLD!J:J,DATA_WITH_GENUS_OLD!A:A,A10,DATA_WITH_GENUS_OLD!P:P,TRUE)</f>
        <v>14</v>
      </c>
      <c r="V10">
        <f>SUMIFS(DATA_WITH_GENUS_OLD!U:U,DATA_WITH_GENUS_OLD!A:A,A10)/100</f>
        <v>5.48</v>
      </c>
      <c r="W10" s="18">
        <f>COUNTIFS(DATA_WITH_GENUS_OLD!A:A,A10,DATA_WITH_GENUS_OLD!R:R,TRUE)</f>
        <v>4</v>
      </c>
      <c r="X10" s="18">
        <f>COUNTIFS(DATA_WITH_GENUS_OLD!A:A,A10,DATA_WITH_GENUS_OLD!S:S,2)</f>
        <v>0</v>
      </c>
      <c r="Y10">
        <f>COUNTIFS(DATA_WITH_GENUS_OLD!A:A,A10,DATA_WITH_GENUS_OLD!S:S,3)</f>
        <v>0</v>
      </c>
      <c r="Z10">
        <f>S10+26.53-(22.776+4.173*(LOG10(117.3157442)))</f>
        <v>6.1185761604025224</v>
      </c>
      <c r="AA10">
        <f>(U10)+37.49-(49.22-13.8*(LOG10(117.3157442)))</f>
        <v>30.827116938999573</v>
      </c>
      <c r="AB10">
        <f>V10 + 4.23-(3.407+0.981*(LOG10(117.3157442)))</f>
        <v>4.2729614697711185</v>
      </c>
      <c r="AC10">
        <f>V10 + 5.44-(3.889+0.981*(LOG10(117.3157442)))</f>
        <v>5.00096146977112</v>
      </c>
      <c r="AD10" s="98">
        <f>((100*Z10/31)+(100*(60-T10)/55)+(100*AA10/69)+(100*(7.2-AB10)/4.6)+(100*AC10/11)+(100*X10/8)+(100*Y10/8))/7</f>
        <v>35.644126001290523</v>
      </c>
      <c r="AE10" t="str">
        <f>IF(AD10&gt;=63, "Excellent", IF(AD10&lt;21, "Poor", IF(AD10&lt;42, "Fair","Good")))</f>
        <v>Fair</v>
      </c>
      <c r="AH10" s="47"/>
    </row>
    <row r="11" spans="1:39">
      <c r="C11" s="3"/>
    </row>
  </sheetData>
  <phoneticPr fontId="28" type="noConversion"/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9020A-3F93-4ABB-BE30-D52CE4616AC2}">
  <sheetPr>
    <tabColor rgb="FFFF0000"/>
  </sheetPr>
  <dimension ref="A1:AN10"/>
  <sheetViews>
    <sheetView workbookViewId="0">
      <selection activeCell="B2" sqref="B2:C10"/>
    </sheetView>
  </sheetViews>
  <sheetFormatPr baseColWidth="10" defaultColWidth="8.83203125" defaultRowHeight="15"/>
  <cols>
    <col min="1" max="1" width="16.6640625" customWidth="1"/>
    <col min="3" max="4" width="13.33203125" customWidth="1"/>
    <col min="5" max="5" width="13" customWidth="1"/>
    <col min="6" max="6" width="8.83203125" style="98"/>
    <col min="7" max="7" width="11" customWidth="1"/>
    <col min="8" max="8" width="10.5" customWidth="1"/>
    <col min="9" max="9" width="12.1640625" customWidth="1"/>
    <col min="10" max="10" width="12" customWidth="1"/>
    <col min="11" max="11" width="24.1640625" customWidth="1"/>
    <col min="13" max="13" width="10.83203125" customWidth="1"/>
    <col min="15" max="15" width="11.83203125" customWidth="1"/>
    <col min="16" max="16" width="12.33203125" customWidth="1"/>
    <col min="17" max="17" width="8.83203125" style="98"/>
    <col min="18" max="18" width="18" customWidth="1"/>
    <col min="19" max="19" width="13" customWidth="1"/>
    <col min="20" max="20" width="14.83203125" customWidth="1"/>
    <col min="21" max="21" width="14.1640625" customWidth="1"/>
    <col min="22" max="22" width="11" customWidth="1"/>
    <col min="23" max="23" width="11.6640625" customWidth="1"/>
    <col min="24" max="24" width="10.6640625" customWidth="1"/>
    <col min="25" max="25" width="10.5" customWidth="1"/>
    <col min="26" max="26" width="16" customWidth="1"/>
    <col min="27" max="27" width="14.1640625" customWidth="1"/>
    <col min="28" max="28" width="11.33203125" customWidth="1"/>
    <col min="29" max="29" width="12.5" customWidth="1"/>
    <col min="30" max="30" width="13.1640625" style="98" customWidth="1"/>
    <col min="31" max="31" width="13.1640625" customWidth="1"/>
    <col min="32" max="32" width="9.5" customWidth="1"/>
    <col min="33" max="33" width="9.33203125" bestFit="1" customWidth="1"/>
    <col min="34" max="34" width="13.6640625" customWidth="1"/>
    <col min="35" max="35" width="9.33203125" bestFit="1" customWidth="1"/>
    <col min="36" max="36" width="11.6640625" customWidth="1"/>
    <col min="37" max="37" width="14.1640625" customWidth="1"/>
    <col min="38" max="38" width="14.33203125" customWidth="1"/>
    <col min="39" max="39" width="13.5" style="98" customWidth="1"/>
    <col min="40" max="40" width="12.1640625" customWidth="1"/>
  </cols>
  <sheetData>
    <row r="1" spans="1:40" s="58" customFormat="1" ht="64">
      <c r="A1" s="48" t="s">
        <v>0</v>
      </c>
      <c r="B1" s="49" t="s">
        <v>1</v>
      </c>
      <c r="C1" s="49" t="s">
        <v>2</v>
      </c>
      <c r="D1" s="48" t="s">
        <v>3</v>
      </c>
      <c r="E1" s="48" t="s">
        <v>4</v>
      </c>
      <c r="F1" s="96" t="s">
        <v>5</v>
      </c>
      <c r="G1" s="50" t="s">
        <v>6</v>
      </c>
      <c r="H1" s="51" t="s">
        <v>7</v>
      </c>
      <c r="I1" s="50" t="s">
        <v>8</v>
      </c>
      <c r="J1" s="52" t="s">
        <v>9</v>
      </c>
      <c r="K1" s="53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99" t="s">
        <v>16</v>
      </c>
      <c r="R1" s="17" t="s">
        <v>17</v>
      </c>
      <c r="S1" s="40" t="s">
        <v>31</v>
      </c>
      <c r="T1" s="53" t="s">
        <v>32</v>
      </c>
      <c r="U1" s="53" t="s">
        <v>33</v>
      </c>
      <c r="V1" s="52" t="s">
        <v>21</v>
      </c>
      <c r="W1" s="51" t="s">
        <v>34</v>
      </c>
      <c r="X1" s="51" t="s">
        <v>35</v>
      </c>
      <c r="Y1" s="51" t="s">
        <v>36</v>
      </c>
      <c r="Z1" s="54" t="s">
        <v>37</v>
      </c>
      <c r="AA1" s="55" t="s">
        <v>39</v>
      </c>
      <c r="AB1" s="56" t="s">
        <v>40</v>
      </c>
      <c r="AC1" s="55" t="s">
        <v>2637</v>
      </c>
      <c r="AD1" s="101" t="s">
        <v>41</v>
      </c>
      <c r="AE1" s="54" t="s">
        <v>42</v>
      </c>
      <c r="AF1" s="51" t="s">
        <v>43</v>
      </c>
      <c r="AG1" s="51" t="s">
        <v>44</v>
      </c>
      <c r="AH1" s="53" t="s">
        <v>33</v>
      </c>
      <c r="AI1" s="53" t="s">
        <v>5</v>
      </c>
      <c r="AJ1" s="51" t="s">
        <v>45</v>
      </c>
      <c r="AK1" s="57" t="s">
        <v>46</v>
      </c>
      <c r="AL1" s="54" t="s">
        <v>47</v>
      </c>
      <c r="AM1" s="101" t="s">
        <v>48</v>
      </c>
      <c r="AN1" s="54" t="s">
        <v>42</v>
      </c>
    </row>
    <row r="2" spans="1:40">
      <c r="A2" t="str">
        <f>B2&amp;"_"&amp;TEXT(C2,"yyyy-mm-dd")</f>
        <v>SB2_2014-03-22</v>
      </c>
      <c r="B2" t="s">
        <v>57</v>
      </c>
      <c r="C2" s="36">
        <v>41720</v>
      </c>
      <c r="D2">
        <f>SUMIF(DATA_WITH_GENUS_OLD!A:A,A2,DATA_WITH_GENUS_OLD!F:F)</f>
        <v>106</v>
      </c>
      <c r="E2">
        <f>SUMIF(DATA_WITH_GENUS_OLD!A:A,A2,DATA_WITH_GENUS_OLD!J:J)</f>
        <v>100</v>
      </c>
      <c r="F2" s="98">
        <f>SUMIFS(DATA_WITH_GENUS_OLD!T:T,DATA_WITH_GENUS_OLD!A:A,A2)/100</f>
        <v>5.18</v>
      </c>
      <c r="G2" cm="1">
        <f t="array" ref="G2">COUNTA(_xlfn.UNIQUE(_xlfn._xlws.FILTER(DATA_WITH_GENUS_OLD!A:A&amp;DATA_WITH_GENUS_OLD!D:D&amp;DATA_WITH_GENUS_OLD!J:J,(DATA_WITH_GENUS_OLD!A:A = A2)*(DATA_WITH_GENUS_OLD!J:J&gt;0))))</f>
        <v>13</v>
      </c>
      <c r="H2">
        <f>COUNTIFS(DATA_WITH_GENUS_OLD!A:A,A2,DATA_WITH_GENUS_OLD!K:K,"~*")</f>
        <v>3</v>
      </c>
      <c r="I2">
        <f>COUNTIFS(DATA_WITH_GENUS_OLD!A:A,A2,DATA_WITH_GENUS_OLD!K:K,"~*")</f>
        <v>3</v>
      </c>
      <c r="J2">
        <f>_xlfn.MAXIFS(DATA_WITH_GENUS_OLD!J:J,DATA_WITH_GENUS_OLD!A:A,A2)</f>
        <v>38</v>
      </c>
      <c r="K2" s="18" t="str" cm="1">
        <f t="array" ref="K2">_xlfn._xlws.FILTER(DATA_WITH_GENUS_OLD!E:E,(DATA_WITH_GENUS_OLD!A:A=A2)*(DATA_WITH_GENUS_OLD!J:J=J2)*ROW(DATA_WITH_GENUS_OLD!E:E),0)</f>
        <v>Psephenidae</v>
      </c>
      <c r="L2" s="11">
        <f>IF(F2="","",IF(F2&gt;7,0,IF(F2&lt;5,6,IF(F2&lt;=7,3))))</f>
        <v>3</v>
      </c>
      <c r="M2">
        <f>IF(G2="","",IF(G2&gt;10,6,IF(G2&lt;5,0,IF(G2&lt;=10,3))))</f>
        <v>6</v>
      </c>
      <c r="N2" s="13">
        <f>IF(H2="","",IF(H2&gt;5,6,IF(H2&lt;3,0,IF(H2&lt;=5,3))))</f>
        <v>3</v>
      </c>
      <c r="O2" s="14">
        <f>IF(I2="","",IF(I2&gt;35,6,IF(I2&lt;1,0,IF(I2&lt;=35,3,IF(I2&lt;1,0)))))</f>
        <v>3</v>
      </c>
      <c r="P2">
        <f>IF(J2="","",IF(J2&gt;60,0,IF(J2&lt;40,6,IF(J2&lt;=60,3))))</f>
        <v>6</v>
      </c>
      <c r="Q2" s="100">
        <f>SUM(L2:P2)</f>
        <v>21</v>
      </c>
      <c r="R2" s="15" t="str">
        <f>IF(Q2&gt;=24, "Non-Impaired", IF(Q2&lt;=6, "Severally Impaired", IF(Q2&gt;=9, "Moderately Impaired","")))</f>
        <v>Moderately Impaired</v>
      </c>
      <c r="S2" s="15">
        <f>COUNTIFS(DATA_WITH_GENUS_OLD!A:A,A2,DATA_WITH_GENUS_OLD!J:J, "&gt;0")</f>
        <v>13</v>
      </c>
      <c r="T2" s="20">
        <f>ROUND((((COUNTIFS(DATA_WITH_GENUS_OLD!A:A,A2,DATA_WITH_GENUS_OLD!O:O,FALSE))/G2)*100),1)</f>
        <v>53.8</v>
      </c>
      <c r="U2" s="23">
        <f>SUMIFS(DATA_WITH_GENUS_OLD!J:J,DATA_WITH_GENUS_OLD!A:A,A2,DATA_WITH_GENUS_OLD!P:P,TRUE)</f>
        <v>14</v>
      </c>
      <c r="V2">
        <f>SUMIFS(DATA_WITH_GENUS_OLD!U:U,DATA_WITH_GENUS_OLD!A:A,A2)/100</f>
        <v>4.88</v>
      </c>
      <c r="W2" s="18">
        <f>COUNTIFS(DATA_WITH_GENUS_OLD!A:A,A2,DATA_WITH_GENUS_OLD!R:R,TRUE)</f>
        <v>3</v>
      </c>
      <c r="X2" s="18">
        <f>COUNTIFS(DATA_WITH_GENUS_OLD!A:A,A2,DATA_WITH_GENUS_OLD!S:S,2)</f>
        <v>0</v>
      </c>
      <c r="Y2">
        <f>COUNTIFS(DATA_WITH_GENUS_OLD!A:A,A2,DATA_WITH_GENUS_OLD!S:S,3)</f>
        <v>0</v>
      </c>
      <c r="Z2">
        <f>S2+26.53-(22.776+4.173*(LOG10(96.28840345)))</f>
        <v>8.4765457574032936</v>
      </c>
      <c r="AA2">
        <f>(U2)+37.49-(49.22-13.8*(LOG10(96.28840345)))</f>
        <v>29.643321003554899</v>
      </c>
      <c r="AB2">
        <f>V2 + 4.23-(3.407+0.981*(LOG10(96.28840345)))</f>
        <v>3.7571139199646844</v>
      </c>
      <c r="AC2">
        <f>V2 + 5.44-(3.889+0.981*(LOG10(96.28840345)))</f>
        <v>4.485113919964685</v>
      </c>
      <c r="AD2" s="98">
        <f>((100*Z2/31)+(100*(60-T2)/55)+(100*AA2/69)+(100*(7.2-AB2)/4.6)+(100*AC2/11)+(100*X2/8)+(100*Y2/8))/7</f>
        <v>28.170981503838075</v>
      </c>
      <c r="AE2" t="str">
        <f>IF(AD2&gt;=63, "Excellent", IF(AD2&lt;21, "Poor", IF(AD2&lt;42, "Fair","Good")))</f>
        <v>Fair</v>
      </c>
      <c r="AH2" s="47"/>
      <c r="AI2" s="45"/>
    </row>
    <row r="3" spans="1:40">
      <c r="A3" t="str">
        <f>B3&amp;"_"&amp;TEXT(C3,"yyyy-mm-dd")</f>
        <v>SB2_2014-07-13</v>
      </c>
      <c r="B3" t="s">
        <v>57</v>
      </c>
      <c r="C3" s="3">
        <v>41833</v>
      </c>
      <c r="D3">
        <f>SUMIF(DATA_WITH_GENUS_OLD!A:A,A3,DATA_WITH_GENUS_OLD!F:F)</f>
        <v>107</v>
      </c>
      <c r="E3">
        <f>SUMIF(DATA_WITH_GENUS_OLD!A:A,A3,DATA_WITH_GENUS_OLD!J:J)</f>
        <v>100</v>
      </c>
      <c r="F3" s="98">
        <f>SUMIFS(DATA_WITH_GENUS_OLD!T:T,DATA_WITH_GENUS_OLD!A:A,A3)/100</f>
        <v>4.21</v>
      </c>
      <c r="G3" cm="1">
        <f t="array" ref="G3">COUNTA(_xlfn.UNIQUE(_xlfn._xlws.FILTER(DATA_WITH_GENUS_OLD!A:A&amp;DATA_WITH_GENUS_OLD!D:D&amp;DATA_WITH_GENUS_OLD!J:J,(DATA_WITH_GENUS_OLD!A:A = A3)*(DATA_WITH_GENUS_OLD!J:J&gt;0))))</f>
        <v>12</v>
      </c>
      <c r="H3">
        <f>COUNTIFS(DATA_WITH_GENUS_OLD!A:A,A3,DATA_WITH_GENUS_OLD!K:K,"~*")</f>
        <v>5</v>
      </c>
      <c r="I3">
        <f>COUNTIFS(DATA_WITH_GENUS_OLD!A:A,A3,DATA_WITH_GENUS_OLD!K:K,"~*")</f>
        <v>5</v>
      </c>
      <c r="J3">
        <f>_xlfn.MAXIFS(DATA_WITH_GENUS_OLD!J:J,DATA_WITH_GENUS_OLD!A:A,A3)</f>
        <v>25</v>
      </c>
      <c r="K3" s="18" t="s">
        <v>2632</v>
      </c>
      <c r="L3" s="11">
        <f>IF(F3="","",IF(F3&gt;7,0,IF(F3&lt;5,6,IF(F3&lt;=7,3))))</f>
        <v>6</v>
      </c>
      <c r="M3">
        <f>IF(G3="","",IF(G3&gt;10,6,IF(G3&lt;5,0,IF(G3&lt;=10,3))))</f>
        <v>6</v>
      </c>
      <c r="N3" s="13">
        <f>IF(H3="","",IF(H3&gt;5,6,IF(H3&lt;3,0,IF(H3&lt;=5,3))))</f>
        <v>3</v>
      </c>
      <c r="O3" s="14">
        <f>IF(I3="","",IF(I3&gt;35,6,IF(I3&lt;1,0,IF(I3&lt;=35,3,IF(I3&lt;1,0)))))</f>
        <v>3</v>
      </c>
      <c r="P3">
        <f>IF(J3="","",IF(J3&gt;60,0,IF(J3&lt;40,6,IF(J3&lt;=60,3))))</f>
        <v>6</v>
      </c>
      <c r="Q3" s="100">
        <f>SUM(L3:P3)</f>
        <v>24</v>
      </c>
      <c r="R3" s="15" t="str">
        <f>IF(Q3&gt;=24, "Non-Impaired", IF(Q3&lt;=6, "Severally Impaired", IF(Q3&gt;=9, "Moderately Impaired","")))</f>
        <v>Non-Impaired</v>
      </c>
      <c r="S3" s="15">
        <f>COUNTIFS(DATA_WITH_GENUS_OLD!A:A,A3,DATA_WITH_GENUS_OLD!J:J, "&gt;0")</f>
        <v>12</v>
      </c>
      <c r="T3" s="20">
        <f>ROUND((((COUNTIFS(DATA_WITH_GENUS_OLD!A:A,A3,DATA_WITH_GENUS_OLD!O:O,FALSE))/G3)*100),1)</f>
        <v>33.299999999999997</v>
      </c>
      <c r="U3" s="23">
        <f>SUMIFS(DATA_WITH_GENUS_OLD!J:J,DATA_WITH_GENUS_OLD!A:A,A3,DATA_WITH_GENUS_OLD!P:P,TRUE)</f>
        <v>20</v>
      </c>
      <c r="V3">
        <f>SUMIFS(DATA_WITH_GENUS_OLD!U:U,DATA_WITH_GENUS_OLD!A:A,A3)/100</f>
        <v>4.21</v>
      </c>
      <c r="W3" s="18">
        <f>COUNTIFS(DATA_WITH_GENUS_OLD!A:A,A3,DATA_WITH_GENUS_OLD!R:R,TRUE)</f>
        <v>4</v>
      </c>
      <c r="X3" s="18">
        <f>COUNTIFS(DATA_WITH_GENUS_OLD!A:A,A3,DATA_WITH_GENUS_OLD!S:S,2)</f>
        <v>0</v>
      </c>
      <c r="Y3">
        <f>COUNTIFS(DATA_WITH_GENUS_OLD!A:A,A3,DATA_WITH_GENUS_OLD!S:S,3)</f>
        <v>0</v>
      </c>
      <c r="Z3">
        <f>S3+26.53-(22.776+4.173*(LOG10(96.28840345)))</f>
        <v>7.4765457574032936</v>
      </c>
      <c r="AA3">
        <f t="shared" ref="AA3:AA10" si="0">(U3)+37.49-(49.22-13.8*(LOG10(96.28840345)))</f>
        <v>35.643321003554902</v>
      </c>
      <c r="AB3">
        <f>V3 + 4.23-(3.407+0.981*(LOG10(96.28840345)))</f>
        <v>3.0871139199646862</v>
      </c>
      <c r="AC3">
        <f>V3 + 5.44-(3.889+0.981*(LOG10(96.28840345)))</f>
        <v>3.8151139199646851</v>
      </c>
      <c r="AD3" s="98">
        <f t="shared" ref="AD3:AD10" si="1">((100*Z3/31)+(100*(60-T3)/55)+(100*AA3/69)+(100*(7.2-AB3)/4.6)+(100*AC3/11)+(100*X3/8)+(100*Y3/8))/7</f>
        <v>35.487678831755595</v>
      </c>
      <c r="AE3" t="str">
        <f>IF(AD3&gt;=63, "Excellent", IF(AD3&lt;21, "Poor", IF(AD3&lt;42, "Fair","Good")))</f>
        <v>Fair</v>
      </c>
      <c r="AK3" t="str">
        <f>IF(AI3="","",(AI3+4.19)-(3.636+(0.615*LOG10(16.73739082))))</f>
        <v/>
      </c>
      <c r="AL3" t="str">
        <f>IF(AH3="","",(AH3+35.15)-(45.59-(11.59*LOG10(16.73739082))))</f>
        <v/>
      </c>
    </row>
    <row r="4" spans="1:40">
      <c r="A4" t="str">
        <f t="shared" ref="A4:A10" si="2">B4&amp;"_"&amp;TEXT(C4,"yyyy-mm-dd")</f>
        <v>SB2_2014-10-12</v>
      </c>
      <c r="B4" t="s">
        <v>57</v>
      </c>
      <c r="C4" s="3">
        <v>41924</v>
      </c>
      <c r="D4">
        <f>SUMIF(DATA_WITH_GENUS_OLD!A:A,A4,DATA_WITH_GENUS_OLD!F:F)</f>
        <v>127</v>
      </c>
      <c r="E4">
        <f>SUMIF(DATA_WITH_GENUS_OLD!A:A,A4,DATA_WITH_GENUS_OLD!J:J)</f>
        <v>100</v>
      </c>
      <c r="F4" s="98">
        <f>SUMIFS(DATA_WITH_GENUS_OLD!T:T,DATA_WITH_GENUS_OLD!A:A,A4)/100</f>
        <v>3.94</v>
      </c>
      <c r="G4" cm="1">
        <f t="array" ref="G4">COUNTA(_xlfn.UNIQUE(_xlfn._xlws.FILTER(DATA_WITH_GENUS_OLD!A:A&amp;DATA_WITH_GENUS_OLD!D:D&amp;DATA_WITH_GENUS_OLD!J:J,(DATA_WITH_GENUS_OLD!A:A = A4)*(DATA_WITH_GENUS_OLD!J:J&gt;0))))</f>
        <v>12</v>
      </c>
      <c r="H4">
        <f>COUNTIFS(DATA_WITH_GENUS_OLD!A:A,A4,DATA_WITH_GENUS_OLD!K:K,"~*")</f>
        <v>3</v>
      </c>
      <c r="I4">
        <f>COUNTIFS(DATA_WITH_GENUS_OLD!A:A,A4,DATA_WITH_GENUS_OLD!K:K,"~*")</f>
        <v>3</v>
      </c>
      <c r="J4">
        <f>_xlfn.MAXIFS(DATA_WITH_GENUS_OLD!J:J,DATA_WITH_GENUS_OLD!A:A,A4)</f>
        <v>34</v>
      </c>
      <c r="K4" s="18" t="str" cm="1">
        <f t="array" ref="K4">_xlfn._xlws.FILTER(DATA_WITH_GENUS_OLD!E:E,(DATA_WITH_GENUS_OLD!A:A=A4)*(DATA_WITH_GENUS_OLD!J:J=J4)*ROW(DATA_WITH_GENUS_OLD!E:E),0)</f>
        <v>Hydropsychidae</v>
      </c>
      <c r="L4" s="11">
        <f t="shared" ref="L4:L10" si="3">IF(F4="","",IF(F4&gt;7,0,IF(F4&lt;5,6,IF(F4&lt;=7,3))))</f>
        <v>6</v>
      </c>
      <c r="M4">
        <f t="shared" ref="M4:M10" si="4">IF(G4="","",IF(G4&gt;10,6,IF(G4&lt;5,0,IF(G4&lt;=10,3))))</f>
        <v>6</v>
      </c>
      <c r="N4" s="13">
        <f t="shared" ref="N4:N10" si="5">IF(H4="","",IF(H4&gt;5,6,IF(H4&lt;3,0,IF(H4&lt;=5,3))))</f>
        <v>3</v>
      </c>
      <c r="O4" s="14">
        <f t="shared" ref="O4:O9" si="6">IF(I4="","",IF(I4&gt;35,6,IF(I4&lt;1,0,IF(I4&lt;=35,3,IF(I4&lt;1,0)))))</f>
        <v>3</v>
      </c>
      <c r="P4">
        <f t="shared" ref="P4:P9" si="7">IF(J4="","",IF(J4&gt;60,0,IF(J4&lt;40,6,IF(J4&lt;=60,3))))</f>
        <v>6</v>
      </c>
      <c r="Q4" s="100">
        <f t="shared" ref="Q4:Q10" si="8">SUM(L4:P4)</f>
        <v>24</v>
      </c>
      <c r="R4" s="15" t="str">
        <f t="shared" ref="R4:R10" si="9">IF(Q4&gt;=24, "Non-Impaired", IF(Q4&lt;=6, "Severally Impaired", IF(Q4&gt;=9, "Moderately Impaired","")))</f>
        <v>Non-Impaired</v>
      </c>
      <c r="S4" s="15">
        <f>COUNTIFS(DATA_WITH_GENUS_OLD!A:A,A4,DATA_WITH_GENUS_OLD!J:J, "&gt;0")</f>
        <v>12</v>
      </c>
      <c r="T4" s="20">
        <f>ROUND((((COUNTIFS(DATA_WITH_GENUS_OLD!A:A,A4,DATA_WITH_GENUS_OLD!O:O,FALSE))/G4)*100),1)</f>
        <v>25</v>
      </c>
      <c r="U4" s="23">
        <f>SUMIFS(DATA_WITH_GENUS_OLD!J:J,DATA_WITH_GENUS_OLD!A:A,A4,DATA_WITH_GENUS_OLD!P:P,TRUE)</f>
        <v>24</v>
      </c>
      <c r="V4">
        <f>SUMIFS(DATA_WITH_GENUS_OLD!U:U,DATA_WITH_GENUS_OLD!A:A,A4)/100</f>
        <v>3.94</v>
      </c>
      <c r="W4" s="18">
        <f>COUNTIFS(DATA_WITH_GENUS_OLD!A:A,A4,DATA_WITH_GENUS_OLD!R:R,TRUE)</f>
        <v>3</v>
      </c>
      <c r="X4" s="18">
        <f>COUNTIFS(DATA_WITH_GENUS_OLD!A:A,A4,DATA_WITH_GENUS_OLD!S:S,2)</f>
        <v>0</v>
      </c>
      <c r="Y4">
        <f>COUNTIFS(DATA_WITH_GENUS_OLD!A:A,A4,DATA_WITH_GENUS_OLD!S:S,3)</f>
        <v>1</v>
      </c>
      <c r="Z4">
        <f t="shared" ref="Z4:Z10" si="10">S4+26.53-(22.776+4.173*(LOG10(96.28840345)))</f>
        <v>7.4765457574032936</v>
      </c>
      <c r="AA4">
        <f t="shared" si="0"/>
        <v>39.643321003554902</v>
      </c>
      <c r="AB4">
        <f t="shared" ref="AB4:AB10" si="11">V4 + 4.23-(3.407+0.981*(LOG10(96.28840345)))</f>
        <v>2.8171139199646849</v>
      </c>
      <c r="AC4">
        <f t="shared" ref="AC4:AC10" si="12">V4 + 5.44-(3.889+0.981*(LOG10(96.28840345)))</f>
        <v>3.5451139199646855</v>
      </c>
      <c r="AD4" s="98">
        <f t="shared" si="1"/>
        <v>40.745254589331353</v>
      </c>
      <c r="AE4" t="str">
        <f t="shared" ref="AE4:AE10" si="13">IF(AD4&gt;=63, "Excellent", IF(AD4&lt;21, "Poor", IF(AD4&lt;42, "Fair","Good")))</f>
        <v>Fair</v>
      </c>
    </row>
    <row r="5" spans="1:40">
      <c r="A5" t="str">
        <f t="shared" si="2"/>
        <v>SB2_2015-03-15</v>
      </c>
      <c r="B5" t="s">
        <v>57</v>
      </c>
      <c r="C5" s="3">
        <v>42078</v>
      </c>
      <c r="D5">
        <f>SUMIF(DATA_WITH_GENUS_OLD!A:A,A5,DATA_WITH_GENUS_OLD!F:F)</f>
        <v>110</v>
      </c>
      <c r="E5">
        <f>SUMIF(DATA_WITH_GENUS_OLD!A:A,A5,DATA_WITH_GENUS_OLD!J:J)</f>
        <v>100</v>
      </c>
      <c r="F5" s="98">
        <f>SUMIFS(DATA_WITH_GENUS_OLD!T:T,DATA_WITH_GENUS_OLD!A:A,A5)/100</f>
        <v>5.17</v>
      </c>
      <c r="G5" cm="1">
        <f t="array" ref="G5">COUNTA(_xlfn.UNIQUE(_xlfn._xlws.FILTER(DATA_WITH_GENUS_OLD!A:A&amp;DATA_WITH_GENUS_OLD!D:D&amp;DATA_WITH_GENUS_OLD!J:J,(DATA_WITH_GENUS_OLD!A:A = A5)*(DATA_WITH_GENUS_OLD!J:J&gt;0))))</f>
        <v>13</v>
      </c>
      <c r="H5">
        <f>COUNTIFS(DATA_WITH_GENUS_OLD!A:A,A5,DATA_WITH_GENUS_OLD!K:K,"~*")</f>
        <v>2</v>
      </c>
      <c r="I5">
        <f>COUNTIFS(DATA_WITH_GENUS_OLD!A:A,A5,DATA_WITH_GENUS_OLD!K:K,"~*")</f>
        <v>2</v>
      </c>
      <c r="J5">
        <f>_xlfn.MAXIFS(DATA_WITH_GENUS_OLD!J:J,DATA_WITH_GENUS_OLD!A:A,A5)</f>
        <v>41</v>
      </c>
      <c r="K5" s="18" t="str" cm="1">
        <f t="array" ref="K5">_xlfn._xlws.FILTER(DATA_WITH_GENUS_OLD!E:E,(DATA_WITH_GENUS_OLD!A:A=A5)*(DATA_WITH_GENUS_OLD!J:J=J5)*ROW(DATA_WITH_GENUS_OLD!E:E),0)</f>
        <v>Chironomidae</v>
      </c>
      <c r="L5" s="11">
        <f t="shared" si="3"/>
        <v>3</v>
      </c>
      <c r="M5">
        <f t="shared" si="4"/>
        <v>6</v>
      </c>
      <c r="N5" s="13">
        <f t="shared" si="5"/>
        <v>0</v>
      </c>
      <c r="O5" s="14">
        <f t="shared" si="6"/>
        <v>3</v>
      </c>
      <c r="P5">
        <f t="shared" si="7"/>
        <v>3</v>
      </c>
      <c r="Q5" s="100">
        <f t="shared" si="8"/>
        <v>15</v>
      </c>
      <c r="R5" s="15" t="str">
        <f t="shared" si="9"/>
        <v>Moderately Impaired</v>
      </c>
      <c r="S5" s="15">
        <f>COUNTIFS(DATA_WITH_GENUS_OLD!A:A,A5,DATA_WITH_GENUS_OLD!J:J, "&gt;0")</f>
        <v>13</v>
      </c>
      <c r="T5" s="20">
        <f>ROUND((((COUNTIFS(DATA_WITH_GENUS_OLD!A:A,A5,DATA_WITH_GENUS_OLD!O:O,FALSE))/G5)*100),1)</f>
        <v>53.8</v>
      </c>
      <c r="U5" s="23">
        <f>SUMIFS(DATA_WITH_GENUS_OLD!J:J,DATA_WITH_GENUS_OLD!A:A,A5,DATA_WITH_GENUS_OLD!P:P,TRUE)</f>
        <v>4</v>
      </c>
      <c r="V5">
        <f>SUMIFS(DATA_WITH_GENUS_OLD!U:U,DATA_WITH_GENUS_OLD!A:A,A5)/100</f>
        <v>5.17</v>
      </c>
      <c r="W5" s="18">
        <f>COUNTIFS(DATA_WITH_GENUS_OLD!A:A,A5,DATA_WITH_GENUS_OLD!R:R,TRUE)</f>
        <v>3</v>
      </c>
      <c r="X5" s="18">
        <f>COUNTIFS(DATA_WITH_GENUS_OLD!A:A,A5,DATA_WITH_GENUS_OLD!S:S,2)</f>
        <v>1</v>
      </c>
      <c r="Y5">
        <f>COUNTIFS(DATA_WITH_GENUS_OLD!A:A,A5,DATA_WITH_GENUS_OLD!S:S,3)</f>
        <v>0</v>
      </c>
      <c r="Z5">
        <f t="shared" si="10"/>
        <v>8.4765457574032936</v>
      </c>
      <c r="AA5">
        <f t="shared" si="0"/>
        <v>19.643321003554899</v>
      </c>
      <c r="AB5">
        <f t="shared" si="11"/>
        <v>4.0471139199646853</v>
      </c>
      <c r="AC5">
        <f t="shared" si="12"/>
        <v>4.7751139199646842</v>
      </c>
      <c r="AD5" s="98">
        <f t="shared" si="1"/>
        <v>27.362304673422109</v>
      </c>
      <c r="AE5" t="str">
        <f t="shared" si="13"/>
        <v>Fair</v>
      </c>
      <c r="AH5" s="2"/>
      <c r="AI5" s="45"/>
    </row>
    <row r="6" spans="1:40">
      <c r="A6" t="str">
        <f t="shared" si="2"/>
        <v>SB2_2015-07-28</v>
      </c>
      <c r="B6" t="s">
        <v>57</v>
      </c>
      <c r="C6" s="3">
        <v>42213</v>
      </c>
      <c r="D6">
        <f>SUMIF(DATA_WITH_GENUS_OLD!A:A,A6,DATA_WITH_GENUS_OLD!F:F)</f>
        <v>103</v>
      </c>
      <c r="E6">
        <f>SUMIF(DATA_WITH_GENUS_OLD!A:A,A6,DATA_WITH_GENUS_OLD!J:J)</f>
        <v>100</v>
      </c>
      <c r="F6" s="98">
        <f>SUMIFS(DATA_WITH_GENUS_OLD!T:T,DATA_WITH_GENUS_OLD!A:A,A6)/100</f>
        <v>4.6500000000000004</v>
      </c>
      <c r="G6" cm="1">
        <f t="array" ref="G6">COUNTA(_xlfn.UNIQUE(_xlfn._xlws.FILTER(DATA_WITH_GENUS_OLD!A:A&amp;DATA_WITH_GENUS_OLD!D:D&amp;DATA_WITH_GENUS_OLD!J:J,(DATA_WITH_GENUS_OLD!A:A = A6)*(DATA_WITH_GENUS_OLD!J:J&gt;0))))</f>
        <v>14</v>
      </c>
      <c r="H6">
        <f>COUNTIFS(DATA_WITH_GENUS_OLD!A:A,A6,DATA_WITH_GENUS_OLD!K:K,"~*")</f>
        <v>3</v>
      </c>
      <c r="I6">
        <f>COUNTIFS(DATA_WITH_GENUS_OLD!A:A,A6,DATA_WITH_GENUS_OLD!K:K,"~*")</f>
        <v>3</v>
      </c>
      <c r="J6">
        <f>_xlfn.MAXIFS(DATA_WITH_GENUS_OLD!J:J,DATA_WITH_GENUS_OLD!A:A,A6)</f>
        <v>60</v>
      </c>
      <c r="K6" s="18" t="str" cm="1">
        <f t="array" ref="K6">_xlfn._xlws.FILTER(DATA_WITH_GENUS_OLD!E:E,(DATA_WITH_GENUS_OLD!A:A=A6)*(DATA_WITH_GENUS_OLD!J:J=J6)*ROW(DATA_WITH_GENUS_OLD!E:E),0)</f>
        <v>Psephenidae</v>
      </c>
      <c r="L6" s="11">
        <f t="shared" si="3"/>
        <v>6</v>
      </c>
      <c r="M6">
        <f t="shared" si="4"/>
        <v>6</v>
      </c>
      <c r="N6" s="13">
        <f t="shared" si="5"/>
        <v>3</v>
      </c>
      <c r="O6" s="14">
        <f t="shared" si="6"/>
        <v>3</v>
      </c>
      <c r="P6">
        <f t="shared" si="7"/>
        <v>3</v>
      </c>
      <c r="Q6" s="100">
        <f t="shared" si="8"/>
        <v>21</v>
      </c>
      <c r="R6" s="15" t="str">
        <f t="shared" si="9"/>
        <v>Moderately Impaired</v>
      </c>
      <c r="S6" s="15">
        <f>COUNTIFS(DATA_WITH_GENUS_OLD!A:A,A6,DATA_WITH_GENUS_OLD!J:J, "&gt;0")</f>
        <v>14</v>
      </c>
      <c r="T6" s="20">
        <f>ROUND((((COUNTIFS(DATA_WITH_GENUS_OLD!A:A,A6,DATA_WITH_GENUS_OLD!O:O,FALSE))/G6)*100),1)</f>
        <v>57.1</v>
      </c>
      <c r="U6" s="23">
        <f>SUMIFS(DATA_WITH_GENUS_OLD!J:J,DATA_WITH_GENUS_OLD!A:A,A6,DATA_WITH_GENUS_OLD!P:P,TRUE)</f>
        <v>11</v>
      </c>
      <c r="V6">
        <f>SUMIFS(DATA_WITH_GENUS_OLD!U:U,DATA_WITH_GENUS_OLD!A:A,A6)/100</f>
        <v>4.6500000000000004</v>
      </c>
      <c r="W6" s="18">
        <f>COUNTIFS(DATA_WITH_GENUS_OLD!A:A,A6,DATA_WITH_GENUS_OLD!R:R,TRUE)</f>
        <v>6</v>
      </c>
      <c r="X6" s="18">
        <f>COUNTIFS(DATA_WITH_GENUS_OLD!A:A,A6,DATA_WITH_GENUS_OLD!S:S,2)</f>
        <v>0</v>
      </c>
      <c r="Y6">
        <f>COUNTIFS(DATA_WITH_GENUS_OLD!A:A,A6,DATA_WITH_GENUS_OLD!S:S,3)</f>
        <v>0</v>
      </c>
      <c r="Z6">
        <f t="shared" si="10"/>
        <v>9.4765457574032936</v>
      </c>
      <c r="AA6">
        <f t="shared" si="0"/>
        <v>26.643321003554899</v>
      </c>
      <c r="AB6">
        <f t="shared" si="11"/>
        <v>3.5271139199646857</v>
      </c>
      <c r="AC6">
        <f t="shared" si="12"/>
        <v>4.2551139199646846</v>
      </c>
      <c r="AD6" s="98">
        <f t="shared" si="1"/>
        <v>27.569134542944827</v>
      </c>
      <c r="AE6" t="str">
        <f t="shared" si="13"/>
        <v>Fair</v>
      </c>
    </row>
    <row r="7" spans="1:40">
      <c r="A7" t="str">
        <f>B7&amp;"_"&amp;TEXT(C7,"yyyy-mm-dd")</f>
        <v>SB2_2015-10-10</v>
      </c>
      <c r="B7" t="s">
        <v>57</v>
      </c>
      <c r="C7" s="3">
        <v>42287</v>
      </c>
      <c r="D7">
        <f>SUMIF(DATA_WITH_GENUS_OLD!A:A,A7,DATA_WITH_GENUS_OLD!F:F)</f>
        <v>107</v>
      </c>
      <c r="E7">
        <f>SUMIF(DATA_WITH_GENUS_OLD!A:A,A7,DATA_WITH_GENUS_OLD!J:J)</f>
        <v>100</v>
      </c>
      <c r="F7" s="98">
        <f>SUMIFS(DATA_WITH_GENUS_OLD!T:T,DATA_WITH_GENUS_OLD!A:A,A7)/100</f>
        <v>4.99</v>
      </c>
      <c r="G7" cm="1">
        <f t="array" ref="G7">COUNTA(_xlfn.UNIQUE(_xlfn._xlws.FILTER(DATA_WITH_GENUS_OLD!A:A&amp;DATA_WITH_GENUS_OLD!D:D&amp;DATA_WITH_GENUS_OLD!J:J,(DATA_WITH_GENUS_OLD!A:A = A7)*(DATA_WITH_GENUS_OLD!J:J&gt;0))))</f>
        <v>11</v>
      </c>
      <c r="H7">
        <f>COUNTIFS(DATA_WITH_GENUS_OLD!A:A,A7,DATA_WITH_GENUS_OLD!K:K,"~*")</f>
        <v>3</v>
      </c>
      <c r="I7">
        <f>COUNTIFS(DATA_WITH_GENUS_OLD!A:A,A7,DATA_WITH_GENUS_OLD!K:K,"~*")</f>
        <v>3</v>
      </c>
      <c r="J7">
        <f>_xlfn.MAXIFS(DATA_WITH_GENUS_OLD!J:J,DATA_WITH_GENUS_OLD!A:A,A7)</f>
        <v>57</v>
      </c>
      <c r="K7" s="18" t="str" cm="1">
        <f t="array" ref="K7">_xlfn._xlws.FILTER(DATA_WITH_GENUS_OLD!E:E,(DATA_WITH_GENUS_OLD!A:A=A7)*(DATA_WITH_GENUS_OLD!J:J=J7)*ROW(DATA_WITH_GENUS_OLD!E:E),0)</f>
        <v>Psephenidae</v>
      </c>
      <c r="L7" s="11">
        <f t="shared" si="3"/>
        <v>6</v>
      </c>
      <c r="M7">
        <f t="shared" si="4"/>
        <v>6</v>
      </c>
      <c r="N7" s="13">
        <f t="shared" si="5"/>
        <v>3</v>
      </c>
      <c r="O7" s="14">
        <f t="shared" si="6"/>
        <v>3</v>
      </c>
      <c r="P7">
        <f t="shared" si="7"/>
        <v>3</v>
      </c>
      <c r="Q7" s="100">
        <f t="shared" si="8"/>
        <v>21</v>
      </c>
      <c r="R7" s="15" t="str">
        <f t="shared" si="9"/>
        <v>Moderately Impaired</v>
      </c>
      <c r="S7" s="15">
        <f>COUNTIFS(DATA_WITH_GENUS_OLD!A:A,A7,DATA_WITH_GENUS_OLD!J:J, "&gt;0")</f>
        <v>11</v>
      </c>
      <c r="T7" s="20">
        <f>ROUND((((COUNTIFS(DATA_WITH_GENUS_OLD!A:A,A7,DATA_WITH_GENUS_OLD!O:O,FALSE))/G7)*100),1)</f>
        <v>36.4</v>
      </c>
      <c r="U7" s="23">
        <f>SUMIFS(DATA_WITH_GENUS_OLD!J:J,DATA_WITH_GENUS_OLD!A:A,A7,DATA_WITH_GENUS_OLD!P:P,TRUE)</f>
        <v>6</v>
      </c>
      <c r="V7">
        <f>SUMIFS(DATA_WITH_GENUS_OLD!U:U,DATA_WITH_GENUS_OLD!A:A,A7)/100</f>
        <v>4.99</v>
      </c>
      <c r="W7" s="18">
        <f>COUNTIFS(DATA_WITH_GENUS_OLD!A:A,A7,DATA_WITH_GENUS_OLD!R:R,TRUE)</f>
        <v>3</v>
      </c>
      <c r="X7" s="18">
        <f>COUNTIFS(DATA_WITH_GENUS_OLD!A:A,A7,DATA_WITH_GENUS_OLD!S:S,2)</f>
        <v>0</v>
      </c>
      <c r="Y7">
        <f>COUNTIFS(DATA_WITH_GENUS_OLD!A:A,A7,DATA_WITH_GENUS_OLD!S:S,3)</f>
        <v>1</v>
      </c>
      <c r="Z7">
        <f t="shared" si="10"/>
        <v>6.4765457574032936</v>
      </c>
      <c r="AA7">
        <f t="shared" si="0"/>
        <v>21.643321003554899</v>
      </c>
      <c r="AB7">
        <f t="shared" si="11"/>
        <v>3.8671139199646856</v>
      </c>
      <c r="AC7">
        <f t="shared" si="12"/>
        <v>4.5951139199646844</v>
      </c>
      <c r="AD7" s="98">
        <f t="shared" si="1"/>
        <v>31.699444859089649</v>
      </c>
      <c r="AE7" t="str">
        <f t="shared" si="13"/>
        <v>Fair</v>
      </c>
    </row>
    <row r="8" spans="1:40">
      <c r="A8" t="str">
        <f t="shared" si="2"/>
        <v>SB2_2016-07-10</v>
      </c>
      <c r="B8" t="s">
        <v>57</v>
      </c>
      <c r="C8" s="67">
        <v>42561</v>
      </c>
      <c r="D8">
        <f>SUMIF(DATA_WITH_GENUS_OLD!A:A,A8,DATA_WITH_GENUS_OLD!F:F)</f>
        <v>101</v>
      </c>
      <c r="E8">
        <f>SUMIF(DATA_WITH_GENUS_OLD!A:A,A8,DATA_WITH_GENUS_OLD!J:J)</f>
        <v>100</v>
      </c>
      <c r="F8" s="98">
        <f>SUMIFS(DATA_WITH_GENUS_OLD!T:T,DATA_WITH_GENUS_OLD!A:A,A8)/100</f>
        <v>4.38</v>
      </c>
      <c r="G8" cm="1">
        <f t="array" ref="G8">COUNTA(_xlfn.UNIQUE(_xlfn._xlws.FILTER(DATA_WITH_GENUS_OLD!A:A&amp;DATA_WITH_GENUS_OLD!D:D&amp;DATA_WITH_GENUS_OLD!J:J,(DATA_WITH_GENUS_OLD!A:A = A8)*(DATA_WITH_GENUS_OLD!J:J&gt;0))))</f>
        <v>19</v>
      </c>
      <c r="H8">
        <f>COUNTIFS(DATA_WITH_GENUS_OLD!A:A,A8,DATA_WITH_GENUS_OLD!K:K,"~*")</f>
        <v>2</v>
      </c>
      <c r="I8">
        <f>COUNTIFS(DATA_WITH_GENUS_OLD!A:A,A8,DATA_WITH_GENUS_OLD!K:K,"~*")</f>
        <v>2</v>
      </c>
      <c r="J8">
        <f>_xlfn.MAXIFS(DATA_WITH_GENUS_OLD!J:J,DATA_WITH_GENUS_OLD!A:A,A8)</f>
        <v>27</v>
      </c>
      <c r="K8" s="18" t="str" cm="1">
        <f t="array" ref="K8">_xlfn._xlws.FILTER(DATA_WITH_GENUS_OLD!E:E,(DATA_WITH_GENUS_OLD!A:A=A8)*(DATA_WITH_GENUS_OLD!J:J=J8)*ROW(DATA_WITH_GENUS_OLD!E:E),0)</f>
        <v>Psephenidae</v>
      </c>
      <c r="L8" s="11">
        <f t="shared" si="3"/>
        <v>6</v>
      </c>
      <c r="M8">
        <f t="shared" si="4"/>
        <v>6</v>
      </c>
      <c r="N8" s="13">
        <f t="shared" si="5"/>
        <v>0</v>
      </c>
      <c r="O8" s="14">
        <f t="shared" si="6"/>
        <v>3</v>
      </c>
      <c r="P8">
        <f t="shared" si="7"/>
        <v>6</v>
      </c>
      <c r="Q8" s="100">
        <f t="shared" si="8"/>
        <v>21</v>
      </c>
      <c r="R8" s="15" t="str">
        <f t="shared" si="9"/>
        <v>Moderately Impaired</v>
      </c>
      <c r="S8" s="15">
        <f>COUNTIFS(DATA_WITH_GENUS_OLD!A:A,A8,DATA_WITH_GENUS_OLD!J:J, "&gt;0")</f>
        <v>19</v>
      </c>
      <c r="T8" s="20">
        <f>ROUND((((COUNTIFS(DATA_WITH_GENUS_OLD!A:A,A8,DATA_WITH_GENUS_OLD!O:O,FALSE))/G8)*100),1)</f>
        <v>47.4</v>
      </c>
      <c r="U8" s="23">
        <f>SUMIFS(DATA_WITH_GENUS_OLD!J:J,DATA_WITH_GENUS_OLD!A:A,A8,DATA_WITH_GENUS_OLD!P:P,TRUE)</f>
        <v>18</v>
      </c>
      <c r="V8">
        <f>SUMIFS(DATA_WITH_GENUS_OLD!U:U,DATA_WITH_GENUS_OLD!A:A,A8)/100</f>
        <v>4.3600000000000003</v>
      </c>
      <c r="W8" s="18">
        <f>COUNTIFS(DATA_WITH_GENUS_OLD!A:A,A8,DATA_WITH_GENUS_OLD!R:R,TRUE)</f>
        <v>5</v>
      </c>
      <c r="X8" s="18">
        <f>COUNTIFS(DATA_WITH_GENUS_OLD!A:A,A8,DATA_WITH_GENUS_OLD!S:S,2)</f>
        <v>0</v>
      </c>
      <c r="Y8">
        <f>COUNTIFS(DATA_WITH_GENUS_OLD!A:A,A8,DATA_WITH_GENUS_OLD!S:S,3)</f>
        <v>1</v>
      </c>
      <c r="Z8">
        <f t="shared" si="10"/>
        <v>14.476545757403294</v>
      </c>
      <c r="AA8">
        <f t="shared" si="0"/>
        <v>33.643321003554902</v>
      </c>
      <c r="AB8">
        <f t="shared" si="11"/>
        <v>3.2371139199646848</v>
      </c>
      <c r="AC8">
        <f t="shared" si="12"/>
        <v>3.9651139199646854</v>
      </c>
      <c r="AD8" s="98">
        <f t="shared" si="1"/>
        <v>36.151749917285308</v>
      </c>
      <c r="AE8" t="str">
        <f t="shared" si="13"/>
        <v>Fair</v>
      </c>
    </row>
    <row r="9" spans="1:40">
      <c r="A9" t="str">
        <f t="shared" si="2"/>
        <v>SB2_2016-10-15</v>
      </c>
      <c r="B9" t="s">
        <v>57</v>
      </c>
      <c r="C9" s="3">
        <v>42658</v>
      </c>
      <c r="D9">
        <f>SUMIF(DATA_WITH_GENUS_OLD!A:A,A9,DATA_WITH_GENUS_OLD!F:F)</f>
        <v>147</v>
      </c>
      <c r="E9">
        <f>SUMIF(DATA_WITH_GENUS_OLD!A:A,A9,DATA_WITH_GENUS_OLD!J:J)</f>
        <v>100</v>
      </c>
      <c r="F9" s="98">
        <f>SUMIFS(DATA_WITH_GENUS_OLD!T:T,DATA_WITH_GENUS_OLD!A:A,A9)/100</f>
        <v>5.74</v>
      </c>
      <c r="G9" cm="1">
        <f t="array" ref="G9">COUNTA(_xlfn.UNIQUE(_xlfn._xlws.FILTER(DATA_WITH_GENUS_OLD!A:A&amp;DATA_WITH_GENUS_OLD!D:D&amp;DATA_WITH_GENUS_OLD!J:J,(DATA_WITH_GENUS_OLD!A:A = A9)*(DATA_WITH_GENUS_OLD!J:J&gt;0))))</f>
        <v>11</v>
      </c>
      <c r="H9">
        <f>COUNTIFS(DATA_WITH_GENUS_OLD!A:A,A9,DATA_WITH_GENUS_OLD!K:K,"~*")</f>
        <v>2</v>
      </c>
      <c r="I9">
        <f>COUNTIFS(DATA_WITH_GENUS_OLD!A:A,A9,DATA_WITH_GENUS_OLD!K:K,"~*")</f>
        <v>2</v>
      </c>
      <c r="J9">
        <f>_xlfn.MAXIFS(DATA_WITH_GENUS_OLD!J:J,DATA_WITH_GENUS_OLD!A:A,A9)</f>
        <v>49</v>
      </c>
      <c r="K9" s="18" t="str" cm="1">
        <f t="array" ref="K9">_xlfn._xlws.FILTER(DATA_WITH_GENUS_OLD!E:E,(DATA_WITH_GENUS_OLD!A:A=A9)*(DATA_WITH_GENUS_OLD!J:J=J9)*ROW(DATA_WITH_GENUS_OLD!E:E),0)</f>
        <v>Psephenidae</v>
      </c>
      <c r="L9" s="11">
        <f t="shared" si="3"/>
        <v>3</v>
      </c>
      <c r="M9">
        <f t="shared" si="4"/>
        <v>6</v>
      </c>
      <c r="N9" s="13">
        <f t="shared" si="5"/>
        <v>0</v>
      </c>
      <c r="O9" s="14">
        <f t="shared" si="6"/>
        <v>3</v>
      </c>
      <c r="P9">
        <f t="shared" si="7"/>
        <v>3</v>
      </c>
      <c r="Q9" s="100">
        <f t="shared" si="8"/>
        <v>15</v>
      </c>
      <c r="R9" s="15" t="str">
        <f>IF(Q9&gt;=24, "Non-Impaired", IF(Q9&lt;=6, "Severally Impaired", IF(Q9&gt;=9, "Moderately Impaired","")))</f>
        <v>Moderately Impaired</v>
      </c>
      <c r="S9" s="15">
        <f>COUNTIFS(DATA_WITH_GENUS_OLD!A:A,A9,DATA_WITH_GENUS_OLD!J:J, "&gt;0")</f>
        <v>11</v>
      </c>
      <c r="T9" s="20">
        <f>ROUND((((COUNTIFS(DATA_WITH_GENUS_OLD!A:A,A9,DATA_WITH_GENUS_OLD!O:O,FALSE))/G9)*100),1)</f>
        <v>45.5</v>
      </c>
      <c r="U9" s="23">
        <f>SUMIFS(DATA_WITH_GENUS_OLD!J:J,DATA_WITH_GENUS_OLD!A:A,A9,DATA_WITH_GENUS_OLD!P:P,TRUE)</f>
        <v>3</v>
      </c>
      <c r="V9">
        <f>SUMIFS(DATA_WITH_GENUS_OLD!U:U,DATA_WITH_GENUS_OLD!A:A,A9)/100</f>
        <v>5.74</v>
      </c>
      <c r="W9" s="18">
        <f>COUNTIFS(DATA_WITH_GENUS_OLD!A:A,A9,DATA_WITH_GENUS_OLD!R:R,TRUE)</f>
        <v>5</v>
      </c>
      <c r="X9" s="18">
        <f>COUNTIFS(DATA_WITH_GENUS_OLD!A:A,A9,DATA_WITH_GENUS_OLD!S:S,2)</f>
        <v>0</v>
      </c>
      <c r="Y9">
        <f>COUNTIFS(DATA_WITH_GENUS_OLD!A:A,A9,DATA_WITH_GENUS_OLD!S:S,3)</f>
        <v>0</v>
      </c>
      <c r="Z9">
        <f t="shared" si="10"/>
        <v>6.4765457574032936</v>
      </c>
      <c r="AA9">
        <f t="shared" si="0"/>
        <v>18.643321003554899</v>
      </c>
      <c r="AB9">
        <f t="shared" si="11"/>
        <v>4.6171139199646856</v>
      </c>
      <c r="AC9">
        <f t="shared" si="12"/>
        <v>5.3451139199646844</v>
      </c>
      <c r="AD9" s="98">
        <f t="shared" si="1"/>
        <v>25.573809624758756</v>
      </c>
      <c r="AE9" t="str">
        <f t="shared" si="13"/>
        <v>Fair</v>
      </c>
    </row>
    <row r="10" spans="1:40">
      <c r="A10" t="str">
        <f t="shared" si="2"/>
        <v>SB2_2017-04-09</v>
      </c>
      <c r="B10" t="s">
        <v>57</v>
      </c>
      <c r="C10" s="3">
        <v>42834</v>
      </c>
      <c r="D10">
        <f>SUMIF(DATA_WITH_GENUS_OLD!A:A,A10,DATA_WITH_GENUS_OLD!F:F)</f>
        <v>101</v>
      </c>
      <c r="E10">
        <f>SUMIF(DATA_WITH_GENUS_OLD!A:A,A10,DATA_WITH_GENUS_OLD!J:J)</f>
        <v>100</v>
      </c>
      <c r="F10" s="98">
        <f>SUMIFS(DATA_WITH_GENUS_OLD!T:T,DATA_WITH_GENUS_OLD!A:A,A10)/100</f>
        <v>5.48</v>
      </c>
      <c r="G10" cm="1">
        <f t="array" ref="G10">COUNTA(_xlfn.UNIQUE(_xlfn._xlws.FILTER(DATA_WITH_GENUS_OLD!A:A&amp;DATA_WITH_GENUS_OLD!D:D&amp;DATA_WITH_GENUS_OLD!J:J,(DATA_WITH_GENUS_OLD!A:A = A10)*(DATA_WITH_GENUS_OLD!J:J&gt;0))))</f>
        <v>14</v>
      </c>
      <c r="H10">
        <f>COUNTIFS(DATA_WITH_GENUS_OLD!A:A,A10,DATA_WITH_GENUS_OLD!K:K,"~*")</f>
        <v>3</v>
      </c>
      <c r="I10">
        <f>COUNTIFS(DATA_WITH_GENUS_OLD!A:A,A10,DATA_WITH_GENUS_OLD!K:K,"~*")</f>
        <v>3</v>
      </c>
      <c r="J10">
        <f>_xlfn.MAXIFS(DATA_WITH_GENUS_OLD!J:J,DATA_WITH_GENUS_OLD!A:A,A10)</f>
        <v>23</v>
      </c>
      <c r="K10" s="18" t="str" cm="1">
        <f t="array" ref="K10">_xlfn._xlws.FILTER(DATA_WITH_GENUS_OLD!E:E,(DATA_WITH_GENUS_OLD!A:A=A10)*(DATA_WITH_GENUS_OLD!J:J=J10)*ROW(DATA_WITH_GENUS_OLD!E:E),0)</f>
        <v>Empididae</v>
      </c>
      <c r="L10" s="11">
        <f t="shared" si="3"/>
        <v>3</v>
      </c>
      <c r="M10">
        <f t="shared" si="4"/>
        <v>6</v>
      </c>
      <c r="N10" s="13">
        <f t="shared" si="5"/>
        <v>3</v>
      </c>
      <c r="O10" s="14">
        <f>IF(I10="","",IF(I10&gt;35,6,IF(I10&lt;1,0,IF(I10&lt;=35,3,IF(I10&lt;1,0)))))</f>
        <v>3</v>
      </c>
      <c r="P10">
        <f>IF(J10="","",IF(J10&gt;60,0,IF(J10&lt;40,6,IF(J10&lt;=60,3))))</f>
        <v>6</v>
      </c>
      <c r="Q10" s="100">
        <f t="shared" si="8"/>
        <v>21</v>
      </c>
      <c r="R10" s="15" t="str">
        <f t="shared" si="9"/>
        <v>Moderately Impaired</v>
      </c>
      <c r="S10" s="15">
        <f>COUNTIFS(DATA_WITH_GENUS_OLD!A:A,A10,DATA_WITH_GENUS_OLD!J:J, "&gt;0")</f>
        <v>14</v>
      </c>
      <c r="T10" s="20">
        <f>ROUND((((COUNTIFS(DATA_WITH_GENUS_OLD!A:A,A10,DATA_WITH_GENUS_OLD!O:O,FALSE))/G10)*100),1)</f>
        <v>42.9</v>
      </c>
      <c r="U10" s="23">
        <f>SUMIFS(DATA_WITH_GENUS_OLD!J:J,DATA_WITH_GENUS_OLD!A:A,A10,DATA_WITH_GENUS_OLD!P:P,TRUE)</f>
        <v>17</v>
      </c>
      <c r="V10">
        <f>SUMIFS(DATA_WITH_GENUS_OLD!U:U,DATA_WITH_GENUS_OLD!A:A,A10)/100</f>
        <v>5.4</v>
      </c>
      <c r="W10" s="18">
        <f>COUNTIFS(DATA_WITH_GENUS_OLD!A:A,A10,DATA_WITH_GENUS_OLD!R:R,TRUE)</f>
        <v>4</v>
      </c>
      <c r="X10" s="18">
        <f>COUNTIFS(DATA_WITH_GENUS_OLD!A:A,A10,DATA_WITH_GENUS_OLD!S:S,2)</f>
        <v>0</v>
      </c>
      <c r="Y10">
        <f>COUNTIFS(DATA_WITH_GENUS_OLD!A:A,A10,DATA_WITH_GENUS_OLD!S:S,3)</f>
        <v>0</v>
      </c>
      <c r="Z10">
        <f t="shared" si="10"/>
        <v>9.4765457574032936</v>
      </c>
      <c r="AA10">
        <f t="shared" si="0"/>
        <v>32.643321003554902</v>
      </c>
      <c r="AB10">
        <f t="shared" si="11"/>
        <v>4.2771139199646857</v>
      </c>
      <c r="AC10">
        <f t="shared" si="12"/>
        <v>5.0051139199646846</v>
      </c>
      <c r="AD10" s="98">
        <f t="shared" si="1"/>
        <v>31.144515683543357</v>
      </c>
      <c r="AE10" t="str">
        <f t="shared" si="13"/>
        <v>Fair</v>
      </c>
    </row>
  </sheetData>
  <phoneticPr fontId="2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29AE2-81A6-4B8E-B34C-1E8B8D88DDF0}">
  <sheetPr>
    <tabColor rgb="FFFF0000"/>
  </sheetPr>
  <dimension ref="A1:AN9"/>
  <sheetViews>
    <sheetView workbookViewId="0">
      <selection activeCell="B2" sqref="B2:C9"/>
    </sheetView>
  </sheetViews>
  <sheetFormatPr baseColWidth="10" defaultColWidth="8.83203125" defaultRowHeight="15"/>
  <cols>
    <col min="1" max="1" width="16.6640625" customWidth="1"/>
    <col min="3" max="5" width="13.33203125" customWidth="1"/>
    <col min="6" max="6" width="8.83203125" style="98"/>
    <col min="7" max="7" width="12" customWidth="1"/>
    <col min="8" max="8" width="10.5" customWidth="1"/>
    <col min="9" max="9" width="11" customWidth="1"/>
    <col min="10" max="10" width="13.1640625" customWidth="1"/>
    <col min="11" max="11" width="19.5" customWidth="1"/>
    <col min="13" max="13" width="10.83203125" customWidth="1"/>
    <col min="15" max="15" width="11.83203125" customWidth="1"/>
    <col min="16" max="16" width="12.33203125" customWidth="1"/>
    <col min="17" max="17" width="8.83203125" style="98"/>
    <col min="18" max="18" width="18" customWidth="1"/>
    <col min="19" max="19" width="14.5" customWidth="1"/>
    <col min="20" max="20" width="15.5" customWidth="1"/>
    <col min="21" max="21" width="14.33203125" customWidth="1"/>
    <col min="22" max="22" width="11.1640625" customWidth="1"/>
    <col min="23" max="23" width="11.6640625" customWidth="1"/>
    <col min="24" max="24" width="11" customWidth="1"/>
    <col min="25" max="25" width="11.6640625" customWidth="1"/>
    <col min="26" max="26" width="16" customWidth="1"/>
    <col min="27" max="27" width="13.6640625" customWidth="1"/>
    <col min="28" max="28" width="11.33203125" customWidth="1"/>
    <col min="29" max="29" width="12.5" customWidth="1"/>
    <col min="30" max="30" width="13.1640625" style="98" customWidth="1"/>
    <col min="31" max="31" width="13.1640625" customWidth="1"/>
    <col min="32" max="32" width="9.5" customWidth="1"/>
    <col min="33" max="33" width="9.33203125" bestFit="1" customWidth="1"/>
    <col min="34" max="34" width="13.5" customWidth="1"/>
    <col min="35" max="35" width="9.33203125" bestFit="1" customWidth="1"/>
    <col min="36" max="36" width="11.6640625" customWidth="1"/>
    <col min="37" max="37" width="14.1640625" customWidth="1"/>
    <col min="38" max="38" width="14.33203125" customWidth="1"/>
    <col min="39" max="39" width="13.5" style="98" customWidth="1"/>
    <col min="40" max="40" width="12.83203125" customWidth="1"/>
  </cols>
  <sheetData>
    <row r="1" spans="1:40" s="58" customFormat="1" ht="64">
      <c r="A1" s="48" t="s">
        <v>0</v>
      </c>
      <c r="B1" s="49" t="s">
        <v>1</v>
      </c>
      <c r="C1" s="49" t="s">
        <v>2</v>
      </c>
      <c r="D1" s="48" t="s">
        <v>3</v>
      </c>
      <c r="E1" s="48" t="s">
        <v>4</v>
      </c>
      <c r="F1" s="96" t="s">
        <v>5</v>
      </c>
      <c r="G1" s="50" t="s">
        <v>6</v>
      </c>
      <c r="H1" s="51" t="s">
        <v>7</v>
      </c>
      <c r="I1" s="50" t="s">
        <v>8</v>
      </c>
      <c r="J1" s="52" t="s">
        <v>9</v>
      </c>
      <c r="K1" s="53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99" t="s">
        <v>16</v>
      </c>
      <c r="R1" s="17" t="s">
        <v>17</v>
      </c>
      <c r="S1" s="40" t="s">
        <v>31</v>
      </c>
      <c r="T1" s="53" t="s">
        <v>32</v>
      </c>
      <c r="U1" s="53" t="s">
        <v>33</v>
      </c>
      <c r="V1" s="52" t="s">
        <v>21</v>
      </c>
      <c r="W1" s="51" t="s">
        <v>34</v>
      </c>
      <c r="X1" s="51" t="s">
        <v>35</v>
      </c>
      <c r="Y1" s="51" t="s">
        <v>36</v>
      </c>
      <c r="Z1" s="54" t="s">
        <v>37</v>
      </c>
      <c r="AA1" s="55" t="s">
        <v>39</v>
      </c>
      <c r="AB1" s="56" t="s">
        <v>40</v>
      </c>
      <c r="AC1" s="55" t="s">
        <v>2637</v>
      </c>
      <c r="AD1" s="101" t="s">
        <v>41</v>
      </c>
      <c r="AE1" s="54" t="s">
        <v>2995</v>
      </c>
      <c r="AF1" s="51" t="s">
        <v>43</v>
      </c>
      <c r="AG1" s="51" t="s">
        <v>44</v>
      </c>
      <c r="AH1" s="53" t="s">
        <v>33</v>
      </c>
      <c r="AI1" s="53" t="s">
        <v>5</v>
      </c>
      <c r="AJ1" s="51" t="s">
        <v>45</v>
      </c>
      <c r="AK1" s="57" t="s">
        <v>46</v>
      </c>
      <c r="AL1" s="54" t="s">
        <v>47</v>
      </c>
      <c r="AM1" s="101" t="s">
        <v>48</v>
      </c>
      <c r="AN1" s="54" t="s">
        <v>2995</v>
      </c>
    </row>
    <row r="2" spans="1:40">
      <c r="A2" t="str">
        <f t="shared" ref="A2:A9" si="0">B2&amp;"_"&amp;TEXT(C2,"yyyy-mm-dd")</f>
        <v>SB3_2014-07-26</v>
      </c>
      <c r="B2" t="s">
        <v>2631</v>
      </c>
      <c r="C2" s="36">
        <v>41846</v>
      </c>
      <c r="D2">
        <f>SUMIF(DATA_WITH_GENUS_OLD!A:A,A2,DATA_WITH_GENUS_OLD!F:F)</f>
        <v>105</v>
      </c>
      <c r="E2">
        <f>SUMIF(DATA_WITH_GENUS_OLD!A:A,A2,DATA_WITH_GENUS_OLD!J:J)</f>
        <v>100</v>
      </c>
      <c r="F2" s="98">
        <f>SUMIFS(DATA_WITH_GENUS_OLD!T:T,DATA_WITH_GENUS_OLD!A:A,A2)/100</f>
        <v>3.6</v>
      </c>
      <c r="G2" cm="1">
        <f t="array" ref="G2">COUNTA(_xlfn.UNIQUE(_xlfn._xlws.FILTER(DATA_WITH_GENUS_OLD!A:A&amp;DATA_WITH_GENUS_OLD!D:D&amp;DATA_WITH_GENUS_OLD!J:J,(DATA_WITH_GENUS_OLD!A:A = A2)*(DATA_WITH_GENUS_OLD!J:J&gt;0))))</f>
        <v>12</v>
      </c>
      <c r="H2">
        <f>COUNTIFS(DATA_WITH_GENUS_OLD!A:A,A2,DATA_WITH_GENUS_OLD!K:K,"~*")</f>
        <v>5</v>
      </c>
      <c r="I2">
        <f>COUNTIFS(DATA_WITH_GENUS_OLD!A:A,A2,DATA_WITH_GENUS_OLD!K:K,"~*")</f>
        <v>5</v>
      </c>
      <c r="J2">
        <f>_xlfn.MAXIFS(DATA_WITH_GENUS_OLD!J:J,DATA_WITH_GENUS_OLD!A:A,A2)</f>
        <v>26</v>
      </c>
      <c r="K2" s="18" t="str" cm="1">
        <f t="array" ref="K2">_xlfn._xlws.FILTER(DATA_WITH_GENUS_OLD!E:E,(DATA_WITH_GENUS_OLD!A:A=A2)*(DATA_WITH_GENUS_OLD!J:J=J2)*ROW(DATA_WITH_GENUS_OLD!E:E),0)</f>
        <v>Psephenidae</v>
      </c>
      <c r="L2" s="11">
        <f>IF(F2="","",IF(F2&gt;7,0,IF(F2&lt;5,6,IF(F2&lt;=7,3))))</f>
        <v>6</v>
      </c>
      <c r="M2">
        <f>IF(G2="","",IF(G2&gt;10,6,IF(G2&lt;5,0,IF(G2&lt;=10,3))))</f>
        <v>6</v>
      </c>
      <c r="N2" s="13">
        <f>IF(H2="","",IF(H2&gt;5,6,IF(H2&lt;3,0,IF(H2&lt;=5,3))))</f>
        <v>3</v>
      </c>
      <c r="O2" s="14">
        <f>IF(I2="","",IF(I2&gt;35,6,IF(I2&lt;1,0,IF(I2&lt;=35,3,IF(I2&lt;1,0)))))</f>
        <v>3</v>
      </c>
      <c r="P2">
        <f>IF(J2="","",IF(J2&gt;60,0,IF(J2&lt;40,6,IF(J2&lt;=60,3))))</f>
        <v>6</v>
      </c>
      <c r="Q2" s="100">
        <f>SUM(L2:P2)</f>
        <v>24</v>
      </c>
      <c r="R2" s="15" t="str">
        <f>IF(Q2&gt;=24, "Non-Impaired", IF(Q2&lt;=6, "Severally Impaired", IF(Q2&gt;=9, "Moderately Impaired","")))</f>
        <v>Non-Impaired</v>
      </c>
      <c r="S2" s="15">
        <f>COUNTIFS(DATA_WITH_GENUS_OLD!A:A,A2,DATA_WITH_GENUS_OLD!J:J, "&gt;0")</f>
        <v>12</v>
      </c>
      <c r="T2" s="20">
        <f>ROUND((((COUNTIFS(DATA_WITH_GENUS_OLD!A:A,A2,DATA_WITH_GENUS_OLD!O:O,FALSE))/G2)*100),1)</f>
        <v>33.299999999999997</v>
      </c>
      <c r="U2" s="23">
        <f>SUMIFS(DATA_WITH_GENUS_OLD!J:J,DATA_WITH_GENUS_OLD!A:A,A2,DATA_WITH_GENUS_OLD!P:P,TRUE)</f>
        <v>33</v>
      </c>
      <c r="V2">
        <f>SUMIFS(DATA_WITH_GENUS_OLD!U:U,DATA_WITH_GENUS_OLD!A:A,A2)/100</f>
        <v>3.58</v>
      </c>
      <c r="W2" s="18">
        <f>COUNTIFS(DATA_WITH_GENUS_OLD!A:A,A2,DATA_WITH_GENUS_OLD!R:R,TRUE)</f>
        <v>4</v>
      </c>
      <c r="X2" s="18">
        <f>COUNTIFS(DATA_WITH_GENUS_OLD!A:A,A2,DATA_WITH_GENUS_OLD!S:S,2)</f>
        <v>0</v>
      </c>
      <c r="Y2">
        <f>COUNTIFS(DATA_WITH_GENUS_OLD!A:A,A2,DATA_WITH_GENUS_OLD!S:S,3)</f>
        <v>1</v>
      </c>
      <c r="Z2">
        <f>S2+26.53-(22.776+4.173*(LOG10(101.2199064)))</f>
        <v>7.3860252683826886</v>
      </c>
      <c r="AA2">
        <f>(U2)+37.49-(49.22-13.8*(LOG10(101.2199064)))</f>
        <v>48.942669852940085</v>
      </c>
      <c r="AB2">
        <f t="shared" ref="AB2:AB9" si="1">V2 + 4.23-(3.407+0.981*(LOG10(101.2199064)))</f>
        <v>2.4358341213236079</v>
      </c>
      <c r="AC2">
        <f t="shared" ref="AC2:AC9" si="2">V2 + 5.44-(3.889+0.981*(LOG10(101.2199064)))</f>
        <v>3.1638341213236068</v>
      </c>
      <c r="AD2" s="98">
        <f t="shared" ref="AD2:AD9" si="3">((100*Z2/31)+(100*(60-T2)/55)+(100*AA2/69)+(100*(7.2-AB2)/4.6)+(100*AC2/11)+(100*X2/8)+(100*Y2/8))/7</f>
        <v>41.1619571310152</v>
      </c>
      <c r="AE2" t="str">
        <f>IF(AD2&gt;=63, "Excellent", IF(AD2&lt;21, "Poor", IF(AD2&lt;42, "Fair","Good")))</f>
        <v>Fair</v>
      </c>
      <c r="AH2" s="47"/>
      <c r="AI2" s="45"/>
    </row>
    <row r="3" spans="1:40">
      <c r="A3" t="str">
        <f t="shared" si="0"/>
        <v>SB3_2014-11-01</v>
      </c>
      <c r="B3" t="s">
        <v>2631</v>
      </c>
      <c r="C3" s="3">
        <v>41944</v>
      </c>
      <c r="D3">
        <f>SUMIF(DATA_WITH_GENUS_OLD!A:A,A3,DATA_WITH_GENUS_OLD!F:F)</f>
        <v>137</v>
      </c>
      <c r="E3">
        <f>SUMIF(DATA_WITH_GENUS_OLD!A:A,A3,DATA_WITH_GENUS_OLD!J:J)</f>
        <v>100</v>
      </c>
      <c r="F3" s="98">
        <f>SUMIFS(DATA_WITH_GENUS_OLD!T:T,DATA_WITH_GENUS_OLD!A:A,A3)/100</f>
        <v>4.57</v>
      </c>
      <c r="G3" cm="1">
        <f t="array" ref="G3">COUNTA(_xlfn.UNIQUE(_xlfn._xlws.FILTER(DATA_WITH_GENUS_OLD!A:A&amp;DATA_WITH_GENUS_OLD!D:D&amp;DATA_WITH_GENUS_OLD!J:J,(DATA_WITH_GENUS_OLD!A:A = A3)*(DATA_WITH_GENUS_OLD!J:J&gt;0))))</f>
        <v>13</v>
      </c>
      <c r="H3">
        <f>COUNTIFS(DATA_WITH_GENUS_OLD!A:A,A3,DATA_WITH_GENUS_OLD!K:K,"~*")</f>
        <v>3</v>
      </c>
      <c r="I3">
        <f>COUNTIFS(DATA_WITH_GENUS_OLD!A:A,A3,DATA_WITH_GENUS_OLD!K:K,"~*")</f>
        <v>3</v>
      </c>
      <c r="J3">
        <f>_xlfn.MAXIFS(DATA_WITH_GENUS_OLD!J:J,DATA_WITH_GENUS_OLD!A:A,A3)</f>
        <v>56</v>
      </c>
      <c r="K3" s="18" t="str" cm="1">
        <f t="array" ref="K3">_xlfn._xlws.FILTER(DATA_WITH_GENUS_OLD!E:E,(DATA_WITH_GENUS_OLD!A:A=A3)*(DATA_WITH_GENUS_OLD!J:J=J3)*ROW(DATA_WITH_GENUS_OLD!E:E),0)</f>
        <v>Psephenidae</v>
      </c>
      <c r="L3" s="11">
        <f t="shared" ref="L3:L9" si="4">IF(F3="","",IF(F3&gt;7,0,IF(F3&lt;5,6,IF(F3&lt;=7,3))))</f>
        <v>6</v>
      </c>
      <c r="M3">
        <f t="shared" ref="M3:M9" si="5">IF(G3="","",IF(G3&gt;10,6,IF(G3&lt;5,0,IF(G3&lt;=10,3))))</f>
        <v>6</v>
      </c>
      <c r="N3" s="13">
        <f t="shared" ref="N3:N9" si="6">IF(H3="","",IF(H3&gt;5,6,IF(H3&lt;3,0,IF(H3&lt;=5,3))))</f>
        <v>3</v>
      </c>
      <c r="O3" s="14">
        <f t="shared" ref="O3:O9" si="7">IF(I3="","",IF(I3&gt;35,6,IF(I3&lt;1,0,IF(I3&lt;=35,3,IF(I3&lt;1,0)))))</f>
        <v>3</v>
      </c>
      <c r="P3">
        <f t="shared" ref="P3:P9" si="8">IF(J3="","",IF(J3&gt;60,0,IF(J3&lt;40,6,IF(J3&lt;=60,3))))</f>
        <v>3</v>
      </c>
      <c r="Q3" s="100">
        <f t="shared" ref="Q3:Q9" si="9">SUM(L3:P3)</f>
        <v>21</v>
      </c>
      <c r="R3" s="15" t="str">
        <f t="shared" ref="R3:R9" si="10">IF(Q3&gt;=24, "Non-Impaired", IF(Q3&lt;=6, "Severally Impaired", IF(Q3&gt;=9, "Moderately Impaired","")))</f>
        <v>Moderately Impaired</v>
      </c>
      <c r="S3" s="15">
        <f>COUNTIFS(DATA_WITH_GENUS_OLD!A:A,A3,DATA_WITH_GENUS_OLD!J:J, "&gt;0")</f>
        <v>13</v>
      </c>
      <c r="T3" s="20">
        <f>ROUND((((COUNTIFS(DATA_WITH_GENUS_OLD!A:A,A3,DATA_WITH_GENUS_OLD!O:O,FALSE))/G3)*100),1)</f>
        <v>53.8</v>
      </c>
      <c r="U3" s="23">
        <f>SUMIFS(DATA_WITH_GENUS_OLD!J:J,DATA_WITH_GENUS_OLD!A:A,A3,DATA_WITH_GENUS_OLD!P:P,TRUE)</f>
        <v>13</v>
      </c>
      <c r="V3">
        <f>SUMIFS(DATA_WITH_GENUS_OLD!U:U,DATA_WITH_GENUS_OLD!A:A,A3)/100</f>
        <v>4.51</v>
      </c>
      <c r="W3" s="18">
        <f>COUNTIFS(DATA_WITH_GENUS_OLD!A:A,A3,DATA_WITH_GENUS_OLD!R:R,TRUE)</f>
        <v>4</v>
      </c>
      <c r="X3" s="18">
        <f>COUNTIFS(DATA_WITH_GENUS_OLD!A:A,A3,DATA_WITH_GENUS_OLD!S:S,2)</f>
        <v>0</v>
      </c>
      <c r="Y3">
        <f>COUNTIFS(DATA_WITH_GENUS_OLD!A:A,A3,DATA_WITH_GENUS_OLD!S:S,3)</f>
        <v>1</v>
      </c>
      <c r="Z3">
        <f t="shared" ref="Z3:Z9" si="11">S3+26.53-(22.776+4.173*(LOG10(101.2199064)))</f>
        <v>8.3860252683826886</v>
      </c>
      <c r="AA3">
        <f t="shared" ref="AA3:AA9" si="12">(U3)+37.49-(49.22-13.8*(LOG10(101.2199064)))</f>
        <v>28.942669852940082</v>
      </c>
      <c r="AB3">
        <f t="shared" si="1"/>
        <v>3.3658341213236076</v>
      </c>
      <c r="AC3">
        <f t="shared" si="2"/>
        <v>4.0938341213236065</v>
      </c>
      <c r="AD3" s="98">
        <f t="shared" si="3"/>
        <v>30.476917999973267</v>
      </c>
      <c r="AE3" t="str">
        <f t="shared" ref="AE3:AE9" si="13">IF(AD3&gt;=63, "Excellent", IF(AD3&lt;21, "Poor", IF(AD3&lt;42, "Fair","Good")))</f>
        <v>Fair</v>
      </c>
      <c r="AL3" t="str">
        <f>IF(AH3="","",(AH3+35.15)-(45.59-(11.59*LOG10(16.73739082))))</f>
        <v/>
      </c>
    </row>
    <row r="4" spans="1:40">
      <c r="A4" t="str">
        <f t="shared" si="0"/>
        <v>SB3_2015-10-15</v>
      </c>
      <c r="B4" t="s">
        <v>2631</v>
      </c>
      <c r="C4" s="3">
        <v>42292</v>
      </c>
      <c r="D4">
        <f>SUMIF(DATA_WITH_GENUS_OLD!A:A,A4,DATA_WITH_GENUS_OLD!F:F)</f>
        <v>110</v>
      </c>
      <c r="E4">
        <f>SUMIF(DATA_WITH_GENUS_OLD!A:A,A4,DATA_WITH_GENUS_OLD!J:J)</f>
        <v>100</v>
      </c>
      <c r="F4" s="98">
        <f>SUMIFS(DATA_WITH_GENUS_OLD!T:T,DATA_WITH_GENUS_OLD!A:A,A4)/100</f>
        <v>4.99</v>
      </c>
      <c r="G4" cm="1">
        <f t="array" ref="G4">COUNTA(_xlfn.UNIQUE(_xlfn._xlws.FILTER(DATA_WITH_GENUS_OLD!A:A&amp;DATA_WITH_GENUS_OLD!D:D&amp;DATA_WITH_GENUS_OLD!J:J,(DATA_WITH_GENUS_OLD!A:A = A4)*(DATA_WITH_GENUS_OLD!J:J&gt;0))))</f>
        <v>13</v>
      </c>
      <c r="H4">
        <f>COUNTIFS(DATA_WITH_GENUS_OLD!A:A,A4,DATA_WITH_GENUS_OLD!K:K,"~*")</f>
        <v>4</v>
      </c>
      <c r="I4">
        <f>COUNTIFS(DATA_WITH_GENUS_OLD!A:A,A4,DATA_WITH_GENUS_OLD!K:K,"~*")</f>
        <v>4</v>
      </c>
      <c r="J4">
        <f>_xlfn.MAXIFS(DATA_WITH_GENUS_OLD!J:J,DATA_WITH_GENUS_OLD!A:A,A4)</f>
        <v>62</v>
      </c>
      <c r="K4" s="18" t="str" cm="1">
        <f t="array" ref="K4">_xlfn._xlws.FILTER(DATA_WITH_GENUS_OLD!E:E,(DATA_WITH_GENUS_OLD!A:A=A4)*(DATA_WITH_GENUS_OLD!J:J=J4)*ROW(DATA_WITH_GENUS_OLD!E:E),0)</f>
        <v>Psephenidae</v>
      </c>
      <c r="L4" s="11">
        <f t="shared" si="4"/>
        <v>6</v>
      </c>
      <c r="M4">
        <f t="shared" si="5"/>
        <v>6</v>
      </c>
      <c r="N4" s="13">
        <f t="shared" si="6"/>
        <v>3</v>
      </c>
      <c r="O4" s="14">
        <f t="shared" si="7"/>
        <v>3</v>
      </c>
      <c r="P4">
        <f t="shared" si="8"/>
        <v>0</v>
      </c>
      <c r="Q4" s="100">
        <f t="shared" si="9"/>
        <v>18</v>
      </c>
      <c r="R4" s="15" t="str">
        <f t="shared" si="10"/>
        <v>Moderately Impaired</v>
      </c>
      <c r="S4" s="15">
        <f>COUNTIFS(DATA_WITH_GENUS_OLD!A:A,A4,DATA_WITH_GENUS_OLD!J:J, "&gt;0")</f>
        <v>13</v>
      </c>
      <c r="T4" s="20">
        <f>ROUND((((COUNTIFS(DATA_WITH_GENUS_OLD!A:A,A4,DATA_WITH_GENUS_OLD!O:O,FALSE))/G4)*100),1)</f>
        <v>46.2</v>
      </c>
      <c r="U4" s="23">
        <f>SUMIFS(DATA_WITH_GENUS_OLD!J:J,DATA_WITH_GENUS_OLD!A:A,A4,DATA_WITH_GENUS_OLD!P:P,TRUE)</f>
        <v>5</v>
      </c>
      <c r="V4">
        <f>SUMIFS(DATA_WITH_GENUS_OLD!U:U,DATA_WITH_GENUS_OLD!A:A,A4)/100</f>
        <v>4.99</v>
      </c>
      <c r="W4" s="18">
        <f>COUNTIFS(DATA_WITH_GENUS_OLD!A:A,A4,DATA_WITH_GENUS_OLD!R:R,TRUE)</f>
        <v>4</v>
      </c>
      <c r="X4" s="18">
        <f>COUNTIFS(DATA_WITH_GENUS_OLD!A:A,A4,DATA_WITH_GENUS_OLD!S:S,2)</f>
        <v>0</v>
      </c>
      <c r="Y4">
        <f>COUNTIFS(DATA_WITH_GENUS_OLD!A:A,A4,DATA_WITH_GENUS_OLD!S:S,3)</f>
        <v>0</v>
      </c>
      <c r="Z4">
        <f t="shared" si="11"/>
        <v>8.3860252683826886</v>
      </c>
      <c r="AA4">
        <f t="shared" si="12"/>
        <v>20.942669852940082</v>
      </c>
      <c r="AB4">
        <f t="shared" si="1"/>
        <v>3.845834121323608</v>
      </c>
      <c r="AC4">
        <f t="shared" si="2"/>
        <v>4.5738341213236069</v>
      </c>
      <c r="AD4" s="98">
        <f t="shared" si="3"/>
        <v>28.141608382054955</v>
      </c>
      <c r="AE4" t="str">
        <f t="shared" si="13"/>
        <v>Fair</v>
      </c>
    </row>
    <row r="5" spans="1:40">
      <c r="A5" t="str">
        <f>B5&amp;"_"&amp;TEXT(C5,"yyyy-mm-dd")</f>
        <v>SB3_2016-03-25</v>
      </c>
      <c r="B5" t="s">
        <v>2631</v>
      </c>
      <c r="C5" s="3">
        <v>42454</v>
      </c>
      <c r="D5">
        <f>SUMIF(DATA_WITH_GENUS_OLD!A:A,A5,DATA_WITH_GENUS_OLD!F:F)</f>
        <v>105</v>
      </c>
      <c r="E5">
        <f>SUMIF(DATA_WITH_GENUS_OLD!A:A,A5,DATA_WITH_GENUS_OLD!J:J)</f>
        <v>100</v>
      </c>
      <c r="F5" s="98">
        <f>SUMIFS(DATA_WITH_GENUS_OLD!T:T,DATA_WITH_GENUS_OLD!A:A,A5)/100</f>
        <v>4.53</v>
      </c>
      <c r="G5" cm="1">
        <f t="array" ref="G5">COUNTA(_xlfn.UNIQUE(_xlfn._xlws.FILTER(DATA_WITH_GENUS_OLD!A:A&amp;DATA_WITH_GENUS_OLD!D:D&amp;DATA_WITH_GENUS_OLD!J:J,(DATA_WITH_GENUS_OLD!A:A = A5)*(DATA_WITH_GENUS_OLD!J:J&gt;0))))</f>
        <v>16</v>
      </c>
      <c r="H5">
        <f>COUNTIFS(DATA_WITH_GENUS_OLD!A:A,A5,DATA_WITH_GENUS_OLD!K:K,"~*")</f>
        <v>2</v>
      </c>
      <c r="I5">
        <f>COUNTIFS(DATA_WITH_GENUS_OLD!A:A,A5,DATA_WITH_GENUS_OLD!K:K,"~*")</f>
        <v>2</v>
      </c>
      <c r="J5">
        <f>_xlfn.MAXIFS(DATA_WITH_GENUS_OLD!J:J,DATA_WITH_GENUS_OLD!A:A,A5)</f>
        <v>68</v>
      </c>
      <c r="K5" s="18" t="str" cm="1">
        <f t="array" ref="K5">_xlfn._xlws.FILTER(DATA_WITH_GENUS_OLD!E:E,(DATA_WITH_GENUS_OLD!A:A=A5)*(DATA_WITH_GENUS_OLD!J:J=J5)*ROW(DATA_WITH_GENUS_OLD!E:E),0)</f>
        <v>Psephenidae</v>
      </c>
      <c r="L5" s="11">
        <f t="shared" si="4"/>
        <v>6</v>
      </c>
      <c r="M5">
        <f t="shared" si="5"/>
        <v>6</v>
      </c>
      <c r="N5" s="13">
        <f t="shared" si="6"/>
        <v>0</v>
      </c>
      <c r="O5" s="14">
        <f t="shared" si="7"/>
        <v>3</v>
      </c>
      <c r="P5">
        <f t="shared" si="8"/>
        <v>0</v>
      </c>
      <c r="Q5" s="100">
        <f t="shared" si="9"/>
        <v>15</v>
      </c>
      <c r="R5" s="15" t="str">
        <f t="shared" si="10"/>
        <v>Moderately Impaired</v>
      </c>
      <c r="S5" s="15">
        <f>COUNTIFS(DATA_WITH_GENUS_OLD!A:A,A5,DATA_WITH_GENUS_OLD!J:J, "&gt;0")</f>
        <v>16</v>
      </c>
      <c r="T5" s="20">
        <f>ROUND((((COUNTIFS(DATA_WITH_GENUS_OLD!A:A,A5,DATA_WITH_GENUS_OLD!O:O,FALSE))/G5)*100),1)</f>
        <v>37.5</v>
      </c>
      <c r="U5" s="23">
        <f>SUMIFS(DATA_WITH_GENUS_OLD!J:J,DATA_WITH_GENUS_OLD!A:A,A5,DATA_WITH_GENUS_OLD!P:P,TRUE)</f>
        <v>6</v>
      </c>
      <c r="V5">
        <f>SUMIFS(DATA_WITH_GENUS_OLD!U:U,DATA_WITH_GENUS_OLD!A:A,A5)/100</f>
        <v>4.57</v>
      </c>
      <c r="W5" s="18">
        <f>COUNTIFS(DATA_WITH_GENUS_OLD!A:A,A5,DATA_WITH_GENUS_OLD!R:R,TRUE)</f>
        <v>4</v>
      </c>
      <c r="X5" s="18">
        <f>COUNTIFS(DATA_WITH_GENUS_OLD!A:A,A5,DATA_WITH_GENUS_OLD!S:S,2)</f>
        <v>0</v>
      </c>
      <c r="Y5">
        <f>COUNTIFS(DATA_WITH_GENUS_OLD!A:A,A5,DATA_WITH_GENUS_OLD!S:S,3)</f>
        <v>1</v>
      </c>
      <c r="Z5">
        <f t="shared" si="11"/>
        <v>11.386025268382689</v>
      </c>
      <c r="AA5">
        <f t="shared" si="12"/>
        <v>21.942669852940082</v>
      </c>
      <c r="AB5">
        <f t="shared" si="1"/>
        <v>3.4258341213236081</v>
      </c>
      <c r="AC5">
        <f t="shared" si="2"/>
        <v>4.1538341213236087</v>
      </c>
      <c r="AD5" s="98">
        <f t="shared" si="3"/>
        <v>34.535484024878706</v>
      </c>
      <c r="AE5" t="str">
        <f t="shared" si="13"/>
        <v>Fair</v>
      </c>
      <c r="AH5" s="2"/>
      <c r="AI5" s="45"/>
    </row>
    <row r="6" spans="1:40">
      <c r="A6" t="str">
        <f>B6&amp;"_"&amp;TEXT(C6,"yyyy-mm-dd")</f>
        <v>SB3_2016-07-09</v>
      </c>
      <c r="B6" t="s">
        <v>2631</v>
      </c>
      <c r="C6" s="3">
        <v>42560</v>
      </c>
      <c r="D6">
        <f>SUMIF(DATA_WITH_GENUS_OLD!A:A,A6,DATA_WITH_GENUS_OLD!F:F)</f>
        <v>121</v>
      </c>
      <c r="E6">
        <f>SUMIF(DATA_WITH_GENUS_OLD!A:A,A6,DATA_WITH_GENUS_OLD!J:J)</f>
        <v>100</v>
      </c>
      <c r="F6" s="98">
        <f>SUMIFS(DATA_WITH_GENUS_OLD!T:T,DATA_WITH_GENUS_OLD!A:A,A6)/100</f>
        <v>5.27</v>
      </c>
      <c r="G6" cm="1">
        <f t="array" ref="G6">COUNTA(_xlfn.UNIQUE(_xlfn._xlws.FILTER(DATA_WITH_GENUS_OLD!A:A&amp;DATA_WITH_GENUS_OLD!D:D&amp;DATA_WITH_GENUS_OLD!J:J,(DATA_WITH_GENUS_OLD!A:A = A6)*(DATA_WITH_GENUS_OLD!J:J&gt;0))))</f>
        <v>11</v>
      </c>
      <c r="H6">
        <f>COUNTIFS(DATA_WITH_GENUS_OLD!A:A,A6,DATA_WITH_GENUS_OLD!K:K,"~*")</f>
        <v>1</v>
      </c>
      <c r="I6">
        <f>COUNTIFS(DATA_WITH_GENUS_OLD!A:A,A6,DATA_WITH_GENUS_OLD!K:K,"~*")</f>
        <v>1</v>
      </c>
      <c r="J6">
        <f>_xlfn.MAXIFS(DATA_WITH_GENUS_OLD!J:J,DATA_WITH_GENUS_OLD!A:A,A6)</f>
        <v>35</v>
      </c>
      <c r="K6" s="18" t="str" cm="1">
        <f t="array" ref="K6">_xlfn._xlws.FILTER(DATA_WITH_GENUS_OLD!E:E,(DATA_WITH_GENUS_OLD!A:A=A6)*(DATA_WITH_GENUS_OLD!J:J=J6)*ROW(DATA_WITH_GENUS_OLD!E:E),0)</f>
        <v>Psephenidae</v>
      </c>
      <c r="L6" s="11">
        <f t="shared" si="4"/>
        <v>3</v>
      </c>
      <c r="M6">
        <f t="shared" si="5"/>
        <v>6</v>
      </c>
      <c r="N6" s="13">
        <f t="shared" si="6"/>
        <v>0</v>
      </c>
      <c r="O6" s="14">
        <f t="shared" si="7"/>
        <v>3</v>
      </c>
      <c r="P6">
        <f t="shared" si="8"/>
        <v>6</v>
      </c>
      <c r="Q6" s="100">
        <f t="shared" si="9"/>
        <v>18</v>
      </c>
      <c r="R6" s="15" t="str">
        <f t="shared" si="10"/>
        <v>Moderately Impaired</v>
      </c>
      <c r="S6" s="15">
        <f>COUNTIFS(DATA_WITH_GENUS_OLD!A:A,A6,DATA_WITH_GENUS_OLD!J:J, "&gt;0")</f>
        <v>11</v>
      </c>
      <c r="T6" s="20">
        <f>ROUND((((COUNTIFS(DATA_WITH_GENUS_OLD!A:A,A6,DATA_WITH_GENUS_OLD!O:O,FALSE))/G6)*100),1)</f>
        <v>54.5</v>
      </c>
      <c r="U6" s="23">
        <f>SUMIFS(DATA_WITH_GENUS_OLD!J:J,DATA_WITH_GENUS_OLD!A:A,A6,DATA_WITH_GENUS_OLD!P:P,TRUE)</f>
        <v>1</v>
      </c>
      <c r="V6">
        <f>SUMIFS(DATA_WITH_GENUS_OLD!U:U,DATA_WITH_GENUS_OLD!A:A,A6)/100</f>
        <v>5.27</v>
      </c>
      <c r="W6" s="18">
        <f>COUNTIFS(DATA_WITH_GENUS_OLD!A:A,A6,DATA_WITH_GENUS_OLD!R:R,TRUE)</f>
        <v>4</v>
      </c>
      <c r="X6" s="18">
        <f>COUNTIFS(DATA_WITH_GENUS_OLD!A:A,A6,DATA_WITH_GENUS_OLD!S:S,2)</f>
        <v>0</v>
      </c>
      <c r="Y6">
        <f>COUNTIFS(DATA_WITH_GENUS_OLD!A:A,A6,DATA_WITH_GENUS_OLD!S:S,3)</f>
        <v>1</v>
      </c>
      <c r="Z6">
        <f t="shared" si="11"/>
        <v>6.3860252683826886</v>
      </c>
      <c r="AA6">
        <f t="shared" si="12"/>
        <v>16.942669852940082</v>
      </c>
      <c r="AB6">
        <f t="shared" si="1"/>
        <v>4.1258341213236074</v>
      </c>
      <c r="AC6">
        <f t="shared" si="2"/>
        <v>4.853834121323608</v>
      </c>
      <c r="AD6" s="98">
        <f t="shared" si="3"/>
        <v>25.515733322098555</v>
      </c>
      <c r="AE6" t="str">
        <f t="shared" si="13"/>
        <v>Fair</v>
      </c>
    </row>
    <row r="7" spans="1:40">
      <c r="A7" t="str">
        <f t="shared" si="0"/>
        <v>SB3_2016-10-15</v>
      </c>
      <c r="B7" t="s">
        <v>2631</v>
      </c>
      <c r="C7" s="3">
        <v>42658</v>
      </c>
      <c r="D7">
        <f>SUMIF(DATA_WITH_GENUS_OLD!A:A,A7,DATA_WITH_GENUS_OLD!F:F)</f>
        <v>111</v>
      </c>
      <c r="E7">
        <f>SUMIF(DATA_WITH_GENUS_OLD!A:A,A7,DATA_WITH_GENUS_OLD!J:J)</f>
        <v>100</v>
      </c>
      <c r="F7" s="98">
        <f>SUMIFS(DATA_WITH_GENUS_OLD!T:T,DATA_WITH_GENUS_OLD!A:A,A7)/100</f>
        <v>5.01</v>
      </c>
      <c r="G7" cm="1">
        <f t="array" ref="G7">COUNTA(_xlfn.UNIQUE(_xlfn._xlws.FILTER(DATA_WITH_GENUS_OLD!A:A&amp;DATA_WITH_GENUS_OLD!D:D&amp;DATA_WITH_GENUS_OLD!J:J,(DATA_WITH_GENUS_OLD!A:A = A7)*(DATA_WITH_GENUS_OLD!J:J&gt;0))))</f>
        <v>13</v>
      </c>
      <c r="H7">
        <f>COUNTIFS(DATA_WITH_GENUS_OLD!A:A,A7,DATA_WITH_GENUS_OLD!K:K,"~*")</f>
        <v>2</v>
      </c>
      <c r="I7">
        <f>COUNTIFS(DATA_WITH_GENUS_OLD!A:A,A7,DATA_WITH_GENUS_OLD!K:K,"~*")</f>
        <v>2</v>
      </c>
      <c r="J7">
        <f>_xlfn.MAXIFS(DATA_WITH_GENUS_OLD!J:J,DATA_WITH_GENUS_OLD!A:A,A7)</f>
        <v>61</v>
      </c>
      <c r="K7" s="18" t="str" cm="1">
        <f t="array" ref="K7">_xlfn._xlws.FILTER(DATA_WITH_GENUS_OLD!E:E,(DATA_WITH_GENUS_OLD!A:A=A7)*(DATA_WITH_GENUS_OLD!J:J=J7)*ROW(DATA_WITH_GENUS_OLD!E:E),0)</f>
        <v>Psephenidae</v>
      </c>
      <c r="L7" s="11">
        <f t="shared" si="4"/>
        <v>3</v>
      </c>
      <c r="M7">
        <f t="shared" si="5"/>
        <v>6</v>
      </c>
      <c r="N7" s="13">
        <f t="shared" si="6"/>
        <v>0</v>
      </c>
      <c r="O7" s="14">
        <f t="shared" si="7"/>
        <v>3</v>
      </c>
      <c r="P7">
        <f t="shared" si="8"/>
        <v>0</v>
      </c>
      <c r="Q7" s="100">
        <f t="shared" si="9"/>
        <v>12</v>
      </c>
      <c r="R7" s="15" t="str">
        <f t="shared" si="10"/>
        <v>Moderately Impaired</v>
      </c>
      <c r="S7" s="15">
        <f>COUNTIFS(DATA_WITH_GENUS_OLD!A:A,A7,DATA_WITH_GENUS_OLD!J:J, "&gt;0")</f>
        <v>13</v>
      </c>
      <c r="T7" s="20">
        <f>ROUND((((COUNTIFS(DATA_WITH_GENUS_OLD!A:A,A7,DATA_WITH_GENUS_OLD!O:O,FALSE))/G7)*100),1)</f>
        <v>38.5</v>
      </c>
      <c r="U7" s="23">
        <f>SUMIFS(DATA_WITH_GENUS_OLD!J:J,DATA_WITH_GENUS_OLD!A:A,A7,DATA_WITH_GENUS_OLD!P:P,TRUE)</f>
        <v>2</v>
      </c>
      <c r="V7">
        <f>SUMIFS(DATA_WITH_GENUS_OLD!U:U,DATA_WITH_GENUS_OLD!A:A,A7)/100</f>
        <v>5.01</v>
      </c>
      <c r="W7" s="18">
        <f>COUNTIFS(DATA_WITH_GENUS_OLD!A:A,A7,DATA_WITH_GENUS_OLD!R:R,TRUE)</f>
        <v>4</v>
      </c>
      <c r="X7" s="18">
        <f>COUNTIFS(DATA_WITH_GENUS_OLD!A:A,A7,DATA_WITH_GENUS_OLD!S:S,2)</f>
        <v>0</v>
      </c>
      <c r="Y7">
        <f>COUNTIFS(DATA_WITH_GENUS_OLD!A:A,A7,DATA_WITH_GENUS_OLD!S:S,3)</f>
        <v>1</v>
      </c>
      <c r="Z7">
        <f t="shared" si="11"/>
        <v>8.3860252683826886</v>
      </c>
      <c r="AA7">
        <f t="shared" si="12"/>
        <v>17.942669852940082</v>
      </c>
      <c r="AB7">
        <f t="shared" si="1"/>
        <v>3.8658341213236076</v>
      </c>
      <c r="AC7">
        <f t="shared" si="2"/>
        <v>4.5938341213236065</v>
      </c>
      <c r="AD7" s="98">
        <f t="shared" si="3"/>
        <v>31.270066880078666</v>
      </c>
      <c r="AE7" t="str">
        <f t="shared" si="13"/>
        <v>Fair</v>
      </c>
    </row>
    <row r="8" spans="1:40">
      <c r="A8" t="str">
        <f>B8&amp;"_"&amp;TEXT(C8,"yyyy-mm-dd")</f>
        <v>SB3_2017-03-29</v>
      </c>
      <c r="B8" t="s">
        <v>2631</v>
      </c>
      <c r="C8" s="3">
        <v>42823</v>
      </c>
      <c r="D8">
        <f>SUMIF(DATA_WITH_GENUS_OLD!A:A,A8,DATA_WITH_GENUS_OLD!F:F)</f>
        <v>101</v>
      </c>
      <c r="E8">
        <f>SUMIF(DATA_WITH_GENUS_OLD!A:A,A8,DATA_WITH_GENUS_OLD!J:J)</f>
        <v>100</v>
      </c>
      <c r="F8" s="98">
        <f>SUMIFS(DATA_WITH_GENUS_OLD!T:T,DATA_WITH_GENUS_OLD!A:A,A8)/100</f>
        <v>5.63</v>
      </c>
      <c r="G8" cm="1">
        <f t="array" ref="G8">COUNTA(_xlfn.UNIQUE(_xlfn._xlws.FILTER(DATA_WITH_GENUS_OLD!A:A&amp;DATA_WITH_GENUS_OLD!D:D&amp;DATA_WITH_GENUS_OLD!J:J,(DATA_WITH_GENUS_OLD!A:A = A8)*(DATA_WITH_GENUS_OLD!J:J&gt;0))))</f>
        <v>19</v>
      </c>
      <c r="H8">
        <f>COUNTIFS(DATA_WITH_GENUS_OLD!A:A,A8,DATA_WITH_GENUS_OLD!K:K,"~*")</f>
        <v>6</v>
      </c>
      <c r="I8">
        <f>COUNTIFS(DATA_WITH_GENUS_OLD!A:A,A8,DATA_WITH_GENUS_OLD!K:K,"~*")</f>
        <v>6</v>
      </c>
      <c r="J8">
        <f>_xlfn.MAXIFS(DATA_WITH_GENUS_OLD!J:J,DATA_WITH_GENUS_OLD!A:A,A8)</f>
        <v>29</v>
      </c>
      <c r="K8" s="18" t="str" cm="1">
        <f t="array" ref="K8">_xlfn._xlws.FILTER(DATA_WITH_GENUS_OLD!E:E,(DATA_WITH_GENUS_OLD!A:A=A8)*(DATA_WITH_GENUS_OLD!J:J=J8)*ROW(DATA_WITH_GENUS_OLD!E:E),0)</f>
        <v>Chironomidae</v>
      </c>
      <c r="L8" s="11">
        <f t="shared" si="4"/>
        <v>3</v>
      </c>
      <c r="M8">
        <f t="shared" si="5"/>
        <v>6</v>
      </c>
      <c r="N8" s="13">
        <f t="shared" si="6"/>
        <v>6</v>
      </c>
      <c r="O8" s="14">
        <f t="shared" si="7"/>
        <v>3</v>
      </c>
      <c r="P8">
        <f t="shared" si="8"/>
        <v>6</v>
      </c>
      <c r="Q8" s="100">
        <f t="shared" si="9"/>
        <v>24</v>
      </c>
      <c r="R8" s="15" t="str">
        <f t="shared" si="10"/>
        <v>Non-Impaired</v>
      </c>
      <c r="S8" s="15">
        <f>COUNTIFS(DATA_WITH_GENUS_OLD!A:A,A8,DATA_WITH_GENUS_OLD!J:J, "&gt;0")</f>
        <v>19</v>
      </c>
      <c r="T8" s="20">
        <f>ROUND((((COUNTIFS(DATA_WITH_GENUS_OLD!A:A,A8,DATA_WITH_GENUS_OLD!O:O,FALSE))/G8)*100),1)</f>
        <v>36.799999999999997</v>
      </c>
      <c r="U8" s="23">
        <f>SUMIFS(DATA_WITH_GENUS_OLD!J:J,DATA_WITH_GENUS_OLD!A:A,A8,DATA_WITH_GENUS_OLD!P:P,TRUE)</f>
        <v>6</v>
      </c>
      <c r="V8">
        <f>SUMIFS(DATA_WITH_GENUS_OLD!U:U,DATA_WITH_GENUS_OLD!A:A,A8)/100</f>
        <v>5.63</v>
      </c>
      <c r="W8" s="18">
        <f>COUNTIFS(DATA_WITH_GENUS_OLD!A:A,A8,DATA_WITH_GENUS_OLD!R:R,TRUE)</f>
        <v>5</v>
      </c>
      <c r="X8" s="18">
        <f>COUNTIFS(DATA_WITH_GENUS_OLD!A:A,A8,DATA_WITH_GENUS_OLD!S:S,2)</f>
        <v>1</v>
      </c>
      <c r="Y8">
        <f>COUNTIFS(DATA_WITH_GENUS_OLD!A:A,A8,DATA_WITH_GENUS_OLD!S:S,3)</f>
        <v>1</v>
      </c>
      <c r="Z8">
        <f t="shared" si="11"/>
        <v>14.386025268382689</v>
      </c>
      <c r="AA8">
        <f t="shared" si="12"/>
        <v>21.942669852940082</v>
      </c>
      <c r="AB8">
        <f t="shared" si="1"/>
        <v>4.4858341213236068</v>
      </c>
      <c r="AC8">
        <f t="shared" si="2"/>
        <v>5.2138341213236075</v>
      </c>
      <c r="AD8" s="98">
        <f t="shared" si="3"/>
        <v>35.970202882458715</v>
      </c>
      <c r="AE8" t="str">
        <f t="shared" si="13"/>
        <v>Fair</v>
      </c>
    </row>
    <row r="9" spans="1:40">
      <c r="A9" t="str">
        <f t="shared" si="0"/>
        <v>SB3_2017-06-27</v>
      </c>
      <c r="B9" t="s">
        <v>2631</v>
      </c>
      <c r="C9" s="3">
        <v>42913</v>
      </c>
      <c r="D9">
        <f>SUMIF(DATA_WITH_GENUS_OLD!A:A,A9,DATA_WITH_GENUS_OLD!F:F)</f>
        <v>123</v>
      </c>
      <c r="E9">
        <f>SUMIF(DATA_WITH_GENUS_OLD!A:A,A9,DATA_WITH_GENUS_OLD!J:J)</f>
        <v>100</v>
      </c>
      <c r="F9" s="98">
        <f>SUMIFS(DATA_WITH_GENUS_OLD!T:T,DATA_WITH_GENUS_OLD!A:A,A9)/100</f>
        <v>4.8600000000000003</v>
      </c>
      <c r="G9" cm="1">
        <f t="array" ref="G9">COUNTA(_xlfn.UNIQUE(_xlfn._xlws.FILTER(DATA_WITH_GENUS_OLD!A:A&amp;DATA_WITH_GENUS_OLD!D:D&amp;DATA_WITH_GENUS_OLD!J:J,(DATA_WITH_GENUS_OLD!A:A = A9)*(DATA_WITH_GENUS_OLD!J:J&gt;0))))</f>
        <v>17</v>
      </c>
      <c r="H9">
        <f>COUNTIFS(DATA_WITH_GENUS_OLD!A:A,A9,DATA_WITH_GENUS_OLD!K:K,"~*")</f>
        <v>5</v>
      </c>
      <c r="I9">
        <f>COUNTIFS(DATA_WITH_GENUS_OLD!A:A,A9,DATA_WITH_GENUS_OLD!K:K,"~*")</f>
        <v>5</v>
      </c>
      <c r="J9">
        <f>_xlfn.MAXIFS(DATA_WITH_GENUS_OLD!J:J,DATA_WITH_GENUS_OLD!A:A,A9)</f>
        <v>28</v>
      </c>
      <c r="K9" s="18" t="str" cm="1">
        <f t="array" ref="K9">_xlfn._xlws.FILTER(DATA_WITH_GENUS_OLD!E:E,(DATA_WITH_GENUS_OLD!A:A=A9)*(DATA_WITH_GENUS_OLD!J:J=J9)*ROW(DATA_WITH_GENUS_OLD!E:E),0)</f>
        <v>Gammaridae</v>
      </c>
      <c r="L9" s="11">
        <f t="shared" si="4"/>
        <v>6</v>
      </c>
      <c r="M9">
        <f t="shared" si="5"/>
        <v>6</v>
      </c>
      <c r="N9" s="13">
        <f t="shared" si="6"/>
        <v>3</v>
      </c>
      <c r="O9" s="14">
        <f t="shared" si="7"/>
        <v>3</v>
      </c>
      <c r="P9">
        <f t="shared" si="8"/>
        <v>6</v>
      </c>
      <c r="Q9" s="100">
        <f t="shared" si="9"/>
        <v>24</v>
      </c>
      <c r="R9" s="15" t="str">
        <f t="shared" si="10"/>
        <v>Non-Impaired</v>
      </c>
      <c r="S9" s="15">
        <f>COUNTIFS(DATA_WITH_GENUS_OLD!A:A,A9,DATA_WITH_GENUS_OLD!J:J, "&gt;0")</f>
        <v>17</v>
      </c>
      <c r="T9" s="20">
        <f>ROUND((((COUNTIFS(DATA_WITH_GENUS_OLD!A:A,A9,DATA_WITH_GENUS_OLD!O:O,FALSE))/G9)*100),1)</f>
        <v>47.1</v>
      </c>
      <c r="U9" s="23">
        <f>SUMIFS(DATA_WITH_GENUS_OLD!J:J,DATA_WITH_GENUS_OLD!A:A,A9,DATA_WITH_GENUS_OLD!P:P,TRUE)</f>
        <v>5</v>
      </c>
      <c r="V9">
        <f>SUMIFS(DATA_WITH_GENUS_OLD!U:U,DATA_WITH_GENUS_OLD!A:A,A9)/100</f>
        <v>4.8600000000000003</v>
      </c>
      <c r="W9" s="18">
        <f>COUNTIFS(DATA_WITH_GENUS_OLD!A:A,A9,DATA_WITH_GENUS_OLD!R:R,TRUE)</f>
        <v>5</v>
      </c>
      <c r="X9" s="18">
        <f>COUNTIFS(DATA_WITH_GENUS_OLD!A:A,A9,DATA_WITH_GENUS_OLD!S:S,2)</f>
        <v>0</v>
      </c>
      <c r="Y9">
        <f>COUNTIFS(DATA_WITH_GENUS_OLD!A:A,A9,DATA_WITH_GENUS_OLD!S:S,3)</f>
        <v>1</v>
      </c>
      <c r="Z9">
        <f t="shared" si="11"/>
        <v>12.386025268382689</v>
      </c>
      <c r="AA9">
        <f t="shared" si="12"/>
        <v>20.942669852940082</v>
      </c>
      <c r="AB9">
        <f t="shared" si="1"/>
        <v>3.7158341213236072</v>
      </c>
      <c r="AC9">
        <f t="shared" si="2"/>
        <v>4.4438341213236079</v>
      </c>
      <c r="AD9" s="98">
        <f t="shared" si="3"/>
        <v>31.771769945596599</v>
      </c>
      <c r="AE9" t="str">
        <f t="shared" si="13"/>
        <v>Fair</v>
      </c>
    </row>
  </sheetData>
  <phoneticPr fontId="2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6C3EE-3032-AE40-8EC7-928DF72A3F48}">
  <sheetPr>
    <tabColor rgb="FFFF0000"/>
  </sheetPr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FECEA-2A32-4CCA-B833-D2EC2F5E8C3F}">
  <sheetPr>
    <tabColor rgb="FFFF0000"/>
  </sheetPr>
  <dimension ref="A1:AM11"/>
  <sheetViews>
    <sheetView workbookViewId="0">
      <selection activeCell="B2" sqref="B2:C11"/>
    </sheetView>
  </sheetViews>
  <sheetFormatPr baseColWidth="10" defaultColWidth="8.83203125" defaultRowHeight="15"/>
  <cols>
    <col min="1" max="1" width="16.6640625" customWidth="1"/>
    <col min="3" max="5" width="13.33203125" customWidth="1"/>
    <col min="6" max="6" width="10.1640625" customWidth="1"/>
    <col min="7" max="7" width="11.1640625" customWidth="1"/>
    <col min="8" max="8" width="11.6640625" customWidth="1"/>
    <col min="9" max="9" width="11.83203125" customWidth="1"/>
    <col min="10" max="10" width="13.83203125" customWidth="1"/>
    <col min="11" max="11" width="19.5" customWidth="1"/>
    <col min="13" max="13" width="10.83203125" customWidth="1"/>
    <col min="15" max="15" width="11.83203125" customWidth="1"/>
    <col min="16" max="16" width="12.33203125" customWidth="1"/>
    <col min="18" max="18" width="18" customWidth="1"/>
    <col min="19" max="19" width="13.83203125" customWidth="1"/>
    <col min="20" max="20" width="16.1640625" customWidth="1"/>
    <col min="21" max="21" width="13.83203125" customWidth="1"/>
    <col min="22" max="23" width="11.6640625" customWidth="1"/>
    <col min="24" max="24" width="11.83203125" customWidth="1"/>
    <col min="25" max="25" width="13" customWidth="1"/>
    <col min="26" max="26" width="16" customWidth="1"/>
    <col min="27" max="27" width="14.33203125" customWidth="1"/>
    <col min="28" max="28" width="11.33203125" customWidth="1"/>
    <col min="29" max="29" width="12.5" customWidth="1"/>
    <col min="30" max="30" width="13.1640625" style="98" customWidth="1"/>
    <col min="31" max="31" width="13.1640625" customWidth="1"/>
    <col min="32" max="32" width="9.5" customWidth="1"/>
    <col min="33" max="33" width="9.33203125" bestFit="1" customWidth="1"/>
    <col min="34" max="34" width="22.33203125" customWidth="1"/>
    <col min="35" max="35" width="11.6640625" customWidth="1"/>
    <col min="36" max="36" width="14.1640625" customWidth="1"/>
    <col min="37" max="37" width="14.33203125" customWidth="1"/>
    <col min="38" max="38" width="13.5" style="98" customWidth="1"/>
    <col min="39" max="39" width="12.83203125" customWidth="1"/>
  </cols>
  <sheetData>
    <row r="1" spans="1:39" s="58" customFormat="1" ht="48">
      <c r="A1" s="48" t="s">
        <v>0</v>
      </c>
      <c r="B1" s="49" t="s">
        <v>1</v>
      </c>
      <c r="C1" s="49" t="s">
        <v>2</v>
      </c>
      <c r="D1" s="48" t="s">
        <v>3</v>
      </c>
      <c r="E1" s="48" t="s">
        <v>4</v>
      </c>
      <c r="F1" s="48" t="s">
        <v>5</v>
      </c>
      <c r="G1" s="50" t="s">
        <v>6</v>
      </c>
      <c r="H1" s="51" t="s">
        <v>7</v>
      </c>
      <c r="I1" s="50" t="s">
        <v>8</v>
      </c>
      <c r="J1" s="52" t="s">
        <v>9</v>
      </c>
      <c r="K1" s="53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6" t="s">
        <v>16</v>
      </c>
      <c r="R1" s="17" t="s">
        <v>17</v>
      </c>
      <c r="S1" s="40" t="s">
        <v>31</v>
      </c>
      <c r="T1" s="53" t="s">
        <v>32</v>
      </c>
      <c r="U1" s="53" t="s">
        <v>33</v>
      </c>
      <c r="V1" s="52" t="s">
        <v>21</v>
      </c>
      <c r="W1" s="51" t="s">
        <v>34</v>
      </c>
      <c r="X1" s="51" t="s">
        <v>35</v>
      </c>
      <c r="Y1" s="51" t="s">
        <v>36</v>
      </c>
      <c r="Z1" s="54" t="s">
        <v>37</v>
      </c>
      <c r="AA1" s="55" t="s">
        <v>39</v>
      </c>
      <c r="AB1" s="56" t="s">
        <v>40</v>
      </c>
      <c r="AC1" s="55" t="s">
        <v>2637</v>
      </c>
      <c r="AD1" s="101" t="s">
        <v>41</v>
      </c>
      <c r="AE1" s="54" t="s">
        <v>42</v>
      </c>
      <c r="AF1" s="51" t="s">
        <v>43</v>
      </c>
      <c r="AG1" s="51" t="s">
        <v>44</v>
      </c>
      <c r="AH1" s="53" t="s">
        <v>2998</v>
      </c>
      <c r="AI1" s="51" t="s">
        <v>45</v>
      </c>
      <c r="AJ1" s="57" t="s">
        <v>46</v>
      </c>
      <c r="AK1" s="54" t="s">
        <v>47</v>
      </c>
      <c r="AL1" s="101" t="s">
        <v>48</v>
      </c>
      <c r="AM1" s="54" t="s">
        <v>42</v>
      </c>
    </row>
    <row r="2" spans="1:39">
      <c r="A2" t="str">
        <f t="shared" ref="A2:A11" si="0">B2&amp;"_"&amp;TEXT(C2,"yyyy-mm-dd")</f>
        <v>SB4_2014-03-16</v>
      </c>
      <c r="B2" t="s">
        <v>58</v>
      </c>
      <c r="C2" s="36">
        <v>41714</v>
      </c>
      <c r="D2">
        <f>SUMIF(DATA_WITH_GENUS_OLD!A:A,A2,DATA_WITH_GENUS_OLD!F:F)</f>
        <v>169</v>
      </c>
      <c r="E2">
        <f>SUMIF(DATA_WITH_GENUS_OLD!A:A,A2,DATA_WITH_GENUS_OLD!J:J)</f>
        <v>100</v>
      </c>
      <c r="F2">
        <f>SUMIFS(DATA_WITH_GENUS_OLD!T:T,DATA_WITH_GENUS_OLD!A:A,A2)/100</f>
        <v>5.33</v>
      </c>
      <c r="G2" cm="1">
        <f t="array" ref="G2">COUNTA(_xlfn.UNIQUE(_xlfn._xlws.FILTER(DATA_WITH_GENUS_OLD!A:A&amp;DATA_WITH_GENUS_OLD!D:D&amp;DATA_WITH_GENUS_OLD!J:J,(DATA_WITH_GENUS_OLD!A:A = A2)*(DATA_WITH_GENUS_OLD!J:J&gt;0))))</f>
        <v>11</v>
      </c>
      <c r="H2">
        <f>COUNTIFS(DATA_WITH_GENUS_OLD!A:A,A2,DATA_WITH_GENUS_OLD!K:K,"~*")</f>
        <v>1</v>
      </c>
      <c r="I2">
        <f>COUNTIFS(DATA_WITH_GENUS_OLD!A:A,A2,DATA_WITH_GENUS_OLD!K:K,"~*")</f>
        <v>1</v>
      </c>
      <c r="J2">
        <f>_xlfn.MAXIFS(DATA_WITH_GENUS_OLD!J:J,DATA_WITH_GENUS_OLD!A:A,A2)</f>
        <v>41</v>
      </c>
      <c r="K2" s="18" t="str" cm="1">
        <f t="array" ref="K2">_xlfn._xlws.FILTER(DATA_WITH_GENUS_OLD!E:E,(DATA_WITH_GENUS_OLD!A:A=A2)*(DATA_WITH_GENUS_OLD!J:J=J2)*ROW(DATA_WITH_GENUS_OLD!E:E),0)</f>
        <v>Gammaridae</v>
      </c>
      <c r="L2" s="11">
        <f>IF(F2="","",IF(F2&gt;7,0,IF(F2&lt;5,6,IF(F2&lt;=7,3))))</f>
        <v>3</v>
      </c>
      <c r="M2">
        <f>IF(G2="","",IF(G2&gt;10,6,IF(G2&lt;5,0,IF(G2&lt;=10,3))))</f>
        <v>6</v>
      </c>
      <c r="N2" s="13">
        <f>IF(H2="","",IF(H2&gt;5,6,IF(H2&lt;3,0,IF(H2&lt;=5,3))))</f>
        <v>0</v>
      </c>
      <c r="O2" s="14">
        <f>IF(I2="","",IF(I2&gt;35,6,IF(I2&lt;1,0,IF(I2&lt;=35,3,IF(I2&lt;1,0)))))</f>
        <v>3</v>
      </c>
      <c r="P2">
        <f>IF(J2="","",IF(J2&gt;60,0,IF(J2&lt;40,6,IF(J2&lt;=60,3))))</f>
        <v>3</v>
      </c>
      <c r="Q2" s="15">
        <f>SUM(L2:P2)</f>
        <v>15</v>
      </c>
      <c r="R2" s="15" t="str">
        <f>IF(Q2&gt;=24, "Non-Impaired", IF(Q2&lt;=6, "Severally Impaired", IF(Q2&gt;=9, "Moderately Impaired","")))</f>
        <v>Moderately Impaired</v>
      </c>
      <c r="S2" s="15">
        <f>COUNTIFS(DATA_WITH_GENUS_OLD!A:A,A2,DATA_WITH_GENUS_OLD!J:J, "&gt;0")</f>
        <v>11</v>
      </c>
      <c r="T2" s="20">
        <f>ROUND((((COUNTIFS(DATA_WITH_GENUS_OLD!A:A,A2,DATA_WITH_GENUS_OLD!O:O,FALSE))/G2)*100),1)</f>
        <v>54.5</v>
      </c>
      <c r="U2" s="23">
        <f>SUMIFS(DATA_WITH_GENUS_OLD!J:J,DATA_WITH_GENUS_OLD!A:A,A2,DATA_WITH_GENUS_OLD!P:P,TRUE)</f>
        <v>2</v>
      </c>
      <c r="V2">
        <f>SUMIFS(DATA_WITH_GENUS_OLD!U:U,DATA_WITH_GENUS_OLD!A:A,A2)/100</f>
        <v>5.27</v>
      </c>
      <c r="W2" s="18">
        <f>COUNTIFS(DATA_WITH_GENUS_OLD!A:A,A2,DATA_WITH_GENUS_OLD!R:R,TRUE)</f>
        <v>3</v>
      </c>
      <c r="X2" s="18">
        <f>COUNTIFS(DATA_WITH_GENUS_OLD!A:A,A2,DATA_WITH_GENUS_OLD!S:S,2)</f>
        <v>0</v>
      </c>
      <c r="Y2">
        <f>COUNTIFS(DATA_WITH_GENUS_OLD!A:A,A2,DATA_WITH_GENUS_OLD!S:S,3)</f>
        <v>0</v>
      </c>
      <c r="Z2">
        <f>S2+26.53-(22.776+4.173*(LOG10(65.31646189)))</f>
        <v>7.1799104752077234</v>
      </c>
      <c r="AA2">
        <f>(U2)+37.49-(49.22-13.8*(LOG10(65.31646189)))</f>
        <v>15.317312590973746</v>
      </c>
      <c r="AB2">
        <f>V2 + 4.23-(3.407+0.981*(LOG10(65.31646189)))</f>
        <v>4.3124627788590404</v>
      </c>
      <c r="AC2">
        <f>V2 + 5.44-(3.889+0.981*(LOG10(65.31646189)))</f>
        <v>5.040462778859041</v>
      </c>
      <c r="AD2" s="98">
        <f>((100*Z2/31)+(100*(60-T2)/55)+(100*AA2/69)+(100*(7.2-AB2)/4.6)+(100*AC2/11)+(100*X2/8)+(100*Y2/8))/7</f>
        <v>23.422134638907732</v>
      </c>
      <c r="AE2" t="str">
        <f>IF(AD2&gt;=63, "Excellent", IF(AD2&lt;21, "Poor", IF(AD2&lt;42, "Fair","Good")))</f>
        <v>Fair</v>
      </c>
      <c r="AH2" s="47"/>
    </row>
    <row r="3" spans="1:39">
      <c r="A3" t="str">
        <f t="shared" si="0"/>
        <v>SB4_2014-07-20</v>
      </c>
      <c r="B3" t="s">
        <v>58</v>
      </c>
      <c r="C3" s="3">
        <v>41840</v>
      </c>
      <c r="D3">
        <f>SUMIF(DATA_WITH_GENUS_OLD!A:A,A3,DATA_WITH_GENUS_OLD!F:F)</f>
        <v>118</v>
      </c>
      <c r="E3">
        <f>SUMIF(DATA_WITH_GENUS_OLD!A:A,A3,DATA_WITH_GENUS_OLD!J:J)</f>
        <v>100</v>
      </c>
      <c r="F3">
        <f>SUMIFS(DATA_WITH_GENUS_OLD!T:T,DATA_WITH_GENUS_OLD!A:A,A3)/100</f>
        <v>4.67</v>
      </c>
      <c r="G3" cm="1">
        <f t="array" ref="G3">COUNTA(_xlfn.UNIQUE(_xlfn._xlws.FILTER(DATA_WITH_GENUS_OLD!A:A&amp;DATA_WITH_GENUS_OLD!D:D&amp;DATA_WITH_GENUS_OLD!J:J,(DATA_WITH_GENUS_OLD!A:A = A3)*(DATA_WITH_GENUS_OLD!J:J&gt;0))))</f>
        <v>13</v>
      </c>
      <c r="H3">
        <f>COUNTIFS(DATA_WITH_GENUS_OLD!A:A,A3,DATA_WITH_GENUS_OLD!K:K,"~*")</f>
        <v>3</v>
      </c>
      <c r="I3">
        <f>COUNTIFS(DATA_WITH_GENUS_OLD!A:A,A3,DATA_WITH_GENUS_OLD!K:K,"~*")</f>
        <v>3</v>
      </c>
      <c r="J3">
        <f>_xlfn.MAXIFS(DATA_WITH_GENUS_OLD!J:J,DATA_WITH_GENUS_OLD!A:A,A3)</f>
        <v>52</v>
      </c>
      <c r="K3" s="18" t="str" cm="1">
        <f t="array" ref="K3">_xlfn._xlws.FILTER(DATA_WITH_GENUS_OLD!E:E,(DATA_WITH_GENUS_OLD!A:A=A3)*(DATA_WITH_GENUS_OLD!J:J=J3)*ROW(DATA_WITH_GENUS_OLD!E:E),0)</f>
        <v>Gammaridae</v>
      </c>
      <c r="L3" s="11">
        <f t="shared" ref="L3:L11" si="1">IF(F3="","",IF(F3&gt;7,0,IF(F3&lt;5,6,IF(F3&lt;=7,3))))</f>
        <v>6</v>
      </c>
      <c r="M3">
        <f t="shared" ref="M3:M11" si="2">IF(G3="","",IF(G3&gt;10,6,IF(G3&lt;5,0,IF(G3&lt;=10,3))))</f>
        <v>6</v>
      </c>
      <c r="N3" s="13">
        <f t="shared" ref="N3:N11" si="3">IF(H3="","",IF(H3&gt;5,6,IF(H3&lt;3,0,IF(H3&lt;=5,3))))</f>
        <v>3</v>
      </c>
      <c r="O3" s="14">
        <f t="shared" ref="O3:O11" si="4">IF(I3="","",IF(I3&gt;35,6,IF(I3&lt;1,0,IF(I3&lt;=35,3,IF(I3&lt;1,0)))))</f>
        <v>3</v>
      </c>
      <c r="P3">
        <f t="shared" ref="P3:P11" si="5">IF(J3="","",IF(J3&gt;60,0,IF(J3&lt;40,6,IF(J3&lt;=60,3))))</f>
        <v>3</v>
      </c>
      <c r="Q3" s="15">
        <f t="shared" ref="Q3:Q11" si="6">SUM(L3:P3)</f>
        <v>21</v>
      </c>
      <c r="R3" s="15" t="str">
        <f t="shared" ref="R3:R11" si="7">IF(Q3&gt;=24, "Non-Impaired", IF(Q3&lt;=6, "Severally Impaired", IF(Q3&gt;=9, "Moderately Impaired","")))</f>
        <v>Moderately Impaired</v>
      </c>
      <c r="S3" s="15">
        <f>COUNTIFS(DATA_WITH_GENUS_OLD!A:A,A3,DATA_WITH_GENUS_OLD!J:J, "&gt;0")</f>
        <v>13</v>
      </c>
      <c r="T3" s="20">
        <f>ROUND((((COUNTIFS(DATA_WITH_GENUS_OLD!A:A,A3,DATA_WITH_GENUS_OLD!O:O,FALSE))/G3)*100),1)</f>
        <v>61.5</v>
      </c>
      <c r="U3" s="23">
        <f>SUMIFS(DATA_WITH_GENUS_OLD!J:J,DATA_WITH_GENUS_OLD!A:A,A3,DATA_WITH_GENUS_OLD!P:P,TRUE)</f>
        <v>15</v>
      </c>
      <c r="V3">
        <f>SUMIFS(DATA_WITH_GENUS_OLD!U:U,DATA_WITH_GENUS_OLD!A:A,A3)/100</f>
        <v>4.51</v>
      </c>
      <c r="W3" s="18">
        <f>COUNTIFS(DATA_WITH_GENUS_OLD!A:A,A3,DATA_WITH_GENUS_OLD!R:R,TRUE)</f>
        <v>4</v>
      </c>
      <c r="X3" s="18">
        <f>COUNTIFS(DATA_WITH_GENUS_OLD!A:A,A3,DATA_WITH_GENUS_OLD!S:S,2)</f>
        <v>0</v>
      </c>
      <c r="Y3">
        <f>COUNTIFS(DATA_WITH_GENUS_OLD!A:A,A3,DATA_WITH_GENUS_OLD!S:S,3)</f>
        <v>0</v>
      </c>
      <c r="Z3">
        <f t="shared" ref="Z3:Z11" si="8">S3+26.53-(22.776+4.173*(LOG10(65.31646189)))</f>
        <v>9.1799104752077234</v>
      </c>
      <c r="AA3">
        <f t="shared" ref="AA3:AA11" si="9">(U3)+37.49-(49.22-13.8*(LOG10(65.31646189)))</f>
        <v>28.317312590973746</v>
      </c>
      <c r="AB3">
        <f t="shared" ref="AB3:AB11" si="10">V3 + 4.23-(3.407+0.981*(LOG10(65.31646189)))</f>
        <v>3.5524627788590406</v>
      </c>
      <c r="AC3">
        <f t="shared" ref="AC3:AC11" si="11">V3 + 5.44-(3.889+0.981*(LOG10(65.31646189)))</f>
        <v>4.2804627788590395</v>
      </c>
      <c r="AD3" s="98">
        <f t="shared" ref="AD3:AD11" si="12">((100*Z3/31)+(100*(60-T3)/55)+(100*AA3/69)+(100*(7.2-AB3)/4.6)+(100*AC3/11)+(100*X3/8)+(100*Y3/8))/7</f>
        <v>26.590358654256573</v>
      </c>
      <c r="AE3" t="str">
        <f t="shared" ref="AE3:AE11" si="13">IF(AD3&gt;=63, "Excellent", IF(AD3&lt;21, "Poor", IF(AD3&lt;42, "Fair","Good")))</f>
        <v>Fair</v>
      </c>
      <c r="AK3" t="str">
        <f>IF(AH3="","",(AH3+35.15)-(45.59-(11.59*LOG10(16.73739082))))</f>
        <v/>
      </c>
    </row>
    <row r="4" spans="1:39">
      <c r="A4" t="str">
        <f t="shared" si="0"/>
        <v>SB4_2014-10-05</v>
      </c>
      <c r="B4" t="s">
        <v>58</v>
      </c>
      <c r="C4" s="3">
        <v>41917</v>
      </c>
      <c r="D4">
        <f>SUMIF(DATA_WITH_GENUS_OLD!A:A,A4,DATA_WITH_GENUS_OLD!F:F)</f>
        <v>102</v>
      </c>
      <c r="E4">
        <f>SUMIF(DATA_WITH_GENUS_OLD!A:A,A4,DATA_WITH_GENUS_OLD!J:J)</f>
        <v>100</v>
      </c>
      <c r="F4">
        <f>SUMIFS(DATA_WITH_GENUS_OLD!T:T,DATA_WITH_GENUS_OLD!A:A,A4)/100</f>
        <v>4.87</v>
      </c>
      <c r="G4" cm="1">
        <f t="array" ref="G4">COUNTA(_xlfn.UNIQUE(_xlfn._xlws.FILTER(DATA_WITH_GENUS_OLD!A:A&amp;DATA_WITH_GENUS_OLD!D:D&amp;DATA_WITH_GENUS_OLD!J:J,(DATA_WITH_GENUS_OLD!A:A = A4)*(DATA_WITH_GENUS_OLD!J:J&gt;0))))</f>
        <v>12</v>
      </c>
      <c r="H4">
        <f>COUNTIFS(DATA_WITH_GENUS_OLD!A:A,A4,DATA_WITH_GENUS_OLD!K:K,"~*")</f>
        <v>2</v>
      </c>
      <c r="I4">
        <f>COUNTIFS(DATA_WITH_GENUS_OLD!A:A,A4,DATA_WITH_GENUS_OLD!K:K,"~*")</f>
        <v>2</v>
      </c>
      <c r="J4">
        <f>_xlfn.MAXIFS(DATA_WITH_GENUS_OLD!J:J,DATA_WITH_GENUS_OLD!A:A,A4)</f>
        <v>35</v>
      </c>
      <c r="K4" s="18" t="str" cm="1">
        <f t="array" ref="K4">_xlfn._xlws.FILTER(DATA_WITH_GENUS_OLD!E:E,(DATA_WITH_GENUS_OLD!A:A=A4)*(DATA_WITH_GENUS_OLD!J:J=J4)*ROW(DATA_WITH_GENUS_OLD!E:E),0)</f>
        <v>Psephenidae</v>
      </c>
      <c r="L4" s="11">
        <f t="shared" si="1"/>
        <v>6</v>
      </c>
      <c r="M4">
        <f t="shared" si="2"/>
        <v>6</v>
      </c>
      <c r="N4" s="13">
        <f t="shared" si="3"/>
        <v>0</v>
      </c>
      <c r="O4" s="14">
        <f t="shared" si="4"/>
        <v>3</v>
      </c>
      <c r="P4">
        <f t="shared" si="5"/>
        <v>6</v>
      </c>
      <c r="Q4" s="15">
        <f t="shared" si="6"/>
        <v>21</v>
      </c>
      <c r="R4" s="15" t="str">
        <f t="shared" si="7"/>
        <v>Moderately Impaired</v>
      </c>
      <c r="S4" s="15">
        <f>COUNTIFS(DATA_WITH_GENUS_OLD!A:A,A4,DATA_WITH_GENUS_OLD!J:J, "&gt;0")</f>
        <v>12</v>
      </c>
      <c r="T4" s="20">
        <f>ROUND((((COUNTIFS(DATA_WITH_GENUS_OLD!A:A,A4,DATA_WITH_GENUS_OLD!O:O,FALSE))/G4)*100),1)</f>
        <v>58.3</v>
      </c>
      <c r="U4" s="23">
        <f>SUMIFS(DATA_WITH_GENUS_OLD!J:J,DATA_WITH_GENUS_OLD!A:A,A4,DATA_WITH_GENUS_OLD!P:P,TRUE)</f>
        <v>5</v>
      </c>
      <c r="V4">
        <f>SUMIFS(DATA_WITH_GENUS_OLD!U:U,DATA_WITH_GENUS_OLD!A:A,A4)/100</f>
        <v>4.87</v>
      </c>
      <c r="W4" s="18">
        <f>COUNTIFS(DATA_WITH_GENUS_OLD!A:A,A4,DATA_WITH_GENUS_OLD!R:R,TRUE)</f>
        <v>5</v>
      </c>
      <c r="X4" s="18">
        <f>COUNTIFS(DATA_WITH_GENUS_OLD!A:A,A4,DATA_WITH_GENUS_OLD!S:S,2)</f>
        <v>0</v>
      </c>
      <c r="Y4">
        <f>COUNTIFS(DATA_WITH_GENUS_OLD!A:A,A4,DATA_WITH_GENUS_OLD!S:S,3)</f>
        <v>0</v>
      </c>
      <c r="Z4">
        <f t="shared" si="8"/>
        <v>8.1799104752077234</v>
      </c>
      <c r="AA4">
        <f t="shared" si="9"/>
        <v>18.317312590973746</v>
      </c>
      <c r="AB4">
        <f t="shared" si="10"/>
        <v>3.9124627788590418</v>
      </c>
      <c r="AC4">
        <f t="shared" si="11"/>
        <v>4.6404627788590407</v>
      </c>
      <c r="AD4" s="98">
        <f t="shared" si="12"/>
        <v>24.239824662768861</v>
      </c>
      <c r="AE4" t="str">
        <f t="shared" si="13"/>
        <v>Fair</v>
      </c>
    </row>
    <row r="5" spans="1:39">
      <c r="A5" t="str">
        <f t="shared" si="0"/>
        <v>SB4_2015-03-22</v>
      </c>
      <c r="B5" t="s">
        <v>58</v>
      </c>
      <c r="C5" s="3">
        <v>42085</v>
      </c>
      <c r="D5">
        <f>SUMIF(DATA_WITH_GENUS_OLD!A:A,A5,DATA_WITH_GENUS_OLD!F:F)</f>
        <v>121</v>
      </c>
      <c r="E5">
        <f>SUMIF(DATA_WITH_GENUS_OLD!A:A,A5,DATA_WITH_GENUS_OLD!J:J)</f>
        <v>100</v>
      </c>
      <c r="F5">
        <f>SUMIFS(DATA_WITH_GENUS_OLD!T:T,DATA_WITH_GENUS_OLD!A:A,A5)/100</f>
        <v>5.9</v>
      </c>
      <c r="G5" cm="1">
        <f t="array" ref="G5">COUNTA(_xlfn.UNIQUE(_xlfn._xlws.FILTER(DATA_WITH_GENUS_OLD!A:A&amp;DATA_WITH_GENUS_OLD!D:D&amp;DATA_WITH_GENUS_OLD!J:J,(DATA_WITH_GENUS_OLD!A:A = A5)*(DATA_WITH_GENUS_OLD!J:J&gt;0))))</f>
        <v>11</v>
      </c>
      <c r="H5">
        <f>COUNTIFS(DATA_WITH_GENUS_OLD!A:A,A5,DATA_WITH_GENUS_OLD!K:K,"~*")</f>
        <v>3</v>
      </c>
      <c r="I5">
        <f>COUNTIFS(DATA_WITH_GENUS_OLD!A:A,A5,DATA_WITH_GENUS_OLD!K:K,"~*")</f>
        <v>3</v>
      </c>
      <c r="J5">
        <f>_xlfn.MAXIFS(DATA_WITH_GENUS_OLD!J:J,DATA_WITH_GENUS_OLD!A:A,A5)</f>
        <v>82</v>
      </c>
      <c r="K5" s="18" t="str" cm="1">
        <f t="array" ref="K5">_xlfn._xlws.FILTER(DATA_WITH_GENUS_OLD!E:E,(DATA_WITH_GENUS_OLD!A:A=A5)*(DATA_WITH_GENUS_OLD!J:J=J5)*ROW(DATA_WITH_GENUS_OLD!E:E),0)</f>
        <v>Chironomidae</v>
      </c>
      <c r="L5" s="11">
        <f t="shared" si="1"/>
        <v>3</v>
      </c>
      <c r="M5">
        <f t="shared" si="2"/>
        <v>6</v>
      </c>
      <c r="N5" s="13">
        <f t="shared" si="3"/>
        <v>3</v>
      </c>
      <c r="O5" s="14">
        <f t="shared" si="4"/>
        <v>3</v>
      </c>
      <c r="P5">
        <f t="shared" si="5"/>
        <v>0</v>
      </c>
      <c r="Q5" s="15">
        <f t="shared" si="6"/>
        <v>15</v>
      </c>
      <c r="R5" s="15" t="str">
        <f t="shared" si="7"/>
        <v>Moderately Impaired</v>
      </c>
      <c r="S5" s="15">
        <f>COUNTIFS(DATA_WITH_GENUS_OLD!A:A,A5,DATA_WITH_GENUS_OLD!J:J, "&gt;0")</f>
        <v>11</v>
      </c>
      <c r="T5" s="20">
        <f>ROUND((((COUNTIFS(DATA_WITH_GENUS_OLD!A:A,A5,DATA_WITH_GENUS_OLD!O:O,FALSE))/G5)*100),1)</f>
        <v>36.4</v>
      </c>
      <c r="U5" s="23">
        <f>SUMIFS(DATA_WITH_GENUS_OLD!J:J,DATA_WITH_GENUS_OLD!A:A,A5,DATA_WITH_GENUS_OLD!P:P,TRUE)</f>
        <v>4</v>
      </c>
      <c r="V5">
        <f>SUMIFS(DATA_WITH_GENUS_OLD!U:U,DATA_WITH_GENUS_OLD!A:A,A5)/100</f>
        <v>5.88</v>
      </c>
      <c r="W5" s="18">
        <f>COUNTIFS(DATA_WITH_GENUS_OLD!A:A,A5,DATA_WITH_GENUS_OLD!R:R,TRUE)</f>
        <v>2</v>
      </c>
      <c r="X5" s="18">
        <f>COUNTIFS(DATA_WITH_GENUS_OLD!A:A,A5,DATA_WITH_GENUS_OLD!S:S,2)</f>
        <v>0</v>
      </c>
      <c r="Y5">
        <f>COUNTIFS(DATA_WITH_GENUS_OLD!A:A,A5,DATA_WITH_GENUS_OLD!S:S,3)</f>
        <v>0</v>
      </c>
      <c r="Z5">
        <f t="shared" si="8"/>
        <v>7.1799104752077234</v>
      </c>
      <c r="AA5">
        <f t="shared" si="9"/>
        <v>17.317312590973746</v>
      </c>
      <c r="AB5">
        <f t="shared" si="10"/>
        <v>4.9224627788590398</v>
      </c>
      <c r="AC5">
        <f t="shared" si="11"/>
        <v>5.6504627788590405</v>
      </c>
      <c r="AD5" s="98">
        <f t="shared" si="12"/>
        <v>27.435309869474274</v>
      </c>
      <c r="AE5" t="str">
        <f t="shared" si="13"/>
        <v>Fair</v>
      </c>
      <c r="AH5" s="2"/>
    </row>
    <row r="6" spans="1:39">
      <c r="A6" t="str">
        <f t="shared" si="0"/>
        <v>SB4_2015-07-11</v>
      </c>
      <c r="B6" t="s">
        <v>58</v>
      </c>
      <c r="C6" s="3">
        <v>42196</v>
      </c>
      <c r="D6">
        <f>SUMIF(DATA_WITH_GENUS_OLD!A:A,A6,DATA_WITH_GENUS_OLD!F:F)</f>
        <v>147</v>
      </c>
      <c r="E6">
        <f>SUMIF(DATA_WITH_GENUS_OLD!A:A,A6,DATA_WITH_GENUS_OLD!J:J)</f>
        <v>100</v>
      </c>
      <c r="F6">
        <f>SUMIFS(DATA_WITH_GENUS_OLD!T:T,DATA_WITH_GENUS_OLD!A:A,A6)/100</f>
        <v>6.72</v>
      </c>
      <c r="G6" cm="1">
        <f t="array" ref="G6">COUNTA(_xlfn.UNIQUE(_xlfn._xlws.FILTER(DATA_WITH_GENUS_OLD!A:A&amp;DATA_WITH_GENUS_OLD!D:D&amp;DATA_WITH_GENUS_OLD!J:J,(DATA_WITH_GENUS_OLD!A:A = A6)*(DATA_WITH_GENUS_OLD!J:J&gt;0))))</f>
        <v>10</v>
      </c>
      <c r="H6">
        <f>COUNTIFS(DATA_WITH_GENUS_OLD!A:A,A6,DATA_WITH_GENUS_OLD!K:K,"~*")</f>
        <v>1</v>
      </c>
      <c r="I6">
        <f>COUNTIFS(DATA_WITH_GENUS_OLD!A:A,A6,DATA_WITH_GENUS_OLD!K:K,"~*")</f>
        <v>1</v>
      </c>
      <c r="J6">
        <f>_xlfn.MAXIFS(DATA_WITH_GENUS_OLD!J:J,DATA_WITH_GENUS_OLD!A:A,A6)</f>
        <v>54</v>
      </c>
      <c r="K6" s="18" t="str" cm="1">
        <f t="array" ref="K6">_xlfn._xlws.FILTER(DATA_WITH_GENUS_OLD!E:E,(DATA_WITH_GENUS_OLD!A:A=A6)*(DATA_WITH_GENUS_OLD!J:J=J6)*ROW(DATA_WITH_GENUS_OLD!E:E),0)</f>
        <v>Chironomus</v>
      </c>
      <c r="L6" s="11">
        <f t="shared" si="1"/>
        <v>3</v>
      </c>
      <c r="M6">
        <f t="shared" si="2"/>
        <v>3</v>
      </c>
      <c r="N6" s="13">
        <f t="shared" si="3"/>
        <v>0</v>
      </c>
      <c r="O6" s="14">
        <f t="shared" si="4"/>
        <v>3</v>
      </c>
      <c r="P6">
        <f t="shared" si="5"/>
        <v>3</v>
      </c>
      <c r="Q6" s="15">
        <f t="shared" si="6"/>
        <v>12</v>
      </c>
      <c r="R6" s="15" t="str">
        <f t="shared" si="7"/>
        <v>Moderately Impaired</v>
      </c>
      <c r="S6" s="15">
        <f>COUNTIFS(DATA_WITH_GENUS_OLD!A:A,A6,DATA_WITH_GENUS_OLD!J:J, "&gt;0")</f>
        <v>10</v>
      </c>
      <c r="T6" s="20">
        <f>ROUND((((COUNTIFS(DATA_WITH_GENUS_OLD!A:A,A6,DATA_WITH_GENUS_OLD!O:O,FALSE))/G6)*100),1)</f>
        <v>60</v>
      </c>
      <c r="U6" s="23">
        <f>SUMIFS(DATA_WITH_GENUS_OLD!J:J,DATA_WITH_GENUS_OLD!A:A,A6,DATA_WITH_GENUS_OLD!P:P,TRUE)</f>
        <v>3</v>
      </c>
      <c r="V6">
        <f>SUMIFS(DATA_WITH_GENUS_OLD!U:U,DATA_WITH_GENUS_OLD!A:A,A6)/100</f>
        <v>7.8</v>
      </c>
      <c r="W6" s="18">
        <f>COUNTIFS(DATA_WITH_GENUS_OLD!A:A,A6,DATA_WITH_GENUS_OLD!R:R,TRUE)</f>
        <v>3</v>
      </c>
      <c r="X6" s="18">
        <f>COUNTIFS(DATA_WITH_GENUS_OLD!A:A,A6,DATA_WITH_GENUS_OLD!S:S,2)</f>
        <v>0</v>
      </c>
      <c r="Y6">
        <f>COUNTIFS(DATA_WITH_GENUS_OLD!A:A,A6,DATA_WITH_GENUS_OLD!S:S,3)</f>
        <v>0</v>
      </c>
      <c r="Z6">
        <f t="shared" si="8"/>
        <v>6.1799104752077234</v>
      </c>
      <c r="AA6">
        <f t="shared" si="9"/>
        <v>16.317312590973746</v>
      </c>
      <c r="AB6">
        <f t="shared" si="10"/>
        <v>6.8424627788590415</v>
      </c>
      <c r="AC6">
        <f t="shared" si="11"/>
        <v>7.5704627788590404</v>
      </c>
      <c r="AD6" s="98">
        <f t="shared" si="12"/>
        <v>17.168344483294295</v>
      </c>
      <c r="AE6" t="str">
        <f t="shared" si="13"/>
        <v>Poor</v>
      </c>
    </row>
    <row r="7" spans="1:39">
      <c r="A7" t="str">
        <f t="shared" si="0"/>
        <v>SB4_2015-10-31</v>
      </c>
      <c r="B7" t="s">
        <v>58</v>
      </c>
      <c r="C7" s="3">
        <v>42308</v>
      </c>
      <c r="D7">
        <f>SUMIF(DATA_WITH_GENUS_OLD!A:A,A7,DATA_WITH_GENUS_OLD!F:F)</f>
        <v>113</v>
      </c>
      <c r="E7">
        <f>SUMIF(DATA_WITH_GENUS_OLD!A:A,A7,DATA_WITH_GENUS_OLD!J:J)</f>
        <v>100</v>
      </c>
      <c r="F7">
        <f>SUMIFS(DATA_WITH_GENUS_OLD!T:T,DATA_WITH_GENUS_OLD!A:A,A7)/100</f>
        <v>6.71</v>
      </c>
      <c r="G7" cm="1">
        <f t="array" ref="G7">COUNTA(_xlfn.UNIQUE(_xlfn._xlws.FILTER(DATA_WITH_GENUS_OLD!A:A&amp;DATA_WITH_GENUS_OLD!D:D&amp;DATA_WITH_GENUS_OLD!J:J,(DATA_WITH_GENUS_OLD!A:A = A7)*(DATA_WITH_GENUS_OLD!J:J&gt;0))))</f>
        <v>10</v>
      </c>
      <c r="H7">
        <f>COUNTIFS(DATA_WITH_GENUS_OLD!A:A,A7,DATA_WITH_GENUS_OLD!K:K,"~*")</f>
        <v>3</v>
      </c>
      <c r="I7">
        <f>COUNTIFS(DATA_WITH_GENUS_OLD!A:A,A7,DATA_WITH_GENUS_OLD!K:K,"~*")</f>
        <v>3</v>
      </c>
      <c r="J7">
        <f>_xlfn.MAXIFS(DATA_WITH_GENUS_OLD!J:J,DATA_WITH_GENUS_OLD!A:A,A7)</f>
        <v>29</v>
      </c>
      <c r="K7" s="18" t="str" cm="1">
        <f t="array" ref="K7">_xlfn._xlws.FILTER(DATA_WITH_GENUS_OLD!E:E,(DATA_WITH_GENUS_OLD!A:A=A7)*(DATA_WITH_GENUS_OLD!J:J=J7)*ROW(DATA_WITH_GENUS_OLD!E:E),0)</f>
        <v>Chironomus</v>
      </c>
      <c r="L7" s="11">
        <f t="shared" si="1"/>
        <v>3</v>
      </c>
      <c r="M7">
        <f t="shared" si="2"/>
        <v>3</v>
      </c>
      <c r="N7" s="13">
        <f t="shared" si="3"/>
        <v>3</v>
      </c>
      <c r="O7" s="14">
        <f t="shared" si="4"/>
        <v>3</v>
      </c>
      <c r="P7">
        <f t="shared" si="5"/>
        <v>6</v>
      </c>
      <c r="Q7" s="15">
        <f t="shared" si="6"/>
        <v>18</v>
      </c>
      <c r="R7" s="15" t="str">
        <f t="shared" si="7"/>
        <v>Moderately Impaired</v>
      </c>
      <c r="S7" s="15">
        <f>COUNTIFS(DATA_WITH_GENUS_OLD!A:A,A7,DATA_WITH_GENUS_OLD!J:J, "&gt;0")</f>
        <v>10</v>
      </c>
      <c r="T7" s="20">
        <f>ROUND((((COUNTIFS(DATA_WITH_GENUS_OLD!A:A,A7,DATA_WITH_GENUS_OLD!O:O,FALSE))/G7)*100),1)</f>
        <v>40</v>
      </c>
      <c r="U7" s="23">
        <f>SUMIFS(DATA_WITH_GENUS_OLD!J:J,DATA_WITH_GENUS_OLD!A:A,A7,DATA_WITH_GENUS_OLD!P:P,TRUE)</f>
        <v>6</v>
      </c>
      <c r="V7">
        <f>SUMIFS(DATA_WITH_GENUS_OLD!U:U,DATA_WITH_GENUS_OLD!A:A,A7)/100</f>
        <v>7.21</v>
      </c>
      <c r="W7" s="18">
        <f>COUNTIFS(DATA_WITH_GENUS_OLD!A:A,A7,DATA_WITH_GENUS_OLD!R:R,TRUE)</f>
        <v>3</v>
      </c>
      <c r="X7" s="18">
        <f>COUNTIFS(DATA_WITH_GENUS_OLD!A:A,A7,DATA_WITH_GENUS_OLD!S:S,2)</f>
        <v>0</v>
      </c>
      <c r="Y7">
        <f>COUNTIFS(DATA_WITH_GENUS_OLD!A:A,A7,DATA_WITH_GENUS_OLD!S:S,3)</f>
        <v>0</v>
      </c>
      <c r="Z7">
        <f t="shared" si="8"/>
        <v>6.1799104752077234</v>
      </c>
      <c r="AA7">
        <f t="shared" si="9"/>
        <v>19.317312590973746</v>
      </c>
      <c r="AB7">
        <f t="shared" si="10"/>
        <v>6.2524627788590417</v>
      </c>
      <c r="AC7">
        <f t="shared" si="11"/>
        <v>6.9804627788590405</v>
      </c>
      <c r="AD7" s="98">
        <f t="shared" si="12"/>
        <v>24.050332060934043</v>
      </c>
      <c r="AE7" t="str">
        <f t="shared" si="13"/>
        <v>Fair</v>
      </c>
    </row>
    <row r="8" spans="1:39">
      <c r="A8" t="str">
        <f t="shared" si="0"/>
        <v>SB4_2016-04-06</v>
      </c>
      <c r="B8" t="s">
        <v>58</v>
      </c>
      <c r="C8" s="3">
        <v>42466</v>
      </c>
      <c r="D8">
        <f>SUMIF(DATA_WITH_GENUS_OLD!A:A,A8,DATA_WITH_GENUS_OLD!F:F)</f>
        <v>109</v>
      </c>
      <c r="E8">
        <f>SUMIF(DATA_WITH_GENUS_OLD!A:A,A8,DATA_WITH_GENUS_OLD!J:J)</f>
        <v>100</v>
      </c>
      <c r="F8">
        <f>SUMIFS(DATA_WITH_GENUS_OLD!T:T,DATA_WITH_GENUS_OLD!A:A,A8)/100</f>
        <v>5.73</v>
      </c>
      <c r="G8" cm="1">
        <f t="array" ref="G8">COUNTA(_xlfn.UNIQUE(_xlfn._xlws.FILTER(DATA_WITH_GENUS_OLD!A:A&amp;DATA_WITH_GENUS_OLD!D:D&amp;DATA_WITH_GENUS_OLD!J:J,(DATA_WITH_GENUS_OLD!A:A = A8)*(DATA_WITH_GENUS_OLD!J:J&gt;0))))</f>
        <v>10</v>
      </c>
      <c r="H8">
        <f>COUNTIFS(DATA_WITH_GENUS_OLD!A:A,A8,DATA_WITH_GENUS_OLD!K:K,"~*")</f>
        <v>2</v>
      </c>
      <c r="I8">
        <f>COUNTIFS(DATA_WITH_GENUS_OLD!A:A,A8,DATA_WITH_GENUS_OLD!K:K,"~*")</f>
        <v>2</v>
      </c>
      <c r="J8">
        <f>_xlfn.MAXIFS(DATA_WITH_GENUS_OLD!J:J,DATA_WITH_GENUS_OLD!A:A,A8)</f>
        <v>26</v>
      </c>
      <c r="K8" s="18" t="s">
        <v>2696</v>
      </c>
      <c r="L8" s="11">
        <f t="shared" si="1"/>
        <v>3</v>
      </c>
      <c r="M8">
        <f t="shared" si="2"/>
        <v>3</v>
      </c>
      <c r="N8" s="13">
        <f t="shared" si="3"/>
        <v>0</v>
      </c>
      <c r="O8" s="14">
        <f t="shared" si="4"/>
        <v>3</v>
      </c>
      <c r="P8">
        <f t="shared" si="5"/>
        <v>6</v>
      </c>
      <c r="Q8" s="15">
        <f t="shared" si="6"/>
        <v>15</v>
      </c>
      <c r="R8" s="15" t="str">
        <f t="shared" si="7"/>
        <v>Moderately Impaired</v>
      </c>
      <c r="S8" s="15">
        <f>COUNTIFS(DATA_WITH_GENUS_OLD!A:A,A8,DATA_WITH_GENUS_OLD!J:J, "&gt;0")</f>
        <v>10</v>
      </c>
      <c r="T8" s="20">
        <f>ROUND((((COUNTIFS(DATA_WITH_GENUS_OLD!A:A,A8,DATA_WITH_GENUS_OLD!O:O,FALSE))/G8)*100),1)</f>
        <v>40</v>
      </c>
      <c r="U8" s="23">
        <f>SUMIFS(DATA_WITH_GENUS_OLD!J:J,DATA_WITH_GENUS_OLD!A:A,A8,DATA_WITH_GENUS_OLD!P:P,TRUE)</f>
        <v>7</v>
      </c>
      <c r="V8">
        <f>SUMIFS(DATA_WITH_GENUS_OLD!U:U,DATA_WITH_GENUS_OLD!A:A,A8)/100</f>
        <v>5.91</v>
      </c>
      <c r="W8" s="18">
        <f>COUNTIFS(DATA_WITH_GENUS_OLD!A:A,A8,DATA_WITH_GENUS_OLD!R:R,TRUE)</f>
        <v>4</v>
      </c>
      <c r="X8" s="18">
        <f>COUNTIFS(DATA_WITH_GENUS_OLD!A:A,A8,DATA_WITH_GENUS_OLD!S:S,2)</f>
        <v>0</v>
      </c>
      <c r="Y8">
        <f>COUNTIFS(DATA_WITH_GENUS_OLD!A:A,A8,DATA_WITH_GENUS_OLD!S:S,3)</f>
        <v>0</v>
      </c>
      <c r="Z8">
        <f t="shared" si="8"/>
        <v>6.1799104752077234</v>
      </c>
      <c r="AA8">
        <f t="shared" si="9"/>
        <v>20.317312590973746</v>
      </c>
      <c r="AB8">
        <f t="shared" si="10"/>
        <v>4.952462778859041</v>
      </c>
      <c r="AC8">
        <f t="shared" si="11"/>
        <v>5.6804627788590416</v>
      </c>
      <c r="AD8" s="98">
        <f t="shared" si="12"/>
        <v>26.606326790841823</v>
      </c>
      <c r="AE8" t="str">
        <f t="shared" si="13"/>
        <v>Fair</v>
      </c>
    </row>
    <row r="9" spans="1:39">
      <c r="A9" t="str">
        <f t="shared" si="0"/>
        <v>SB4_2016-07-16</v>
      </c>
      <c r="B9" t="s">
        <v>58</v>
      </c>
      <c r="C9" s="3">
        <v>42567</v>
      </c>
      <c r="D9">
        <f>SUMIF(DATA_WITH_GENUS_OLD!A:A,A9,DATA_WITH_GENUS_OLD!F:F)</f>
        <v>121</v>
      </c>
      <c r="E9">
        <f>SUMIF(DATA_WITH_GENUS_OLD!A:A,A9,DATA_WITH_GENUS_OLD!J:J)</f>
        <v>100</v>
      </c>
      <c r="F9">
        <f>SUMIFS(DATA_WITH_GENUS_OLD!T:T,DATA_WITH_GENUS_OLD!A:A,A9)/100</f>
        <v>7.21</v>
      </c>
      <c r="G9" cm="1">
        <f t="array" ref="G9">COUNTA(_xlfn.UNIQUE(_xlfn._xlws.FILTER(DATA_WITH_GENUS_OLD!A:A&amp;DATA_WITH_GENUS_OLD!D:D&amp;DATA_WITH_GENUS_OLD!J:J,(DATA_WITH_GENUS_OLD!A:A = A9)*(DATA_WITH_GENUS_OLD!J:J&gt;0))))</f>
        <v>10</v>
      </c>
      <c r="H9">
        <f>COUNTIFS(DATA_WITH_GENUS_OLD!A:A,A9,DATA_WITH_GENUS_OLD!K:K,"~*")</f>
        <v>1</v>
      </c>
      <c r="I9">
        <f>COUNTIFS(DATA_WITH_GENUS_OLD!A:A,A9,DATA_WITH_GENUS_OLD!K:K,"~*")</f>
        <v>1</v>
      </c>
      <c r="J9">
        <f>_xlfn.MAXIFS(DATA_WITH_GENUS_OLD!J:J,DATA_WITH_GENUS_OLD!A:A,A9)</f>
        <v>72</v>
      </c>
      <c r="K9" s="18" t="str" cm="1">
        <f t="array" ref="K9">_xlfn._xlws.FILTER(DATA_WITH_GENUS_OLD!E:E,(DATA_WITH_GENUS_OLD!A:A=A9)*(DATA_WITH_GENUS_OLD!J:J=J9)*ROW(DATA_WITH_GENUS_OLD!E:E),0)</f>
        <v>Chironomus</v>
      </c>
      <c r="L9" s="11">
        <f t="shared" si="1"/>
        <v>0</v>
      </c>
      <c r="M9">
        <f t="shared" si="2"/>
        <v>3</v>
      </c>
      <c r="N9" s="13">
        <f t="shared" si="3"/>
        <v>0</v>
      </c>
      <c r="O9" s="14">
        <f t="shared" si="4"/>
        <v>3</v>
      </c>
      <c r="P9">
        <f t="shared" si="5"/>
        <v>0</v>
      </c>
      <c r="Q9" s="15">
        <f t="shared" si="6"/>
        <v>6</v>
      </c>
      <c r="R9" s="15" t="str">
        <f t="shared" si="7"/>
        <v>Severally Impaired</v>
      </c>
      <c r="S9" s="15">
        <f>COUNTIFS(DATA_WITH_GENUS_OLD!A:A,A9,DATA_WITH_GENUS_OLD!J:J, "&gt;0")</f>
        <v>10</v>
      </c>
      <c r="T9" s="20">
        <f>ROUND((((COUNTIFS(DATA_WITH_GENUS_OLD!A:A,A9,DATA_WITH_GENUS_OLD!O:O,FALSE))/G9)*100),1)</f>
        <v>60</v>
      </c>
      <c r="U9" s="23">
        <f>SUMIFS(DATA_WITH_GENUS_OLD!J:J,DATA_WITH_GENUS_OLD!A:A,A9,DATA_WITH_GENUS_OLD!P:P,TRUE)</f>
        <v>1</v>
      </c>
      <c r="V9">
        <f>SUMIFS(DATA_WITH_GENUS_OLD!U:U,DATA_WITH_GENUS_OLD!A:A,A9)/100</f>
        <v>8.65</v>
      </c>
      <c r="W9" s="18">
        <f>COUNTIFS(DATA_WITH_GENUS_OLD!A:A,A9,DATA_WITH_GENUS_OLD!R:R,TRUE)</f>
        <v>4</v>
      </c>
      <c r="X9" s="18">
        <f>COUNTIFS(DATA_WITH_GENUS_OLD!A:A,A9,DATA_WITH_GENUS_OLD!S:S,2)</f>
        <v>0</v>
      </c>
      <c r="Y9">
        <f>COUNTIFS(DATA_WITH_GENUS_OLD!A:A,A9,DATA_WITH_GENUS_OLD!S:S,3)</f>
        <v>0</v>
      </c>
      <c r="Z9">
        <f t="shared" si="8"/>
        <v>6.1799104752077234</v>
      </c>
      <c r="AA9">
        <f t="shared" si="9"/>
        <v>14.317312590973746</v>
      </c>
      <c r="AB9">
        <f t="shared" si="10"/>
        <v>7.6924627788590412</v>
      </c>
      <c r="AC9">
        <f t="shared" si="11"/>
        <v>8.42046277885904</v>
      </c>
      <c r="AD9" s="98">
        <f t="shared" si="12"/>
        <v>15.218410359447128</v>
      </c>
      <c r="AE9" t="str">
        <f t="shared" si="13"/>
        <v>Poor</v>
      </c>
    </row>
    <row r="10" spans="1:39">
      <c r="A10" t="str">
        <f t="shared" si="0"/>
        <v>SB4_2016-10-04</v>
      </c>
      <c r="B10" t="s">
        <v>58</v>
      </c>
      <c r="C10" s="3">
        <v>42647</v>
      </c>
      <c r="D10">
        <f>SUMIF(DATA_WITH_GENUS_OLD!A:A,A10,DATA_WITH_GENUS_OLD!F:F)</f>
        <v>108</v>
      </c>
      <c r="E10">
        <f>SUMIF(DATA_WITH_GENUS_OLD!A:A,A10,DATA_WITH_GENUS_OLD!J:J)</f>
        <v>100</v>
      </c>
      <c r="F10">
        <f>SUMIFS(DATA_WITH_GENUS_OLD!T:T,DATA_WITH_GENUS_OLD!A:A,A10)/100</f>
        <v>6.91</v>
      </c>
      <c r="G10" cm="1">
        <f t="array" ref="G10">COUNTA(_xlfn.UNIQUE(_xlfn._xlws.FILTER(DATA_WITH_GENUS_OLD!A:A&amp;DATA_WITH_GENUS_OLD!D:D&amp;DATA_WITH_GENUS_OLD!J:J,(DATA_WITH_GENUS_OLD!A:A = A10)*(DATA_WITH_GENUS_OLD!J:J&gt;0))))</f>
        <v>10</v>
      </c>
      <c r="H10">
        <f>COUNTIFS(DATA_WITH_GENUS_OLD!A:A,A10,DATA_WITH_GENUS_OLD!K:K,"~*")</f>
        <v>1</v>
      </c>
      <c r="I10">
        <f>COUNTIFS(DATA_WITH_GENUS_OLD!A:A,A10,DATA_WITH_GENUS_OLD!K:K,"~*")</f>
        <v>1</v>
      </c>
      <c r="J10">
        <f>_xlfn.MAXIFS(DATA_WITH_GENUS_OLD!J:J,DATA_WITH_GENUS_OLD!A:A,A10)</f>
        <v>35</v>
      </c>
      <c r="K10" s="18" t="str" cm="1">
        <f t="array" ref="K10">_xlfn._xlws.FILTER(DATA_WITH_GENUS_OLD!E:E,(DATA_WITH_GENUS_OLD!A:A=A10)*(DATA_WITH_GENUS_OLD!J:J=J10)*ROW(DATA_WITH_GENUS_OLD!E:E),0)</f>
        <v>Chironomus</v>
      </c>
      <c r="L10" s="11">
        <f t="shared" si="1"/>
        <v>3</v>
      </c>
      <c r="M10">
        <f t="shared" si="2"/>
        <v>3</v>
      </c>
      <c r="N10" s="13">
        <f t="shared" si="3"/>
        <v>0</v>
      </c>
      <c r="O10" s="14">
        <f t="shared" si="4"/>
        <v>3</v>
      </c>
      <c r="P10">
        <f t="shared" si="5"/>
        <v>6</v>
      </c>
      <c r="Q10" s="15">
        <f t="shared" si="6"/>
        <v>15</v>
      </c>
      <c r="R10" s="15" t="str">
        <f t="shared" si="7"/>
        <v>Moderately Impaired</v>
      </c>
      <c r="S10" s="15">
        <f>COUNTIFS(DATA_WITH_GENUS_OLD!A:A,A10,DATA_WITH_GENUS_OLD!J:J, "&gt;0")</f>
        <v>10</v>
      </c>
      <c r="T10" s="20">
        <f>ROUND((((COUNTIFS(DATA_WITH_GENUS_OLD!A:A,A10,DATA_WITH_GENUS_OLD!O:O,FALSE))/G10)*100),1)</f>
        <v>50</v>
      </c>
      <c r="U10" s="23">
        <f>SUMIFS(DATA_WITH_GENUS_OLD!J:J,DATA_WITH_GENUS_OLD!A:A,A10,DATA_WITH_GENUS_OLD!P:P,TRUE)</f>
        <v>4</v>
      </c>
      <c r="V10">
        <f>SUMIFS(DATA_WITH_GENUS_OLD!U:U,DATA_WITH_GENUS_OLD!A:A,A10)/100</f>
        <v>7.61</v>
      </c>
      <c r="W10" s="18">
        <f>COUNTIFS(DATA_WITH_GENUS_OLD!A:A,A10,DATA_WITH_GENUS_OLD!R:R,TRUE)</f>
        <v>4</v>
      </c>
      <c r="X10" s="18">
        <f>COUNTIFS(DATA_WITH_GENUS_OLD!A:A,A10,DATA_WITH_GENUS_OLD!S:S,2)</f>
        <v>0</v>
      </c>
      <c r="Y10">
        <f>COUNTIFS(DATA_WITH_GENUS_OLD!A:A,A10,DATA_WITH_GENUS_OLD!S:S,3)</f>
        <v>0</v>
      </c>
      <c r="Z10">
        <f t="shared" si="8"/>
        <v>6.1799104752077234</v>
      </c>
      <c r="AA10">
        <f t="shared" si="9"/>
        <v>17.317312590973746</v>
      </c>
      <c r="AB10">
        <f t="shared" si="10"/>
        <v>6.6524627788590402</v>
      </c>
      <c r="AC10">
        <f t="shared" si="11"/>
        <v>7.3804627788590409</v>
      </c>
      <c r="AD10" s="98">
        <f t="shared" si="12"/>
        <v>20.316095283219017</v>
      </c>
      <c r="AE10" t="str">
        <f t="shared" si="13"/>
        <v>Poor</v>
      </c>
    </row>
    <row r="11" spans="1:39">
      <c r="A11" t="str">
        <f t="shared" si="0"/>
        <v>SB4_2017-07-04</v>
      </c>
      <c r="B11" t="s">
        <v>58</v>
      </c>
      <c r="C11" s="3">
        <v>42920</v>
      </c>
      <c r="D11">
        <f>SUMIF(DATA_WITH_GENUS_OLD!A:A,A11,DATA_WITH_GENUS_OLD!F:F)</f>
        <v>95</v>
      </c>
      <c r="E11">
        <f>SUMIF(DATA_WITH_GENUS_OLD!A:A,A11,DATA_WITH_GENUS_OLD!J:J)</f>
        <v>95</v>
      </c>
      <c r="F11">
        <f>SUMIFS(DATA_WITH_GENUS_OLD!T:T,DATA_WITH_GENUS_OLD!A:A,A11)/100</f>
        <v>5.76</v>
      </c>
      <c r="G11" cm="1">
        <f t="array" ref="G11">COUNTA(_xlfn.UNIQUE(_xlfn._xlws.FILTER(DATA_WITH_GENUS_OLD!A:A&amp;DATA_WITH_GENUS_OLD!D:D&amp;DATA_WITH_GENUS_OLD!J:J,(DATA_WITH_GENUS_OLD!A:A = A11)*(DATA_WITH_GENUS_OLD!J:J&gt;0))))</f>
        <v>10</v>
      </c>
      <c r="H11">
        <f>COUNTIFS(DATA_WITH_GENUS_OLD!A:A,A11,DATA_WITH_GENUS_OLD!K:K,"~*")</f>
        <v>0</v>
      </c>
      <c r="I11">
        <f>COUNTIFS(DATA_WITH_GENUS_OLD!A:A,A11,DATA_WITH_GENUS_OLD!K:K,"~*")</f>
        <v>0</v>
      </c>
      <c r="J11">
        <f>_xlfn.MAXIFS(DATA_WITH_GENUS_OLD!J:J,DATA_WITH_GENUS_OLD!A:A,A11)</f>
        <v>27</v>
      </c>
      <c r="K11" s="18" t="str" cm="1">
        <f t="array" ref="K11">_xlfn._xlws.FILTER(DATA_WITH_GENUS_OLD!E:E,(DATA_WITH_GENUS_OLD!A:A=A11)*(DATA_WITH_GENUS_OLD!J:J=J11)*ROW(DATA_WITH_GENUS_OLD!E:E),0)</f>
        <v>Gammaridae</v>
      </c>
      <c r="L11" s="11">
        <f t="shared" si="1"/>
        <v>3</v>
      </c>
      <c r="M11">
        <f t="shared" si="2"/>
        <v>3</v>
      </c>
      <c r="N11" s="13">
        <f t="shared" si="3"/>
        <v>0</v>
      </c>
      <c r="O11" s="14">
        <f t="shared" si="4"/>
        <v>0</v>
      </c>
      <c r="P11">
        <f t="shared" si="5"/>
        <v>6</v>
      </c>
      <c r="Q11" s="15">
        <f t="shared" si="6"/>
        <v>12</v>
      </c>
      <c r="R11" s="15" t="str">
        <f t="shared" si="7"/>
        <v>Moderately Impaired</v>
      </c>
      <c r="S11" s="15">
        <f>COUNTIFS(DATA_WITH_GENUS_OLD!A:A,A11,DATA_WITH_GENUS_OLD!J:J, "&gt;0")</f>
        <v>10</v>
      </c>
      <c r="T11" s="20">
        <f>ROUND((((COUNTIFS(DATA_WITH_GENUS_OLD!A:A,A11,DATA_WITH_GENUS_OLD!O:O,FALSE))/G11)*100),1)</f>
        <v>70</v>
      </c>
      <c r="U11" s="23">
        <f>SUMIFS(DATA_WITH_GENUS_OLD!J:J,DATA_WITH_GENUS_OLD!A:A,A11,DATA_WITH_GENUS_OLD!P:P,TRUE)</f>
        <v>0</v>
      </c>
      <c r="V11">
        <f>SUMIFS(DATA_WITH_GENUS_OLD!U:U,DATA_WITH_GENUS_OLD!A:A,A11)/100</f>
        <v>5.88</v>
      </c>
      <c r="W11" s="18">
        <f>COUNTIFS(DATA_WITH_GENUS_OLD!A:A,A11,DATA_WITH_GENUS_OLD!R:R,TRUE)</f>
        <v>3</v>
      </c>
      <c r="X11" s="18">
        <f>COUNTIFS(DATA_WITH_GENUS_OLD!A:A,A11,DATA_WITH_GENUS_OLD!S:S,2)</f>
        <v>0</v>
      </c>
      <c r="Y11">
        <f>COUNTIFS(DATA_WITH_GENUS_OLD!A:A,A11,DATA_WITH_GENUS_OLD!S:S,3)</f>
        <v>0</v>
      </c>
      <c r="Z11">
        <f t="shared" si="8"/>
        <v>6.1799104752077234</v>
      </c>
      <c r="AA11">
        <f t="shared" si="9"/>
        <v>13.317312590973746</v>
      </c>
      <c r="AB11">
        <f t="shared" si="10"/>
        <v>4.9224627788590398</v>
      </c>
      <c r="AC11">
        <f t="shared" si="11"/>
        <v>5.6504627788590405</v>
      </c>
      <c r="AD11" s="98">
        <f t="shared" si="12"/>
        <v>17.419050299217506</v>
      </c>
      <c r="AE11" t="str">
        <f t="shared" si="13"/>
        <v>Poor</v>
      </c>
    </row>
  </sheetData>
  <phoneticPr fontId="2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1189D-3177-4CCB-9783-B240CAB5C617}">
  <sheetPr>
    <tabColor rgb="FFFF0000"/>
  </sheetPr>
  <dimension ref="A1:AM9"/>
  <sheetViews>
    <sheetView workbookViewId="0">
      <selection activeCell="B2" sqref="B2:C9"/>
    </sheetView>
  </sheetViews>
  <sheetFormatPr baseColWidth="10" defaultColWidth="8.83203125" defaultRowHeight="15"/>
  <cols>
    <col min="1" max="1" width="16.6640625" customWidth="1"/>
    <col min="3" max="5" width="13.33203125" customWidth="1"/>
    <col min="6" max="6" width="8.83203125" style="98"/>
    <col min="7" max="7" width="11.1640625" customWidth="1"/>
    <col min="8" max="8" width="9.6640625" customWidth="1"/>
    <col min="9" max="9" width="11.1640625" customWidth="1"/>
    <col min="10" max="10" width="11.83203125" customWidth="1"/>
    <col min="11" max="11" width="19.5" customWidth="1"/>
    <col min="13" max="13" width="10.83203125" customWidth="1"/>
    <col min="15" max="15" width="11.83203125" customWidth="1"/>
    <col min="16" max="16" width="12.33203125" customWidth="1"/>
    <col min="17" max="17" width="8.83203125" style="98"/>
    <col min="18" max="18" width="18" customWidth="1"/>
    <col min="19" max="19" width="13.33203125" customWidth="1"/>
    <col min="20" max="20" width="15.1640625" customWidth="1"/>
    <col min="21" max="21" width="14.1640625" customWidth="1"/>
    <col min="22" max="22" width="11" customWidth="1"/>
    <col min="23" max="23" width="11.6640625" customWidth="1"/>
    <col min="24" max="24" width="10.83203125" customWidth="1"/>
    <col min="25" max="25" width="11.33203125" customWidth="1"/>
    <col min="26" max="26" width="16" customWidth="1"/>
    <col min="27" max="27" width="14.33203125" customWidth="1"/>
    <col min="28" max="28" width="11.33203125" customWidth="1"/>
    <col min="29" max="29" width="12.5" customWidth="1"/>
    <col min="30" max="30" width="13.1640625" style="98" customWidth="1"/>
    <col min="31" max="31" width="13.1640625" customWidth="1"/>
    <col min="32" max="32" width="9.5" customWidth="1"/>
    <col min="33" max="33" width="9.33203125" bestFit="1" customWidth="1"/>
    <col min="34" max="34" width="13.83203125" customWidth="1"/>
    <col min="35" max="35" width="11.6640625" customWidth="1"/>
    <col min="36" max="36" width="14.1640625" customWidth="1"/>
    <col min="37" max="37" width="14.33203125" customWidth="1"/>
    <col min="38" max="38" width="13.5" style="98" customWidth="1"/>
    <col min="39" max="39" width="12" customWidth="1"/>
  </cols>
  <sheetData>
    <row r="1" spans="1:39" s="58" customFormat="1" ht="48">
      <c r="A1" s="48" t="s">
        <v>0</v>
      </c>
      <c r="B1" s="49" t="s">
        <v>1</v>
      </c>
      <c r="C1" s="49" t="s">
        <v>2</v>
      </c>
      <c r="D1" s="48" t="s">
        <v>3</v>
      </c>
      <c r="E1" s="48" t="s">
        <v>4</v>
      </c>
      <c r="F1" s="96" t="s">
        <v>5</v>
      </c>
      <c r="G1" s="50" t="s">
        <v>6</v>
      </c>
      <c r="H1" s="51" t="s">
        <v>7</v>
      </c>
      <c r="I1" s="50" t="s">
        <v>8</v>
      </c>
      <c r="J1" s="52" t="s">
        <v>9</v>
      </c>
      <c r="K1" s="53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99" t="s">
        <v>16</v>
      </c>
      <c r="R1" s="17" t="s">
        <v>17</v>
      </c>
      <c r="S1" s="40" t="s">
        <v>31</v>
      </c>
      <c r="T1" s="53" t="s">
        <v>32</v>
      </c>
      <c r="U1" s="53" t="s">
        <v>33</v>
      </c>
      <c r="V1" s="52" t="s">
        <v>21</v>
      </c>
      <c r="W1" s="51" t="s">
        <v>34</v>
      </c>
      <c r="X1" s="51" t="s">
        <v>35</v>
      </c>
      <c r="Y1" s="51" t="s">
        <v>36</v>
      </c>
      <c r="Z1" s="54" t="s">
        <v>37</v>
      </c>
      <c r="AA1" s="55" t="s">
        <v>39</v>
      </c>
      <c r="AB1" s="56" t="s">
        <v>40</v>
      </c>
      <c r="AC1" s="55" t="s">
        <v>2637</v>
      </c>
      <c r="AD1" s="101" t="s">
        <v>41</v>
      </c>
      <c r="AE1" s="54" t="s">
        <v>42</v>
      </c>
      <c r="AF1" s="51" t="s">
        <v>43</v>
      </c>
      <c r="AG1" s="51" t="s">
        <v>44</v>
      </c>
      <c r="AH1" s="108" t="s">
        <v>33</v>
      </c>
      <c r="AI1" s="51" t="s">
        <v>45</v>
      </c>
      <c r="AJ1" s="57" t="s">
        <v>46</v>
      </c>
      <c r="AK1" s="54" t="s">
        <v>47</v>
      </c>
      <c r="AL1" s="101" t="s">
        <v>48</v>
      </c>
      <c r="AM1" s="54" t="s">
        <v>42</v>
      </c>
    </row>
    <row r="2" spans="1:39">
      <c r="A2" t="str">
        <f t="shared" ref="A2:A9" si="0">B2&amp;"_"&amp;TEXT(C2,"yyyy-mm-dd")</f>
        <v>SB5_2014-03-14</v>
      </c>
      <c r="B2" t="s">
        <v>59</v>
      </c>
      <c r="C2" s="36">
        <v>41712</v>
      </c>
      <c r="D2">
        <f>SUMIF(DATA_WITH_GENUS_OLD!A:A,A2,DATA_WITH_GENUS_OLD!F:F)</f>
        <v>108</v>
      </c>
      <c r="E2">
        <f>SUMIF(DATA_WITH_GENUS_OLD!A:A,A2,DATA_WITH_GENUS_OLD!J:J)</f>
        <v>100</v>
      </c>
      <c r="F2" s="98">
        <f>SUMIFS(DATA_WITH_GENUS_OLD!T:T,DATA_WITH_GENUS_OLD!A:A,A2)/100</f>
        <v>4.26</v>
      </c>
      <c r="G2" cm="1">
        <f t="array" ref="G2">COUNTA(_xlfn.UNIQUE(_xlfn._xlws.FILTER(DATA_WITH_GENUS_OLD!A:A&amp;DATA_WITH_GENUS_OLD!D:D&amp;DATA_WITH_GENUS_OLD!J:J,(DATA_WITH_GENUS_OLD!A:A = A2)*(DATA_WITH_GENUS_OLD!J:J&gt;0))))</f>
        <v>11</v>
      </c>
      <c r="H2">
        <f>COUNTIFS(DATA_WITH_GENUS_OLD!A:A,A2,DATA_WITH_GENUS_OLD!K:K,"~*")</f>
        <v>3</v>
      </c>
      <c r="I2">
        <f>COUNTIFS(DATA_WITH_GENUS_OLD!A:A,A2,DATA_WITH_GENUS_OLD!K:K,"~*")</f>
        <v>3</v>
      </c>
      <c r="J2">
        <f>_xlfn.MAXIFS(DATA_WITH_GENUS_OLD!J:J,DATA_WITH_GENUS_OLD!A:A,A2)</f>
        <v>78</v>
      </c>
      <c r="K2" s="18" t="str" cm="1">
        <f t="array" ref="K2">_xlfn._xlws.FILTER(DATA_WITH_GENUS_OLD!E:E,(DATA_WITH_GENUS_OLD!A:A=A2)*(DATA_WITH_GENUS_OLD!J:J=J2)*ROW(DATA_WITH_GENUS_OLD!E:E),0)</f>
        <v>Gammaridae</v>
      </c>
      <c r="L2" s="11">
        <f>IF(F2="","",IF(F2&gt;7,0,IF(F2&lt;5,6,IF(F2&lt;=7,3))))</f>
        <v>6</v>
      </c>
      <c r="M2">
        <f>IF(G2="","",IF(G2&gt;10,6,IF(G2&lt;5,0,IF(G2&lt;=10,3))))</f>
        <v>6</v>
      </c>
      <c r="N2" s="13">
        <f>IF(H2="","",IF(H2&gt;5,6,IF(H2&lt;3,0,IF(H2&lt;=5,3))))</f>
        <v>3</v>
      </c>
      <c r="O2" s="14">
        <f>IF(I2="","",IF(I2&gt;35,6,IF(I2&lt;1,0,IF(I2&lt;=35,3,IF(I2&lt;1,0)))))</f>
        <v>3</v>
      </c>
      <c r="P2">
        <f>IF(J2="","",IF(J2&gt;60,0,IF(J2&lt;40,6,IF(J2&lt;=60,3))))</f>
        <v>0</v>
      </c>
      <c r="Q2" s="100">
        <f>SUM(L2:P2)</f>
        <v>18</v>
      </c>
      <c r="R2" s="15" t="str">
        <f>IF(Q2&gt;=24, "Non-Impaired", IF(Q2&lt;=6, "Severally Impaired", IF(Q2&gt;=9, "Moderately Impaired","")))</f>
        <v>Moderately Impaired</v>
      </c>
      <c r="S2" s="15">
        <f>COUNTIFS(DATA_WITH_GENUS_OLD!A:A,A2,DATA_WITH_GENUS_OLD!J:J, "&gt;0")</f>
        <v>11</v>
      </c>
      <c r="T2" s="20">
        <f>ROUND((((COUNTIFS(DATA_WITH_GENUS_OLD!A:A,A2,DATA_WITH_GENUS_OLD!O:O,FALSE))/G2)*100),1)</f>
        <v>45.5</v>
      </c>
      <c r="U2" s="23">
        <f>SUMIFS(DATA_WITH_GENUS_OLD!J:J,DATA_WITH_GENUS_OLD!A:A,A2,DATA_WITH_GENUS_OLD!P:P,TRUE)</f>
        <v>5</v>
      </c>
      <c r="V2">
        <f>SUMIFS(DATA_WITH_GENUS_OLD!U:U,DATA_WITH_GENUS_OLD!A:A,A2)/100</f>
        <v>4.24</v>
      </c>
      <c r="W2" s="18">
        <f>COUNTIFS(DATA_WITH_GENUS_OLD!A:A,A2,DATA_WITH_GENUS_OLD!R:R,TRUE)</f>
        <v>2</v>
      </c>
      <c r="X2" s="18">
        <f>COUNTIFS(DATA_WITH_GENUS_OLD!A:A,A2,DATA_WITH_GENUS_OLD!S:S,2)</f>
        <v>1</v>
      </c>
      <c r="Y2">
        <f>COUNTIFS(DATA_WITH_GENUS_OLD!A:A,A2,DATA_WITH_GENUS_OLD!S:S,3)</f>
        <v>0</v>
      </c>
      <c r="Z2">
        <f>S2+26.53-(22.776+4.173*(LOG10(41.80403024)))</f>
        <v>7.9886566465911208</v>
      </c>
      <c r="AA2">
        <f>(U2)+37.49-(49.22-13.8*(LOG10(41.80403024)))</f>
        <v>15.642810514508167</v>
      </c>
      <c r="AB2">
        <f>V2 + 4.23-(3.407+0.981*(LOG10(41.80403024)))</f>
        <v>3.4725849916860509</v>
      </c>
      <c r="AC2">
        <f>V2 + 5.44-(3.889+0.981*(LOG10(41.80403024)))</f>
        <v>4.2005849916860498</v>
      </c>
      <c r="AD2" s="98">
        <f>((100*Z2/31)+(100*(60-T2)/55)+(100*AA2/69)+(100*(7.2-AB2)/4.6)+(100*AC2/11)+(100*X2/8)+(100*Y2/8))/7</f>
        <v>29.503161961198195</v>
      </c>
      <c r="AE2" t="str">
        <f>IF(AD2&gt;=63, "Excellent", IF(AD2&lt;21, "Poor", IF(AD2&lt;42, "Fair","Good")))</f>
        <v>Fair</v>
      </c>
      <c r="AH2" s="47"/>
    </row>
    <row r="3" spans="1:39">
      <c r="A3" t="str">
        <f t="shared" si="0"/>
        <v>SB5_2014-07-23</v>
      </c>
      <c r="B3" t="s">
        <v>59</v>
      </c>
      <c r="C3" s="3">
        <v>41843</v>
      </c>
      <c r="D3">
        <f>SUMIF(DATA_WITH_GENUS_OLD!A:A,A3,DATA_WITH_GENUS_OLD!F:F)</f>
        <v>22</v>
      </c>
      <c r="K3" s="18"/>
      <c r="L3" s="11"/>
      <c r="N3" s="13"/>
      <c r="O3" s="14"/>
      <c r="Q3" s="100"/>
      <c r="R3" s="15"/>
      <c r="S3" s="15"/>
      <c r="T3" s="20"/>
      <c r="U3" s="23"/>
      <c r="W3" s="18"/>
      <c r="X3" s="18"/>
      <c r="AK3" t="str">
        <f>IF(AH3="","",(AH3+35.15)-(45.59-(11.59*LOG10(16.73739082))))</f>
        <v/>
      </c>
    </row>
    <row r="4" spans="1:39">
      <c r="A4" t="str">
        <f t="shared" si="0"/>
        <v>SB5_2015-10-17</v>
      </c>
      <c r="B4" t="s">
        <v>59</v>
      </c>
      <c r="C4" s="3">
        <v>42294</v>
      </c>
      <c r="D4">
        <f>SUMIF(DATA_WITH_GENUS_OLD!A:A,A4,DATA_WITH_GENUS_OLD!F:F)</f>
        <v>104</v>
      </c>
      <c r="E4">
        <f>SUMIF(DATA_WITH_GENUS_OLD!A:A,A4,DATA_WITH_GENUS_OLD!J:J)</f>
        <v>100</v>
      </c>
      <c r="F4" s="98">
        <f>SUMIFS(DATA_WITH_GENUS_OLD!T:T,DATA_WITH_GENUS_OLD!A:A,A4)/100</f>
        <v>4.37</v>
      </c>
      <c r="G4" cm="1">
        <f t="array" ref="G4">COUNTA(_xlfn.UNIQUE(_xlfn._xlws.FILTER(DATA_WITH_GENUS_OLD!A:A&amp;DATA_WITH_GENUS_OLD!D:D&amp;DATA_WITH_GENUS_OLD!J:J,(DATA_WITH_GENUS_OLD!A:A = A4)*(DATA_WITH_GENUS_OLD!J:J&gt;0))))</f>
        <v>23</v>
      </c>
      <c r="H4">
        <f>COUNTIFS(DATA_WITH_GENUS_OLD!A:A,A4,DATA_WITH_GENUS_OLD!K:K,"~*")</f>
        <v>8</v>
      </c>
      <c r="I4">
        <f>COUNTIFS(DATA_WITH_GENUS_OLD!A:A,A4,DATA_WITH_GENUS_OLD!K:K,"~*")</f>
        <v>8</v>
      </c>
      <c r="J4">
        <f>_xlfn.MAXIFS(DATA_WITH_GENUS_OLD!J:J,DATA_WITH_GENUS_OLD!A:A,A4)</f>
        <v>33</v>
      </c>
      <c r="K4" s="18" t="str" cm="1">
        <f t="array" ref="K4">_xlfn._xlws.FILTER(DATA_WITH_GENUS_OLD!E:E,(DATA_WITH_GENUS_OLD!A:A=A4)*(DATA_WITH_GENUS_OLD!J:J=J4)*ROW(DATA_WITH_GENUS_OLD!E:E),0)</f>
        <v>Psephenidae</v>
      </c>
      <c r="L4" s="11">
        <f t="shared" ref="L4:L8" si="1">IF(F4="","",IF(F4&gt;7,0,IF(F4&lt;5,6,IF(F4&lt;=7,3))))</f>
        <v>6</v>
      </c>
      <c r="M4">
        <f t="shared" ref="M4:M8" si="2">IF(G4="","",IF(G4&gt;10,6,IF(G4&lt;5,0,IF(G4&lt;=10,3))))</f>
        <v>6</v>
      </c>
      <c r="N4" s="13">
        <f t="shared" ref="N4:N8" si="3">IF(H4="","",IF(H4&gt;5,6,IF(H4&lt;3,0,IF(H4&lt;=5,3))))</f>
        <v>6</v>
      </c>
      <c r="O4" s="14">
        <f t="shared" ref="O4:O8" si="4">IF(I4="","",IF(I4&gt;35,6,IF(I4&lt;1,0,IF(I4&lt;=35,3,IF(I4&lt;1,0)))))</f>
        <v>3</v>
      </c>
      <c r="P4">
        <f t="shared" ref="P4:P8" si="5">IF(J4="","",IF(J4&gt;60,0,IF(J4&lt;40,6,IF(J4&lt;=60,3))))</f>
        <v>6</v>
      </c>
      <c r="Q4" s="100">
        <f t="shared" ref="Q4:Q8" si="6">SUM(L4:P4)</f>
        <v>27</v>
      </c>
      <c r="R4" s="15" t="str">
        <f t="shared" ref="R3:R8" si="7">IF(Q4&gt;=24, "Non-Impaired", IF(Q4&lt;=6, "Severally Impaired", IF(Q4&gt;=9, "Moderately Impaired","")))</f>
        <v>Non-Impaired</v>
      </c>
      <c r="S4" s="15">
        <f>COUNTIFS(DATA_WITH_GENUS_OLD!A:A,A4,DATA_WITH_GENUS_OLD!J:J, "&gt;0")</f>
        <v>23</v>
      </c>
      <c r="T4" s="20">
        <f>ROUND((((COUNTIFS(DATA_WITH_GENUS_OLD!A:A,A4,DATA_WITH_GENUS_OLD!O:O,FALSE))/G4)*100),1)</f>
        <v>21.7</v>
      </c>
      <c r="U4" s="23">
        <f>SUMIFS(DATA_WITH_GENUS_OLD!J:J,DATA_WITH_GENUS_OLD!A:A,A4,DATA_WITH_GENUS_OLD!P:P,TRUE)</f>
        <v>17</v>
      </c>
      <c r="V4">
        <f>SUMIFS(DATA_WITH_GENUS_OLD!U:U,DATA_WITH_GENUS_OLD!A:A,A4)/100</f>
        <v>4.3499999999999996</v>
      </c>
      <c r="W4" s="18">
        <f>COUNTIFS(DATA_WITH_GENUS_OLD!A:A,A4,DATA_WITH_GENUS_OLD!R:R,TRUE)</f>
        <v>5</v>
      </c>
      <c r="X4" s="18">
        <f>COUNTIFS(DATA_WITH_GENUS_OLD!A:A,A4,DATA_WITH_GENUS_OLD!S:S,2)</f>
        <v>0</v>
      </c>
      <c r="Y4">
        <f>COUNTIFS(DATA_WITH_GENUS_OLD!A:A,A4,DATA_WITH_GENUS_OLD!S:S,3)</f>
        <v>1</v>
      </c>
      <c r="Z4">
        <f t="shared" ref="Z4:Z8" si="8">S4+26.53-(22.776+4.173*(LOG10(41.80403024)))</f>
        <v>19.988656646591121</v>
      </c>
      <c r="AA4">
        <f t="shared" ref="AA3:AA8" si="9">(U4)+37.49-(49.22-13.8*(LOG10(41.80403024)))</f>
        <v>27.642810514508167</v>
      </c>
      <c r="AB4">
        <f t="shared" ref="AB4:AB8" si="10">V4 + 4.23-(3.407+0.981*(LOG10(41.80403024)))</f>
        <v>3.5825849916860504</v>
      </c>
      <c r="AC4">
        <f t="shared" ref="AC3:AC8" si="11">V4 + 5.44-(3.889+0.981*(LOG10(41.80403024)))</f>
        <v>4.3105849916860492</v>
      </c>
      <c r="AD4" s="98">
        <f t="shared" ref="AD3:AD8" si="12">((100*Z4/31)+(100*(60-T4)/55)+(100*AA4/69)+(100*(7.2-AB4)/4.6)+(100*AC4/11)+(100*X4/8)+(100*Y4/8))/7</f>
        <v>43.500648345781357</v>
      </c>
      <c r="AE4" t="str">
        <f>IF(AD4&gt;=63, "Excellent", IF(AD4&lt;21, "Poor", IF(AD4&lt;42, "Fair","Good")))</f>
        <v>Good</v>
      </c>
    </row>
    <row r="5" spans="1:39">
      <c r="A5" t="str">
        <f t="shared" si="0"/>
        <v>SB5_2016-03-26</v>
      </c>
      <c r="B5" t="s">
        <v>59</v>
      </c>
      <c r="C5" s="3">
        <v>42455</v>
      </c>
      <c r="D5">
        <f>SUMIF(DATA_WITH_GENUS_OLD!A:A,A5,DATA_WITH_GENUS_OLD!F:F)</f>
        <v>105</v>
      </c>
      <c r="E5">
        <f>SUMIF(DATA_WITH_GENUS_OLD!A:A,A5,DATA_WITH_GENUS_OLD!J:J)</f>
        <v>100</v>
      </c>
      <c r="F5" s="98">
        <f>SUMIFS(DATA_WITH_GENUS_OLD!T:T,DATA_WITH_GENUS_OLD!A:A,A5)/100</f>
        <v>5.18</v>
      </c>
      <c r="G5" cm="1">
        <f t="array" ref="G5">COUNTA(_xlfn.UNIQUE(_xlfn._xlws.FILTER(DATA_WITH_GENUS_OLD!A:A&amp;DATA_WITH_GENUS_OLD!D:D&amp;DATA_WITH_GENUS_OLD!J:J,(DATA_WITH_GENUS_OLD!A:A = A5)*(DATA_WITH_GENUS_OLD!J:J&gt;0))))</f>
        <v>15</v>
      </c>
      <c r="H5">
        <f>COUNTIFS(DATA_WITH_GENUS_OLD!A:A,A5,DATA_WITH_GENUS_OLD!K:K,"~*")</f>
        <v>7</v>
      </c>
      <c r="I5">
        <f>COUNTIFS(DATA_WITH_GENUS_OLD!A:A,A5,DATA_WITH_GENUS_OLD!K:K,"~*")</f>
        <v>7</v>
      </c>
      <c r="J5">
        <f>_xlfn.MAXIFS(DATA_WITH_GENUS_OLD!J:J,DATA_WITH_GENUS_OLD!A:A,A5)</f>
        <v>46</v>
      </c>
      <c r="K5" s="18" t="str" cm="1">
        <f t="array" ref="K5">_xlfn._xlws.FILTER(DATA_WITH_GENUS_OLD!E:E,(DATA_WITH_GENUS_OLD!A:A=A5)*(DATA_WITH_GENUS_OLD!J:J=J5)*ROW(DATA_WITH_GENUS_OLD!E:E),0)</f>
        <v>Simuliidae</v>
      </c>
      <c r="L5" s="11">
        <f t="shared" si="1"/>
        <v>3</v>
      </c>
      <c r="M5">
        <f t="shared" si="2"/>
        <v>6</v>
      </c>
      <c r="N5" s="13">
        <f t="shared" si="3"/>
        <v>6</v>
      </c>
      <c r="O5" s="14">
        <f t="shared" si="4"/>
        <v>3</v>
      </c>
      <c r="P5">
        <f t="shared" si="5"/>
        <v>3</v>
      </c>
      <c r="Q5" s="100">
        <f t="shared" si="6"/>
        <v>21</v>
      </c>
      <c r="R5" s="15" t="str">
        <f t="shared" si="7"/>
        <v>Moderately Impaired</v>
      </c>
      <c r="S5" s="15">
        <f>COUNTIFS(DATA_WITH_GENUS_OLD!A:A,A5,DATA_WITH_GENUS_OLD!J:J, "&gt;0")</f>
        <v>15</v>
      </c>
      <c r="T5" s="20">
        <f>ROUND((((COUNTIFS(DATA_WITH_GENUS_OLD!A:A,A5,DATA_WITH_GENUS_OLD!O:O,FALSE))/G5)*100),1)</f>
        <v>26.7</v>
      </c>
      <c r="U5" s="23">
        <f>SUMIFS(DATA_WITH_GENUS_OLD!J:J,DATA_WITH_GENUS_OLD!A:A,A5,DATA_WITH_GENUS_OLD!P:P,TRUE)</f>
        <v>14</v>
      </c>
      <c r="V5">
        <f>SUMIFS(DATA_WITH_GENUS_OLD!U:U,DATA_WITH_GENUS_OLD!A:A,A5)/100</f>
        <v>5.08</v>
      </c>
      <c r="W5" s="18">
        <f>COUNTIFS(DATA_WITH_GENUS_OLD!A:A,A5,DATA_WITH_GENUS_OLD!R:R,TRUE)</f>
        <v>3</v>
      </c>
      <c r="X5" s="18">
        <f>COUNTIFS(DATA_WITH_GENUS_OLD!A:A,A5,DATA_WITH_GENUS_OLD!S:S,2)</f>
        <v>1</v>
      </c>
      <c r="Y5">
        <f>COUNTIFS(DATA_WITH_GENUS_OLD!A:A,A5,DATA_WITH_GENUS_OLD!S:S,3)</f>
        <v>1</v>
      </c>
      <c r="Z5">
        <f t="shared" si="8"/>
        <v>11.988656646591121</v>
      </c>
      <c r="AA5">
        <f t="shared" si="9"/>
        <v>24.642810514508167</v>
      </c>
      <c r="AB5">
        <f t="shared" si="10"/>
        <v>4.3125849916860508</v>
      </c>
      <c r="AC5">
        <f t="shared" si="11"/>
        <v>5.0405849916860497</v>
      </c>
      <c r="AD5" s="98">
        <f t="shared" si="12"/>
        <v>38.36087857838185</v>
      </c>
      <c r="AE5" t="str">
        <f t="shared" ref="AE5:AE8" si="13">IF(AD5&gt;=63, "Excellent", IF(AD5&lt;21, "Poor", IF(AD5&lt;42, "Fair","Good")))</f>
        <v>Fair</v>
      </c>
      <c r="AH5" s="2"/>
    </row>
    <row r="6" spans="1:39">
      <c r="A6" t="str">
        <f t="shared" si="0"/>
        <v>SB5_2016-07-17</v>
      </c>
      <c r="B6" t="s">
        <v>59</v>
      </c>
      <c r="C6" s="3">
        <v>42568</v>
      </c>
      <c r="D6">
        <f>SUMIF(DATA_WITH_GENUS_OLD!A:A,A6,DATA_WITH_GENUS_OLD!F:F)</f>
        <v>118</v>
      </c>
      <c r="E6">
        <f>SUMIF(DATA_WITH_GENUS_OLD!A:A,A6,DATA_WITH_GENUS_OLD!J:J)</f>
        <v>100</v>
      </c>
      <c r="F6" s="98">
        <f>SUMIFS(DATA_WITH_GENUS_OLD!T:T,DATA_WITH_GENUS_OLD!A:A,A6)/100</f>
        <v>4.05</v>
      </c>
      <c r="G6" cm="1">
        <f t="array" ref="G6">COUNTA(_xlfn.UNIQUE(_xlfn._xlws.FILTER(DATA_WITH_GENUS_OLD!A:A&amp;DATA_WITH_GENUS_OLD!D:D&amp;DATA_WITH_GENUS_OLD!J:J,(DATA_WITH_GENUS_OLD!A:A = A6)*(DATA_WITH_GENUS_OLD!J:J&gt;0))))</f>
        <v>12</v>
      </c>
      <c r="H6">
        <f>COUNTIFS(DATA_WITH_GENUS_OLD!A:A,A6,DATA_WITH_GENUS_OLD!K:K,"~*")</f>
        <v>5</v>
      </c>
      <c r="I6">
        <f>COUNTIFS(DATA_WITH_GENUS_OLD!A:A,A6,DATA_WITH_GENUS_OLD!K:K,"~*")</f>
        <v>5</v>
      </c>
      <c r="J6">
        <f>_xlfn.MAXIFS(DATA_WITH_GENUS_OLD!J:J,DATA_WITH_GENUS_OLD!A:A,A6)</f>
        <v>35</v>
      </c>
      <c r="K6" s="18" t="str" cm="1">
        <f t="array" ref="K6">_xlfn._xlws.FILTER(DATA_WITH_GENUS_OLD!E:E,(DATA_WITH_GENUS_OLD!A:A=A6)*(DATA_WITH_GENUS_OLD!J:J=J6)*ROW(DATA_WITH_GENUS_OLD!E:E),0)</f>
        <v>Hydropsychidae</v>
      </c>
      <c r="L6" s="11">
        <f t="shared" si="1"/>
        <v>6</v>
      </c>
      <c r="M6">
        <f t="shared" si="2"/>
        <v>6</v>
      </c>
      <c r="N6" s="13">
        <f t="shared" si="3"/>
        <v>3</v>
      </c>
      <c r="O6" s="14">
        <f t="shared" si="4"/>
        <v>3</v>
      </c>
      <c r="P6">
        <f t="shared" si="5"/>
        <v>6</v>
      </c>
      <c r="Q6" s="100">
        <f t="shared" si="6"/>
        <v>24</v>
      </c>
      <c r="R6" s="15" t="str">
        <f t="shared" si="7"/>
        <v>Non-Impaired</v>
      </c>
      <c r="S6" s="15">
        <f>COUNTIFS(DATA_WITH_GENUS_OLD!A:A,A6,DATA_WITH_GENUS_OLD!J:J, "&gt;0")</f>
        <v>12</v>
      </c>
      <c r="T6" s="20">
        <f>ROUND((((COUNTIFS(DATA_WITH_GENUS_OLD!A:A,A6,DATA_WITH_GENUS_OLD!O:O,FALSE))/G6)*100),1)</f>
        <v>16.7</v>
      </c>
      <c r="U6" s="23">
        <f>SUMIFS(DATA_WITH_GENUS_OLD!J:J,DATA_WITH_GENUS_OLD!A:A,A6,DATA_WITH_GENUS_OLD!P:P,TRUE)</f>
        <v>10</v>
      </c>
      <c r="V6">
        <f>SUMIFS(DATA_WITH_GENUS_OLD!U:U,DATA_WITH_GENUS_OLD!A:A,A6)/100</f>
        <v>4.05</v>
      </c>
      <c r="W6" s="18">
        <f>COUNTIFS(DATA_WITH_GENUS_OLD!A:A,A6,DATA_WITH_GENUS_OLD!R:R,TRUE)</f>
        <v>4</v>
      </c>
      <c r="X6" s="18">
        <f>COUNTIFS(DATA_WITH_GENUS_OLD!A:A,A6,DATA_WITH_GENUS_OLD!S:S,2)</f>
        <v>0</v>
      </c>
      <c r="Y6">
        <f>COUNTIFS(DATA_WITH_GENUS_OLD!A:A,A6,DATA_WITH_GENUS_OLD!S:S,3)</f>
        <v>1</v>
      </c>
      <c r="Z6">
        <f t="shared" si="8"/>
        <v>8.9886566465911208</v>
      </c>
      <c r="AA6">
        <f t="shared" si="9"/>
        <v>20.642810514508167</v>
      </c>
      <c r="AB6">
        <f t="shared" si="10"/>
        <v>3.2825849916860514</v>
      </c>
      <c r="AC6">
        <f t="shared" si="11"/>
        <v>4.0105849916860503</v>
      </c>
      <c r="AD6" s="98">
        <f t="shared" si="12"/>
        <v>38.823016487223825</v>
      </c>
      <c r="AE6" t="str">
        <f t="shared" si="13"/>
        <v>Fair</v>
      </c>
    </row>
    <row r="7" spans="1:39">
      <c r="A7" t="str">
        <f t="shared" si="0"/>
        <v>SB5_2016-10-15</v>
      </c>
      <c r="B7" t="s">
        <v>59</v>
      </c>
      <c r="C7" s="3">
        <v>42658</v>
      </c>
      <c r="D7">
        <f>SUMIF(DATA_WITH_GENUS_OLD!A:A,A7,DATA_WITH_GENUS_OLD!F:F)</f>
        <v>210</v>
      </c>
      <c r="E7">
        <f>SUMIF(DATA_WITH_GENUS_OLD!A:A,A7,DATA_WITH_GENUS_OLD!J:J)</f>
        <v>100</v>
      </c>
      <c r="F7" s="98">
        <f>SUMIFS(DATA_WITH_GENUS_OLD!T:T,DATA_WITH_GENUS_OLD!A:A,A7)/100</f>
        <v>4.0999999999999996</v>
      </c>
      <c r="G7" cm="1">
        <f t="array" ref="G7">COUNTA(_xlfn.UNIQUE(_xlfn._xlws.FILTER(DATA_WITH_GENUS_OLD!A:A&amp;DATA_WITH_GENUS_OLD!D:D&amp;DATA_WITH_GENUS_OLD!J:J,(DATA_WITH_GENUS_OLD!A:A = A7)*(DATA_WITH_GENUS_OLD!J:J&gt;0))))</f>
        <v>15</v>
      </c>
      <c r="H7">
        <f>COUNTIFS(DATA_WITH_GENUS_OLD!A:A,A7,DATA_WITH_GENUS_OLD!K:K,"~*")</f>
        <v>5</v>
      </c>
      <c r="I7">
        <f>COUNTIFS(DATA_WITH_GENUS_OLD!A:A,A7,DATA_WITH_GENUS_OLD!K:K,"~*")</f>
        <v>5</v>
      </c>
      <c r="J7">
        <f>_xlfn.MAXIFS(DATA_WITH_GENUS_OLD!J:J,DATA_WITH_GENUS_OLD!A:A,A7)</f>
        <v>29</v>
      </c>
      <c r="K7" s="18" t="str" cm="1">
        <f t="array" ref="K7">_xlfn._xlws.FILTER(DATA_WITH_GENUS_OLD!E:E,(DATA_WITH_GENUS_OLD!A:A=A7)*(DATA_WITH_GENUS_OLD!J:J=J7)*ROW(DATA_WITH_GENUS_OLD!E:E),0)</f>
        <v>Hydropsychidae</v>
      </c>
      <c r="L7" s="11">
        <f t="shared" si="1"/>
        <v>6</v>
      </c>
      <c r="M7">
        <f t="shared" si="2"/>
        <v>6</v>
      </c>
      <c r="N7" s="13">
        <f t="shared" si="3"/>
        <v>3</v>
      </c>
      <c r="O7" s="14">
        <f t="shared" si="4"/>
        <v>3</v>
      </c>
      <c r="P7">
        <f t="shared" si="5"/>
        <v>6</v>
      </c>
      <c r="Q7" s="100">
        <f t="shared" si="6"/>
        <v>24</v>
      </c>
      <c r="R7" s="15" t="str">
        <f t="shared" si="7"/>
        <v>Non-Impaired</v>
      </c>
      <c r="S7" s="15">
        <f>COUNTIFS(DATA_WITH_GENUS_OLD!A:A,A7,DATA_WITH_GENUS_OLD!J:J, "&gt;0")</f>
        <v>15</v>
      </c>
      <c r="T7" s="20">
        <f>ROUND((((COUNTIFS(DATA_WITH_GENUS_OLD!A:A,A7,DATA_WITH_GENUS_OLD!O:O,FALSE))/G7)*100),1)</f>
        <v>26.7</v>
      </c>
      <c r="U7" s="23">
        <f>SUMIFS(DATA_WITH_GENUS_OLD!J:J,DATA_WITH_GENUS_OLD!A:A,A7,DATA_WITH_GENUS_OLD!P:P,TRUE)</f>
        <v>29</v>
      </c>
      <c r="V7">
        <f>SUMIFS(DATA_WITH_GENUS_OLD!U:U,DATA_WITH_GENUS_OLD!A:A,A7)/100</f>
        <v>4.0999999999999996</v>
      </c>
      <c r="W7" s="18">
        <f>COUNTIFS(DATA_WITH_GENUS_OLD!A:A,A7,DATA_WITH_GENUS_OLD!R:R,TRUE)</f>
        <v>3</v>
      </c>
      <c r="X7" s="18">
        <f>COUNTIFS(DATA_WITH_GENUS_OLD!A:A,A7,DATA_WITH_GENUS_OLD!S:S,2)</f>
        <v>0</v>
      </c>
      <c r="Y7">
        <f>COUNTIFS(DATA_WITH_GENUS_OLD!A:A,A7,DATA_WITH_GENUS_OLD!S:S,3)</f>
        <v>0</v>
      </c>
      <c r="Z7">
        <f t="shared" si="8"/>
        <v>11.988656646591121</v>
      </c>
      <c r="AA7">
        <f t="shared" si="9"/>
        <v>39.64281051450817</v>
      </c>
      <c r="AB7">
        <f t="shared" si="10"/>
        <v>3.3325849916860504</v>
      </c>
      <c r="AC7">
        <f t="shared" si="11"/>
        <v>4.0605849916860492</v>
      </c>
      <c r="AD7" s="98">
        <f t="shared" si="12"/>
        <v>39.665791057207379</v>
      </c>
      <c r="AE7" t="str">
        <f t="shared" si="13"/>
        <v>Fair</v>
      </c>
    </row>
    <row r="8" spans="1:39">
      <c r="A8" t="str">
        <f t="shared" si="0"/>
        <v>SB5_2017-03-25</v>
      </c>
      <c r="B8" t="s">
        <v>59</v>
      </c>
      <c r="C8" s="3">
        <v>42819</v>
      </c>
      <c r="D8">
        <f>SUMIF(DATA_WITH_GENUS_OLD!A:A,A8,DATA_WITH_GENUS_OLD!F:F)</f>
        <v>189</v>
      </c>
      <c r="E8">
        <f>SUMIF(DATA_WITH_GENUS_OLD!A:A,A8,DATA_WITH_GENUS_OLD!J:J)</f>
        <v>100</v>
      </c>
      <c r="F8" s="98">
        <f>SUMIFS(DATA_WITH_GENUS_OLD!T:T,DATA_WITH_GENUS_OLD!A:A,A8)/100</f>
        <v>5.24</v>
      </c>
      <c r="G8" cm="1">
        <f t="array" ref="G8">COUNTA(_xlfn.UNIQUE(_xlfn._xlws.FILTER(DATA_WITH_GENUS_OLD!A:A&amp;DATA_WITH_GENUS_OLD!D:D&amp;DATA_WITH_GENUS_OLD!J:J,(DATA_WITH_GENUS_OLD!A:A = A8)*(DATA_WITH_GENUS_OLD!J:J&gt;0))))</f>
        <v>14</v>
      </c>
      <c r="H8">
        <f>COUNTIFS(DATA_WITH_GENUS_OLD!A:A,A8,DATA_WITH_GENUS_OLD!K:K,"~*")</f>
        <v>6</v>
      </c>
      <c r="I8">
        <f>COUNTIFS(DATA_WITH_GENUS_OLD!A:A,A8,DATA_WITH_GENUS_OLD!K:K,"~*")</f>
        <v>6</v>
      </c>
      <c r="J8">
        <f>_xlfn.MAXIFS(DATA_WITH_GENUS_OLD!J:J,DATA_WITH_GENUS_OLD!A:A,A8)</f>
        <v>30</v>
      </c>
      <c r="K8" s="18" t="str" cm="1">
        <f t="array" ref="K8">_xlfn._xlws.FILTER(DATA_WITH_GENUS_OLD!E:E,(DATA_WITH_GENUS_OLD!A:A=A8)*(DATA_WITH_GENUS_OLD!J:J=J8)*ROW(DATA_WITH_GENUS_OLD!E:E),0)</f>
        <v>Simuliidae</v>
      </c>
      <c r="L8" s="11">
        <f t="shared" si="1"/>
        <v>3</v>
      </c>
      <c r="M8">
        <f t="shared" si="2"/>
        <v>6</v>
      </c>
      <c r="N8" s="13">
        <f t="shared" si="3"/>
        <v>6</v>
      </c>
      <c r="O8" s="14">
        <f t="shared" si="4"/>
        <v>3</v>
      </c>
      <c r="P8">
        <f t="shared" si="5"/>
        <v>6</v>
      </c>
      <c r="Q8" s="100">
        <f t="shared" si="6"/>
        <v>24</v>
      </c>
      <c r="R8" s="15" t="str">
        <f t="shared" si="7"/>
        <v>Non-Impaired</v>
      </c>
      <c r="S8" s="15">
        <f>COUNTIFS(DATA_WITH_GENUS_OLD!A:A,A8,DATA_WITH_GENUS_OLD!J:J, "&gt;0")</f>
        <v>14</v>
      </c>
      <c r="T8" s="20">
        <f>ROUND((((COUNTIFS(DATA_WITH_GENUS_OLD!A:A,A8,DATA_WITH_GENUS_OLD!O:O,FALSE))/G8)*100),1)</f>
        <v>21.4</v>
      </c>
      <c r="U8" s="23">
        <f>SUMIFS(DATA_WITH_GENUS_OLD!J:J,DATA_WITH_GENUS_OLD!A:A,A8,DATA_WITH_GENUS_OLD!P:P,TRUE)</f>
        <v>15</v>
      </c>
      <c r="V8">
        <f>SUMIFS(DATA_WITH_GENUS_OLD!U:U,DATA_WITH_GENUS_OLD!A:A,A8)/100</f>
        <v>5.08</v>
      </c>
      <c r="W8" s="18">
        <f>COUNTIFS(DATA_WITH_GENUS_OLD!A:A,A8,DATA_WITH_GENUS_OLD!R:R,TRUE)</f>
        <v>4</v>
      </c>
      <c r="X8" s="18">
        <f>COUNTIFS(DATA_WITH_GENUS_OLD!A:A,A8,DATA_WITH_GENUS_OLD!S:S,2)</f>
        <v>0</v>
      </c>
      <c r="Y8">
        <f>COUNTIFS(DATA_WITH_GENUS_OLD!A:A,A8,DATA_WITH_GENUS_OLD!S:S,3)</f>
        <v>0</v>
      </c>
      <c r="Z8">
        <f t="shared" si="8"/>
        <v>10.988656646591121</v>
      </c>
      <c r="AA8">
        <f t="shared" si="9"/>
        <v>25.642810514508167</v>
      </c>
      <c r="AB8">
        <f t="shared" si="10"/>
        <v>4.3125849916860508</v>
      </c>
      <c r="AC8">
        <f t="shared" si="11"/>
        <v>5.0405849916860497</v>
      </c>
      <c r="AD8" s="98">
        <f t="shared" si="12"/>
        <v>35.912283227963215</v>
      </c>
      <c r="AE8" t="str">
        <f t="shared" si="13"/>
        <v>Fair</v>
      </c>
    </row>
    <row r="9" spans="1:39">
      <c r="A9" t="str">
        <f t="shared" si="0"/>
        <v>SB5_2017-06-25</v>
      </c>
      <c r="B9" t="s">
        <v>59</v>
      </c>
      <c r="C9" s="3">
        <v>42911</v>
      </c>
      <c r="D9">
        <f>SUMIF(DATA_WITH_GENUS_OLD!A:A,A9,DATA_WITH_GENUS_OLD!F:F)</f>
        <v>141</v>
      </c>
      <c r="E9">
        <f>SUMIF(DATA_WITH_GENUS_OLD!A:A,A9,DATA_WITH_GENUS_OLD!J:J)</f>
        <v>100</v>
      </c>
      <c r="F9" s="98">
        <f>SUMIFS(DATA_WITH_GENUS_OLD!T:T,DATA_WITH_GENUS_OLD!A:A,A9)/100</f>
        <v>4.5199999999999996</v>
      </c>
      <c r="Z9" s="24"/>
      <c r="AC9" s="24"/>
    </row>
  </sheetData>
  <phoneticPr fontId="2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48ED2-2089-4D5C-90C1-E43A73FB9B5C}">
  <sheetPr>
    <tabColor rgb="FFFF0000"/>
  </sheetPr>
  <dimension ref="A1:AM9"/>
  <sheetViews>
    <sheetView workbookViewId="0">
      <selection activeCell="B2" sqref="B2:C2"/>
    </sheetView>
  </sheetViews>
  <sheetFormatPr baseColWidth="10" defaultColWidth="8.83203125" defaultRowHeight="15"/>
  <cols>
    <col min="1" max="1" width="16.6640625" customWidth="1"/>
    <col min="3" max="4" width="13.33203125" customWidth="1"/>
    <col min="5" max="5" width="11.83203125" customWidth="1"/>
    <col min="6" max="6" width="8.83203125" style="98"/>
    <col min="7" max="7" width="9.33203125" customWidth="1"/>
    <col min="8" max="8" width="10" customWidth="1"/>
    <col min="9" max="9" width="11.5" customWidth="1"/>
    <col min="10" max="10" width="13.5" customWidth="1"/>
    <col min="11" max="11" width="19.5" customWidth="1"/>
    <col min="13" max="13" width="10.83203125" customWidth="1"/>
    <col min="15" max="15" width="11.83203125" customWidth="1"/>
    <col min="16" max="16" width="12.33203125" customWidth="1"/>
    <col min="17" max="17" width="8.83203125" style="98"/>
    <col min="18" max="18" width="18" customWidth="1"/>
    <col min="19" max="19" width="13.33203125" customWidth="1"/>
    <col min="20" max="20" width="16.1640625" customWidth="1"/>
    <col min="21" max="21" width="14.6640625" customWidth="1"/>
    <col min="22" max="22" width="10.1640625" customWidth="1"/>
    <col min="23" max="23" width="11.6640625" customWidth="1"/>
    <col min="24" max="24" width="10" customWidth="1"/>
    <col min="25" max="25" width="10.5" customWidth="1"/>
    <col min="26" max="26" width="16" customWidth="1"/>
    <col min="27" max="27" width="15.6640625" customWidth="1"/>
    <col min="28" max="28" width="11.33203125" customWidth="1"/>
    <col min="29" max="29" width="12.5" customWidth="1"/>
    <col min="30" max="30" width="13.1640625" style="98" customWidth="1"/>
    <col min="31" max="31" width="13.1640625" customWidth="1"/>
    <col min="32" max="32" width="9.5" customWidth="1"/>
    <col min="33" max="33" width="9.33203125" bestFit="1" customWidth="1"/>
    <col min="34" max="34" width="13.33203125" customWidth="1"/>
    <col min="35" max="35" width="11.6640625" customWidth="1"/>
    <col min="36" max="36" width="14.1640625" customWidth="1"/>
    <col min="37" max="37" width="14.33203125" customWidth="1"/>
    <col min="38" max="38" width="13.5" style="98" customWidth="1"/>
    <col min="39" max="39" width="12.6640625" customWidth="1"/>
  </cols>
  <sheetData>
    <row r="1" spans="1:39" s="58" customFormat="1" ht="48">
      <c r="A1" s="48" t="s">
        <v>0</v>
      </c>
      <c r="B1" s="49" t="s">
        <v>1</v>
      </c>
      <c r="C1" s="49" t="s">
        <v>2</v>
      </c>
      <c r="D1" s="48" t="s">
        <v>3</v>
      </c>
      <c r="E1" s="48" t="s">
        <v>4</v>
      </c>
      <c r="F1" s="96" t="s">
        <v>5</v>
      </c>
      <c r="G1" s="50" t="s">
        <v>2966</v>
      </c>
      <c r="H1" s="51" t="s">
        <v>7</v>
      </c>
      <c r="I1" s="50" t="s">
        <v>8</v>
      </c>
      <c r="J1" s="52" t="s">
        <v>9</v>
      </c>
      <c r="K1" s="53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99" t="s">
        <v>16</v>
      </c>
      <c r="R1" s="17" t="s">
        <v>17</v>
      </c>
      <c r="S1" s="40" t="s">
        <v>31</v>
      </c>
      <c r="T1" s="53" t="s">
        <v>32</v>
      </c>
      <c r="U1" s="53" t="s">
        <v>33</v>
      </c>
      <c r="V1" s="52" t="s">
        <v>21</v>
      </c>
      <c r="W1" s="51" t="s">
        <v>34</v>
      </c>
      <c r="X1" s="51" t="s">
        <v>35</v>
      </c>
      <c r="Y1" s="51" t="s">
        <v>36</v>
      </c>
      <c r="Z1" s="54" t="s">
        <v>37</v>
      </c>
      <c r="AA1" s="55" t="s">
        <v>39</v>
      </c>
      <c r="AB1" s="56" t="s">
        <v>40</v>
      </c>
      <c r="AC1" s="55" t="s">
        <v>2637</v>
      </c>
      <c r="AD1" s="101" t="s">
        <v>41</v>
      </c>
      <c r="AE1" s="54" t="s">
        <v>42</v>
      </c>
      <c r="AF1" s="51" t="s">
        <v>43</v>
      </c>
      <c r="AG1" s="51" t="s">
        <v>44</v>
      </c>
      <c r="AH1" s="53" t="s">
        <v>33</v>
      </c>
      <c r="AI1" s="51" t="s">
        <v>45</v>
      </c>
      <c r="AJ1" s="57" t="s">
        <v>46</v>
      </c>
      <c r="AK1" s="54" t="s">
        <v>47</v>
      </c>
      <c r="AL1" s="101" t="s">
        <v>48</v>
      </c>
      <c r="AM1" s="54" t="s">
        <v>42</v>
      </c>
    </row>
    <row r="2" spans="1:39">
      <c r="A2" t="str">
        <f>B2&amp;"_"&amp;TEXT(C2,"yyyy-mm-dd")</f>
        <v>SBA_2021-10-22</v>
      </c>
      <c r="B2" t="s">
        <v>60</v>
      </c>
      <c r="C2" s="36">
        <v>44491</v>
      </c>
      <c r="D2">
        <f>SUMIF(DATA_WITH_GENUS_OLD!A:A,A2,DATA_WITH_GENUS_OLD!F:F)</f>
        <v>129</v>
      </c>
      <c r="E2">
        <f>SUMIF(DATA_WITH_GENUS_OLD!A:A,A2,DATA_WITH_GENUS_OLD!J:J)</f>
        <v>100</v>
      </c>
      <c r="F2" s="98">
        <f>SUMIFS(DATA_WITH_GENUS_OLD!T:T,DATA_WITH_GENUS_OLD!A:A,A2)/100</f>
        <v>5.09</v>
      </c>
      <c r="G2" cm="1">
        <f t="array" ref="G2">COUNTA(_xlfn.UNIQUE(_xlfn._xlws.FILTER(DATA_WITH_GENUS_OLD!A:A&amp;DATA_WITH_GENUS_OLD!D:D&amp;DATA_WITH_GENUS_OLD!J:J,(DATA_WITH_GENUS_OLD!A:A = A2)*(DATA_WITH_GENUS_OLD!J:J&gt;0))))</f>
        <v>13</v>
      </c>
      <c r="H2">
        <f>COUNTIFS(DATA_WITH_GENUS_OLD!A:A,A2,DATA_WITH_GENUS_OLD!K:K,"~*")</f>
        <v>4</v>
      </c>
      <c r="I2">
        <f>COUNTIFS(DATA_WITH_GENUS_OLD!A:A,A2,DATA_WITH_GENUS_OLD!K:K,"~*")</f>
        <v>4</v>
      </c>
      <c r="J2">
        <f>_xlfn.MAXIFS(DATA_WITH_GENUS_OLD!J:J,DATA_WITH_GENUS_OLD!A:A,A2)</f>
        <v>39</v>
      </c>
      <c r="K2" s="18" t="str" cm="1">
        <f t="array" ref="K2">_xlfn._xlws.FILTER(DATA_WITH_GENUS_OLD!E:E,(DATA_WITH_GENUS_OLD!A:A=A2)*(DATA_WITH_GENUS_OLD!J:J=J2)*ROW(DATA_WITH_GENUS_OLD!E:E),0)</f>
        <v>Chironomidae</v>
      </c>
      <c r="L2" s="11">
        <f>IF(F2="","",IF(F2&gt;7,0,IF(F2&lt;5,6,IF(F2&lt;=7,3))))</f>
        <v>3</v>
      </c>
      <c r="M2">
        <f>IF(G2="","",IF(G2&gt;10,6,IF(G2&lt;5,0,IF(G2&lt;=10,3))))</f>
        <v>6</v>
      </c>
      <c r="N2" s="13">
        <f>IF(H2="","",IF(H2&gt;5,6,IF(H2&lt;3,0,IF(H2&lt;=5,3))))</f>
        <v>3</v>
      </c>
      <c r="O2" s="14">
        <f>IF(I2="","",IF(I2&gt;35,6,IF(I2&lt;1,0,IF(I2&lt;=35,3,IF(I2&lt;1,0)))))</f>
        <v>3</v>
      </c>
      <c r="P2">
        <f>IF(J2="","",IF(J2&gt;60,0,IF(J2&lt;40,6,IF(J2&lt;=60,3))))</f>
        <v>6</v>
      </c>
      <c r="Q2" s="100">
        <f>SUM(L2:P2)</f>
        <v>21</v>
      </c>
      <c r="R2" s="15" t="str">
        <f>IF(Q2&gt;=24, "Non-Impaired", IF(Q2&lt;=6, "Severally Impaired", IF(Q2&gt;=9, "Moderately Impaired","")))</f>
        <v>Moderately Impaired</v>
      </c>
      <c r="S2" s="15">
        <f>COUNTIFS(DATA_WITH_GENUS_OLD!A:A,A2,DATA_WITH_GENUS_OLD!J:J, "&gt;0")</f>
        <v>13</v>
      </c>
      <c r="T2" s="20">
        <f>ROUND((((COUNTIFS(DATA_WITH_GENUS_OLD!A:A,A2,DATA_WITH_GENUS_OLD!O:O,FALSE))/G2)*100),1)</f>
        <v>23.1</v>
      </c>
      <c r="U2" s="23">
        <f>SUMIFS(DATA_WITH_GENUS_OLD!J:J,DATA_WITH_GENUS_OLD!A:A,A2,DATA_WITH_GENUS_OLD!P:P,TRUE)</f>
        <v>32</v>
      </c>
      <c r="V2">
        <f>SUMIFS(DATA_WITH_GENUS_OLD!U:U,DATA_WITH_GENUS_OLD!A:A,A2)/100</f>
        <v>5.05</v>
      </c>
      <c r="W2" s="18">
        <f>COUNTIFS(DATA_WITH_GENUS_OLD!A:A,A2,DATA_WITH_GENUS_OLD!R:R,TRUE)</f>
        <v>4</v>
      </c>
      <c r="X2" s="18">
        <f>COUNTIFS(DATA_WITH_GENUS_OLD!A:A,A2,DATA_WITH_GENUS_OLD!S:S,2)</f>
        <v>0</v>
      </c>
      <c r="Y2">
        <f>COUNTIFS(DATA_WITH_GENUS_OLD!A:A,A2,DATA_WITH_GENUS_OLD!S:S,3)</f>
        <v>0</v>
      </c>
      <c r="Z2">
        <f>S2+26.53-(22.776+4.173*(LOG10(54.2448173)))</f>
        <v>9.5165230193878969</v>
      </c>
      <c r="AA2">
        <f>(U2)+37.49-(49.22-13.8*(LOG10(54.2448173)))</f>
        <v>44.204143861118396</v>
      </c>
      <c r="AB2">
        <f>V2 + 4.23-(3.407+0.981*(LOG10(54.2448173)))</f>
        <v>4.1715945559596292</v>
      </c>
      <c r="AC2">
        <f>V2 + 5.44-(3.889+0.981*(LOG10(54.2448173)))</f>
        <v>4.8995945559596281</v>
      </c>
      <c r="AD2" s="98">
        <f>((100*Z2/31)+(100*(60-T2)/55)+(100*AA2/69)+(100*(7.2-AB2)/4.6)+(100*AC2/11)+(100*X2/8)+(100*Y2/8))/7</f>
        <v>38.890002386004468</v>
      </c>
      <c r="AE2" t="str">
        <f>IF(AD2&gt;=63, "Excellent", IF(AD2&lt;21, "Poor", IF(AD2&lt;42, "Fair","Good")))</f>
        <v>Fair</v>
      </c>
      <c r="AH2" s="47"/>
    </row>
    <row r="3" spans="1:39">
      <c r="A3" t="str">
        <f>B3&amp;"_"&amp;TEXT(C3,"yyyy-mm-dd")</f>
        <v>_1900-01-00</v>
      </c>
      <c r="C3" s="3"/>
      <c r="D3">
        <f>SUMIF(DATA_WITH_GENUS_OLD!A:A,A3,DATA_WITH_GENUS_OLD!F:F)</f>
        <v>0</v>
      </c>
      <c r="E3">
        <f>SUMIF(DATA_WITH_GENUS_OLD!A:A,A3,DATA_WITH_GENUS_OLD!J:J)</f>
        <v>0</v>
      </c>
      <c r="F3" s="98">
        <f>SUMIFS(DATA_WITH_GENUS_OLD!T:T,DATA_WITH_GENUS_OLD!A:A,A3)/100</f>
        <v>0</v>
      </c>
      <c r="G3" cm="1">
        <f t="array" ref="G3">COUNTA(_xlfn.UNIQUE(_xlfn._xlws.FILTER(DATA_WITH_GENUS_OLD!A:A&amp;DATA_WITH_GENUS_OLD!D:D&amp;DATA_WITH_GENUS_OLD!J:J,(DATA_WITH_GENUS_OLD!A:A = A3)*(DATA_WITH_GENUS_OLD!J:J&gt;0))))</f>
        <v>1</v>
      </c>
      <c r="H3">
        <f>COUNTIFS(DATA_WITH_GENUS_OLD!A:A,A3,DATA_WITH_GENUS_OLD!K:K,"~*")</f>
        <v>0</v>
      </c>
      <c r="K3" s="18"/>
      <c r="L3" s="11"/>
      <c r="N3" s="13"/>
      <c r="O3" s="14"/>
      <c r="Q3" s="100"/>
      <c r="R3" s="15"/>
      <c r="S3" s="15"/>
      <c r="T3" s="20"/>
      <c r="U3" s="23"/>
      <c r="W3" s="18"/>
      <c r="X3" s="18"/>
      <c r="AK3" t="str">
        <f>IF(AH3="","",(AH3+35.15)-(45.59-(11.59*LOG10(16.73739082))))</f>
        <v/>
      </c>
    </row>
    <row r="4" spans="1:39">
      <c r="C4" s="3"/>
      <c r="K4" s="18"/>
      <c r="L4" s="11"/>
      <c r="N4" s="13"/>
      <c r="O4" s="14"/>
      <c r="Q4" s="100"/>
      <c r="R4" s="15"/>
      <c r="S4" s="15"/>
      <c r="T4" s="20"/>
      <c r="U4" s="23"/>
      <c r="W4" s="18"/>
      <c r="X4" s="18"/>
    </row>
    <row r="5" spans="1:39">
      <c r="AA5" s="35"/>
      <c r="AH5" s="2"/>
    </row>
    <row r="6" spans="1:39">
      <c r="U6" s="22"/>
      <c r="Z6" s="46"/>
      <c r="AA6" s="35"/>
    </row>
    <row r="7" spans="1:39">
      <c r="Z7" s="37"/>
    </row>
    <row r="8" spans="1:39">
      <c r="Z8" s="46"/>
    </row>
    <row r="9" spans="1:39">
      <c r="Z9" s="24"/>
      <c r="AC9" s="2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4621F-EFE9-4705-A529-8F8F5572E73D}">
  <sheetPr>
    <tabColor rgb="FFFF0000"/>
  </sheetPr>
  <dimension ref="A1:AM10"/>
  <sheetViews>
    <sheetView workbookViewId="0">
      <selection activeCell="B2" sqref="B2:C9"/>
    </sheetView>
  </sheetViews>
  <sheetFormatPr baseColWidth="10" defaultColWidth="8.83203125" defaultRowHeight="15"/>
  <cols>
    <col min="1" max="1" width="16.6640625" customWidth="1"/>
    <col min="3" max="5" width="13.33203125" customWidth="1"/>
    <col min="6" max="6" width="8.83203125" style="98"/>
    <col min="7" max="7" width="10.5" customWidth="1"/>
    <col min="8" max="8" width="10" customWidth="1"/>
    <col min="9" max="9" width="10.6640625" customWidth="1"/>
    <col min="10" max="10" width="13.33203125" customWidth="1"/>
    <col min="11" max="11" width="19.5" customWidth="1"/>
    <col min="13" max="13" width="10.83203125" customWidth="1"/>
    <col min="15" max="15" width="11.83203125" customWidth="1"/>
    <col min="16" max="16" width="12.33203125" customWidth="1"/>
    <col min="17" max="17" width="8.83203125" style="98"/>
    <col min="18" max="18" width="18" customWidth="1"/>
    <col min="19" max="19" width="12.5" customWidth="1"/>
    <col min="20" max="20" width="17.5" customWidth="1"/>
    <col min="21" max="21" width="16" customWidth="1"/>
    <col min="22" max="22" width="10.6640625" customWidth="1"/>
    <col min="23" max="23" width="11.6640625" customWidth="1"/>
    <col min="24" max="24" width="9.83203125" customWidth="1"/>
    <col min="25" max="25" width="11.5" customWidth="1"/>
    <col min="26" max="26" width="16" customWidth="1"/>
    <col min="27" max="27" width="18.1640625" customWidth="1"/>
    <col min="28" max="28" width="11.33203125" customWidth="1"/>
    <col min="29" max="29" width="12.5" customWidth="1"/>
    <col min="30" max="30" width="13.1640625" style="98" customWidth="1"/>
    <col min="31" max="31" width="13.1640625" customWidth="1"/>
    <col min="32" max="32" width="9.5" customWidth="1"/>
    <col min="33" max="33" width="9.33203125" bestFit="1" customWidth="1"/>
    <col min="34" max="34" width="13.33203125" customWidth="1"/>
    <col min="35" max="35" width="11.6640625" customWidth="1"/>
    <col min="36" max="36" width="14.1640625" customWidth="1"/>
    <col min="37" max="37" width="14.33203125" customWidth="1"/>
    <col min="38" max="38" width="13.5" style="98" customWidth="1"/>
    <col min="39" max="39" width="12.6640625" customWidth="1"/>
  </cols>
  <sheetData>
    <row r="1" spans="1:39" ht="48">
      <c r="A1" s="4" t="s">
        <v>0</v>
      </c>
      <c r="B1" s="5" t="s">
        <v>1</v>
      </c>
      <c r="C1" s="5" t="s">
        <v>2</v>
      </c>
      <c r="D1" s="4" t="s">
        <v>3</v>
      </c>
      <c r="E1" s="4" t="s">
        <v>4</v>
      </c>
      <c r="F1" s="113" t="s">
        <v>5</v>
      </c>
      <c r="G1" s="42" t="s">
        <v>6</v>
      </c>
      <c r="H1" s="21" t="s">
        <v>7</v>
      </c>
      <c r="I1" s="42" t="s">
        <v>8</v>
      </c>
      <c r="J1" s="1" t="s">
        <v>9</v>
      </c>
      <c r="K1" s="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99" t="s">
        <v>16</v>
      </c>
      <c r="R1" s="17" t="s">
        <v>17</v>
      </c>
      <c r="S1" s="40" t="s">
        <v>31</v>
      </c>
      <c r="T1" s="2" t="s">
        <v>32</v>
      </c>
      <c r="U1" s="2" t="s">
        <v>33</v>
      </c>
      <c r="V1" s="1" t="s">
        <v>21</v>
      </c>
      <c r="W1" s="21" t="s">
        <v>34</v>
      </c>
      <c r="X1" s="21" t="s">
        <v>35</v>
      </c>
      <c r="Y1" s="21" t="s">
        <v>36</v>
      </c>
      <c r="Z1" s="26" t="s">
        <v>37</v>
      </c>
      <c r="AA1" s="39" t="s">
        <v>39</v>
      </c>
      <c r="AB1" s="38" t="s">
        <v>40</v>
      </c>
      <c r="AC1" s="39" t="s">
        <v>2637</v>
      </c>
      <c r="AD1" s="114" t="s">
        <v>41</v>
      </c>
      <c r="AE1" s="26" t="s">
        <v>42</v>
      </c>
      <c r="AF1" s="21" t="s">
        <v>43</v>
      </c>
      <c r="AG1" s="21" t="s">
        <v>44</v>
      </c>
      <c r="AH1" s="78" t="s">
        <v>33</v>
      </c>
      <c r="AI1" s="21" t="s">
        <v>45</v>
      </c>
      <c r="AJ1" s="27" t="s">
        <v>46</v>
      </c>
      <c r="AK1" s="26" t="s">
        <v>47</v>
      </c>
      <c r="AL1" s="114" t="s">
        <v>48</v>
      </c>
      <c r="AM1" s="26" t="s">
        <v>42</v>
      </c>
    </row>
    <row r="2" spans="1:39">
      <c r="A2" t="str">
        <f t="shared" ref="A2:A9" si="0">B2&amp;"_"&amp;TEXT(C2,"yyyy-mm-dd")</f>
        <v>SM1_2014-03-27</v>
      </c>
      <c r="B2" t="s">
        <v>61</v>
      </c>
      <c r="C2" s="36">
        <v>41725</v>
      </c>
      <c r="D2">
        <f>SUMIF(DATA_WITH_GENUS_OLD!A:A,A2,DATA_WITH_GENUS_OLD!F:F)</f>
        <v>125</v>
      </c>
      <c r="E2">
        <f>SUMIF(DATA_WITH_GENUS_OLD!A:A,A2,DATA_WITH_GENUS_OLD!J:J)</f>
        <v>100</v>
      </c>
      <c r="F2" s="98">
        <f>SUMIFS(DATA_WITH_GENUS_OLD!T:T,DATA_WITH_GENUS_OLD!A:A,A2)/100</f>
        <v>5.41</v>
      </c>
      <c r="G2" cm="1">
        <f t="array" ref="G2">COUNTA(_xlfn.UNIQUE(_xlfn._xlws.FILTER(DATA_WITH_GENUS_OLD!A:A&amp;DATA_WITH_GENUS_OLD!D:D&amp;DATA_WITH_GENUS_OLD!J:J,(DATA_WITH_GENUS_OLD!A:A = A2)*(DATA_WITH_GENUS_OLD!J:J&gt;0))))</f>
        <v>15</v>
      </c>
      <c r="H2">
        <f>COUNTIFS(DATA_WITH_GENUS_OLD!A:A,A2,DATA_WITH_GENUS_OLD!K:K,"~*")</f>
        <v>4</v>
      </c>
      <c r="I2">
        <f>COUNTIFS(DATA_WITH_GENUS_OLD!A:A,A2,DATA_WITH_GENUS_OLD!K:K,"~*")</f>
        <v>4</v>
      </c>
      <c r="J2">
        <f>_xlfn.MAXIFS(DATA_WITH_GENUS_OLD!J:J,DATA_WITH_GENUS_OLD!A:A,A2)</f>
        <v>32</v>
      </c>
      <c r="K2" s="18" t="str" cm="1">
        <f t="array" ref="K2">_xlfn._xlws.FILTER(DATA_WITH_GENUS_OLD!E:E,(DATA_WITH_GENUS_OLD!A:A=A2)*(DATA_WITH_GENUS_OLD!J:J=J2)*ROW(DATA_WITH_GENUS_OLD!E:E),0)</f>
        <v>Chironomidae</v>
      </c>
      <c r="L2" s="11">
        <f>IF(F2="","",IF(F2&gt;7,0,IF(F2&lt;5,6,IF(F2&lt;=7,3))))</f>
        <v>3</v>
      </c>
      <c r="M2">
        <f>IF(G2="","",IF(G2&gt;10,6,IF(G2&lt;5,0,IF(G2&lt;=10,3))))</f>
        <v>6</v>
      </c>
      <c r="N2" s="13">
        <f>IF(H2="","",IF(H2&gt;5,6,IF(H2&lt;3,0,IF(H2&lt;=5,3))))</f>
        <v>3</v>
      </c>
      <c r="O2" s="14">
        <f>IF(I2="","",IF(I2&gt;35,6,IF(I2&lt;1,0,IF(I2&lt;=35,3,IF(I2&lt;1,0)))))</f>
        <v>3</v>
      </c>
      <c r="P2">
        <f>IF(J2="","",IF(J2&gt;60,0,IF(J2&lt;40,6,IF(J2&lt;=60,3))))</f>
        <v>6</v>
      </c>
      <c r="Q2" s="100">
        <f>SUM(L2:P2)</f>
        <v>21</v>
      </c>
      <c r="R2" s="15" t="str">
        <f>IF(Q2&gt;=24, "Non-Impaired", IF(Q2&lt;=6, "Severally Impaired", IF(Q2&gt;=9, "Moderately Impaired","")))</f>
        <v>Moderately Impaired</v>
      </c>
      <c r="S2" s="15">
        <f>COUNTIFS(DATA_WITH_GENUS_OLD!A:A,A2,DATA_WITH_GENUS_OLD!J:J, "&gt;0")</f>
        <v>15</v>
      </c>
      <c r="T2" s="20">
        <f>ROUND((((COUNTIFS(DATA_WITH_GENUS_OLD!A:A,A2,DATA_WITH_GENUS_OLD!O:O,FALSE))/G2)*100),1)</f>
        <v>33.299999999999997</v>
      </c>
      <c r="U2" s="23">
        <f>SUMIFS(DATA_WITH_GENUS_OLD!J:J,DATA_WITH_GENUS_OLD!A:A,A2,DATA_WITH_GENUS_OLD!P:P,TRUE)</f>
        <v>6</v>
      </c>
      <c r="V2">
        <f>SUMIFS(DATA_WITH_GENUS_OLD!U:U,DATA_WITH_GENUS_OLD!A:A,A2)/100</f>
        <v>5.05</v>
      </c>
      <c r="W2" s="18">
        <f>COUNTIFS(DATA_WITH_GENUS_OLD!A:A,A2,DATA_WITH_GENUS_OLD!R:R,TRUE)</f>
        <v>3</v>
      </c>
      <c r="X2" s="18">
        <f>COUNTIFS(DATA_WITH_GENUS_OLD!A:A,A2,DATA_WITH_GENUS_OLD!S:S,2)</f>
        <v>1</v>
      </c>
      <c r="Y2">
        <f>COUNTIFS(DATA_WITH_GENUS_OLD!A:A,A2,DATA_WITH_GENUS_OLD!S:S,3)</f>
        <v>1</v>
      </c>
      <c r="Z2">
        <f>S2+26.53-(22.776+4.173*(LOG10(41.29040454)))</f>
        <v>12.011061547681308</v>
      </c>
      <c r="AA2">
        <f>(U2)+37.49-(49.22-13.8*(LOG10(41.29040454)))</f>
        <v>16.568718102563626</v>
      </c>
      <c r="AB2">
        <f>V2 + 4.23-(3.407+0.981*(LOG10(41.29040454)))</f>
        <v>4.2878519957525434</v>
      </c>
      <c r="AC2">
        <f>V2 + 5.44-(3.889+0.981*(LOG10(41.29040454)))</f>
        <v>5.0158519957525431</v>
      </c>
      <c r="AD2" s="98">
        <f>((100*Z2/31)+(100*(60-T2)/55)+(100*AA2/69)+(100*(7.2-AB2)/4.6)+(100*AC2/11)+(100*X2/8)+(100*Y2/8))/7</f>
        <v>35.029952732072118</v>
      </c>
      <c r="AE2" t="str">
        <f>IF(AD2&gt;=63, "Excellent", IF(AD2&lt;21, "Poor", IF(AD2&lt;42, "Fair","Good")))</f>
        <v>Fair</v>
      </c>
      <c r="AH2" s="47"/>
    </row>
    <row r="3" spans="1:39">
      <c r="A3" t="str">
        <f t="shared" si="0"/>
        <v>SM1_2014-10-14</v>
      </c>
      <c r="B3" t="s">
        <v>61</v>
      </c>
      <c r="C3" s="3">
        <v>41926</v>
      </c>
      <c r="D3">
        <f>SUMIF(DATA_WITH_GENUS_OLD!A:A,A3,DATA_WITH_GENUS_OLD!F:F)</f>
        <v>110</v>
      </c>
      <c r="E3">
        <f>SUMIF(DATA_WITH_GENUS_OLD!A:A,A3,DATA_WITH_GENUS_OLD!J:J)</f>
        <v>100</v>
      </c>
      <c r="F3" s="98">
        <f>SUMIFS(DATA_WITH_GENUS_OLD!T:T,DATA_WITH_GENUS_OLD!A:A,A3)/100</f>
        <v>4.53</v>
      </c>
      <c r="G3" cm="1">
        <f t="array" ref="G3">COUNTA(_xlfn.UNIQUE(_xlfn._xlws.FILTER(DATA_WITH_GENUS_OLD!A:A&amp;DATA_WITH_GENUS_OLD!D:D&amp;DATA_WITH_GENUS_OLD!J:J,(DATA_WITH_GENUS_OLD!A:A = A3)*(DATA_WITH_GENUS_OLD!J:J&gt;0))))</f>
        <v>10</v>
      </c>
      <c r="H3">
        <f>COUNTIFS(DATA_WITH_GENUS_OLD!A:A,A3,DATA_WITH_GENUS_OLD!K:K,"~*")</f>
        <v>3</v>
      </c>
      <c r="I3">
        <f>COUNTIFS(DATA_WITH_GENUS_OLD!A:A,A3,DATA_WITH_GENUS_OLD!K:K,"~*")</f>
        <v>3</v>
      </c>
      <c r="J3">
        <f>_xlfn.MAXIFS(DATA_WITH_GENUS_OLD!J:J,DATA_WITH_GENUS_OLD!A:A,A3)</f>
        <v>56</v>
      </c>
      <c r="K3" s="18" t="str" cm="1">
        <f t="array" ref="K3">_xlfn._xlws.FILTER(DATA_WITH_GENUS_OLD!E:E,(DATA_WITH_GENUS_OLD!A:A=A3)*(DATA_WITH_GENUS_OLD!J:J=J3)*ROW(DATA_WITH_GENUS_OLD!E:E),0)</f>
        <v>Gammaridae</v>
      </c>
      <c r="L3" s="11">
        <f t="shared" ref="L3:L9" si="1">IF(F3="","",IF(F3&gt;7,0,IF(F3&lt;5,6,IF(F3&lt;=7,3))))</f>
        <v>6</v>
      </c>
      <c r="M3">
        <f t="shared" ref="M3:M9" si="2">IF(G3="","",IF(G3&gt;10,6,IF(G3&lt;5,0,IF(G3&lt;=10,3))))</f>
        <v>3</v>
      </c>
      <c r="N3" s="13">
        <f t="shared" ref="N3:N9" si="3">IF(H3="","",IF(H3&gt;5,6,IF(H3&lt;3,0,IF(H3&lt;=5,3))))</f>
        <v>3</v>
      </c>
      <c r="O3" s="14">
        <f t="shared" ref="O3:O9" si="4">IF(I3="","",IF(I3&gt;35,6,IF(I3&lt;1,0,IF(I3&lt;=35,3,IF(I3&lt;1,0)))))</f>
        <v>3</v>
      </c>
      <c r="P3">
        <f t="shared" ref="P3:P9" si="5">IF(J3="","",IF(J3&gt;60,0,IF(J3&lt;40,6,IF(J3&lt;=60,3))))</f>
        <v>3</v>
      </c>
      <c r="Q3" s="100">
        <f t="shared" ref="Q3:Q9" si="6">SUM(L3:P3)</f>
        <v>18</v>
      </c>
      <c r="R3" s="15" t="str">
        <f t="shared" ref="R3:R9" si="7">IF(Q3&gt;=24, "Non-Impaired", IF(Q3&lt;=6, "Severally Impaired", IF(Q3&gt;=9, "Moderately Impaired","")))</f>
        <v>Moderately Impaired</v>
      </c>
      <c r="S3" s="15">
        <f>COUNTIFS(DATA_WITH_GENUS_OLD!A:A,A3,DATA_WITH_GENUS_OLD!J:J, "&gt;0")</f>
        <v>10</v>
      </c>
      <c r="T3" s="20">
        <f>ROUND((((COUNTIFS(DATA_WITH_GENUS_OLD!A:A,A3,DATA_WITH_GENUS_OLD!O:O,FALSE))/G3)*100),1)</f>
        <v>40</v>
      </c>
      <c r="U3" s="23">
        <f>SUMIFS(DATA_WITH_GENUS_OLD!J:J,DATA_WITH_GENUS_OLD!A:A,A3,DATA_WITH_GENUS_OLD!P:P,TRUE)</f>
        <v>4</v>
      </c>
      <c r="V3">
        <f>SUMIFS(DATA_WITH_GENUS_OLD!U:U,DATA_WITH_GENUS_OLD!A:A,A3)/100</f>
        <v>4.41</v>
      </c>
      <c r="W3" s="18">
        <f>COUNTIFS(DATA_WITH_GENUS_OLD!A:A,A3,DATA_WITH_GENUS_OLD!R:R,TRUE)</f>
        <v>2</v>
      </c>
      <c r="X3" s="18">
        <f>COUNTIFS(DATA_WITH_GENUS_OLD!A:A,A3,DATA_WITH_GENUS_OLD!S:S,2)</f>
        <v>0</v>
      </c>
      <c r="Y3">
        <f>COUNTIFS(DATA_WITH_GENUS_OLD!A:A,A3,DATA_WITH_GENUS_OLD!S:S,3)</f>
        <v>0</v>
      </c>
      <c r="Z3">
        <f t="shared" ref="Z3:Z9" si="8">S3+26.53-(22.776+4.173*(LOG10(41.29040454)))</f>
        <v>7.0110615476813081</v>
      </c>
      <c r="AA3">
        <f>(U3)+37.49-(49.22-13.8*(LOG10(41.29040454)))</f>
        <v>14.568718102563626</v>
      </c>
      <c r="AB3">
        <f t="shared" ref="AB3:AB9" si="9">V3 + 4.23-(3.407+0.981*(LOG10(41.29040454)))</f>
        <v>3.6478519957525428</v>
      </c>
      <c r="AC3">
        <f t="shared" ref="AC3:AC9" si="10">V3 + 5.44-(3.889+0.981*(LOG10(41.29040454)))</f>
        <v>4.3758519957525444</v>
      </c>
      <c r="AD3" s="98">
        <f t="shared" ref="AD3:AD9" si="11">((100*Z3/31)+(100*(60-T3)/55)+(100*AA3/69)+(100*(7.2-AB3)/4.6)+(100*AC3/11)+(100*X3/8)+(100*Y3/8))/7</f>
        <v>28.156447088580506</v>
      </c>
      <c r="AE3" t="str">
        <f t="shared" ref="AE3:AE9" si="12">IF(AD3&gt;=63, "Excellent", IF(AD3&lt;21, "Poor", IF(AD3&lt;42, "Fair","Good")))</f>
        <v>Fair</v>
      </c>
      <c r="AK3" t="str">
        <f>IF(AH3="","",(AH3+35.15)-(45.59-(11.59*LOG10(16.73739082))))</f>
        <v/>
      </c>
    </row>
    <row r="4" spans="1:39">
      <c r="A4" t="str">
        <f t="shared" si="0"/>
        <v>SM1_2015-07-23</v>
      </c>
      <c r="B4" t="s">
        <v>61</v>
      </c>
      <c r="C4" s="3">
        <v>42208</v>
      </c>
      <c r="D4">
        <f>SUMIF(DATA_WITH_GENUS_OLD!A:A,A4,DATA_WITH_GENUS_OLD!F:F)</f>
        <v>109</v>
      </c>
      <c r="E4">
        <f>SUMIF(DATA_WITH_GENUS_OLD!A:A,A4,DATA_WITH_GENUS_OLD!J:J)</f>
        <v>100</v>
      </c>
      <c r="F4" s="98">
        <f>SUMIFS(DATA_WITH_GENUS_OLD!T:T,DATA_WITH_GENUS_OLD!A:A,A4)/100</f>
        <v>4.97</v>
      </c>
      <c r="G4" cm="1">
        <f t="array" ref="G4">COUNTA(_xlfn.UNIQUE(_xlfn._xlws.FILTER(DATA_WITH_GENUS_OLD!A:A&amp;DATA_WITH_GENUS_OLD!D:D&amp;DATA_WITH_GENUS_OLD!J:J,(DATA_WITH_GENUS_OLD!A:A = A4)*(DATA_WITH_GENUS_OLD!J:J&gt;0))))</f>
        <v>16</v>
      </c>
      <c r="H4">
        <f>COUNTIFS(DATA_WITH_GENUS_OLD!A:A,A4,DATA_WITH_GENUS_OLD!K:K,"~*")</f>
        <v>4</v>
      </c>
      <c r="I4">
        <f>COUNTIFS(DATA_WITH_GENUS_OLD!A:A,A4,DATA_WITH_GENUS_OLD!K:K,"~*")</f>
        <v>4</v>
      </c>
      <c r="J4">
        <f>_xlfn.MAXIFS(DATA_WITH_GENUS_OLD!J:J,DATA_WITH_GENUS_OLD!A:A,A4)</f>
        <v>17</v>
      </c>
      <c r="K4" s="18" t="str" cm="1">
        <f t="array" ref="K4">_xlfn._xlws.FILTER(DATA_WITH_GENUS_OLD!E:E,(DATA_WITH_GENUS_OLD!A:A=A4)*(DATA_WITH_GENUS_OLD!J:J=J4)*ROW(DATA_WITH_GENUS_OLD!E:E),0)</f>
        <v>Gammaridae</v>
      </c>
      <c r="L4" s="11">
        <f t="shared" si="1"/>
        <v>6</v>
      </c>
      <c r="M4">
        <f t="shared" si="2"/>
        <v>6</v>
      </c>
      <c r="N4" s="13">
        <f t="shared" si="3"/>
        <v>3</v>
      </c>
      <c r="O4" s="14">
        <f t="shared" si="4"/>
        <v>3</v>
      </c>
      <c r="P4">
        <f t="shared" si="5"/>
        <v>6</v>
      </c>
      <c r="Q4" s="100">
        <f t="shared" si="6"/>
        <v>24</v>
      </c>
      <c r="R4" s="15" t="str">
        <f t="shared" si="7"/>
        <v>Non-Impaired</v>
      </c>
      <c r="S4" s="15">
        <f>COUNTIFS(DATA_WITH_GENUS_OLD!A:A,A4,DATA_WITH_GENUS_OLD!J:J, "&gt;0")</f>
        <v>16</v>
      </c>
      <c r="T4" s="20">
        <f>ROUND((((COUNTIFS(DATA_WITH_GENUS_OLD!A:A,A4,DATA_WITH_GENUS_OLD!O:O,FALSE))/G4)*100),1)</f>
        <v>37.5</v>
      </c>
      <c r="U4" s="23">
        <f>SUMIFS(DATA_WITH_GENUS_OLD!J:J,DATA_WITH_GENUS_OLD!A:A,A4,DATA_WITH_GENUS_OLD!P:P,TRUE)</f>
        <v>22</v>
      </c>
      <c r="V4">
        <f>SUMIFS(DATA_WITH_GENUS_OLD!U:U,DATA_WITH_GENUS_OLD!A:A,A4)/100</f>
        <v>4.87</v>
      </c>
      <c r="W4" s="18">
        <f>COUNTIFS(DATA_WITH_GENUS_OLD!A:A,A4,DATA_WITH_GENUS_OLD!R:R,TRUE)</f>
        <v>5</v>
      </c>
      <c r="X4" s="18">
        <f>COUNTIFS(DATA_WITH_GENUS_OLD!A:A,A4,DATA_WITH_GENUS_OLD!S:S,2)</f>
        <v>0</v>
      </c>
      <c r="Y4">
        <f>COUNTIFS(DATA_WITH_GENUS_OLD!A:A,A4,DATA_WITH_GENUS_OLD!S:S,3)</f>
        <v>1</v>
      </c>
      <c r="Z4">
        <f t="shared" si="8"/>
        <v>13.011061547681308</v>
      </c>
      <c r="AA4">
        <f t="shared" ref="AA4:AA9" si="13">(U4)+37.49-(49.22-13.8*(LOG10(41.29040454)))</f>
        <v>32.568718102563622</v>
      </c>
      <c r="AB4">
        <f t="shared" si="9"/>
        <v>4.1078519957525437</v>
      </c>
      <c r="AC4">
        <f t="shared" si="10"/>
        <v>4.8358519957525434</v>
      </c>
      <c r="AD4" s="98">
        <f t="shared" si="11"/>
        <v>36.252028225536108</v>
      </c>
      <c r="AE4" t="str">
        <f t="shared" si="12"/>
        <v>Fair</v>
      </c>
    </row>
    <row r="5" spans="1:39">
      <c r="A5" t="str">
        <f t="shared" si="0"/>
        <v>SM1_2015-10-22</v>
      </c>
      <c r="B5" t="s">
        <v>61</v>
      </c>
      <c r="C5" s="3">
        <v>42299</v>
      </c>
      <c r="D5" s="25">
        <f>SUMIF(DATA_WITH_GENUS_OLD!A:A,A5,DATA_WITH_GENUS_OLD!F:F)</f>
        <v>96</v>
      </c>
      <c r="E5">
        <f>SUMIF(DATA_WITH_GENUS_OLD!A:A,A5,DATA_WITH_GENUS_OLD!J:J)</f>
        <v>96</v>
      </c>
      <c r="F5" s="98">
        <f>SUMIFS(DATA_WITH_GENUS_OLD!T:T,DATA_WITH_GENUS_OLD!A:A,A5)/100</f>
        <v>4.54</v>
      </c>
      <c r="G5" cm="1">
        <f t="array" ref="G5">COUNTA(_xlfn.UNIQUE(_xlfn._xlws.FILTER(DATA_WITH_GENUS_OLD!A:A&amp;DATA_WITH_GENUS_OLD!D:D&amp;DATA_WITH_GENUS_OLD!J:J,(DATA_WITH_GENUS_OLD!A:A = A5)*(DATA_WITH_GENUS_OLD!J:J&gt;0))))</f>
        <v>14</v>
      </c>
      <c r="H5">
        <f>COUNTIFS(DATA_WITH_GENUS_OLD!A:A,A5,DATA_WITH_GENUS_OLD!K:K,"~*")</f>
        <v>2</v>
      </c>
      <c r="I5">
        <f>COUNTIFS(DATA_WITH_GENUS_OLD!A:A,A5,DATA_WITH_GENUS_OLD!K:K,"~*")</f>
        <v>2</v>
      </c>
      <c r="J5">
        <f>_xlfn.MAXIFS(DATA_WITH_GENUS_OLD!J:J,DATA_WITH_GENUS_OLD!A:A,A5)</f>
        <v>44</v>
      </c>
      <c r="K5" s="18" t="str" cm="1">
        <f t="array" ref="K5">_xlfn._xlws.FILTER(DATA_WITH_GENUS_OLD!E:E,(DATA_WITH_GENUS_OLD!A:A=A5)*(DATA_WITH_GENUS_OLD!J:J=J5)*ROW(DATA_WITH_GENUS_OLD!E:E),0)</f>
        <v>Gammaridae</v>
      </c>
      <c r="L5" s="11">
        <f t="shared" si="1"/>
        <v>6</v>
      </c>
      <c r="M5">
        <f t="shared" si="2"/>
        <v>6</v>
      </c>
      <c r="N5" s="13">
        <f t="shared" si="3"/>
        <v>0</v>
      </c>
      <c r="O5" s="14">
        <f t="shared" si="4"/>
        <v>3</v>
      </c>
      <c r="P5">
        <f t="shared" si="5"/>
        <v>3</v>
      </c>
      <c r="Q5" s="100">
        <f t="shared" si="6"/>
        <v>18</v>
      </c>
      <c r="R5" s="15" t="str">
        <f t="shared" si="7"/>
        <v>Moderately Impaired</v>
      </c>
      <c r="S5" s="15">
        <f>COUNTIFS(DATA_WITH_GENUS_OLD!A:A,A5,DATA_WITH_GENUS_OLD!J:J, "&gt;0")</f>
        <v>14</v>
      </c>
      <c r="T5" s="20">
        <f>ROUND((((COUNTIFS(DATA_WITH_GENUS_OLD!A:A,A5,DATA_WITH_GENUS_OLD!O:O,FALSE))/G5)*100),1)</f>
        <v>42.9</v>
      </c>
      <c r="U5" s="23">
        <f>SUMIFS(DATA_WITH_GENUS_OLD!J:J,DATA_WITH_GENUS_OLD!A:A,A5,DATA_WITH_GENUS_OLD!P:P,TRUE)</f>
        <v>2</v>
      </c>
      <c r="V5">
        <f>SUMIFS(DATA_WITH_GENUS_OLD!U:U,DATA_WITH_GENUS_OLD!A:A,A5)/100</f>
        <v>4.4400000000000004</v>
      </c>
      <c r="W5" s="18">
        <f>COUNTIFS(DATA_WITH_GENUS_OLD!A:A,A5,DATA_WITH_GENUS_OLD!R:R,TRUE)</f>
        <v>4</v>
      </c>
      <c r="X5" s="18">
        <f>COUNTIFS(DATA_WITH_GENUS_OLD!A:A,A5,DATA_WITH_GENUS_OLD!S:S,2)</f>
        <v>0</v>
      </c>
      <c r="Y5">
        <f>COUNTIFS(DATA_WITH_GENUS_OLD!A:A,A5,DATA_WITH_GENUS_OLD!S:S,3)</f>
        <v>1</v>
      </c>
      <c r="Z5">
        <f t="shared" si="8"/>
        <v>11.011061547681308</v>
      </c>
      <c r="AA5">
        <f t="shared" si="13"/>
        <v>12.568718102563626</v>
      </c>
      <c r="AB5">
        <f t="shared" si="9"/>
        <v>3.677851995752544</v>
      </c>
      <c r="AC5">
        <f t="shared" si="10"/>
        <v>4.4058519957525437</v>
      </c>
      <c r="AD5" s="98">
        <f t="shared" si="11"/>
        <v>30.563947255547706</v>
      </c>
      <c r="AE5" t="str">
        <f t="shared" si="12"/>
        <v>Fair</v>
      </c>
      <c r="AH5" s="2"/>
    </row>
    <row r="6" spans="1:39">
      <c r="A6" t="str">
        <f t="shared" si="0"/>
        <v>SM1_2016-07-14</v>
      </c>
      <c r="B6" t="s">
        <v>61</v>
      </c>
      <c r="C6" s="3">
        <v>42565</v>
      </c>
      <c r="D6">
        <f>SUMIF(DATA_WITH_GENUS_OLD!A:A,A6,DATA_WITH_GENUS_OLD!F:F)</f>
        <v>134</v>
      </c>
      <c r="E6">
        <f>SUMIF(DATA_WITH_GENUS_OLD!A:A,A6,DATA_WITH_GENUS_OLD!J:J)</f>
        <v>100</v>
      </c>
      <c r="F6" s="98">
        <f>SUMIFS(DATA_WITH_GENUS_OLD!T:T,DATA_WITH_GENUS_OLD!A:A,A6)/100</f>
        <v>7.15</v>
      </c>
      <c r="G6" cm="1">
        <f t="array" ref="G6">COUNTA(_xlfn.UNIQUE(_xlfn._xlws.FILTER(DATA_WITH_GENUS_OLD!A:A&amp;DATA_WITH_GENUS_OLD!D:D&amp;DATA_WITH_GENUS_OLD!J:J,(DATA_WITH_GENUS_OLD!A:A = A6)*(DATA_WITH_GENUS_OLD!J:J&gt;0))))</f>
        <v>9</v>
      </c>
      <c r="H6">
        <f>COUNTIFS(DATA_WITH_GENUS_OLD!A:A,A6,DATA_WITH_GENUS_OLD!K:K,"~*")</f>
        <v>1</v>
      </c>
      <c r="I6">
        <f>COUNTIFS(DATA_WITH_GENUS_OLD!A:A,A6,DATA_WITH_GENUS_OLD!K:K,"~*")</f>
        <v>1</v>
      </c>
      <c r="J6">
        <f>_xlfn.MAXIFS(DATA_WITH_GENUS_OLD!J:J,DATA_WITH_GENUS_OLD!A:A,A6)</f>
        <v>76</v>
      </c>
      <c r="K6" s="18" t="str" cm="1">
        <f t="array" ref="K6">_xlfn._xlws.FILTER(DATA_WITH_GENUS_OLD!E:E,(DATA_WITH_GENUS_OLD!A:A=A6)*(DATA_WITH_GENUS_OLD!J:J=J6)*ROW(DATA_WITH_GENUS_OLD!E:E),0)</f>
        <v>Chironomus</v>
      </c>
      <c r="L6" s="11">
        <f t="shared" si="1"/>
        <v>0</v>
      </c>
      <c r="M6">
        <f t="shared" si="2"/>
        <v>3</v>
      </c>
      <c r="N6" s="13">
        <f t="shared" si="3"/>
        <v>0</v>
      </c>
      <c r="O6" s="14">
        <f t="shared" si="4"/>
        <v>3</v>
      </c>
      <c r="P6">
        <f t="shared" si="5"/>
        <v>0</v>
      </c>
      <c r="Q6" s="100">
        <f t="shared" si="6"/>
        <v>6</v>
      </c>
      <c r="R6" s="15" t="str">
        <f t="shared" si="7"/>
        <v>Severally Impaired</v>
      </c>
      <c r="S6" s="15">
        <f>COUNTIFS(DATA_WITH_GENUS_OLD!A:A,A6,DATA_WITH_GENUS_OLD!J:J, "&gt;0")</f>
        <v>9</v>
      </c>
      <c r="T6" s="20">
        <f>ROUND((((COUNTIFS(DATA_WITH_GENUS_OLD!A:A,A6,DATA_WITH_GENUS_OLD!O:O,FALSE))/G6)*100),1)</f>
        <v>44.4</v>
      </c>
      <c r="U6" s="23">
        <f>SUMIFS(DATA_WITH_GENUS_OLD!J:J,DATA_WITH_GENUS_OLD!A:A,A6,DATA_WITH_GENUS_OLD!P:P,TRUE)</f>
        <v>0</v>
      </c>
      <c r="V6">
        <f>SUMIFS(DATA_WITH_GENUS_OLD!U:U,DATA_WITH_GENUS_OLD!A:A,A6)/100</f>
        <v>8.65</v>
      </c>
      <c r="W6" s="18">
        <f>COUNTIFS(DATA_WITH_GENUS_OLD!A:A,A6,DATA_WITH_GENUS_OLD!R:R,TRUE)</f>
        <v>1</v>
      </c>
      <c r="X6" s="18">
        <f>COUNTIFS(DATA_WITH_GENUS_OLD!A:A,A6,DATA_WITH_GENUS_OLD!S:S,2)</f>
        <v>0</v>
      </c>
      <c r="Y6">
        <f>COUNTIFS(DATA_WITH_GENUS_OLD!A:A,A6,DATA_WITH_GENUS_OLD!S:S,3)</f>
        <v>0</v>
      </c>
      <c r="Z6">
        <f t="shared" si="8"/>
        <v>6.0110615476813081</v>
      </c>
      <c r="AA6">
        <f t="shared" si="13"/>
        <v>10.568718102563626</v>
      </c>
      <c r="AB6">
        <f t="shared" si="9"/>
        <v>7.887851995752543</v>
      </c>
      <c r="AC6">
        <f t="shared" si="10"/>
        <v>8.6158519957525428</v>
      </c>
      <c r="AD6" s="98">
        <f t="shared" si="11"/>
        <v>18.063394745878789</v>
      </c>
      <c r="AE6" t="str">
        <f t="shared" si="12"/>
        <v>Poor</v>
      </c>
    </row>
    <row r="7" spans="1:39">
      <c r="A7" t="str">
        <f t="shared" si="0"/>
        <v>SM1_2016-10-14</v>
      </c>
      <c r="B7" t="s">
        <v>61</v>
      </c>
      <c r="C7" s="3">
        <v>42657</v>
      </c>
      <c r="D7">
        <f>SUMIF(DATA_WITH_GENUS_OLD!A:A,A7,DATA_WITH_GENUS_OLD!F:F)</f>
        <v>138</v>
      </c>
      <c r="E7">
        <f>SUMIF(DATA_WITH_GENUS_OLD!A:A,A7,DATA_WITH_GENUS_OLD!J:J)</f>
        <v>100</v>
      </c>
      <c r="F7" s="98">
        <f>SUMIFS(DATA_WITH_GENUS_OLD!T:T,DATA_WITH_GENUS_OLD!A:A,A7)/100</f>
        <v>4.47</v>
      </c>
      <c r="G7" cm="1">
        <f t="array" ref="G7">COUNTA(_xlfn.UNIQUE(_xlfn._xlws.FILTER(DATA_WITH_GENUS_OLD!A:A&amp;DATA_WITH_GENUS_OLD!D:D&amp;DATA_WITH_GENUS_OLD!J:J,(DATA_WITH_GENUS_OLD!A:A = A7)*(DATA_WITH_GENUS_OLD!J:J&gt;0))))</f>
        <v>11</v>
      </c>
      <c r="H7">
        <f>COUNTIFS(DATA_WITH_GENUS_OLD!A:A,A7,DATA_WITH_GENUS_OLD!K:K,"~*")</f>
        <v>4</v>
      </c>
      <c r="I7">
        <f>COUNTIFS(DATA_WITH_GENUS_OLD!A:A,A7,DATA_WITH_GENUS_OLD!K:K,"~*")</f>
        <v>4</v>
      </c>
      <c r="J7">
        <f>_xlfn.MAXIFS(DATA_WITH_GENUS_OLD!J:J,DATA_WITH_GENUS_OLD!A:A,A7)</f>
        <v>43</v>
      </c>
      <c r="K7" s="18" t="str" cm="1">
        <f t="array" ref="K7">_xlfn._xlws.FILTER(DATA_WITH_GENUS_OLD!E:E,(DATA_WITH_GENUS_OLD!A:A=A7)*(DATA_WITH_GENUS_OLD!J:J=J7)*ROW(DATA_WITH_GENUS_OLD!E:E),0)</f>
        <v>Gammaridae</v>
      </c>
      <c r="L7" s="11">
        <f t="shared" si="1"/>
        <v>6</v>
      </c>
      <c r="M7">
        <f t="shared" si="2"/>
        <v>6</v>
      </c>
      <c r="N7" s="13">
        <f t="shared" si="3"/>
        <v>3</v>
      </c>
      <c r="O7" s="14">
        <f t="shared" si="4"/>
        <v>3</v>
      </c>
      <c r="P7">
        <f t="shared" si="5"/>
        <v>3</v>
      </c>
      <c r="Q7" s="100">
        <f t="shared" si="6"/>
        <v>21</v>
      </c>
      <c r="R7" s="15" t="str">
        <f t="shared" si="7"/>
        <v>Moderately Impaired</v>
      </c>
      <c r="S7" s="15">
        <f>COUNTIFS(DATA_WITH_GENUS_OLD!A:A,A7,DATA_WITH_GENUS_OLD!J:J, "&gt;0")</f>
        <v>11</v>
      </c>
      <c r="T7" s="20">
        <f>ROUND((((COUNTIFS(DATA_WITH_GENUS_OLD!A:A,A7,DATA_WITH_GENUS_OLD!O:O,FALSE))/G7)*100),1)</f>
        <v>36.4</v>
      </c>
      <c r="U7" s="23">
        <f>SUMIFS(DATA_WITH_GENUS_OLD!J:J,DATA_WITH_GENUS_OLD!A:A,A7,DATA_WITH_GENUS_OLD!P:P,TRUE)</f>
        <v>15</v>
      </c>
      <c r="V7">
        <f>SUMIFS(DATA_WITH_GENUS_OLD!U:U,DATA_WITH_GENUS_OLD!A:A,A7)/100</f>
        <v>4.41</v>
      </c>
      <c r="W7" s="18">
        <f>COUNTIFS(DATA_WITH_GENUS_OLD!A:A,A7,DATA_WITH_GENUS_OLD!R:R,TRUE)</f>
        <v>4</v>
      </c>
      <c r="X7" s="18">
        <f>COUNTIFS(DATA_WITH_GENUS_OLD!A:A,A7,DATA_WITH_GENUS_OLD!S:S,2)</f>
        <v>0</v>
      </c>
      <c r="Y7">
        <f>COUNTIFS(DATA_WITH_GENUS_OLD!A:A,A7,DATA_WITH_GENUS_OLD!S:S,3)</f>
        <v>0</v>
      </c>
      <c r="Z7">
        <f t="shared" si="8"/>
        <v>8.0110615476813081</v>
      </c>
      <c r="AA7">
        <f t="shared" si="13"/>
        <v>25.568718102563626</v>
      </c>
      <c r="AB7">
        <f t="shared" si="9"/>
        <v>3.6478519957525428</v>
      </c>
      <c r="AC7">
        <f t="shared" si="10"/>
        <v>4.3758519957525444</v>
      </c>
      <c r="AD7" s="98">
        <f t="shared" si="11"/>
        <v>31.829774228948317</v>
      </c>
      <c r="AE7" t="str">
        <f t="shared" si="12"/>
        <v>Fair</v>
      </c>
    </row>
    <row r="8" spans="1:39">
      <c r="A8" t="str">
        <f t="shared" si="0"/>
        <v>SM1_2017-04-13</v>
      </c>
      <c r="B8" t="s">
        <v>61</v>
      </c>
      <c r="C8" s="3">
        <v>42838</v>
      </c>
      <c r="D8">
        <f>SUMIF(DATA_WITH_GENUS_OLD!A:A,A8,DATA_WITH_GENUS_OLD!F:F)</f>
        <v>102</v>
      </c>
      <c r="E8">
        <f>SUMIF(DATA_WITH_GENUS_OLD!A:A,A8,DATA_WITH_GENUS_OLD!J:J)</f>
        <v>100</v>
      </c>
      <c r="F8" s="98">
        <f>SUMIFS(DATA_WITH_GENUS_OLD!T:T,DATA_WITH_GENUS_OLD!A:A,A8)/100</f>
        <v>4.97</v>
      </c>
      <c r="G8" cm="1">
        <f t="array" ref="G8">COUNTA(_xlfn.UNIQUE(_xlfn._xlws.FILTER(DATA_WITH_GENUS_OLD!A:A&amp;DATA_WITH_GENUS_OLD!D:D&amp;DATA_WITH_GENUS_OLD!J:J,(DATA_WITH_GENUS_OLD!A:A = A8)*(DATA_WITH_GENUS_OLD!J:J&gt;0))))</f>
        <v>14</v>
      </c>
      <c r="H8">
        <f>COUNTIFS(DATA_WITH_GENUS_OLD!A:A,A8,DATA_WITH_GENUS_OLD!K:K,"~*")</f>
        <v>2</v>
      </c>
      <c r="I8">
        <f>COUNTIFS(DATA_WITH_GENUS_OLD!A:A,A8,DATA_WITH_GENUS_OLD!K:K,"~*")</f>
        <v>2</v>
      </c>
      <c r="J8">
        <f>_xlfn.MAXIFS(DATA_WITH_GENUS_OLD!J:J,DATA_WITH_GENUS_OLD!A:A,A8)</f>
        <v>35</v>
      </c>
      <c r="K8" s="18" t="str" cm="1">
        <f t="array" ref="K8">_xlfn._xlws.FILTER(DATA_WITH_GENUS_OLD!E:E,(DATA_WITH_GENUS_OLD!A:A=A8)*(DATA_WITH_GENUS_OLD!J:J=J8)*ROW(DATA_WITH_GENUS_OLD!E:E),0)</f>
        <v>Psephenidae</v>
      </c>
      <c r="L8" s="11">
        <f t="shared" si="1"/>
        <v>6</v>
      </c>
      <c r="M8">
        <f t="shared" si="2"/>
        <v>6</v>
      </c>
      <c r="N8" s="13">
        <f t="shared" si="3"/>
        <v>0</v>
      </c>
      <c r="O8" s="14">
        <f t="shared" si="4"/>
        <v>3</v>
      </c>
      <c r="P8">
        <f t="shared" si="5"/>
        <v>6</v>
      </c>
      <c r="Q8" s="100">
        <f t="shared" si="6"/>
        <v>21</v>
      </c>
      <c r="R8" s="15" t="str">
        <f t="shared" si="7"/>
        <v>Moderately Impaired</v>
      </c>
      <c r="S8" s="15">
        <f>COUNTIFS(DATA_WITH_GENUS_OLD!A:A,A8,DATA_WITH_GENUS_OLD!J:J, "&gt;0")</f>
        <v>14</v>
      </c>
      <c r="T8" s="20">
        <f>ROUND((((COUNTIFS(DATA_WITH_GENUS_OLD!A:A,A8,DATA_WITH_GENUS_OLD!O:O,FALSE))/G8)*100),1)</f>
        <v>42.9</v>
      </c>
      <c r="U8" s="23">
        <f>SUMIFS(DATA_WITH_GENUS_OLD!J:J,DATA_WITH_GENUS_OLD!A:A,A8,DATA_WITH_GENUS_OLD!P:P,TRUE)</f>
        <v>24</v>
      </c>
      <c r="V8">
        <f>SUMIFS(DATA_WITH_GENUS_OLD!U:U,DATA_WITH_GENUS_OLD!A:A,A8)/100</f>
        <v>4.6900000000000004</v>
      </c>
      <c r="W8" s="18">
        <f>COUNTIFS(DATA_WITH_GENUS_OLD!A:A,A8,DATA_WITH_GENUS_OLD!R:R,TRUE)</f>
        <v>3</v>
      </c>
      <c r="X8" s="18">
        <f>COUNTIFS(DATA_WITH_GENUS_OLD!A:A,A8,DATA_WITH_GENUS_OLD!S:S,2)</f>
        <v>0</v>
      </c>
      <c r="Y8">
        <f>COUNTIFS(DATA_WITH_GENUS_OLD!A:A,A8,DATA_WITH_GENUS_OLD!S:S,3)</f>
        <v>0</v>
      </c>
      <c r="Z8">
        <f t="shared" si="8"/>
        <v>11.011061547681308</v>
      </c>
      <c r="AA8">
        <f t="shared" si="13"/>
        <v>34.568718102563622</v>
      </c>
      <c r="AB8">
        <f t="shared" si="9"/>
        <v>3.927851995752544</v>
      </c>
      <c r="AC8">
        <f t="shared" si="10"/>
        <v>4.6558519957525437</v>
      </c>
      <c r="AD8" s="98">
        <f t="shared" si="11"/>
        <v>32.881376203411435</v>
      </c>
      <c r="AE8" t="str">
        <f t="shared" si="12"/>
        <v>Fair</v>
      </c>
    </row>
    <row r="9" spans="1:39">
      <c r="A9" t="str">
        <f t="shared" si="0"/>
        <v>SM1_2017-06-29</v>
      </c>
      <c r="B9" t="s">
        <v>61</v>
      </c>
      <c r="C9" s="3">
        <v>42915</v>
      </c>
      <c r="D9">
        <f>SUMIF(DATA_WITH_GENUS_OLD!A:A,A9,DATA_WITH_GENUS_OLD!F:F)</f>
        <v>112</v>
      </c>
      <c r="E9">
        <f>SUMIF(DATA_WITH_GENUS_OLD!A:A,A9,DATA_WITH_GENUS_OLD!J:J)</f>
        <v>100</v>
      </c>
      <c r="F9" s="98">
        <f>SUMIFS(DATA_WITH_GENUS_OLD!T:T,DATA_WITH_GENUS_OLD!A:A,A9)/100</f>
        <v>5.15</v>
      </c>
      <c r="G9" cm="1">
        <f t="array" ref="G9">COUNTA(_xlfn.UNIQUE(_xlfn._xlws.FILTER(DATA_WITH_GENUS_OLD!A:A&amp;DATA_WITH_GENUS_OLD!D:D&amp;DATA_WITH_GENUS_OLD!J:J,(DATA_WITH_GENUS_OLD!A:A = A9)*(DATA_WITH_GENUS_OLD!J:J&gt;0))))</f>
        <v>12</v>
      </c>
      <c r="H9">
        <f>COUNTIFS(DATA_WITH_GENUS_OLD!A:A,A9,DATA_WITH_GENUS_OLD!K:K,"~*")</f>
        <v>1</v>
      </c>
      <c r="I9">
        <f>COUNTIFS(DATA_WITH_GENUS_OLD!A:A,A9,DATA_WITH_GENUS_OLD!K:K,"~*")</f>
        <v>1</v>
      </c>
      <c r="J9">
        <f>_xlfn.MAXIFS(DATA_WITH_GENUS_OLD!J:J,DATA_WITH_GENUS_OLD!A:A,A9)</f>
        <v>45</v>
      </c>
      <c r="K9" s="18" t="str" cm="1">
        <f t="array" ref="K9">_xlfn._xlws.FILTER(DATA_WITH_GENUS_OLD!E:E,(DATA_WITH_GENUS_OLD!A:A=A9)*(DATA_WITH_GENUS_OLD!J:J=J9)*ROW(DATA_WITH_GENUS_OLD!E:E),0)</f>
        <v>Gammaridae</v>
      </c>
      <c r="L9" s="11">
        <f t="shared" si="1"/>
        <v>3</v>
      </c>
      <c r="M9">
        <f t="shared" si="2"/>
        <v>6</v>
      </c>
      <c r="N9" s="13">
        <f t="shared" si="3"/>
        <v>0</v>
      </c>
      <c r="O9" s="14">
        <f t="shared" si="4"/>
        <v>3</v>
      </c>
      <c r="P9">
        <f t="shared" si="5"/>
        <v>3</v>
      </c>
      <c r="Q9" s="100">
        <f t="shared" si="6"/>
        <v>15</v>
      </c>
      <c r="R9" s="15" t="str">
        <f t="shared" si="7"/>
        <v>Moderately Impaired</v>
      </c>
      <c r="S9" s="15">
        <f>COUNTIFS(DATA_WITH_GENUS_OLD!A:A,A9,DATA_WITH_GENUS_OLD!J:J, "&gt;0")</f>
        <v>12</v>
      </c>
      <c r="T9" s="20">
        <f>ROUND((((COUNTIFS(DATA_WITH_GENUS_OLD!A:A,A9,DATA_WITH_GENUS_OLD!O:O,FALSE))/G9)*100),1)</f>
        <v>50</v>
      </c>
      <c r="U9" s="23">
        <f>SUMIFS(DATA_WITH_GENUS_OLD!J:J,DATA_WITH_GENUS_OLD!A:A,A9,DATA_WITH_GENUS_OLD!P:P,TRUE)</f>
        <v>2</v>
      </c>
      <c r="V9">
        <f>SUMIFS(DATA_WITH_GENUS_OLD!U:U,DATA_WITH_GENUS_OLD!A:A,A9)/100</f>
        <v>5.19</v>
      </c>
      <c r="W9" s="18">
        <f>COUNTIFS(DATA_WITH_GENUS_OLD!A:A,A9,DATA_WITH_GENUS_OLD!R:R,TRUE)</f>
        <v>3</v>
      </c>
      <c r="X9" s="18">
        <f>COUNTIFS(DATA_WITH_GENUS_OLD!A:A,A9,DATA_WITH_GENUS_OLD!S:S,2)</f>
        <v>0</v>
      </c>
      <c r="Y9">
        <f>COUNTIFS(DATA_WITH_GENUS_OLD!A:A,A9,DATA_WITH_GENUS_OLD!S:S,3)</f>
        <v>0</v>
      </c>
      <c r="Z9">
        <f t="shared" si="8"/>
        <v>9.0110615476813081</v>
      </c>
      <c r="AA9">
        <f t="shared" si="13"/>
        <v>12.568718102563626</v>
      </c>
      <c r="AB9">
        <f t="shared" si="9"/>
        <v>4.427851995752544</v>
      </c>
      <c r="AC9">
        <f t="shared" si="10"/>
        <v>5.1558519957525437</v>
      </c>
      <c r="AD9" s="98">
        <f t="shared" si="11"/>
        <v>24.657251566944588</v>
      </c>
      <c r="AE9" t="str">
        <f t="shared" si="12"/>
        <v>Fair</v>
      </c>
    </row>
    <row r="10" spans="1:39">
      <c r="T10" s="20"/>
      <c r="X10" s="18"/>
    </row>
  </sheetData>
  <phoneticPr fontId="2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D5D7F-D7EC-43B7-8B5A-2A37078755A3}">
  <sheetPr>
    <tabColor rgb="FFFF0000"/>
  </sheetPr>
  <dimension ref="A1:AM9"/>
  <sheetViews>
    <sheetView workbookViewId="0">
      <selection activeCell="B2" sqref="B2:C6"/>
    </sheetView>
  </sheetViews>
  <sheetFormatPr baseColWidth="10" defaultColWidth="8.83203125" defaultRowHeight="15"/>
  <cols>
    <col min="1" max="1" width="16.6640625" customWidth="1"/>
    <col min="3" max="5" width="13.33203125" customWidth="1"/>
    <col min="6" max="6" width="8.83203125" style="98"/>
    <col min="7" max="8" width="10.5" customWidth="1"/>
    <col min="9" max="9" width="11" customWidth="1"/>
    <col min="10" max="10" width="12.33203125" customWidth="1"/>
    <col min="11" max="11" width="19.5" customWidth="1"/>
    <col min="13" max="13" width="10.83203125" customWidth="1"/>
    <col min="15" max="15" width="11.83203125" customWidth="1"/>
    <col min="16" max="16" width="12.33203125" customWidth="1"/>
    <col min="17" max="17" width="8.83203125" style="98"/>
    <col min="18" max="18" width="18" customWidth="1"/>
    <col min="19" max="19" width="12.83203125" style="66" customWidth="1"/>
    <col min="20" max="20" width="17.5" customWidth="1"/>
    <col min="21" max="21" width="16" customWidth="1"/>
    <col min="22" max="22" width="10.5" customWidth="1"/>
    <col min="23" max="23" width="11.6640625" customWidth="1"/>
    <col min="24" max="24" width="11.1640625" customWidth="1"/>
    <col min="25" max="25" width="12.1640625" customWidth="1"/>
    <col min="26" max="26" width="16" customWidth="1"/>
    <col min="27" max="27" width="18.1640625" customWidth="1"/>
    <col min="28" max="28" width="11.33203125" customWidth="1"/>
    <col min="29" max="29" width="12.5" customWidth="1"/>
    <col min="30" max="30" width="13.1640625" style="98" customWidth="1"/>
    <col min="31" max="31" width="13.1640625" customWidth="1"/>
    <col min="32" max="32" width="9.5" customWidth="1"/>
    <col min="33" max="33" width="9.33203125" bestFit="1" customWidth="1"/>
    <col min="34" max="34" width="14.1640625" customWidth="1"/>
    <col min="35" max="35" width="11.6640625" customWidth="1"/>
    <col min="36" max="36" width="14.1640625" customWidth="1"/>
    <col min="37" max="37" width="14.33203125" customWidth="1"/>
    <col min="38" max="38" width="13.5" style="98" customWidth="1"/>
    <col min="39" max="39" width="12.83203125" customWidth="1"/>
  </cols>
  <sheetData>
    <row r="1" spans="1:39" ht="64">
      <c r="A1" s="4" t="s">
        <v>0</v>
      </c>
      <c r="B1" s="5" t="s">
        <v>1</v>
      </c>
      <c r="C1" s="5" t="s">
        <v>2</v>
      </c>
      <c r="D1" s="4" t="s">
        <v>3</v>
      </c>
      <c r="E1" s="4" t="s">
        <v>4</v>
      </c>
      <c r="F1" s="113" t="s">
        <v>5</v>
      </c>
      <c r="G1" s="42" t="s">
        <v>6</v>
      </c>
      <c r="H1" s="21" t="s">
        <v>7</v>
      </c>
      <c r="I1" s="42" t="s">
        <v>8</v>
      </c>
      <c r="J1" s="1" t="s">
        <v>9</v>
      </c>
      <c r="K1" s="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99" t="s">
        <v>16</v>
      </c>
      <c r="R1" s="17" t="s">
        <v>17</v>
      </c>
      <c r="S1" s="40" t="s">
        <v>31</v>
      </c>
      <c r="T1" s="2" t="s">
        <v>32</v>
      </c>
      <c r="U1" s="2" t="s">
        <v>33</v>
      </c>
      <c r="V1" s="1" t="s">
        <v>21</v>
      </c>
      <c r="W1" s="21" t="s">
        <v>34</v>
      </c>
      <c r="X1" s="21" t="s">
        <v>35</v>
      </c>
      <c r="Y1" s="21" t="s">
        <v>36</v>
      </c>
      <c r="Z1" s="26" t="s">
        <v>37</v>
      </c>
      <c r="AA1" s="39" t="s">
        <v>39</v>
      </c>
      <c r="AB1" s="38" t="s">
        <v>40</v>
      </c>
      <c r="AC1" s="39" t="s">
        <v>2637</v>
      </c>
      <c r="AD1" s="114" t="s">
        <v>41</v>
      </c>
      <c r="AE1" s="26" t="s">
        <v>42</v>
      </c>
      <c r="AF1" s="21" t="s">
        <v>43</v>
      </c>
      <c r="AG1" s="21" t="s">
        <v>44</v>
      </c>
      <c r="AH1" s="2" t="s">
        <v>33</v>
      </c>
      <c r="AI1" s="21" t="s">
        <v>45</v>
      </c>
      <c r="AJ1" s="27" t="s">
        <v>46</v>
      </c>
      <c r="AK1" s="26" t="s">
        <v>47</v>
      </c>
      <c r="AL1" s="114" t="s">
        <v>48</v>
      </c>
      <c r="AM1" s="26" t="s">
        <v>42</v>
      </c>
    </row>
    <row r="2" spans="1:39">
      <c r="A2" t="str">
        <f>B2&amp;"_"&amp;TEXT(C2,"yyyy-mm-dd")</f>
        <v>TM1_2014-03-29</v>
      </c>
      <c r="B2" t="s">
        <v>62</v>
      </c>
      <c r="C2" s="36">
        <v>41727</v>
      </c>
      <c r="D2">
        <f>SUMIF(DATA_WITH_GENUS_OLD!A:A,A2,DATA_WITH_GENUS_OLD!F:F)</f>
        <v>107</v>
      </c>
      <c r="E2">
        <f>SUMIF(DATA_WITH_GENUS_OLD!A:A,A2,DATA_WITH_GENUS_OLD!J:J)</f>
        <v>100</v>
      </c>
      <c r="F2" s="98">
        <f>SUMIFS(DATA_WITH_GENUS_OLD!T:T,DATA_WITH_GENUS_OLD!A:A,A2)/100</f>
        <v>5.07</v>
      </c>
      <c r="G2" cm="1">
        <f t="array" ref="G2">COUNTA(_xlfn.UNIQUE(_xlfn._xlws.FILTER(DATA_WITH_GENUS_OLD!A:A&amp;DATA_WITH_GENUS_OLD!D:D&amp;DATA_WITH_GENUS_OLD!J:J,(DATA_WITH_GENUS_OLD!A:A = A2)*(DATA_WITH_GENUS_OLD!J:J&gt;0))))</f>
        <v>9</v>
      </c>
      <c r="H2">
        <f>COUNTIFS(DATA_WITH_GENUS_OLD!A:A,A2,DATA_WITH_GENUS_OLD!K:K,"~*")</f>
        <v>3</v>
      </c>
      <c r="I2">
        <f>COUNTIFS(DATA_WITH_GENUS_OLD!A:A,A2,DATA_WITH_GENUS_OLD!K:K,"~*")</f>
        <v>3</v>
      </c>
      <c r="J2">
        <f>_xlfn.MAXIFS(DATA_WITH_GENUS_OLD!J:J,DATA_WITH_GENUS_OLD!A:A,A2)</f>
        <v>35</v>
      </c>
      <c r="K2" s="18" t="str" cm="1">
        <f t="array" ref="K2">_xlfn._xlws.FILTER(DATA_WITH_GENUS_OLD!E:E,(DATA_WITH_GENUS_OLD!A:A=A2)*(DATA_WITH_GENUS_OLD!J:J=J2)*ROW(DATA_WITH_GENUS_OLD!E:E),0)</f>
        <v>Hydropsychidae</v>
      </c>
      <c r="L2" s="11">
        <f>IF(F2="","",IF(F2&gt;7,0,IF(F2&lt;5,6,IF(F2&lt;=7,3))))</f>
        <v>3</v>
      </c>
      <c r="M2">
        <f>IF(G2="","",IF(G2&gt;10,6,IF(G2&lt;5,0,IF(G2&lt;=10,3))))</f>
        <v>3</v>
      </c>
      <c r="N2" s="13">
        <f>IF(H2="","",IF(H2&gt;5,6,IF(H2&lt;3,0,IF(H2&lt;=5,3))))</f>
        <v>3</v>
      </c>
      <c r="O2" s="14">
        <f>IF(I2="","",IF(I2&gt;35,6,IF(I2&lt;1,0,IF(I2&lt;=35,3,IF(I2&lt;1,0)))))</f>
        <v>3</v>
      </c>
      <c r="P2">
        <f>IF(J2="","",IF(J2&gt;60,0,IF(J2&lt;40,6,IF(J2&lt;=60,3))))</f>
        <v>6</v>
      </c>
      <c r="Q2" s="100">
        <f>SUM(L2:P2)</f>
        <v>18</v>
      </c>
      <c r="R2" s="15" t="str">
        <f>IF(Q2&gt;=24, "Non-Impaired", IF(Q2&lt;=6, "Severally Impaired", IF(Q2&gt;=9, "Moderately Impaired","")))</f>
        <v>Moderately Impaired</v>
      </c>
      <c r="S2" s="65">
        <f>COUNTIFS(DATA_WITH_GENUS_OLD!A:A,A2,DATA_WITH_GENUS_OLD!J:J, "&gt;0")</f>
        <v>9</v>
      </c>
      <c r="T2" s="20">
        <f>ROUND((((COUNTIFS(DATA_WITH_GENUS_OLD!A:A,A2,DATA_WITH_GENUS_OLD!O:O,FALSE))/G2)*100),1)</f>
        <v>22.2</v>
      </c>
      <c r="U2" s="23">
        <f>SUMIFS(DATA_WITH_GENUS_OLD!J:J,DATA_WITH_GENUS_OLD!A:A,A2,DATA_WITH_GENUS_OLD!P:P,TRUE)</f>
        <v>29</v>
      </c>
      <c r="V2">
        <f>SUMIFS(DATA_WITH_GENUS_OLD!U:U,DATA_WITH_GENUS_OLD!A:A,A2)/100</f>
        <v>5.07</v>
      </c>
      <c r="W2" s="18">
        <f>COUNTIFS(DATA_WITH_GENUS_OLD!A:A,A2,DATA_WITH_GENUS_OLD!R:R,TRUE)</f>
        <v>3</v>
      </c>
      <c r="X2" s="18">
        <f>COUNTIFS(DATA_WITH_GENUS_OLD!A:A,A2,DATA_WITH_GENUS_OLD!S:S,2)</f>
        <v>0</v>
      </c>
      <c r="Y2">
        <f>COUNTIFS(DATA_WITH_GENUS_OLD!A:A,A2,DATA_WITH_GENUS_OLD!S:S,3)</f>
        <v>1</v>
      </c>
      <c r="Z2">
        <f>S2+26.53-(22.776+4.173*(LOG10(10.92579445)))</f>
        <v>8.4205355235330259</v>
      </c>
      <c r="AA2">
        <f>(U2)+37.49-(49.22-13.8*(LOG10(10.92579445)))</f>
        <v>31.600651755390444</v>
      </c>
      <c r="AB2">
        <f>V2 + 4.23-(3.407+0.981*(LOG10(10.92579445)))</f>
        <v>4.8742775817363766</v>
      </c>
      <c r="AC2">
        <f>V2 + 5.44-(3.889+0.981*(LOG10(10.92579445)))</f>
        <v>5.6022775817363772</v>
      </c>
      <c r="AD2" s="98">
        <f>((100*Z2/31)+(100*(60-T2)/55)+(100*AA2/69)+(100*(7.2-AB2)/4.6)+(100*AC2/11)+(100*X2/8)+(100*Y2/8))/7</f>
        <v>36.525330824394366</v>
      </c>
      <c r="AE2" t="str">
        <f>IF(AD2&gt;=63, "Excellent", IF(AD2&lt;21, "Poor", IF(AD2&lt;42, "Fair","Good")))</f>
        <v>Fair</v>
      </c>
      <c r="AH2" s="47"/>
    </row>
    <row r="3" spans="1:39">
      <c r="A3" t="str">
        <f>B3&amp;"_"&amp;TEXT(C3,"yyyy-mm-dd")</f>
        <v>TM1_2014-07-20</v>
      </c>
      <c r="B3" t="s">
        <v>62</v>
      </c>
      <c r="C3" s="3">
        <v>41840</v>
      </c>
      <c r="D3">
        <f>SUMIF(DATA_WITH_GENUS_OLD!A:A,A3,DATA_WITH_GENUS_OLD!F:F)</f>
        <v>106</v>
      </c>
      <c r="E3">
        <f>SUMIF(DATA_WITH_GENUS_OLD!A:A,A3,DATA_WITH_GENUS_OLD!J:J)</f>
        <v>100</v>
      </c>
      <c r="F3" s="98">
        <f>SUMIFS(DATA_WITH_GENUS_OLD!T:T,DATA_WITH_GENUS_OLD!A:A,A3)/100</f>
        <v>4.21</v>
      </c>
      <c r="G3" cm="1">
        <f t="array" ref="G3">COUNTA(_xlfn.UNIQUE(_xlfn._xlws.FILTER(DATA_WITH_GENUS_OLD!A:A&amp;DATA_WITH_GENUS_OLD!D:D&amp;DATA_WITH_GENUS_OLD!J:J,(DATA_WITH_GENUS_OLD!A:A = A3)*(DATA_WITH_GENUS_OLD!J:J&gt;0))))</f>
        <v>14</v>
      </c>
      <c r="H3">
        <f>COUNTIFS(DATA_WITH_GENUS_OLD!A:A,A3,DATA_WITH_GENUS_OLD!K:K,"~*")</f>
        <v>6</v>
      </c>
      <c r="I3">
        <f>COUNTIFS(DATA_WITH_GENUS_OLD!A:A,A3,DATA_WITH_GENUS_OLD!K:K,"~*")</f>
        <v>6</v>
      </c>
      <c r="J3">
        <f>_xlfn.MAXIFS(DATA_WITH_GENUS_OLD!J:J,DATA_WITH_GENUS_OLD!A:A,A3)</f>
        <v>27</v>
      </c>
      <c r="K3" s="18" t="str" cm="1">
        <f t="array" ref="K3">_xlfn._xlws.FILTER(DATA_WITH_GENUS_OLD!E:E,(DATA_WITH_GENUS_OLD!A:A=A3)*(DATA_WITH_GENUS_OLD!J:J=J3)*ROW(DATA_WITH_GENUS_OLD!E:E),0)</f>
        <v>Psephenidae</v>
      </c>
      <c r="L3" s="11">
        <f>IF(F3="","",IF(F3&gt;7,0,IF(F3&lt;5,6,IF(F3&lt;=7,3))))</f>
        <v>6</v>
      </c>
      <c r="M3">
        <f>IF(G3="","",IF(G3&gt;10,6,IF(G3&lt;5,0,IF(G3&lt;=10,3))))</f>
        <v>6</v>
      </c>
      <c r="N3" s="13">
        <f>IF(H3="","",IF(H3&gt;5,6,IF(H3&lt;3,0,IF(H3&lt;=5,3))))</f>
        <v>6</v>
      </c>
      <c r="O3" s="14">
        <f>IF(I3="","",IF(I3&gt;35,6,IF(I3&lt;1,0,IF(I3&lt;=35,3,IF(I3&lt;1,0)))))</f>
        <v>3</v>
      </c>
      <c r="P3">
        <f>IF(J3="","",IF(J3&gt;60,0,IF(J3&lt;40,6,IF(J3&lt;=60,3))))</f>
        <v>6</v>
      </c>
      <c r="Q3" s="100">
        <f>SUM(L3:P3)</f>
        <v>27</v>
      </c>
      <c r="R3" s="15" t="str">
        <f>IF(Q3&gt;=24, "Non-Impaired", IF(Q3&lt;=6, "Severally Impaired", IF(Q3&gt;=9, "Moderately Impaired","")))</f>
        <v>Non-Impaired</v>
      </c>
      <c r="S3" s="65">
        <f>COUNTIFS(DATA_WITH_GENUS_OLD!A:A,A3,DATA_WITH_GENUS_OLD!J:J, "&gt;0")</f>
        <v>14</v>
      </c>
      <c r="T3" s="20">
        <f>ROUND((((COUNTIFS(DATA_WITH_GENUS_OLD!A:A,A3,DATA_WITH_GENUS_OLD!O:O,FALSE))/G3)*100),1)</f>
        <v>35.700000000000003</v>
      </c>
      <c r="U3" s="23">
        <f>SUMIFS(DATA_WITH_GENUS_OLD!J:J,DATA_WITH_GENUS_OLD!A:A,A3,DATA_WITH_GENUS_OLD!P:P,TRUE)</f>
        <v>27</v>
      </c>
      <c r="V3">
        <f>SUMIFS(DATA_WITH_GENUS_OLD!U:U,DATA_WITH_GENUS_OLD!A:A,A3)/100</f>
        <v>4.21</v>
      </c>
      <c r="W3" s="18">
        <f>COUNTIFS(DATA_WITH_GENUS_OLD!A:A,A3,DATA_WITH_GENUS_OLD!R:R,TRUE)</f>
        <v>5</v>
      </c>
      <c r="X3" s="18">
        <f>COUNTIFS(DATA_WITH_GENUS_OLD!A:A,A3,DATA_WITH_GENUS_OLD!S:S,2)</f>
        <v>0</v>
      </c>
      <c r="Y3">
        <f>COUNTIFS(DATA_WITH_GENUS_OLD!A:A,A3,DATA_WITH_GENUS_OLD!S:S,3)</f>
        <v>0</v>
      </c>
      <c r="Z3">
        <f>S3+26.53-(22.776+4.173*(LOG10(10.92579445)))</f>
        <v>13.420535523533026</v>
      </c>
      <c r="AA3">
        <f>(U3)+37.49-(49.22-13.8*(LOG10(10.92579445)))</f>
        <v>29.600651755390444</v>
      </c>
      <c r="AB3">
        <f>V3 + 4.23-(3.407+0.981*(LOG10(10.92579445)))</f>
        <v>4.0142775817363772</v>
      </c>
      <c r="AC3">
        <f>V3 + 5.44-(3.889+0.981*(LOG10(10.92579445)))</f>
        <v>4.742277581736376</v>
      </c>
      <c r="AD3" s="98">
        <f>((100*Z3/31)+(100*(60-T3)/55)+(100*AA3/69)+(100*(7.2-AB3)/4.6)+(100*AC3/11)+(100*X3/8)+(100*Y3/8))/7</f>
        <v>34.677116159209156</v>
      </c>
      <c r="AE3" t="str">
        <f>IF(AD3&gt;=63, "Excellent", IF(AD3&lt;21, "Poor", IF(AD3&lt;42, "Fair","Good")))</f>
        <v>Fair</v>
      </c>
      <c r="AK3" t="str">
        <f>IF(AH3="","",(AH3+35.15)-(45.59-(11.59*LOG10(16.73739082))))</f>
        <v/>
      </c>
    </row>
    <row r="4" spans="1:39">
      <c r="A4" t="str">
        <f>B4&amp;"_"&amp;TEXT(C4,"yyyy-mm-dd")</f>
        <v>TM1_2014-10-14</v>
      </c>
      <c r="B4" t="s">
        <v>62</v>
      </c>
      <c r="C4" s="3">
        <v>41926</v>
      </c>
      <c r="D4" s="25">
        <f>SUMIF(DATA_WITH_GENUS_OLD!A:A,A4,DATA_WITH_GENUS_OLD!F:F)</f>
        <v>98</v>
      </c>
      <c r="E4">
        <f>SUMIF(DATA_WITH_GENUS_OLD!A:A,A4,DATA_WITH_GENUS_OLD!J:J)</f>
        <v>98</v>
      </c>
      <c r="F4" s="98">
        <f>SUMIFS(DATA_WITH_GENUS_OLD!T:T,DATA_WITH_GENUS_OLD!A:A,A4)/100</f>
        <v>4.1900000000000004</v>
      </c>
      <c r="G4" cm="1">
        <f t="array" ref="G4">COUNTA(_xlfn.UNIQUE(_xlfn._xlws.FILTER(DATA_WITH_GENUS_OLD!A:A&amp;DATA_WITH_GENUS_OLD!D:D&amp;DATA_WITH_GENUS_OLD!J:J,(DATA_WITH_GENUS_OLD!A:A = A4)*(DATA_WITH_GENUS_OLD!J:J&gt;0))))</f>
        <v>11</v>
      </c>
      <c r="H4">
        <f>COUNTIFS(DATA_WITH_GENUS_OLD!A:A,A4,DATA_WITH_GENUS_OLD!K:K,"~*")</f>
        <v>4</v>
      </c>
      <c r="I4">
        <f>COUNTIFS(DATA_WITH_GENUS_OLD!A:A,A4,DATA_WITH_GENUS_OLD!K:K,"~*")</f>
        <v>4</v>
      </c>
      <c r="J4">
        <f>_xlfn.MAXIFS(DATA_WITH_GENUS_OLD!J:J,DATA_WITH_GENUS_OLD!A:A,A4)</f>
        <v>30</v>
      </c>
      <c r="K4" s="18" t="str" cm="1">
        <f t="array" ref="K4">_xlfn._xlws.FILTER(DATA_WITH_GENUS_OLD!E:E,(DATA_WITH_GENUS_OLD!A:A=A4)*(DATA_WITH_GENUS_OLD!J:J=J4)*ROW(DATA_WITH_GENUS_OLD!E:E),0)</f>
        <v>Heptageniidae</v>
      </c>
      <c r="L4" s="11">
        <f t="shared" ref="L4:L5" si="0">IF(F4="","",IF(F4&gt;7,0,IF(F4&lt;5,6,IF(F4&lt;=7,3))))</f>
        <v>6</v>
      </c>
      <c r="M4">
        <f t="shared" ref="M4:M5" si="1">IF(G4="","",IF(G4&gt;10,6,IF(G4&lt;5,0,IF(G4&lt;=10,3))))</f>
        <v>6</v>
      </c>
      <c r="N4" s="13">
        <f t="shared" ref="N4:N5" si="2">IF(H4="","",IF(H4&gt;5,6,IF(H4&lt;3,0,IF(H4&lt;=5,3))))</f>
        <v>3</v>
      </c>
      <c r="O4" s="14">
        <f t="shared" ref="O4:O5" si="3">IF(I4="","",IF(I4&gt;35,6,IF(I4&lt;1,0,IF(I4&lt;=35,3,IF(I4&lt;1,0)))))</f>
        <v>3</v>
      </c>
      <c r="P4">
        <f t="shared" ref="P4:P5" si="4">IF(J4="","",IF(J4&gt;60,0,IF(J4&lt;40,6,IF(J4&lt;=60,3))))</f>
        <v>6</v>
      </c>
      <c r="Q4" s="100">
        <f t="shared" ref="Q4:Q5" si="5">SUM(L4:P4)</f>
        <v>24</v>
      </c>
      <c r="R4" s="15" t="str">
        <f t="shared" ref="R4:R5" si="6">IF(Q4&gt;=24, "Non-Impaired", IF(Q4&lt;=6, "Severally Impaired", IF(Q4&gt;=9, "Moderately Impaired","")))</f>
        <v>Non-Impaired</v>
      </c>
      <c r="S4" s="65">
        <f>COUNTIFS(DATA_WITH_GENUS_OLD!A:A,A4,DATA_WITH_GENUS_OLD!J:J, "&gt;0")</f>
        <v>11</v>
      </c>
      <c r="T4" s="20">
        <f>ROUND((((COUNTIFS(DATA_WITH_GENUS_OLD!A:A,A4,DATA_WITH_GENUS_OLD!O:O,FALSE))/G4)*100),1)</f>
        <v>27.3</v>
      </c>
      <c r="U4" s="23">
        <f>SUMIFS(DATA_WITH_GENUS_OLD!J:J,DATA_WITH_GENUS_OLD!A:A,A4,DATA_WITH_GENUS_OLD!P:P,TRUE)</f>
        <v>43</v>
      </c>
      <c r="V4">
        <f>SUMIFS(DATA_WITH_GENUS_OLD!U:U,DATA_WITH_GENUS_OLD!A:A,A4)/100</f>
        <v>4.1900000000000004</v>
      </c>
      <c r="W4" s="18">
        <f>COUNTIFS(DATA_WITH_GENUS_OLD!A:A,A4,DATA_WITH_GENUS_OLD!R:R,TRUE)</f>
        <v>4</v>
      </c>
      <c r="X4" s="18">
        <f>COUNTIFS(DATA_WITH_GENUS_OLD!A:A,A4,DATA_WITH_GENUS_OLD!S:S,2)</f>
        <v>0</v>
      </c>
      <c r="Y4">
        <f>COUNTIFS(DATA_WITH_GENUS_OLD!A:A,A4,DATA_WITH_GENUS_OLD!S:S,3)</f>
        <v>1</v>
      </c>
      <c r="Z4">
        <f t="shared" ref="Z4:Z5" si="7">S4+26.53-(22.776+4.173*(LOG10(10.92579445)))</f>
        <v>10.420535523533026</v>
      </c>
      <c r="AA4">
        <f t="shared" ref="AA4:AA5" si="8">(U4)+37.49-(49.22-13.8*(LOG10(10.92579445)))</f>
        <v>45.600651755390444</v>
      </c>
      <c r="AB4">
        <f t="shared" ref="AB4:AB5" si="9">V4 + 4.23-(3.407+0.981*(LOG10(10.92579445)))</f>
        <v>3.9942775817363776</v>
      </c>
      <c r="AC4">
        <f t="shared" ref="AC4:AC5" si="10">V4 + 5.44-(3.889+0.981*(LOG10(10.92579445)))</f>
        <v>4.7222775817363765</v>
      </c>
      <c r="AD4" s="98">
        <f t="shared" ref="AD4:AD5" si="11">((100*Z4/31)+(100*(60-T4)/55)+(100*AA4/69)+(100*(7.2-AB4)/4.6)+(100*AC4/11)+(100*X4/8)+(100*Y4/8))/7</f>
        <v>40.610927322333076</v>
      </c>
      <c r="AE4" t="str">
        <f t="shared" ref="AE4:AE5" si="12">IF(AD4&gt;=63, "Excellent", IF(AD4&lt;21, "Poor", IF(AD4&lt;42, "Fair","Good")))</f>
        <v>Fair</v>
      </c>
    </row>
    <row r="5" spans="1:39">
      <c r="A5" t="str">
        <f>B5&amp;"_"&amp;TEXT(C5,"yyyy-mm-dd")</f>
        <v>TM1_2015-03-27</v>
      </c>
      <c r="B5" t="s">
        <v>62</v>
      </c>
      <c r="C5" s="3">
        <v>42090</v>
      </c>
      <c r="D5" s="102">
        <f>SUMIF(DATA_WITH_GENUS_OLD!A:A,A5,DATA_WITH_GENUS_OLD!F:F)</f>
        <v>86</v>
      </c>
      <c r="K5" s="18"/>
      <c r="L5" s="11"/>
      <c r="N5" s="13"/>
      <c r="O5" s="14"/>
      <c r="Q5" s="100"/>
      <c r="R5" s="15"/>
      <c r="S5" s="65"/>
      <c r="T5" s="20"/>
      <c r="U5" s="23"/>
      <c r="W5" s="18"/>
      <c r="X5" s="18"/>
      <c r="AH5" s="2"/>
    </row>
    <row r="6" spans="1:39">
      <c r="A6" t="str">
        <f>B6&amp;"_"&amp;TEXT(C6,"yyyy-mm-dd")</f>
        <v>TM1_2015-07-25</v>
      </c>
      <c r="B6" t="s">
        <v>62</v>
      </c>
      <c r="C6" s="3">
        <v>42210</v>
      </c>
      <c r="D6">
        <f>SUMIF(DATA_WITH_GENUS_OLD!A:A,A6,DATA_WITH_GENUS_OLD!F:F)</f>
        <v>103</v>
      </c>
      <c r="E6">
        <f>SUMIF(DATA_WITH_GENUS_OLD!A:A,A6,DATA_WITH_GENUS_OLD!J:J)</f>
        <v>100</v>
      </c>
      <c r="F6" s="98">
        <f>SUMIFS(DATA_WITH_GENUS_OLD!T:T,DATA_WITH_GENUS_OLD!A:A,A6)/100</f>
        <v>4.18</v>
      </c>
      <c r="G6" cm="1">
        <f t="array" ref="G6">COUNTA(_xlfn.UNIQUE(_xlfn._xlws.FILTER(DATA_WITH_GENUS_OLD!A:A&amp;DATA_WITH_GENUS_OLD!D:D&amp;DATA_WITH_GENUS_OLD!J:J,(DATA_WITH_GENUS_OLD!A:A = A6)*(DATA_WITH_GENUS_OLD!J:J&gt;0))))</f>
        <v>12</v>
      </c>
      <c r="H6">
        <f>COUNTIFS(DATA_WITH_GENUS_OLD!A:A,A6,DATA_WITH_GENUS_OLD!K:K,"~*")</f>
        <v>4</v>
      </c>
      <c r="I6">
        <f>COUNTIFS(DATA_WITH_GENUS_OLD!A:A,A6,DATA_WITH_GENUS_OLD!K:K,"~*")</f>
        <v>4</v>
      </c>
      <c r="J6">
        <f>_xlfn.MAXIFS(DATA_WITH_GENUS_OLD!J:J,DATA_WITH_GENUS_OLD!A:A,A6)</f>
        <v>36</v>
      </c>
      <c r="K6" s="18" t="str" cm="1">
        <f t="array" ref="K6">_xlfn._xlws.FILTER(DATA_WITH_GENUS_OLD!E:E,(DATA_WITH_GENUS_OLD!A:A=A6)*(DATA_WITH_GENUS_OLD!J:J=J6)*ROW(DATA_WITH_GENUS_OLD!E:E),0)</f>
        <v>Psephenidae</v>
      </c>
      <c r="L6" s="11">
        <f>IF(F6="","",IF(F6&gt;7,0,IF(F6&lt;5,6,IF(F6&lt;=7,3))))</f>
        <v>6</v>
      </c>
      <c r="M6">
        <f>IF(G6="","",IF(G6&gt;10,6,IF(G6&lt;5,0,IF(G6&lt;=10,3))))</f>
        <v>6</v>
      </c>
      <c r="N6" s="13">
        <f>IF(H6="","",IF(H6&gt;5,6,IF(H6&lt;3,0,IF(H6&lt;=5,3))))</f>
        <v>3</v>
      </c>
      <c r="O6" s="14">
        <f>IF(I6="","",IF(I6&gt;35,6,IF(I6&lt;1,0,IF(I6&lt;=35,3,IF(I6&lt;1,0)))))</f>
        <v>3</v>
      </c>
      <c r="P6">
        <f>IF(J6="","",IF(J6&gt;60,0,IF(J6&lt;40,6,IF(J6&lt;=60,3))))</f>
        <v>6</v>
      </c>
      <c r="Q6" s="100">
        <f>SUM(L6:P6)</f>
        <v>24</v>
      </c>
      <c r="R6" s="15" t="str">
        <f>IF(Q6&gt;=24, "Non-Impaired", IF(Q6&lt;=6, "Severally Impaired", IF(Q6&gt;=9, "Moderately Impaired","")))</f>
        <v>Non-Impaired</v>
      </c>
      <c r="S6" s="65">
        <f>COUNTIFS(DATA_WITH_GENUS_OLD!A:A,A6,DATA_WITH_GENUS_OLD!J:J, "&gt;0")</f>
        <v>12</v>
      </c>
      <c r="T6" s="20">
        <f>ROUND((((COUNTIFS(DATA_WITH_GENUS_OLD!A:A,A6,DATA_WITH_GENUS_OLD!O:O,FALSE))/G6)*100),1)</f>
        <v>25</v>
      </c>
      <c r="U6" s="23">
        <f>SUMIFS(DATA_WITH_GENUS_OLD!J:J,DATA_WITH_GENUS_OLD!A:A,A6,DATA_WITH_GENUS_OLD!P:P,TRUE)</f>
        <v>15</v>
      </c>
      <c r="V6">
        <f>SUMIFS(DATA_WITH_GENUS_OLD!U:U,DATA_WITH_GENUS_OLD!A:A,A6)/100</f>
        <v>4.2</v>
      </c>
      <c r="W6" s="18">
        <f>COUNTIFS(DATA_WITH_GENUS_OLD!A:A,A6,DATA_WITH_GENUS_OLD!R:R,TRUE)</f>
        <v>3</v>
      </c>
      <c r="X6" s="18">
        <f>COUNTIFS(DATA_WITH_GENUS_OLD!A:A,A6,DATA_WITH_GENUS_OLD!S:S,2)</f>
        <v>0</v>
      </c>
      <c r="Y6">
        <f>COUNTIFS(DATA_WITH_GENUS_OLD!A:A,A6,DATA_WITH_GENUS_OLD!S:S,3)</f>
        <v>0</v>
      </c>
      <c r="Z6">
        <f>S6+26.53-(22.776+4.173*(LOG10(10.92579445)))</f>
        <v>11.420535523533026</v>
      </c>
      <c r="AA6">
        <f>(U6)+37.49-(49.22-13.8*(LOG10(10.92579445)))</f>
        <v>17.600651755390437</v>
      </c>
      <c r="AB6">
        <f>V6 + 4.23-(3.407+0.981*(LOG10(10.92579445)))</f>
        <v>4.0042775817363756</v>
      </c>
      <c r="AC6">
        <f>V6 + 5.44-(3.889+0.981*(LOG10(10.92579445)))</f>
        <v>4.7322775817363762</v>
      </c>
      <c r="AD6" s="98">
        <f>((100*Z6/31)+(100*(60-T6)/55)+(100*AA6/69)+(100*(7.2-AB6)/4.6)+(100*AC6/11)+(100*X6/8)+(100*Y6/8))/7</f>
        <v>34.068274790199482</v>
      </c>
      <c r="AE6" t="str">
        <f>IF(AD6&gt;=63, "Excellent", IF(AD6&lt;21, "Poor", IF(AD6&lt;42, "Fair","Good")))</f>
        <v>Fair</v>
      </c>
    </row>
    <row r="7" spans="1:39">
      <c r="Z7" s="37"/>
    </row>
    <row r="8" spans="1:39">
      <c r="Z8" s="46"/>
    </row>
    <row r="9" spans="1:39">
      <c r="Z9" s="24"/>
      <c r="AC9" s="24"/>
    </row>
  </sheetData>
  <phoneticPr fontId="2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3D47E-F4B0-DD42-809F-A7F84E7A8651}">
  <dimension ref="A1:U99"/>
  <sheetViews>
    <sheetView zoomScale="11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47" sqref="E47"/>
    </sheetView>
  </sheetViews>
  <sheetFormatPr baseColWidth="10" defaultRowHeight="15"/>
  <cols>
    <col min="1" max="1" width="15.83203125" customWidth="1"/>
    <col min="2" max="2" width="15.33203125" customWidth="1"/>
    <col min="3" max="4" width="16.83203125" customWidth="1"/>
    <col min="5" max="5" width="9.33203125" customWidth="1"/>
    <col min="7" max="7" width="11.6640625" customWidth="1"/>
    <col min="8" max="8" width="15.33203125" customWidth="1"/>
    <col min="9" max="9" width="13" customWidth="1"/>
    <col min="10" max="10" width="13.1640625" customWidth="1"/>
    <col min="12" max="12" width="15.1640625" customWidth="1"/>
    <col min="19" max="19" width="13.6640625" customWidth="1"/>
    <col min="20" max="20" width="13.1640625" customWidth="1"/>
    <col min="21" max="21" width="19.6640625" customWidth="1"/>
  </cols>
  <sheetData>
    <row r="1" spans="1:21">
      <c r="B1" s="78" t="s">
        <v>65</v>
      </c>
      <c r="C1" s="78" t="s">
        <v>66</v>
      </c>
      <c r="D1" s="78" t="s">
        <v>214</v>
      </c>
      <c r="E1" s="78" t="s">
        <v>68</v>
      </c>
      <c r="F1" s="78" t="s">
        <v>2978</v>
      </c>
      <c r="G1" s="78" t="s">
        <v>70</v>
      </c>
      <c r="H1" s="78" t="s">
        <v>71</v>
      </c>
      <c r="I1" s="78" t="s">
        <v>2972</v>
      </c>
      <c r="J1" s="78" t="s">
        <v>2979</v>
      </c>
      <c r="K1" s="78" t="s">
        <v>73</v>
      </c>
      <c r="L1" s="78" t="s">
        <v>74</v>
      </c>
      <c r="M1" s="78" t="s">
        <v>75</v>
      </c>
      <c r="N1" s="78" t="s">
        <v>2968</v>
      </c>
      <c r="O1" s="78" t="s">
        <v>77</v>
      </c>
      <c r="P1" s="78" t="s">
        <v>78</v>
      </c>
      <c r="Q1" s="78" t="s">
        <v>192</v>
      </c>
      <c r="R1" s="78" t="s">
        <v>79</v>
      </c>
      <c r="S1" s="78" t="s">
        <v>80</v>
      </c>
      <c r="T1" s="78" t="s">
        <v>81</v>
      </c>
      <c r="U1" s="78" t="s">
        <v>2991</v>
      </c>
    </row>
    <row r="2" spans="1:21">
      <c r="A2" t="s">
        <v>2970</v>
      </c>
      <c r="B2" t="s">
        <v>585</v>
      </c>
      <c r="C2" t="s">
        <v>586</v>
      </c>
      <c r="D2" t="s">
        <v>587</v>
      </c>
      <c r="E2">
        <v>5</v>
      </c>
      <c r="F2" s="43">
        <f>(E2/(SUMIFS(E:E,A:A,A2))*100)</f>
        <v>4.8543689320388346</v>
      </c>
      <c r="G2" s="44">
        <f>INT(F2)</f>
        <v>4</v>
      </c>
      <c r="H2" s="44">
        <f t="shared" ref="H2" si="0">F2-G2</f>
        <v>0.85436893203883457</v>
      </c>
      <c r="I2" cm="1">
        <f t="array" ref="I2">INT(F2)+IF(100-SUM(INT(F$2:F$23))&gt;=RANK(H2,H$2:H$23)+COUNTIF(H$2:H2,H2)-1,1,0)</f>
        <v>5</v>
      </c>
      <c r="J2">
        <f>IF(COUNTIF(C$2:C$23,C2)&gt;1,SUMIF(C$2:C$23,C2,I$2:I$23),I2)</f>
        <v>5</v>
      </c>
      <c r="K2" t="b">
        <f>IF(OR(B2="Ephemeroptera", B2 ="Plecoptera", B2= "Trichoptera"), TRUE, FALSE)</f>
        <v>0</v>
      </c>
      <c r="L2" t="str">
        <f t="shared" ref="L2:L17" si="1">IF(K2=TRUE,D2,"")</f>
        <v/>
      </c>
      <c r="M2">
        <v>8</v>
      </c>
      <c r="N2">
        <v>8</v>
      </c>
      <c r="O2" t="b">
        <f>_xlfn.XLOOKUP(C2, BugList!C:C, BugList!L:L,"")</f>
        <v>0</v>
      </c>
      <c r="P2" t="b">
        <f>IF(K2=TRUE,IF(C2="Hydropsychidae", IF(D2="Diplectrona",TRUE,FALSE),TRUE),FALSE)</f>
        <v>0</v>
      </c>
      <c r="Q2" t="b">
        <v>0</v>
      </c>
      <c r="T2">
        <f>J2*M2</f>
        <v>40</v>
      </c>
      <c r="U2">
        <f>I2*N2</f>
        <v>40</v>
      </c>
    </row>
    <row r="3" spans="1:21">
      <c r="A3" t="s">
        <v>2970</v>
      </c>
      <c r="B3" t="s">
        <v>2741</v>
      </c>
      <c r="C3" t="s">
        <v>87</v>
      </c>
      <c r="D3" t="s">
        <v>548</v>
      </c>
      <c r="E3">
        <v>12</v>
      </c>
      <c r="F3" s="43">
        <f t="shared" ref="F3:F24" si="2">(E3/(SUMIFS(E:E,A:A,A3))*100)</f>
        <v>11.650485436893204</v>
      </c>
      <c r="G3" s="44">
        <f t="shared" ref="G3:G46" si="3">INT(F3)</f>
        <v>11</v>
      </c>
      <c r="H3" s="44">
        <f t="shared" ref="H3:H24" si="4">F3-G3</f>
        <v>0.65048543689320404</v>
      </c>
      <c r="I3" cm="1">
        <f t="array" ref="I3">INT(F3)+IF(100-SUM(INT(F$2:F$23))&gt;=RANK(H3,H$2:H$23)+COUNTIF(H$2:H3,H3)-1,1,0)</f>
        <v>11</v>
      </c>
      <c r="J3">
        <f t="shared" ref="J3:J23" si="5">IF(COUNTIF(C$2:C$23,C3)&gt;1,SUMIF(C$2:C$23,C3,I$2:I$23),I3)</f>
        <v>11</v>
      </c>
      <c r="K3" t="b">
        <f t="shared" ref="K3:K46" si="6">IF(OR(B3="Ephemeroptera", B3 ="Plecoptera", B3= "Trichoptera"), TRUE, FALSE)</f>
        <v>0</v>
      </c>
      <c r="L3" t="str">
        <f t="shared" si="1"/>
        <v/>
      </c>
      <c r="M3">
        <v>6</v>
      </c>
      <c r="N3">
        <v>6</v>
      </c>
      <c r="O3" t="b">
        <f>_xlfn.XLOOKUP(C3, BugList!C:C, BugList!L:L,"")</f>
        <v>0</v>
      </c>
      <c r="P3" t="b">
        <f t="shared" ref="P3:P23" si="7">IF(K3=TRUE,IF(C3="Hydropsychidae", IF(D3="Diplectrona",TRUE,FALSE),TRUE),FALSE)</f>
        <v>0</v>
      </c>
      <c r="Q3" t="b">
        <v>0</v>
      </c>
      <c r="T3">
        <f t="shared" ref="T3:T23" si="8">J3*M3</f>
        <v>66</v>
      </c>
      <c r="U3">
        <f t="shared" ref="U3:U23" si="9">I3*N3</f>
        <v>66</v>
      </c>
    </row>
    <row r="4" spans="1:21">
      <c r="A4" t="s">
        <v>2970</v>
      </c>
      <c r="B4" t="s">
        <v>2969</v>
      </c>
      <c r="C4" t="s">
        <v>600</v>
      </c>
      <c r="D4" t="s">
        <v>624</v>
      </c>
      <c r="E4">
        <v>3</v>
      </c>
      <c r="F4" s="43">
        <f t="shared" si="2"/>
        <v>2.912621359223301</v>
      </c>
      <c r="G4" s="44">
        <f t="shared" si="3"/>
        <v>2</v>
      </c>
      <c r="H4" s="44">
        <f t="shared" si="4"/>
        <v>0.91262135922330101</v>
      </c>
      <c r="I4" cm="1">
        <f t="array" ref="I4">INT(F4)+IF(100-SUM(INT(F$2:F$23))&gt;=RANK(H4,H$2:H$23)+COUNTIF(H$2:H4,H4)-1,1,0)</f>
        <v>3</v>
      </c>
      <c r="J4">
        <f t="shared" si="5"/>
        <v>11</v>
      </c>
      <c r="K4" t="b">
        <f t="shared" si="6"/>
        <v>0</v>
      </c>
      <c r="L4" t="str">
        <f t="shared" si="1"/>
        <v/>
      </c>
      <c r="M4">
        <v>6</v>
      </c>
      <c r="N4">
        <v>6</v>
      </c>
      <c r="O4" t="b">
        <f>_xlfn.XLOOKUP(C4, BugList!C:C, BugList!L:L,"")</f>
        <v>0</v>
      </c>
      <c r="P4" t="b">
        <f t="shared" si="7"/>
        <v>0</v>
      </c>
      <c r="Q4" t="b">
        <v>0</v>
      </c>
      <c r="T4">
        <f t="shared" si="8"/>
        <v>66</v>
      </c>
      <c r="U4">
        <f t="shared" si="9"/>
        <v>18</v>
      </c>
    </row>
    <row r="5" spans="1:21">
      <c r="A5" t="s">
        <v>2970</v>
      </c>
      <c r="B5" t="s">
        <v>2969</v>
      </c>
      <c r="C5" t="s">
        <v>600</v>
      </c>
      <c r="D5" t="s">
        <v>699</v>
      </c>
      <c r="E5">
        <v>9</v>
      </c>
      <c r="F5" s="43">
        <f t="shared" si="2"/>
        <v>8.7378640776699026</v>
      </c>
      <c r="G5" s="44">
        <f t="shared" si="3"/>
        <v>8</v>
      </c>
      <c r="H5" s="44">
        <f t="shared" si="4"/>
        <v>0.73786407766990258</v>
      </c>
      <c r="I5" cm="1">
        <f t="array" ref="I5">INT(F5)+IF(100-SUM(INT(F$2:F$23))&gt;=RANK(H5,H$2:H$23)+COUNTIF(H$2:H5,H5)-1,1,0)</f>
        <v>8</v>
      </c>
      <c r="J5">
        <f t="shared" si="5"/>
        <v>11</v>
      </c>
      <c r="K5" t="b">
        <f t="shared" si="6"/>
        <v>0</v>
      </c>
      <c r="L5" t="str">
        <f t="shared" si="1"/>
        <v/>
      </c>
      <c r="M5">
        <v>6</v>
      </c>
      <c r="N5">
        <v>6</v>
      </c>
      <c r="O5" t="b">
        <f>_xlfn.XLOOKUP(C5, BugList!C:C, BugList!L:L,"")</f>
        <v>0</v>
      </c>
      <c r="P5" t="b">
        <f t="shared" si="7"/>
        <v>0</v>
      </c>
      <c r="Q5" t="b">
        <v>0</v>
      </c>
      <c r="T5">
        <f t="shared" si="8"/>
        <v>66</v>
      </c>
      <c r="U5">
        <f t="shared" si="9"/>
        <v>48</v>
      </c>
    </row>
    <row r="6" spans="1:21">
      <c r="A6" t="s">
        <v>2970</v>
      </c>
      <c r="B6" t="s">
        <v>205</v>
      </c>
      <c r="C6" t="s">
        <v>88</v>
      </c>
      <c r="D6" t="s">
        <v>718</v>
      </c>
      <c r="E6">
        <v>1</v>
      </c>
      <c r="F6" s="43">
        <f t="shared" si="2"/>
        <v>0.97087378640776689</v>
      </c>
      <c r="G6" s="44">
        <f t="shared" si="3"/>
        <v>0</v>
      </c>
      <c r="H6" s="44">
        <f t="shared" si="4"/>
        <v>0.97087378640776689</v>
      </c>
      <c r="I6" cm="1">
        <f t="array" ref="I6">INT(F6)+IF(100-SUM(INT(F$2:F$23))&gt;=RANK(H6,H$2:H$23)+COUNTIF(H$2:H6,H6)-1,1,0)</f>
        <v>1</v>
      </c>
      <c r="J6">
        <f t="shared" si="5"/>
        <v>1</v>
      </c>
      <c r="K6" t="b">
        <f t="shared" si="6"/>
        <v>0</v>
      </c>
      <c r="L6" t="str">
        <f t="shared" si="1"/>
        <v/>
      </c>
      <c r="M6">
        <v>8</v>
      </c>
      <c r="N6">
        <v>8</v>
      </c>
      <c r="O6" t="b">
        <f>_xlfn.XLOOKUP(C6, BugList!C:C, BugList!L:L,"")</f>
        <v>0</v>
      </c>
      <c r="P6" t="b">
        <f t="shared" si="7"/>
        <v>0</v>
      </c>
      <c r="Q6" t="b">
        <v>0</v>
      </c>
      <c r="T6">
        <f t="shared" si="8"/>
        <v>8</v>
      </c>
      <c r="U6">
        <f t="shared" si="9"/>
        <v>8</v>
      </c>
    </row>
    <row r="7" spans="1:21">
      <c r="A7" t="s">
        <v>2970</v>
      </c>
      <c r="B7" t="s">
        <v>2971</v>
      </c>
      <c r="C7" t="s">
        <v>102</v>
      </c>
      <c r="D7" t="s">
        <v>2382</v>
      </c>
      <c r="E7">
        <v>7</v>
      </c>
      <c r="F7" s="43">
        <f t="shared" si="2"/>
        <v>6.7961165048543686</v>
      </c>
      <c r="G7" s="44">
        <f t="shared" si="3"/>
        <v>6</v>
      </c>
      <c r="H7" s="44">
        <f t="shared" si="4"/>
        <v>0.79611650485436858</v>
      </c>
      <c r="I7" cm="1">
        <f t="array" ref="I7">INT(F7)+IF(100-SUM(INT(F$2:F$23))&gt;=RANK(H7,H$2:H$23)+COUNTIF(H$2:H7,H7)-1,1,0)</f>
        <v>7</v>
      </c>
      <c r="J7">
        <f t="shared" si="5"/>
        <v>7</v>
      </c>
      <c r="K7" t="b">
        <f t="shared" si="6"/>
        <v>0</v>
      </c>
      <c r="L7" t="str">
        <f t="shared" si="1"/>
        <v/>
      </c>
      <c r="M7">
        <v>8</v>
      </c>
      <c r="N7">
        <v>8</v>
      </c>
      <c r="O7" t="b">
        <f>_xlfn.XLOOKUP(C7, BugList!C:C, BugList!L:L,"")</f>
        <v>0</v>
      </c>
      <c r="P7" t="b">
        <f t="shared" si="7"/>
        <v>0</v>
      </c>
      <c r="Q7" t="b">
        <v>0</v>
      </c>
      <c r="T7">
        <f t="shared" si="8"/>
        <v>56</v>
      </c>
      <c r="U7">
        <f t="shared" si="9"/>
        <v>56</v>
      </c>
    </row>
    <row r="8" spans="1:21">
      <c r="A8" t="s">
        <v>2970</v>
      </c>
      <c r="B8" t="s">
        <v>2971</v>
      </c>
      <c r="C8" t="s">
        <v>121</v>
      </c>
      <c r="D8" t="s">
        <v>2358</v>
      </c>
      <c r="E8">
        <v>2</v>
      </c>
      <c r="F8" s="43">
        <f t="shared" si="2"/>
        <v>1.9417475728155338</v>
      </c>
      <c r="G8" s="44">
        <f t="shared" si="3"/>
        <v>1</v>
      </c>
      <c r="H8" s="44">
        <f t="shared" si="4"/>
        <v>0.94174757281553378</v>
      </c>
      <c r="I8" cm="1">
        <f t="array" ref="I8">INT(F8)+IF(100-SUM(INT(F$2:F$23))&gt;=RANK(H8,H$2:H$23)+COUNTIF(H$2:H8,H8)-1,1,0)</f>
        <v>2</v>
      </c>
      <c r="J8">
        <f t="shared" si="5"/>
        <v>2</v>
      </c>
      <c r="K8" t="b">
        <f t="shared" si="6"/>
        <v>0</v>
      </c>
      <c r="L8" t="str">
        <f t="shared" si="1"/>
        <v/>
      </c>
      <c r="M8">
        <v>6</v>
      </c>
      <c r="N8">
        <v>6</v>
      </c>
      <c r="O8" t="b">
        <f>_xlfn.XLOOKUP(C8, BugList!C:C, BugList!L:L,"")</f>
        <v>0</v>
      </c>
      <c r="P8" t="b">
        <f t="shared" si="7"/>
        <v>0</v>
      </c>
      <c r="Q8" t="b">
        <v>1</v>
      </c>
      <c r="T8">
        <f t="shared" si="8"/>
        <v>12</v>
      </c>
      <c r="U8">
        <f t="shared" si="9"/>
        <v>12</v>
      </c>
    </row>
    <row r="9" spans="1:21">
      <c r="A9" t="s">
        <v>2970</v>
      </c>
      <c r="B9" t="s">
        <v>201</v>
      </c>
      <c r="C9" t="s">
        <v>85</v>
      </c>
      <c r="D9" t="s">
        <v>374</v>
      </c>
      <c r="E9">
        <v>35</v>
      </c>
      <c r="F9" s="43">
        <f t="shared" si="2"/>
        <v>33.980582524271846</v>
      </c>
      <c r="G9" s="44">
        <f t="shared" si="3"/>
        <v>33</v>
      </c>
      <c r="H9" s="44">
        <f t="shared" si="4"/>
        <v>0.98058252427184556</v>
      </c>
      <c r="I9" cm="1">
        <f t="array" ref="I9">INT(F9)+IF(100-SUM(INT(F$2:F$23))&gt;=RANK(H9,H$2:H$23)+COUNTIF(H$2:H9,H9)-1,1,0)</f>
        <v>34</v>
      </c>
      <c r="J9">
        <f>IF(COUNTIF(C$2:C$23,C9)&gt;1,SUMIF(C$2:C$23,C9,I$2:I$23),I9)</f>
        <v>34</v>
      </c>
      <c r="K9" t="b">
        <f t="shared" si="6"/>
        <v>0</v>
      </c>
      <c r="L9" t="str">
        <f t="shared" si="1"/>
        <v/>
      </c>
      <c r="M9">
        <v>6</v>
      </c>
      <c r="N9">
        <v>6</v>
      </c>
      <c r="O9" t="b">
        <f>_xlfn.XLOOKUP(C9, BugList!C:C, BugList!L:L,"")</f>
        <v>0</v>
      </c>
      <c r="P9" t="b">
        <f t="shared" si="7"/>
        <v>0</v>
      </c>
      <c r="Q9" t="b">
        <v>0</v>
      </c>
      <c r="T9">
        <f t="shared" si="8"/>
        <v>204</v>
      </c>
      <c r="U9">
        <f t="shared" si="9"/>
        <v>204</v>
      </c>
    </row>
    <row r="10" spans="1:21">
      <c r="A10" t="s">
        <v>2970</v>
      </c>
      <c r="B10" t="s">
        <v>2973</v>
      </c>
      <c r="C10" t="s">
        <v>2974</v>
      </c>
      <c r="E10">
        <v>1</v>
      </c>
      <c r="F10" s="43">
        <f t="shared" si="2"/>
        <v>0.97087378640776689</v>
      </c>
      <c r="G10" s="44">
        <f t="shared" si="3"/>
        <v>0</v>
      </c>
      <c r="H10" s="44">
        <f t="shared" si="4"/>
        <v>0.97087378640776689</v>
      </c>
      <c r="I10" cm="1">
        <f t="array" ref="I10">INT(F10)+IF(100-SUM(INT(F$2:F$23))&gt;=RANK(H10,H$2:H$23)+COUNTIF(H$2:H10,H10)-1,1,0)</f>
        <v>1</v>
      </c>
      <c r="J10">
        <f t="shared" si="5"/>
        <v>1</v>
      </c>
      <c r="K10" t="b">
        <f t="shared" si="6"/>
        <v>0</v>
      </c>
      <c r="L10" t="str">
        <f t="shared" si="1"/>
        <v/>
      </c>
      <c r="M10">
        <v>6</v>
      </c>
      <c r="N10">
        <v>6</v>
      </c>
      <c r="O10" s="94" t="str">
        <f>_xlfn.XLOOKUP(C10, BugList!C:C, BugList!L:L,"")</f>
        <v/>
      </c>
      <c r="P10" t="b">
        <f t="shared" si="7"/>
        <v>0</v>
      </c>
      <c r="Q10" t="b">
        <v>0</v>
      </c>
      <c r="T10">
        <f t="shared" si="8"/>
        <v>6</v>
      </c>
      <c r="U10">
        <f t="shared" si="9"/>
        <v>6</v>
      </c>
    </row>
    <row r="11" spans="1:21">
      <c r="A11" t="s">
        <v>2970</v>
      </c>
      <c r="B11" t="s">
        <v>2975</v>
      </c>
      <c r="C11" t="s">
        <v>96</v>
      </c>
      <c r="D11" s="75" t="s">
        <v>841</v>
      </c>
      <c r="E11">
        <v>1</v>
      </c>
      <c r="F11" s="43">
        <f t="shared" si="2"/>
        <v>0.97087378640776689</v>
      </c>
      <c r="G11" s="44">
        <f t="shared" si="3"/>
        <v>0</v>
      </c>
      <c r="H11" s="44">
        <f t="shared" si="4"/>
        <v>0.97087378640776689</v>
      </c>
      <c r="I11" cm="1">
        <f t="array" ref="I11">INT(F11)+IF(100-SUM(INT(F$2:F$23))&gt;=RANK(H11,H$2:H$23)+COUNTIF(H$2:H11,H11)-1,1,0)</f>
        <v>1</v>
      </c>
      <c r="J11">
        <f t="shared" si="5"/>
        <v>1</v>
      </c>
      <c r="K11" t="b">
        <f t="shared" si="6"/>
        <v>0</v>
      </c>
      <c r="L11" t="str">
        <f t="shared" si="1"/>
        <v/>
      </c>
      <c r="M11">
        <v>6</v>
      </c>
      <c r="N11">
        <v>6</v>
      </c>
      <c r="O11" t="b">
        <f>_xlfn.XLOOKUP(C11, BugList!C:C, BugList!L:L,"")</f>
        <v>1</v>
      </c>
      <c r="P11" t="b">
        <f t="shared" si="7"/>
        <v>0</v>
      </c>
      <c r="Q11" t="b">
        <v>0</v>
      </c>
      <c r="S11">
        <v>3</v>
      </c>
      <c r="T11">
        <f t="shared" si="8"/>
        <v>6</v>
      </c>
      <c r="U11">
        <f t="shared" si="9"/>
        <v>6</v>
      </c>
    </row>
    <row r="12" spans="1:21">
      <c r="A12" t="s">
        <v>2970</v>
      </c>
      <c r="B12" t="s">
        <v>2975</v>
      </c>
      <c r="C12" t="s">
        <v>154</v>
      </c>
      <c r="D12" s="75" t="s">
        <v>863</v>
      </c>
      <c r="E12">
        <v>2</v>
      </c>
      <c r="F12" s="43">
        <f t="shared" si="2"/>
        <v>1.9417475728155338</v>
      </c>
      <c r="G12" s="44">
        <f t="shared" si="3"/>
        <v>1</v>
      </c>
      <c r="H12" s="44">
        <f t="shared" si="4"/>
        <v>0.94174757281553378</v>
      </c>
      <c r="I12" cm="1">
        <f t="array" ref="I12">INT(F12)+IF(100-SUM(INT(F$2:F$23))&gt;=RANK(H12,H$2:H$23)+COUNTIF(H$2:H12,H12)-1,1,0)</f>
        <v>2</v>
      </c>
      <c r="J12">
        <f t="shared" si="5"/>
        <v>2</v>
      </c>
      <c r="K12" t="b">
        <f t="shared" si="6"/>
        <v>0</v>
      </c>
      <c r="L12" t="str">
        <f t="shared" si="1"/>
        <v/>
      </c>
      <c r="M12">
        <v>6</v>
      </c>
      <c r="N12">
        <v>6</v>
      </c>
      <c r="O12" t="b">
        <f>_xlfn.XLOOKUP(C12, BugList!C:C, BugList!L:L,"")</f>
        <v>1</v>
      </c>
      <c r="P12" t="b">
        <f t="shared" si="7"/>
        <v>0</v>
      </c>
      <c r="Q12" t="b">
        <v>0</v>
      </c>
      <c r="T12">
        <f t="shared" si="8"/>
        <v>12</v>
      </c>
      <c r="U12">
        <f t="shared" si="9"/>
        <v>12</v>
      </c>
    </row>
    <row r="13" spans="1:21">
      <c r="A13" t="s">
        <v>2970</v>
      </c>
      <c r="B13" t="s">
        <v>2975</v>
      </c>
      <c r="C13" t="s">
        <v>151</v>
      </c>
      <c r="D13" s="75" t="s">
        <v>928</v>
      </c>
      <c r="E13">
        <v>1</v>
      </c>
      <c r="F13" s="43">
        <f t="shared" si="2"/>
        <v>0.97087378640776689</v>
      </c>
      <c r="G13" s="44">
        <f t="shared" si="3"/>
        <v>0</v>
      </c>
      <c r="H13" s="44">
        <f t="shared" si="4"/>
        <v>0.97087378640776689</v>
      </c>
      <c r="I13" cm="1">
        <f t="array" ref="I13">INT(F13)+IF(100-SUM(INT(F$2:F$23))&gt;=RANK(H13,H$2:H$23)+COUNTIF(H$2:H13,H13)-1,1,0)</f>
        <v>1</v>
      </c>
      <c r="J13">
        <f t="shared" si="5"/>
        <v>3</v>
      </c>
      <c r="K13" t="b">
        <f t="shared" si="6"/>
        <v>0</v>
      </c>
      <c r="L13" t="str">
        <f t="shared" si="1"/>
        <v/>
      </c>
      <c r="M13">
        <v>2</v>
      </c>
      <c r="N13">
        <v>2</v>
      </c>
      <c r="O13" t="b">
        <f>_xlfn.XLOOKUP(C13, BugList!C:C, BugList!L:L,"")</f>
        <v>1</v>
      </c>
      <c r="P13" t="b">
        <f t="shared" si="7"/>
        <v>0</v>
      </c>
      <c r="Q13" t="b">
        <v>0</v>
      </c>
      <c r="T13">
        <f t="shared" si="8"/>
        <v>6</v>
      </c>
      <c r="U13">
        <f t="shared" si="9"/>
        <v>2</v>
      </c>
    </row>
    <row r="14" spans="1:21">
      <c r="A14" t="s">
        <v>2970</v>
      </c>
      <c r="B14" t="s">
        <v>2975</v>
      </c>
      <c r="C14" t="s">
        <v>151</v>
      </c>
      <c r="D14" t="s">
        <v>979</v>
      </c>
      <c r="E14">
        <v>2</v>
      </c>
      <c r="F14" s="43">
        <f t="shared" si="2"/>
        <v>1.9417475728155338</v>
      </c>
      <c r="G14" s="44">
        <f t="shared" si="3"/>
        <v>1</v>
      </c>
      <c r="H14" s="44">
        <f t="shared" si="4"/>
        <v>0.94174757281553378</v>
      </c>
      <c r="I14" cm="1">
        <f t="array" ref="I14">INT(F14)+IF(100-SUM(INT(F$2:F$23))&gt;=RANK(H14,H$2:H$23)+COUNTIF(H$2:H14,H14)-1,1,0)</f>
        <v>2</v>
      </c>
      <c r="J14">
        <f t="shared" si="5"/>
        <v>3</v>
      </c>
      <c r="K14" t="b">
        <f t="shared" si="6"/>
        <v>0</v>
      </c>
      <c r="L14" t="str">
        <f t="shared" si="1"/>
        <v/>
      </c>
      <c r="M14">
        <v>2</v>
      </c>
      <c r="N14">
        <v>2</v>
      </c>
      <c r="O14" t="b">
        <f>_xlfn.XLOOKUP(C14, BugList!C:C, BugList!L:L,"")</f>
        <v>1</v>
      </c>
      <c r="P14" t="b">
        <f t="shared" si="7"/>
        <v>0</v>
      </c>
      <c r="Q14" t="b">
        <v>0</v>
      </c>
      <c r="S14">
        <v>3</v>
      </c>
      <c r="T14">
        <f t="shared" si="8"/>
        <v>6</v>
      </c>
      <c r="U14">
        <f t="shared" si="9"/>
        <v>4</v>
      </c>
    </row>
    <row r="15" spans="1:21">
      <c r="A15" t="s">
        <v>2970</v>
      </c>
      <c r="B15" t="s">
        <v>2975</v>
      </c>
      <c r="C15" t="s">
        <v>111</v>
      </c>
      <c r="D15" t="s">
        <v>2976</v>
      </c>
      <c r="E15">
        <v>4</v>
      </c>
      <c r="F15" s="43">
        <f t="shared" si="2"/>
        <v>3.8834951456310676</v>
      </c>
      <c r="G15" s="44">
        <f t="shared" si="3"/>
        <v>3</v>
      </c>
      <c r="H15" s="44">
        <f t="shared" si="4"/>
        <v>0.88349514563106757</v>
      </c>
      <c r="I15" cm="1">
        <f t="array" ref="I15">INT(F15)+IF(100-SUM(INT(F$2:F$23))&gt;=RANK(H15,H$2:H$23)+COUNTIF(H$2:H15,H15)-1,1,0)</f>
        <v>4</v>
      </c>
      <c r="J15">
        <f t="shared" si="5"/>
        <v>4</v>
      </c>
      <c r="K15" t="b">
        <f t="shared" si="6"/>
        <v>0</v>
      </c>
      <c r="L15" t="str">
        <f t="shared" si="1"/>
        <v/>
      </c>
      <c r="M15">
        <v>3</v>
      </c>
      <c r="N15">
        <v>3</v>
      </c>
      <c r="O15" t="b">
        <f>_xlfn.XLOOKUP(C15, BugList!C:C, BugList!L:L,"")</f>
        <v>1</v>
      </c>
      <c r="P15" t="b">
        <f t="shared" si="7"/>
        <v>0</v>
      </c>
      <c r="Q15" t="b">
        <v>1</v>
      </c>
      <c r="S15">
        <v>3</v>
      </c>
      <c r="T15">
        <f t="shared" si="8"/>
        <v>12</v>
      </c>
      <c r="U15">
        <f t="shared" si="9"/>
        <v>12</v>
      </c>
    </row>
    <row r="16" spans="1:21">
      <c r="A16" t="s">
        <v>2970</v>
      </c>
      <c r="B16" t="s">
        <v>2975</v>
      </c>
      <c r="C16" t="s">
        <v>949</v>
      </c>
      <c r="D16" t="s">
        <v>950</v>
      </c>
      <c r="E16">
        <v>3</v>
      </c>
      <c r="F16" s="43">
        <f t="shared" si="2"/>
        <v>2.912621359223301</v>
      </c>
      <c r="G16" s="44">
        <f t="shared" si="3"/>
        <v>2</v>
      </c>
      <c r="H16" s="44">
        <f t="shared" si="4"/>
        <v>0.91262135922330101</v>
      </c>
      <c r="I16" cm="1">
        <f t="array" ref="I16">INT(F16)+IF(100-SUM(INT(F$2:F$23))&gt;=RANK(H16,H$2:H$23)+COUNTIF(H$2:H16,H16)-1,1,0)</f>
        <v>3</v>
      </c>
      <c r="J16">
        <f t="shared" si="5"/>
        <v>3</v>
      </c>
      <c r="K16" t="b">
        <f t="shared" si="6"/>
        <v>0</v>
      </c>
      <c r="L16" t="str">
        <f t="shared" si="1"/>
        <v/>
      </c>
      <c r="M16">
        <v>2</v>
      </c>
      <c r="N16">
        <v>2</v>
      </c>
      <c r="O16" t="b">
        <f>_xlfn.XLOOKUP(C16, BugList!C:C, BugList!L:L,"")</f>
        <v>1</v>
      </c>
      <c r="P16" t="b">
        <f t="shared" si="7"/>
        <v>0</v>
      </c>
      <c r="Q16" t="b">
        <v>0</v>
      </c>
      <c r="S16">
        <v>3</v>
      </c>
      <c r="T16">
        <f t="shared" si="8"/>
        <v>6</v>
      </c>
      <c r="U16">
        <f t="shared" si="9"/>
        <v>6</v>
      </c>
    </row>
    <row r="17" spans="1:21">
      <c r="A17" t="s">
        <v>2970</v>
      </c>
      <c r="B17" t="s">
        <v>195</v>
      </c>
      <c r="C17" t="s">
        <v>2977</v>
      </c>
      <c r="D17" t="s">
        <v>1070</v>
      </c>
      <c r="E17">
        <v>2</v>
      </c>
      <c r="F17" s="43">
        <f t="shared" si="2"/>
        <v>1.9417475728155338</v>
      </c>
      <c r="G17" s="44">
        <f t="shared" si="3"/>
        <v>1</v>
      </c>
      <c r="H17" s="44">
        <f t="shared" si="4"/>
        <v>0.94174757281553378</v>
      </c>
      <c r="I17" cm="1">
        <f t="array" ref="I17">INT(F17)+IF(100-SUM(INT(F$2:F$23))&gt;=RANK(H17,H$2:H$23)+COUNTIF(H$2:H17,H17)-1,1,0)</f>
        <v>2</v>
      </c>
      <c r="J17">
        <f t="shared" si="5"/>
        <v>2</v>
      </c>
      <c r="K17" t="b">
        <f t="shared" si="6"/>
        <v>0</v>
      </c>
      <c r="L17" t="str">
        <f t="shared" si="1"/>
        <v/>
      </c>
      <c r="M17">
        <v>8</v>
      </c>
      <c r="N17">
        <v>8</v>
      </c>
      <c r="O17" s="94" t="str">
        <f>_xlfn.XLOOKUP(C17, BugList!C:C, BugList!L:L,"")</f>
        <v/>
      </c>
      <c r="P17" t="b">
        <f t="shared" si="7"/>
        <v>0</v>
      </c>
      <c r="Q17" t="b">
        <v>0</v>
      </c>
      <c r="T17">
        <f t="shared" si="8"/>
        <v>16</v>
      </c>
      <c r="U17">
        <f t="shared" si="9"/>
        <v>16</v>
      </c>
    </row>
    <row r="18" spans="1:21">
      <c r="A18" t="s">
        <v>2970</v>
      </c>
      <c r="B18" t="s">
        <v>198</v>
      </c>
      <c r="C18" t="s">
        <v>89</v>
      </c>
      <c r="D18" t="s">
        <v>1308</v>
      </c>
      <c r="E18">
        <v>1</v>
      </c>
      <c r="F18" s="43">
        <f t="shared" si="2"/>
        <v>0.97087378640776689</v>
      </c>
      <c r="G18" s="44">
        <f t="shared" si="3"/>
        <v>0</v>
      </c>
      <c r="H18" s="44">
        <f t="shared" si="4"/>
        <v>0.97087378640776689</v>
      </c>
      <c r="I18" cm="1">
        <f t="array" ref="I18">INT(F18)+IF(100-SUM(INT(F$2:F$23))&gt;=RANK(H18,H$2:H$23)+COUNTIF(H$2:H18,H18)-1,1,0)</f>
        <v>1</v>
      </c>
      <c r="J18">
        <f t="shared" si="5"/>
        <v>2</v>
      </c>
      <c r="K18" t="b">
        <f t="shared" si="6"/>
        <v>1</v>
      </c>
      <c r="L18" t="str">
        <f>IF(K18=TRUE,B18,"")</f>
        <v>Trichoptera</v>
      </c>
      <c r="M18">
        <v>5</v>
      </c>
      <c r="N18">
        <v>5</v>
      </c>
      <c r="O18" t="b">
        <f>_xlfn.XLOOKUP(C18, BugList!C:C, BugList!L:L,"")</f>
        <v>1</v>
      </c>
      <c r="P18" t="b">
        <f t="shared" si="7"/>
        <v>0</v>
      </c>
      <c r="Q18" t="b">
        <v>0</v>
      </c>
      <c r="T18">
        <f t="shared" si="8"/>
        <v>10</v>
      </c>
      <c r="U18">
        <f t="shared" si="9"/>
        <v>5</v>
      </c>
    </row>
    <row r="19" spans="1:21">
      <c r="A19" t="s">
        <v>2970</v>
      </c>
      <c r="B19" t="s">
        <v>198</v>
      </c>
      <c r="C19" t="s">
        <v>89</v>
      </c>
      <c r="D19" t="s">
        <v>1342</v>
      </c>
      <c r="E19">
        <v>1</v>
      </c>
      <c r="F19" s="43">
        <f t="shared" si="2"/>
        <v>0.97087378640776689</v>
      </c>
      <c r="G19" s="44">
        <f t="shared" si="3"/>
        <v>0</v>
      </c>
      <c r="H19" s="44">
        <f t="shared" si="4"/>
        <v>0.97087378640776689</v>
      </c>
      <c r="I19" cm="1">
        <f t="array" ref="I19">INT(F19)+IF(100-SUM(INT(F$2:F$23))&gt;=RANK(H19,H$2:H$23)+COUNTIF(H$2:H19,H19)-1,1,0)</f>
        <v>1</v>
      </c>
      <c r="J19">
        <f t="shared" si="5"/>
        <v>2</v>
      </c>
      <c r="K19" t="b">
        <f t="shared" si="6"/>
        <v>1</v>
      </c>
      <c r="L19" t="str">
        <f t="shared" ref="L19" si="10">IF(K19=TRUE,B19,"")</f>
        <v>Trichoptera</v>
      </c>
      <c r="M19">
        <v>5</v>
      </c>
      <c r="N19">
        <v>4</v>
      </c>
      <c r="O19" t="b">
        <f>_xlfn.XLOOKUP(C19, BugList!C:C, BugList!L:L,"")</f>
        <v>1</v>
      </c>
      <c r="P19" t="b">
        <f t="shared" si="7"/>
        <v>0</v>
      </c>
      <c r="Q19" t="b">
        <v>0</v>
      </c>
      <c r="T19">
        <f t="shared" si="8"/>
        <v>10</v>
      </c>
      <c r="U19">
        <f t="shared" si="9"/>
        <v>4</v>
      </c>
    </row>
    <row r="20" spans="1:21">
      <c r="A20" t="s">
        <v>2970</v>
      </c>
      <c r="B20" t="s">
        <v>198</v>
      </c>
      <c r="C20" t="s">
        <v>114</v>
      </c>
      <c r="D20" t="s">
        <v>1362</v>
      </c>
      <c r="E20">
        <v>1</v>
      </c>
      <c r="F20" s="43">
        <f t="shared" si="2"/>
        <v>0.97087378640776689</v>
      </c>
      <c r="G20" s="44">
        <f t="shared" si="3"/>
        <v>0</v>
      </c>
      <c r="H20" s="44">
        <f t="shared" si="4"/>
        <v>0.97087378640776689</v>
      </c>
      <c r="I20" cm="1">
        <f t="array" ref="I20">INT(F20)+IF(100-SUM(INT(F$2:F$23))&gt;=RANK(H20,H$2:H$23)+COUNTIF(H$2:H20,H20)-1,1,0)</f>
        <v>1</v>
      </c>
      <c r="J20">
        <f t="shared" si="5"/>
        <v>1</v>
      </c>
      <c r="K20" t="b">
        <f t="shared" si="6"/>
        <v>1</v>
      </c>
      <c r="L20" t="str">
        <f>IF(K20=TRUE,B20,"")</f>
        <v>Trichoptera</v>
      </c>
      <c r="M20">
        <v>1</v>
      </c>
      <c r="N20">
        <v>1</v>
      </c>
      <c r="O20" t="b">
        <f>_xlfn.XLOOKUP(C20, BugList!C:C, BugList!L:L,"")</f>
        <v>1</v>
      </c>
      <c r="P20" t="b">
        <f t="shared" si="7"/>
        <v>1</v>
      </c>
      <c r="Q20" t="b">
        <v>0</v>
      </c>
      <c r="S20">
        <v>2</v>
      </c>
      <c r="T20">
        <f t="shared" si="8"/>
        <v>1</v>
      </c>
      <c r="U20">
        <f t="shared" si="9"/>
        <v>1</v>
      </c>
    </row>
    <row r="21" spans="1:21">
      <c r="A21" t="s">
        <v>2970</v>
      </c>
      <c r="B21" t="s">
        <v>198</v>
      </c>
      <c r="C21" t="s">
        <v>107</v>
      </c>
      <c r="D21" t="s">
        <v>1312</v>
      </c>
      <c r="E21">
        <v>3</v>
      </c>
      <c r="F21" s="43">
        <f t="shared" si="2"/>
        <v>2.912621359223301</v>
      </c>
      <c r="G21" s="44">
        <f t="shared" si="3"/>
        <v>2</v>
      </c>
      <c r="H21" s="44">
        <f t="shared" si="4"/>
        <v>0.91262135922330101</v>
      </c>
      <c r="I21" cm="1">
        <f t="array" ref="I21">INT(F21)+IF(100-SUM(INT(F$2:F$23))&gt;=RANK(H21,H$2:H$23)+COUNTIF(H$2:H21,H21)-1,1,0)</f>
        <v>3</v>
      </c>
      <c r="J21">
        <f t="shared" si="5"/>
        <v>3</v>
      </c>
      <c r="K21" t="b">
        <f t="shared" si="6"/>
        <v>1</v>
      </c>
      <c r="L21" t="str">
        <f>IF(K21=TRUE,B21,"")</f>
        <v>Trichoptera</v>
      </c>
      <c r="M21">
        <v>4</v>
      </c>
      <c r="N21">
        <v>4</v>
      </c>
      <c r="O21" t="b">
        <f>_xlfn.XLOOKUP(C21, BugList!C:C, BugList!L:L,"")</f>
        <v>1</v>
      </c>
      <c r="P21" t="b">
        <f t="shared" si="7"/>
        <v>1</v>
      </c>
      <c r="Q21" t="b">
        <v>0</v>
      </c>
      <c r="T21">
        <f t="shared" si="8"/>
        <v>12</v>
      </c>
      <c r="U21">
        <f t="shared" si="9"/>
        <v>12</v>
      </c>
    </row>
    <row r="22" spans="1:21">
      <c r="A22" t="s">
        <v>2970</v>
      </c>
      <c r="B22" t="s">
        <v>2895</v>
      </c>
      <c r="C22" t="s">
        <v>99</v>
      </c>
      <c r="D22" t="s">
        <v>1516</v>
      </c>
      <c r="E22">
        <v>1</v>
      </c>
      <c r="F22" s="43">
        <f t="shared" si="2"/>
        <v>0.97087378640776689</v>
      </c>
      <c r="G22" s="44">
        <f t="shared" si="3"/>
        <v>0</v>
      </c>
      <c r="H22" s="44">
        <f t="shared" si="4"/>
        <v>0.97087378640776689</v>
      </c>
      <c r="I22" cm="1">
        <f t="array" ref="I22">INT(F22)+IF(100-SUM(INT(F$2:F$23))&gt;=RANK(H22,H$2:H$23)+COUNTIF(H$2:H22,H22)-1,1,0)</f>
        <v>1</v>
      </c>
      <c r="J22">
        <f t="shared" si="5"/>
        <v>1</v>
      </c>
      <c r="K22" t="b">
        <f t="shared" si="6"/>
        <v>0</v>
      </c>
      <c r="L22" t="str">
        <f t="shared" ref="L22:L46" si="11">IF(K22=TRUE,B22,"")</f>
        <v/>
      </c>
      <c r="M22">
        <v>5</v>
      </c>
      <c r="N22">
        <v>5</v>
      </c>
      <c r="O22" t="b">
        <f>_xlfn.XLOOKUP(C22, BugList!C:C, BugList!L:L,"")</f>
        <v>1</v>
      </c>
      <c r="P22" t="b">
        <f t="shared" si="7"/>
        <v>0</v>
      </c>
      <c r="Q22" t="b">
        <v>0</v>
      </c>
      <c r="T22">
        <f t="shared" si="8"/>
        <v>5</v>
      </c>
      <c r="U22">
        <f t="shared" si="9"/>
        <v>5</v>
      </c>
    </row>
    <row r="23" spans="1:21">
      <c r="A23" t="s">
        <v>2970</v>
      </c>
      <c r="B23" t="s">
        <v>194</v>
      </c>
      <c r="C23" t="s">
        <v>90</v>
      </c>
      <c r="D23" t="s">
        <v>219</v>
      </c>
      <c r="E23">
        <v>6</v>
      </c>
      <c r="F23" s="43">
        <f t="shared" si="2"/>
        <v>5.825242718446602</v>
      </c>
      <c r="G23" s="44">
        <f t="shared" si="3"/>
        <v>5</v>
      </c>
      <c r="H23" s="44">
        <f t="shared" si="4"/>
        <v>0.82524271844660202</v>
      </c>
      <c r="I23" cm="1">
        <f t="array" ref="I23">INT(F23)+IF(100-SUM(INT(F$2:F$23))&gt;=RANK(H23,H$2:H$23)+COUNTIF(H$2:H23,H23)-1,1,0)</f>
        <v>6</v>
      </c>
      <c r="J23">
        <f t="shared" si="5"/>
        <v>6</v>
      </c>
      <c r="K23" t="b">
        <f t="shared" si="6"/>
        <v>0</v>
      </c>
      <c r="L23" t="str">
        <f t="shared" si="11"/>
        <v/>
      </c>
      <c r="M23">
        <v>6</v>
      </c>
      <c r="N23">
        <v>5</v>
      </c>
      <c r="O23" t="b">
        <f>_xlfn.XLOOKUP(C23, BugList!C:C, BugList!L:L,"")</f>
        <v>1</v>
      </c>
      <c r="P23" t="b">
        <f t="shared" si="7"/>
        <v>0</v>
      </c>
      <c r="Q23" t="b">
        <v>0</v>
      </c>
      <c r="T23">
        <f t="shared" si="8"/>
        <v>36</v>
      </c>
      <c r="U23">
        <f t="shared" si="9"/>
        <v>30</v>
      </c>
    </row>
    <row r="24" spans="1:21">
      <c r="A24" t="s">
        <v>2990</v>
      </c>
      <c r="B24" t="s">
        <v>2971</v>
      </c>
      <c r="C24" t="s">
        <v>102</v>
      </c>
      <c r="D24" t="s">
        <v>2382</v>
      </c>
      <c r="E24">
        <v>2</v>
      </c>
      <c r="F24" s="95">
        <f t="shared" si="2"/>
        <v>1.9417475728155338</v>
      </c>
      <c r="G24" s="19">
        <f t="shared" si="3"/>
        <v>1</v>
      </c>
      <c r="H24" s="19">
        <f t="shared" si="4"/>
        <v>0.94174757281553378</v>
      </c>
      <c r="I24" cm="1">
        <f t="array" ref="I24">INT(F24)+IF(100-SUM(INT(F$24:F$46))&gt;=RANK(H24,H$24:H$46)+COUNTIF(H$24:H24,H24)-1,1,0)</f>
        <v>2</v>
      </c>
      <c r="J24">
        <f>IF(COUNTIF(C$24:C$46,C24)&gt;1,SUMIF(C$24:C$46,C24,I$24:I$46),I24)</f>
        <v>2</v>
      </c>
      <c r="K24" t="b">
        <f t="shared" si="6"/>
        <v>0</v>
      </c>
      <c r="L24" t="str">
        <f t="shared" si="11"/>
        <v/>
      </c>
      <c r="M24">
        <v>8</v>
      </c>
      <c r="N24">
        <v>8</v>
      </c>
      <c r="O24" t="b">
        <f>_xlfn.XLOOKUP(C24, BugList!C:C, BugList!L:L,"")</f>
        <v>0</v>
      </c>
      <c r="P24" t="b">
        <f t="shared" ref="P24:P46" si="12">IF(K24=TRUE,IF(C24="Hydropsychidae", IF(D24="Diplectrona",TRUE,FALSE),TRUE),FALSE)</f>
        <v>0</v>
      </c>
      <c r="Q24" t="b">
        <v>0</v>
      </c>
      <c r="T24">
        <f t="shared" ref="T24:T46" si="13">J24*M24</f>
        <v>16</v>
      </c>
      <c r="U24">
        <f t="shared" ref="U24:U46" si="14">I24*N24</f>
        <v>16</v>
      </c>
    </row>
    <row r="25" spans="1:21">
      <c r="A25" t="s">
        <v>2990</v>
      </c>
      <c r="B25" t="s">
        <v>2988</v>
      </c>
      <c r="C25" t="s">
        <v>92</v>
      </c>
      <c r="D25" t="s">
        <v>2436</v>
      </c>
      <c r="E25">
        <v>1</v>
      </c>
      <c r="F25" s="95">
        <f t="shared" ref="F25:F46" si="15">(E25/(SUMIFS(E:E,A:A,A25))*100)</f>
        <v>0.97087378640776689</v>
      </c>
      <c r="G25" s="19">
        <f t="shared" si="3"/>
        <v>0</v>
      </c>
      <c r="H25" s="19">
        <f t="shared" ref="H25:H46" si="16">F25-G25</f>
        <v>0.97087378640776689</v>
      </c>
      <c r="I25" cm="1">
        <f t="array" ref="I25">INT(F25)+IF(100-SUM(INT(F$24:F$46))&gt;=RANK(H25,H$24:H$46)+COUNTIF(H$24:H25,H25)-1,1,0)</f>
        <v>1</v>
      </c>
      <c r="J25">
        <f t="shared" ref="J25:J46" si="17">IF(COUNTIF(C$24:C$46,C25)&gt;1,SUMIF(C$24:C$46,C25,I$24:I$46),I25)</f>
        <v>1</v>
      </c>
      <c r="K25" t="b">
        <f t="shared" si="6"/>
        <v>0</v>
      </c>
      <c r="L25" t="str">
        <f t="shared" si="11"/>
        <v/>
      </c>
      <c r="M25">
        <v>6</v>
      </c>
      <c r="N25">
        <v>6</v>
      </c>
      <c r="O25" t="b">
        <f>_xlfn.XLOOKUP(C25, BugList!C:C, BugList!L:L,"")</f>
        <v>0</v>
      </c>
      <c r="P25" t="b">
        <f t="shared" si="12"/>
        <v>0</v>
      </c>
      <c r="Q25" t="b">
        <v>0</v>
      </c>
      <c r="T25">
        <f t="shared" si="13"/>
        <v>6</v>
      </c>
      <c r="U25">
        <f t="shared" si="14"/>
        <v>6</v>
      </c>
    </row>
    <row r="26" spans="1:21">
      <c r="A26" t="s">
        <v>2990</v>
      </c>
      <c r="B26" t="s">
        <v>201</v>
      </c>
      <c r="C26" t="s">
        <v>85</v>
      </c>
      <c r="D26" t="s">
        <v>374</v>
      </c>
      <c r="E26">
        <v>9</v>
      </c>
      <c r="F26" s="95">
        <f t="shared" si="15"/>
        <v>8.7378640776699026</v>
      </c>
      <c r="G26" s="19">
        <f t="shared" si="3"/>
        <v>8</v>
      </c>
      <c r="H26" s="19">
        <f t="shared" si="16"/>
        <v>0.73786407766990258</v>
      </c>
      <c r="I26" cm="1">
        <f t="array" ref="I26">INT(F26)+IF(100-SUM(INT(F$24:F$46))&gt;=RANK(H26,H$24:H$46)+COUNTIF(H$24:H26,H26)-1,1,0)</f>
        <v>9</v>
      </c>
      <c r="J26">
        <f t="shared" si="17"/>
        <v>9</v>
      </c>
      <c r="K26" t="b">
        <f t="shared" si="6"/>
        <v>0</v>
      </c>
      <c r="L26" t="str">
        <f t="shared" si="11"/>
        <v/>
      </c>
      <c r="M26">
        <v>6</v>
      </c>
      <c r="N26">
        <v>6</v>
      </c>
      <c r="O26" t="b">
        <f>_xlfn.XLOOKUP(C26, BugList!C:C, BugList!L:L,"")</f>
        <v>0</v>
      </c>
      <c r="P26" t="b">
        <f t="shared" si="12"/>
        <v>0</v>
      </c>
      <c r="Q26" t="b">
        <v>0</v>
      </c>
      <c r="T26">
        <f t="shared" si="13"/>
        <v>54</v>
      </c>
      <c r="U26">
        <f t="shared" si="14"/>
        <v>54</v>
      </c>
    </row>
    <row r="27" spans="1:21">
      <c r="A27" t="s">
        <v>2990</v>
      </c>
      <c r="B27" t="s">
        <v>204</v>
      </c>
      <c r="C27" t="s">
        <v>84</v>
      </c>
      <c r="D27" t="s">
        <v>349</v>
      </c>
      <c r="E27">
        <v>6</v>
      </c>
      <c r="F27" s="95">
        <f t="shared" si="15"/>
        <v>5.825242718446602</v>
      </c>
      <c r="G27" s="19">
        <f t="shared" si="3"/>
        <v>5</v>
      </c>
      <c r="H27" s="19">
        <f t="shared" si="16"/>
        <v>0.82524271844660202</v>
      </c>
      <c r="I27" cm="1">
        <f t="array" ref="I27">INT(F27)+IF(100-SUM(INT(F$24:F$46))&gt;=RANK(H27,H$24:H$46)+COUNTIF(H$24:H27,H27)-1,1,0)</f>
        <v>6</v>
      </c>
      <c r="J27">
        <f t="shared" si="17"/>
        <v>6</v>
      </c>
      <c r="K27" t="b">
        <f t="shared" si="6"/>
        <v>0</v>
      </c>
      <c r="L27" t="str">
        <f t="shared" si="11"/>
        <v/>
      </c>
      <c r="M27">
        <v>8</v>
      </c>
      <c r="N27">
        <v>8</v>
      </c>
      <c r="O27" t="b">
        <f>_xlfn.XLOOKUP(C27, BugList!C:C, BugList!L:L,"")</f>
        <v>0</v>
      </c>
      <c r="P27" t="b">
        <f t="shared" si="12"/>
        <v>0</v>
      </c>
      <c r="Q27" t="b">
        <v>0</v>
      </c>
      <c r="T27">
        <f t="shared" si="13"/>
        <v>48</v>
      </c>
      <c r="U27">
        <f t="shared" si="14"/>
        <v>48</v>
      </c>
    </row>
    <row r="28" spans="1:21">
      <c r="A28" t="s">
        <v>2990</v>
      </c>
      <c r="B28" t="s">
        <v>2975</v>
      </c>
      <c r="C28" t="s">
        <v>96</v>
      </c>
      <c r="D28" s="75" t="s">
        <v>841</v>
      </c>
      <c r="E28">
        <v>2</v>
      </c>
      <c r="F28" s="95">
        <f t="shared" si="15"/>
        <v>1.9417475728155338</v>
      </c>
      <c r="G28" s="19">
        <f t="shared" si="3"/>
        <v>1</v>
      </c>
      <c r="H28" s="19">
        <f t="shared" si="16"/>
        <v>0.94174757281553378</v>
      </c>
      <c r="I28" cm="1">
        <f t="array" ref="I28">INT(F28)+IF(100-SUM(INT(F$24:F$46))&gt;=RANK(H28,H$24:H$46)+COUNTIF(H$24:H28,H28)-1,1,0)</f>
        <v>2</v>
      </c>
      <c r="J28">
        <f t="shared" si="17"/>
        <v>2</v>
      </c>
      <c r="K28" t="b">
        <f t="shared" si="6"/>
        <v>0</v>
      </c>
      <c r="L28" t="str">
        <f t="shared" si="11"/>
        <v/>
      </c>
      <c r="M28">
        <v>6</v>
      </c>
      <c r="N28">
        <v>6</v>
      </c>
      <c r="O28" t="b">
        <f>_xlfn.XLOOKUP(C28, BugList!C:C, BugList!L:L,"")</f>
        <v>1</v>
      </c>
      <c r="P28" t="b">
        <f t="shared" si="12"/>
        <v>0</v>
      </c>
      <c r="Q28" t="b">
        <v>0</v>
      </c>
      <c r="S28">
        <v>3</v>
      </c>
      <c r="T28">
        <f t="shared" si="13"/>
        <v>12</v>
      </c>
      <c r="U28">
        <f t="shared" si="14"/>
        <v>12</v>
      </c>
    </row>
    <row r="29" spans="1:21">
      <c r="A29" t="s">
        <v>2990</v>
      </c>
      <c r="B29" t="s">
        <v>2975</v>
      </c>
      <c r="C29" t="s">
        <v>154</v>
      </c>
      <c r="D29" s="75" t="s">
        <v>863</v>
      </c>
      <c r="E29">
        <v>23</v>
      </c>
      <c r="F29" s="95">
        <f t="shared" si="15"/>
        <v>22.330097087378643</v>
      </c>
      <c r="G29" s="19">
        <f t="shared" si="3"/>
        <v>22</v>
      </c>
      <c r="H29" s="19">
        <f t="shared" si="16"/>
        <v>0.33009708737864329</v>
      </c>
      <c r="I29" cm="1">
        <f t="array" ref="I29">INT(F29)+IF(100-SUM(INT(F$24:F$46))&gt;=RANK(H29,H$24:H$46)+COUNTIF(H$24:H29,H29)-1,1,0)</f>
        <v>22</v>
      </c>
      <c r="J29">
        <f t="shared" si="17"/>
        <v>22</v>
      </c>
      <c r="K29" t="b">
        <f t="shared" si="6"/>
        <v>0</v>
      </c>
      <c r="L29" t="str">
        <f t="shared" si="11"/>
        <v/>
      </c>
      <c r="M29">
        <v>6</v>
      </c>
      <c r="N29">
        <v>6</v>
      </c>
      <c r="O29" t="b">
        <f>_xlfn.XLOOKUP(C29, BugList!C:C, BugList!L:L,"")</f>
        <v>1</v>
      </c>
      <c r="P29" t="b">
        <f t="shared" si="12"/>
        <v>0</v>
      </c>
      <c r="Q29" t="b">
        <v>0</v>
      </c>
      <c r="T29">
        <f t="shared" si="13"/>
        <v>132</v>
      </c>
      <c r="U29">
        <f t="shared" si="14"/>
        <v>132</v>
      </c>
    </row>
    <row r="30" spans="1:21">
      <c r="A30" t="s">
        <v>2990</v>
      </c>
      <c r="B30" t="s">
        <v>2975</v>
      </c>
      <c r="C30" t="s">
        <v>151</v>
      </c>
      <c r="D30" s="75" t="s">
        <v>900</v>
      </c>
      <c r="E30">
        <v>1</v>
      </c>
      <c r="F30" s="95">
        <f t="shared" si="15"/>
        <v>0.97087378640776689</v>
      </c>
      <c r="G30" s="19">
        <f t="shared" si="3"/>
        <v>0</v>
      </c>
      <c r="H30" s="19">
        <f t="shared" si="16"/>
        <v>0.97087378640776689</v>
      </c>
      <c r="I30" cm="1">
        <f t="array" ref="I30">INT(F30)+IF(100-SUM(INT(F$24:F$46))&gt;=RANK(H30,H$24:H$46)+COUNTIF(H$24:H30,H30)-1,1,0)</f>
        <v>1</v>
      </c>
      <c r="J30">
        <f t="shared" si="17"/>
        <v>2</v>
      </c>
      <c r="K30" t="b">
        <f t="shared" si="6"/>
        <v>0</v>
      </c>
      <c r="L30" t="str">
        <f t="shared" si="11"/>
        <v/>
      </c>
      <c r="M30">
        <v>2</v>
      </c>
      <c r="N30">
        <v>1</v>
      </c>
      <c r="O30" t="b">
        <f>_xlfn.XLOOKUP(C30, BugList!C:C, BugList!L:L,"")</f>
        <v>1</v>
      </c>
      <c r="P30" t="b">
        <f t="shared" si="12"/>
        <v>0</v>
      </c>
      <c r="Q30" t="b">
        <v>0</v>
      </c>
      <c r="S30">
        <v>3</v>
      </c>
      <c r="T30">
        <f t="shared" si="13"/>
        <v>4</v>
      </c>
      <c r="U30">
        <f t="shared" si="14"/>
        <v>1</v>
      </c>
    </row>
    <row r="31" spans="1:21">
      <c r="A31" t="s">
        <v>2990</v>
      </c>
      <c r="B31" t="s">
        <v>2975</v>
      </c>
      <c r="C31" t="s">
        <v>151</v>
      </c>
      <c r="D31" t="s">
        <v>979</v>
      </c>
      <c r="E31">
        <v>1</v>
      </c>
      <c r="F31" s="95">
        <f t="shared" si="15"/>
        <v>0.97087378640776689</v>
      </c>
      <c r="G31" s="19">
        <f t="shared" si="3"/>
        <v>0</v>
      </c>
      <c r="H31" s="19">
        <f t="shared" si="16"/>
        <v>0.97087378640776689</v>
      </c>
      <c r="I31" cm="1">
        <f t="array" ref="I31">INT(F31)+IF(100-SUM(INT(F$24:F$46))&gt;=RANK(H31,H$24:H$46)+COUNTIF(H$24:H31,H31)-1,1,0)</f>
        <v>1</v>
      </c>
      <c r="J31">
        <f t="shared" si="17"/>
        <v>2</v>
      </c>
      <c r="K31" t="b">
        <f t="shared" si="6"/>
        <v>0</v>
      </c>
      <c r="L31" t="str">
        <f t="shared" si="11"/>
        <v/>
      </c>
      <c r="M31">
        <v>2</v>
      </c>
      <c r="N31">
        <v>2</v>
      </c>
      <c r="O31" t="b">
        <f>_xlfn.XLOOKUP(C31, BugList!C:C, BugList!L:L,"")</f>
        <v>1</v>
      </c>
      <c r="P31" t="b">
        <f t="shared" si="12"/>
        <v>0</v>
      </c>
      <c r="Q31" t="b">
        <v>0</v>
      </c>
      <c r="S31">
        <v>3</v>
      </c>
      <c r="T31">
        <f t="shared" si="13"/>
        <v>4</v>
      </c>
      <c r="U31">
        <f t="shared" si="14"/>
        <v>2</v>
      </c>
    </row>
    <row r="32" spans="1:21">
      <c r="A32" t="s">
        <v>2990</v>
      </c>
      <c r="B32" t="s">
        <v>2975</v>
      </c>
      <c r="C32" t="s">
        <v>111</v>
      </c>
      <c r="D32" t="s">
        <v>2976</v>
      </c>
      <c r="E32">
        <v>5</v>
      </c>
      <c r="F32" s="95">
        <f t="shared" si="15"/>
        <v>4.8543689320388346</v>
      </c>
      <c r="G32" s="19">
        <f t="shared" si="3"/>
        <v>4</v>
      </c>
      <c r="H32" s="19">
        <f t="shared" si="16"/>
        <v>0.85436893203883457</v>
      </c>
      <c r="I32" cm="1">
        <f t="array" ref="I32">INT(F32)+IF(100-SUM(INT(F$24:F$46))&gt;=RANK(H32,H$24:H$46)+COUNTIF(H$24:H32,H32)-1,1,0)</f>
        <v>5</v>
      </c>
      <c r="J32">
        <f t="shared" si="17"/>
        <v>5</v>
      </c>
      <c r="K32" t="b">
        <f t="shared" si="6"/>
        <v>0</v>
      </c>
      <c r="L32" t="str">
        <f t="shared" si="11"/>
        <v/>
      </c>
      <c r="M32">
        <v>3</v>
      </c>
      <c r="N32">
        <v>3</v>
      </c>
      <c r="O32" t="b">
        <f>_xlfn.XLOOKUP(C32, BugList!C:C, BugList!L:L,"")</f>
        <v>1</v>
      </c>
      <c r="P32" t="b">
        <f t="shared" si="12"/>
        <v>0</v>
      </c>
      <c r="Q32" t="b">
        <v>1</v>
      </c>
      <c r="S32">
        <v>3</v>
      </c>
      <c r="T32">
        <f t="shared" si="13"/>
        <v>15</v>
      </c>
      <c r="U32">
        <f t="shared" si="14"/>
        <v>15</v>
      </c>
    </row>
    <row r="33" spans="1:21">
      <c r="A33" t="s">
        <v>2990</v>
      </c>
      <c r="B33" t="s">
        <v>2975</v>
      </c>
      <c r="C33" t="s">
        <v>949</v>
      </c>
      <c r="D33" t="s">
        <v>950</v>
      </c>
      <c r="E33">
        <v>1</v>
      </c>
      <c r="F33" s="95">
        <f t="shared" si="15"/>
        <v>0.97087378640776689</v>
      </c>
      <c r="G33" s="19">
        <f t="shared" si="3"/>
        <v>0</v>
      </c>
      <c r="H33" s="19">
        <f t="shared" si="16"/>
        <v>0.97087378640776689</v>
      </c>
      <c r="I33" cm="1">
        <f t="array" ref="I33">INT(F33)+IF(100-SUM(INT(F$24:F$46))&gt;=RANK(H33,H$24:H$46)+COUNTIF(H$24:H33,H33)-1,1,0)</f>
        <v>1</v>
      </c>
      <c r="J33">
        <f t="shared" si="17"/>
        <v>1</v>
      </c>
      <c r="K33" t="b">
        <f t="shared" si="6"/>
        <v>0</v>
      </c>
      <c r="L33" t="str">
        <f t="shared" si="11"/>
        <v/>
      </c>
      <c r="M33">
        <v>2</v>
      </c>
      <c r="N33">
        <v>2</v>
      </c>
      <c r="O33" t="b">
        <f>_xlfn.XLOOKUP(C33, BugList!C:C, BugList!L:L,"")</f>
        <v>1</v>
      </c>
      <c r="P33" t="b">
        <f t="shared" si="12"/>
        <v>0</v>
      </c>
      <c r="Q33" t="b">
        <v>0</v>
      </c>
      <c r="S33">
        <v>3</v>
      </c>
      <c r="T33">
        <f t="shared" si="13"/>
        <v>2</v>
      </c>
      <c r="U33">
        <f t="shared" si="14"/>
        <v>2</v>
      </c>
    </row>
    <row r="34" spans="1:21">
      <c r="A34" t="s">
        <v>2990</v>
      </c>
      <c r="B34" t="s">
        <v>197</v>
      </c>
      <c r="C34" t="s">
        <v>105</v>
      </c>
      <c r="D34" t="s">
        <v>786</v>
      </c>
      <c r="E34">
        <v>6</v>
      </c>
      <c r="F34" s="95">
        <f t="shared" si="15"/>
        <v>5.825242718446602</v>
      </c>
      <c r="G34" s="19">
        <f t="shared" si="3"/>
        <v>5</v>
      </c>
      <c r="H34" s="19">
        <f t="shared" si="16"/>
        <v>0.82524271844660202</v>
      </c>
      <c r="I34" cm="1">
        <f t="array" ref="I34">INT(F34)+IF(100-SUM(INT(F$24:F$46))&gt;=RANK(H34,H$24:H$46)+COUNTIF(H$24:H34,H34)-1,1,0)</f>
        <v>6</v>
      </c>
      <c r="J34">
        <f t="shared" si="17"/>
        <v>6</v>
      </c>
      <c r="K34" t="b">
        <f t="shared" si="6"/>
        <v>1</v>
      </c>
      <c r="L34" t="str">
        <f t="shared" si="11"/>
        <v>Plecoptera</v>
      </c>
      <c r="M34">
        <v>3</v>
      </c>
      <c r="N34">
        <v>4</v>
      </c>
      <c r="O34" t="b">
        <f>_xlfn.XLOOKUP(C34, BugList!C:C, BugList!L:L,"")</f>
        <v>1</v>
      </c>
      <c r="P34" t="b">
        <f t="shared" si="12"/>
        <v>1</v>
      </c>
      <c r="Q34" t="b">
        <v>0</v>
      </c>
      <c r="S34">
        <v>3</v>
      </c>
      <c r="T34">
        <f t="shared" si="13"/>
        <v>18</v>
      </c>
      <c r="U34">
        <f t="shared" si="14"/>
        <v>24</v>
      </c>
    </row>
    <row r="35" spans="1:21">
      <c r="A35" t="s">
        <v>2990</v>
      </c>
      <c r="B35" t="s">
        <v>198</v>
      </c>
      <c r="C35" t="s">
        <v>89</v>
      </c>
      <c r="D35" t="s">
        <v>1308</v>
      </c>
      <c r="E35">
        <v>1</v>
      </c>
      <c r="F35" s="95">
        <f t="shared" si="15"/>
        <v>0.97087378640776689</v>
      </c>
      <c r="G35" s="19">
        <f t="shared" si="3"/>
        <v>0</v>
      </c>
      <c r="H35" s="19">
        <f t="shared" si="16"/>
        <v>0.97087378640776689</v>
      </c>
      <c r="I35" cm="1">
        <f t="array" ref="I35">INT(F35)+IF(100-SUM(INT(F$24:F$46))&gt;=RANK(H35,H$24:H$46)+COUNTIF(H$24:H35,H35)-1,1,0)</f>
        <v>1</v>
      </c>
      <c r="J35">
        <f t="shared" si="17"/>
        <v>1</v>
      </c>
      <c r="K35" t="b">
        <f t="shared" si="6"/>
        <v>1</v>
      </c>
      <c r="L35" t="str">
        <f t="shared" si="11"/>
        <v>Trichoptera</v>
      </c>
      <c r="M35">
        <v>5</v>
      </c>
      <c r="N35">
        <v>5</v>
      </c>
      <c r="O35" t="b">
        <f>_xlfn.XLOOKUP(C35, BugList!C:C, BugList!L:L,"")</f>
        <v>1</v>
      </c>
      <c r="P35" t="b">
        <f t="shared" si="12"/>
        <v>0</v>
      </c>
      <c r="Q35" t="b">
        <v>0</v>
      </c>
      <c r="T35">
        <f t="shared" si="13"/>
        <v>5</v>
      </c>
      <c r="U35">
        <f t="shared" si="14"/>
        <v>5</v>
      </c>
    </row>
    <row r="36" spans="1:21">
      <c r="A36" t="s">
        <v>2990</v>
      </c>
      <c r="B36" t="s">
        <v>198</v>
      </c>
      <c r="C36" t="s">
        <v>1263</v>
      </c>
      <c r="D36" t="s">
        <v>1356</v>
      </c>
      <c r="E36">
        <v>1</v>
      </c>
      <c r="F36" s="95">
        <f t="shared" si="15"/>
        <v>0.97087378640776689</v>
      </c>
      <c r="G36" s="19">
        <f t="shared" si="3"/>
        <v>0</v>
      </c>
      <c r="H36" s="19">
        <f t="shared" si="16"/>
        <v>0.97087378640776689</v>
      </c>
      <c r="I36" cm="1">
        <f t="array" ref="I36">INT(F36)+IF(100-SUM(INT(F$24:F$46))&gt;=RANK(H36,H$24:H$46)+COUNTIF(H$24:H36,H36)-1,1,0)</f>
        <v>1</v>
      </c>
      <c r="J36">
        <f t="shared" si="17"/>
        <v>1</v>
      </c>
      <c r="K36" t="b">
        <f t="shared" si="6"/>
        <v>1</v>
      </c>
      <c r="L36" t="str">
        <f t="shared" si="11"/>
        <v>Trichoptera</v>
      </c>
      <c r="M36">
        <v>6</v>
      </c>
      <c r="N36">
        <v>6</v>
      </c>
      <c r="O36" t="b">
        <f>_xlfn.XLOOKUP(C36, BugList!C:C, BugList!L:L,"")</f>
        <v>1</v>
      </c>
      <c r="P36" t="b">
        <f t="shared" si="12"/>
        <v>1</v>
      </c>
      <c r="Q36" t="b">
        <v>1</v>
      </c>
      <c r="T36">
        <f t="shared" si="13"/>
        <v>6</v>
      </c>
      <c r="U36">
        <f t="shared" si="14"/>
        <v>6</v>
      </c>
    </row>
    <row r="37" spans="1:21">
      <c r="A37" t="s">
        <v>2990</v>
      </c>
      <c r="B37" t="s">
        <v>200</v>
      </c>
      <c r="C37" t="s">
        <v>1525</v>
      </c>
      <c r="E37">
        <v>1</v>
      </c>
      <c r="F37" s="95">
        <f t="shared" si="15"/>
        <v>0.97087378640776689</v>
      </c>
      <c r="G37" s="19">
        <f t="shared" si="3"/>
        <v>0</v>
      </c>
      <c r="H37" s="19">
        <f t="shared" si="16"/>
        <v>0.97087378640776689</v>
      </c>
      <c r="I37" cm="1">
        <f t="array" ref="I37">INT(F37)+IF(100-SUM(INT(F$24:F$46))&gt;=RANK(H37,H$24:H$46)+COUNTIF(H$24:H37,H37)-1,1,0)</f>
        <v>1</v>
      </c>
      <c r="J37">
        <f t="shared" si="17"/>
        <v>1</v>
      </c>
      <c r="K37" t="b">
        <f t="shared" si="6"/>
        <v>0</v>
      </c>
      <c r="L37" t="str">
        <f t="shared" si="11"/>
        <v/>
      </c>
      <c r="M37">
        <v>4</v>
      </c>
      <c r="N37">
        <v>4</v>
      </c>
      <c r="O37" t="b">
        <f>_xlfn.XLOOKUP(C37, BugList!C:C, BugList!L:L,"")</f>
        <v>1</v>
      </c>
      <c r="P37" t="b">
        <f t="shared" si="12"/>
        <v>0</v>
      </c>
      <c r="Q37" t="b">
        <v>0</v>
      </c>
      <c r="T37">
        <f t="shared" si="13"/>
        <v>4</v>
      </c>
      <c r="U37">
        <f t="shared" si="14"/>
        <v>4</v>
      </c>
    </row>
    <row r="38" spans="1:21">
      <c r="A38" t="s">
        <v>2990</v>
      </c>
      <c r="B38" t="s">
        <v>200</v>
      </c>
      <c r="C38" t="s">
        <v>1503</v>
      </c>
      <c r="E38">
        <v>1</v>
      </c>
      <c r="F38" s="95">
        <f t="shared" si="15"/>
        <v>0.97087378640776689</v>
      </c>
      <c r="G38" s="19">
        <f t="shared" si="3"/>
        <v>0</v>
      </c>
      <c r="H38" s="19">
        <f t="shared" si="16"/>
        <v>0.97087378640776689</v>
      </c>
      <c r="I38" cm="1">
        <f t="array" ref="I38">INT(F38)+IF(100-SUM(INT(F$24:F$46))&gt;=RANK(H38,H$24:H$46)+COUNTIF(H$24:H38,H38)-1,1,0)</f>
        <v>1</v>
      </c>
      <c r="J38">
        <f t="shared" si="17"/>
        <v>1</v>
      </c>
      <c r="K38" t="b">
        <f t="shared" si="6"/>
        <v>0</v>
      </c>
      <c r="L38" t="str">
        <f t="shared" si="11"/>
        <v/>
      </c>
      <c r="M38">
        <v>5</v>
      </c>
      <c r="N38">
        <v>5</v>
      </c>
      <c r="O38" t="b">
        <f>_xlfn.XLOOKUP(C38, BugList!C:C, BugList!L:L,"")</f>
        <v>1</v>
      </c>
      <c r="P38" t="b">
        <f t="shared" si="12"/>
        <v>0</v>
      </c>
      <c r="Q38" t="b">
        <v>0</v>
      </c>
      <c r="T38">
        <f t="shared" si="13"/>
        <v>5</v>
      </c>
      <c r="U38">
        <f t="shared" si="14"/>
        <v>5</v>
      </c>
    </row>
    <row r="39" spans="1:21">
      <c r="A39" t="s">
        <v>2990</v>
      </c>
      <c r="B39" t="s">
        <v>200</v>
      </c>
      <c r="C39" t="s">
        <v>98</v>
      </c>
      <c r="D39" t="s">
        <v>1609</v>
      </c>
      <c r="E39">
        <v>1</v>
      </c>
      <c r="F39" s="95">
        <f t="shared" si="15"/>
        <v>0.97087378640776689</v>
      </c>
      <c r="G39" s="19">
        <f t="shared" si="3"/>
        <v>0</v>
      </c>
      <c r="H39" s="19">
        <f t="shared" si="16"/>
        <v>0.97087378640776689</v>
      </c>
      <c r="I39" cm="1">
        <f t="array" ref="I39">INT(F39)+IF(100-SUM(INT(F$24:F$46))&gt;=RANK(H39,H$24:H$46)+COUNTIF(H$24:H39,H39)-1,1,0)</f>
        <v>1</v>
      </c>
      <c r="J39">
        <f t="shared" si="17"/>
        <v>1</v>
      </c>
      <c r="K39" t="b">
        <f t="shared" si="6"/>
        <v>0</v>
      </c>
      <c r="L39" t="str">
        <f t="shared" si="11"/>
        <v/>
      </c>
      <c r="M39">
        <v>5</v>
      </c>
      <c r="N39">
        <v>4</v>
      </c>
      <c r="O39" t="b">
        <f>_xlfn.XLOOKUP(C39, BugList!C:C, BugList!L:L,"")</f>
        <v>1</v>
      </c>
      <c r="P39" t="b">
        <f t="shared" si="12"/>
        <v>0</v>
      </c>
      <c r="Q39" t="b">
        <v>1</v>
      </c>
      <c r="T39">
        <f t="shared" si="13"/>
        <v>5</v>
      </c>
      <c r="U39">
        <f t="shared" si="14"/>
        <v>4</v>
      </c>
    </row>
    <row r="40" spans="1:21">
      <c r="A40" t="s">
        <v>2990</v>
      </c>
      <c r="B40" t="s">
        <v>194</v>
      </c>
      <c r="C40" t="s">
        <v>90</v>
      </c>
      <c r="D40" t="s">
        <v>1876</v>
      </c>
      <c r="E40">
        <v>20</v>
      </c>
      <c r="F40" s="95">
        <f t="shared" si="15"/>
        <v>19.417475728155338</v>
      </c>
      <c r="G40" s="19">
        <f t="shared" si="3"/>
        <v>19</v>
      </c>
      <c r="H40" s="19">
        <f t="shared" si="16"/>
        <v>0.41747572815533829</v>
      </c>
      <c r="I40" cm="1">
        <f t="array" ref="I40">INT(F40)+IF(100-SUM(INT(F$24:F$46))&gt;=RANK(H40,H$24:H$46)+COUNTIF(H$24:H40,H40)-1,1,0)</f>
        <v>19</v>
      </c>
      <c r="J40">
        <f>IF(COUNTIF(C$24:C$46,C40)&gt;1,SUMIF(C$24:C$46,C40,I$24:I$46),I40)</f>
        <v>39</v>
      </c>
      <c r="K40" t="b">
        <f t="shared" si="6"/>
        <v>0</v>
      </c>
      <c r="L40" t="str">
        <f t="shared" si="11"/>
        <v/>
      </c>
      <c r="M40">
        <v>6</v>
      </c>
      <c r="N40">
        <v>8</v>
      </c>
      <c r="O40" t="b">
        <f>_xlfn.XLOOKUP(C40, BugList!C:C, BugList!L:L,"")</f>
        <v>1</v>
      </c>
      <c r="P40" t="b">
        <f t="shared" si="12"/>
        <v>0</v>
      </c>
      <c r="Q40" t="b">
        <v>0</v>
      </c>
      <c r="T40">
        <f t="shared" si="13"/>
        <v>234</v>
      </c>
      <c r="U40">
        <f t="shared" si="14"/>
        <v>152</v>
      </c>
    </row>
    <row r="41" spans="1:21">
      <c r="A41" t="s">
        <v>2990</v>
      </c>
      <c r="B41" t="s">
        <v>194</v>
      </c>
      <c r="C41" t="s">
        <v>90</v>
      </c>
      <c r="D41" t="s">
        <v>219</v>
      </c>
      <c r="E41">
        <v>1</v>
      </c>
      <c r="F41" s="95">
        <f t="shared" si="15"/>
        <v>0.97087378640776689</v>
      </c>
      <c r="G41" s="19">
        <f t="shared" si="3"/>
        <v>0</v>
      </c>
      <c r="H41" s="19">
        <f t="shared" si="16"/>
        <v>0.97087378640776689</v>
      </c>
      <c r="I41" cm="1">
        <f t="array" ref="I41">INT(F41)+IF(100-SUM(INT(F$24:F$46))&gt;=RANK(H41,H$24:H$46)+COUNTIF(H$24:H41,H41)-1,1,0)</f>
        <v>1</v>
      </c>
      <c r="J41">
        <f>IF(COUNTIF(C$24:C$46,C41)&gt;1,SUMIF(C$24:C$46,C41,I$24:I$46),I41)</f>
        <v>39</v>
      </c>
      <c r="K41" t="b">
        <f t="shared" si="6"/>
        <v>0</v>
      </c>
      <c r="L41" t="str">
        <f t="shared" si="11"/>
        <v/>
      </c>
      <c r="M41">
        <v>6</v>
      </c>
      <c r="N41">
        <v>5</v>
      </c>
      <c r="O41" t="b">
        <f>_xlfn.XLOOKUP(C41, BugList!C:C, BugList!L:L,"")</f>
        <v>1</v>
      </c>
      <c r="P41" t="b">
        <f t="shared" si="12"/>
        <v>0</v>
      </c>
      <c r="Q41" t="b">
        <v>0</v>
      </c>
      <c r="T41">
        <f t="shared" si="13"/>
        <v>234</v>
      </c>
      <c r="U41">
        <f t="shared" si="14"/>
        <v>5</v>
      </c>
    </row>
    <row r="42" spans="1:21">
      <c r="A42" t="s">
        <v>2990</v>
      </c>
      <c r="B42" t="s">
        <v>194</v>
      </c>
      <c r="C42" t="s">
        <v>90</v>
      </c>
      <c r="D42" t="s">
        <v>2989</v>
      </c>
      <c r="E42">
        <v>3</v>
      </c>
      <c r="F42" s="95">
        <f t="shared" si="15"/>
        <v>2.912621359223301</v>
      </c>
      <c r="G42" s="19">
        <f t="shared" si="3"/>
        <v>2</v>
      </c>
      <c r="H42" s="19">
        <f t="shared" si="16"/>
        <v>0.91262135922330101</v>
      </c>
      <c r="I42" cm="1">
        <f t="array" ref="I42">INT(F42)+IF(100-SUM(INT(F$24:F$46))&gt;=RANK(H42,H$24:H$46)+COUNTIF(H$24:H42,H42)-1,1,0)</f>
        <v>3</v>
      </c>
      <c r="J42">
        <f t="shared" si="17"/>
        <v>39</v>
      </c>
      <c r="K42" t="b">
        <f t="shared" si="6"/>
        <v>0</v>
      </c>
      <c r="L42" t="str">
        <f t="shared" si="11"/>
        <v/>
      </c>
      <c r="M42">
        <v>6</v>
      </c>
      <c r="N42">
        <v>6</v>
      </c>
      <c r="O42" t="b">
        <f>_xlfn.XLOOKUP(C42, BugList!C:C, BugList!L:L,"")</f>
        <v>1</v>
      </c>
      <c r="P42" t="b">
        <f t="shared" si="12"/>
        <v>0</v>
      </c>
      <c r="Q42" t="b">
        <v>0</v>
      </c>
      <c r="T42">
        <f t="shared" si="13"/>
        <v>234</v>
      </c>
      <c r="U42">
        <f t="shared" si="14"/>
        <v>18</v>
      </c>
    </row>
    <row r="43" spans="1:21">
      <c r="A43" t="s">
        <v>2990</v>
      </c>
      <c r="B43" t="s">
        <v>194</v>
      </c>
      <c r="C43" t="s">
        <v>90</v>
      </c>
      <c r="D43" t="s">
        <v>2108</v>
      </c>
      <c r="E43">
        <v>10</v>
      </c>
      <c r="F43" s="95">
        <f t="shared" si="15"/>
        <v>9.7087378640776691</v>
      </c>
      <c r="G43" s="19">
        <f t="shared" si="3"/>
        <v>9</v>
      </c>
      <c r="H43" s="19">
        <f t="shared" si="16"/>
        <v>0.70873786407766914</v>
      </c>
      <c r="I43" cm="1">
        <f t="array" ref="I43">INT(F43)+IF(100-SUM(INT(F$24:F$46))&gt;=RANK(H43,H$24:H$46)+COUNTIF(H$24:H43,H43)-1,1,0)</f>
        <v>9</v>
      </c>
      <c r="J43">
        <f t="shared" si="17"/>
        <v>39</v>
      </c>
      <c r="K43" t="b">
        <f t="shared" si="6"/>
        <v>0</v>
      </c>
      <c r="L43" t="str">
        <f t="shared" si="11"/>
        <v/>
      </c>
      <c r="M43">
        <v>6</v>
      </c>
      <c r="N43">
        <v>6</v>
      </c>
      <c r="O43" t="b">
        <f>_xlfn.XLOOKUP(C43, BugList!C:C, BugList!L:L,"")</f>
        <v>1</v>
      </c>
      <c r="P43" t="b">
        <f t="shared" si="12"/>
        <v>0</v>
      </c>
      <c r="Q43" t="b">
        <v>0</v>
      </c>
      <c r="T43">
        <f t="shared" si="13"/>
        <v>234</v>
      </c>
      <c r="U43">
        <f t="shared" si="14"/>
        <v>54</v>
      </c>
    </row>
    <row r="44" spans="1:21">
      <c r="A44" t="s">
        <v>2990</v>
      </c>
      <c r="B44" t="s">
        <v>194</v>
      </c>
      <c r="C44" t="s">
        <v>90</v>
      </c>
      <c r="D44" t="s">
        <v>220</v>
      </c>
      <c r="E44">
        <v>2</v>
      </c>
      <c r="F44" s="95">
        <f t="shared" si="15"/>
        <v>1.9417475728155338</v>
      </c>
      <c r="G44" s="19">
        <f t="shared" si="3"/>
        <v>1</v>
      </c>
      <c r="H44" s="19">
        <f t="shared" si="16"/>
        <v>0.94174757281553378</v>
      </c>
      <c r="I44" cm="1">
        <f t="array" ref="I44">INT(F44)+IF(100-SUM(INT(F$24:F$46))&gt;=RANK(H44,H$24:H$46)+COUNTIF(H$24:H44,H44)-1,1,0)</f>
        <v>2</v>
      </c>
      <c r="J44">
        <f t="shared" si="17"/>
        <v>39</v>
      </c>
      <c r="K44" t="b">
        <f t="shared" si="6"/>
        <v>0</v>
      </c>
      <c r="L44" t="str">
        <f t="shared" si="11"/>
        <v/>
      </c>
      <c r="M44">
        <v>6</v>
      </c>
      <c r="N44">
        <v>7</v>
      </c>
      <c r="O44" t="b">
        <f>_xlfn.XLOOKUP(C44, BugList!C:C, BugList!L:L,"")</f>
        <v>1</v>
      </c>
      <c r="P44" t="b">
        <f t="shared" si="12"/>
        <v>0</v>
      </c>
      <c r="Q44" t="b">
        <v>0</v>
      </c>
      <c r="T44">
        <f t="shared" si="13"/>
        <v>234</v>
      </c>
      <c r="U44">
        <f t="shared" si="14"/>
        <v>14</v>
      </c>
    </row>
    <row r="45" spans="1:21">
      <c r="A45" t="s">
        <v>2990</v>
      </c>
      <c r="B45" t="s">
        <v>194</v>
      </c>
      <c r="C45" t="s">
        <v>90</v>
      </c>
      <c r="D45" t="s">
        <v>218</v>
      </c>
      <c r="E45">
        <v>3</v>
      </c>
      <c r="F45" s="95">
        <f t="shared" si="15"/>
        <v>2.912621359223301</v>
      </c>
      <c r="G45" s="19">
        <f t="shared" si="3"/>
        <v>2</v>
      </c>
      <c r="H45" s="19">
        <f t="shared" si="16"/>
        <v>0.91262135922330101</v>
      </c>
      <c r="I45" cm="1">
        <f t="array" ref="I45">INT(F45)+IF(100-SUM(INT(F$24:F$46))&gt;=RANK(H45,H$24:H$46)+COUNTIF(H$24:H45,H45)-1,1,0)</f>
        <v>3</v>
      </c>
      <c r="J45">
        <f t="shared" si="17"/>
        <v>39</v>
      </c>
      <c r="K45" t="b">
        <f t="shared" si="6"/>
        <v>0</v>
      </c>
      <c r="L45" t="str">
        <f t="shared" si="11"/>
        <v/>
      </c>
      <c r="M45">
        <v>6</v>
      </c>
      <c r="N45">
        <v>6</v>
      </c>
      <c r="O45" t="b">
        <f>_xlfn.XLOOKUP(C45, BugList!C:C, BugList!L:L,"")</f>
        <v>1</v>
      </c>
      <c r="P45" t="b">
        <f t="shared" si="12"/>
        <v>0</v>
      </c>
      <c r="Q45" t="b">
        <v>0</v>
      </c>
      <c r="T45">
        <f t="shared" si="13"/>
        <v>234</v>
      </c>
      <c r="U45">
        <f t="shared" si="14"/>
        <v>18</v>
      </c>
    </row>
    <row r="46" spans="1:21">
      <c r="A46" t="s">
        <v>2990</v>
      </c>
      <c r="B46" t="s">
        <v>194</v>
      </c>
      <c r="C46" t="s">
        <v>90</v>
      </c>
      <c r="D46" t="s">
        <v>2293</v>
      </c>
      <c r="E46">
        <v>2</v>
      </c>
      <c r="F46" s="95">
        <f t="shared" si="15"/>
        <v>1.9417475728155338</v>
      </c>
      <c r="G46" s="19">
        <f t="shared" si="3"/>
        <v>1</v>
      </c>
      <c r="H46" s="19">
        <f t="shared" si="16"/>
        <v>0.94174757281553378</v>
      </c>
      <c r="I46" cm="1">
        <f t="array" ref="I46">INT(F46)+IF(100-SUM(INT(F$24:F$46))&gt;=RANK(H46,H$24:H$46)+COUNTIF(H$24:H46,H46)-1,1,0)</f>
        <v>2</v>
      </c>
      <c r="J46">
        <f t="shared" si="17"/>
        <v>39</v>
      </c>
      <c r="K46" t="b">
        <f t="shared" si="6"/>
        <v>0</v>
      </c>
      <c r="L46" t="str">
        <f t="shared" si="11"/>
        <v/>
      </c>
      <c r="M46">
        <v>6</v>
      </c>
      <c r="N46">
        <v>5</v>
      </c>
      <c r="O46" t="b">
        <f>_xlfn.XLOOKUP(C46, BugList!C:C, BugList!L:L,"")</f>
        <v>1</v>
      </c>
      <c r="P46" t="b">
        <f t="shared" si="12"/>
        <v>0</v>
      </c>
      <c r="Q46" t="b">
        <v>0</v>
      </c>
      <c r="T46">
        <f t="shared" si="13"/>
        <v>234</v>
      </c>
      <c r="U46">
        <f t="shared" si="14"/>
        <v>10</v>
      </c>
    </row>
    <row r="75" spans="1:17">
      <c r="A75" t="s">
        <v>2986</v>
      </c>
      <c r="B75" t="s">
        <v>2969</v>
      </c>
      <c r="C75" t="s">
        <v>2987</v>
      </c>
      <c r="D75" t="s">
        <v>643</v>
      </c>
      <c r="E75">
        <v>2</v>
      </c>
      <c r="F75" s="43">
        <f t="shared" ref="F75:F99" si="18">(E75/(SUMIFS(E:E,A:A,A75))*100)</f>
        <v>1.8518518518518516</v>
      </c>
      <c r="G75" s="44">
        <f t="shared" ref="G75:G99" si="19">INT(F75)</f>
        <v>1</v>
      </c>
      <c r="H75" s="44">
        <f t="shared" ref="H75:H99" si="20">F75-G75</f>
        <v>0.85185185185185164</v>
      </c>
      <c r="I75" cm="1">
        <f t="array" ref="I75">INT(F75)+IF(100-SUM(INT(F$75:F$99))&gt;=RANK(H75,H$75:H$99)+COUNTIF(H$75:H75,H75)-1,1,0)</f>
        <v>2</v>
      </c>
      <c r="J75">
        <f>I75</f>
        <v>2</v>
      </c>
      <c r="K75" t="b">
        <f t="shared" ref="K75:K99" si="21">IF(OR(B75="Ephemeroptera", B75 ="Plecoptera", B75= "Trichoptera"), TRUE, FALSE)</f>
        <v>0</v>
      </c>
      <c r="L75" t="str">
        <f t="shared" ref="L75:L99" si="22">IF(K75=TRUE,B75,"")</f>
        <v/>
      </c>
      <c r="M75">
        <v>10</v>
      </c>
      <c r="N75">
        <v>10</v>
      </c>
      <c r="O75" s="94" t="str">
        <f>_xlfn.XLOOKUP(C75, BugList!C:C, BugList!L:L,"")</f>
        <v/>
      </c>
      <c r="P75" t="b">
        <f t="shared" ref="P75:P99" si="23">IF(K75=TRUE,IF(C75="Hydropsychidae", IF(D75="Diplectrona",TRUE,FALSE),TRUE),FALSE)</f>
        <v>0</v>
      </c>
      <c r="Q75" t="b">
        <v>0</v>
      </c>
    </row>
    <row r="76" spans="1:17">
      <c r="A76" t="s">
        <v>2986</v>
      </c>
      <c r="B76" t="s">
        <v>2971</v>
      </c>
      <c r="C76" t="s">
        <v>166</v>
      </c>
      <c r="D76" t="s">
        <v>2336</v>
      </c>
      <c r="E76">
        <v>1</v>
      </c>
      <c r="F76" s="43">
        <f t="shared" si="18"/>
        <v>0.92592592592592582</v>
      </c>
      <c r="G76" s="44">
        <f t="shared" si="19"/>
        <v>0</v>
      </c>
      <c r="H76" s="44">
        <f t="shared" si="20"/>
        <v>0.92592592592592582</v>
      </c>
      <c r="I76" cm="1">
        <f t="array" ref="I76">INT(F76)+IF(100-SUM(INT(F$75:F$99))&gt;=RANK(H76,H$75:H$99)+COUNTIF(H$75:H76,H76)-1,1,0)</f>
        <v>1</v>
      </c>
      <c r="J76">
        <f t="shared" ref="J76:J80" si="24">I76</f>
        <v>1</v>
      </c>
      <c r="K76" t="b">
        <f t="shared" si="21"/>
        <v>0</v>
      </c>
      <c r="L76" t="str">
        <f t="shared" si="22"/>
        <v/>
      </c>
      <c r="M76">
        <v>6</v>
      </c>
      <c r="N76">
        <v>6</v>
      </c>
      <c r="O76" t="b">
        <f>_xlfn.XLOOKUP(C76, BugList!C:C, BugList!L:L,"")</f>
        <v>0</v>
      </c>
      <c r="P76" t="b">
        <f t="shared" si="23"/>
        <v>0</v>
      </c>
      <c r="Q76" t="b">
        <v>1</v>
      </c>
    </row>
    <row r="77" spans="1:17">
      <c r="A77" t="s">
        <v>2986</v>
      </c>
      <c r="B77" t="s">
        <v>2988</v>
      </c>
      <c r="C77" t="s">
        <v>92</v>
      </c>
      <c r="D77" t="s">
        <v>2436</v>
      </c>
      <c r="E77">
        <v>4</v>
      </c>
      <c r="F77" s="43">
        <f t="shared" si="18"/>
        <v>3.7037037037037033</v>
      </c>
      <c r="G77" s="44">
        <f t="shared" si="19"/>
        <v>3</v>
      </c>
      <c r="H77" s="44">
        <f t="shared" si="20"/>
        <v>0.70370370370370328</v>
      </c>
      <c r="I77" cm="1">
        <f t="array" ref="I77">INT(F77)+IF(100-SUM(INT(F$75:F$99))&gt;=RANK(H77,H$75:H$99)+COUNTIF(H$75:H77,H77)-1,1,0)</f>
        <v>4</v>
      </c>
      <c r="J77">
        <f t="shared" si="24"/>
        <v>4</v>
      </c>
      <c r="K77" t="b">
        <f t="shared" si="21"/>
        <v>0</v>
      </c>
      <c r="L77" t="str">
        <f t="shared" si="22"/>
        <v/>
      </c>
      <c r="M77">
        <v>6</v>
      </c>
      <c r="N77">
        <v>6</v>
      </c>
      <c r="O77" t="b">
        <f>_xlfn.XLOOKUP(C77, BugList!C:C, BugList!L:L,"")</f>
        <v>0</v>
      </c>
      <c r="P77" t="b">
        <f t="shared" si="23"/>
        <v>0</v>
      </c>
      <c r="Q77" t="b">
        <v>0</v>
      </c>
    </row>
    <row r="78" spans="1:17">
      <c r="A78" t="s">
        <v>2986</v>
      </c>
      <c r="B78" t="s">
        <v>201</v>
      </c>
      <c r="C78" t="s">
        <v>85</v>
      </c>
      <c r="D78" t="s">
        <v>374</v>
      </c>
      <c r="E78">
        <v>11</v>
      </c>
      <c r="F78" s="43">
        <f t="shared" si="18"/>
        <v>10.185185185185185</v>
      </c>
      <c r="G78" s="44">
        <f t="shared" si="19"/>
        <v>10</v>
      </c>
      <c r="H78" s="44">
        <f t="shared" si="20"/>
        <v>0.18518518518518512</v>
      </c>
      <c r="I78" cm="1">
        <f t="array" ref="I78">INT(F78)+IF(100-SUM(INT(F$75:F$99))&gt;=RANK(H78,H$75:H$99)+COUNTIF(H$75:H78,H78)-1,1,0)</f>
        <v>10</v>
      </c>
      <c r="J78">
        <f t="shared" si="24"/>
        <v>10</v>
      </c>
      <c r="K78" t="b">
        <f t="shared" si="21"/>
        <v>0</v>
      </c>
      <c r="L78" t="str">
        <f t="shared" si="22"/>
        <v/>
      </c>
      <c r="M78">
        <v>6</v>
      </c>
      <c r="N78">
        <v>6</v>
      </c>
      <c r="O78" t="b">
        <f>_xlfn.XLOOKUP(C78, BugList!C:C, BugList!L:L,"")</f>
        <v>0</v>
      </c>
      <c r="P78" t="b">
        <f t="shared" si="23"/>
        <v>0</v>
      </c>
      <c r="Q78" t="b">
        <v>0</v>
      </c>
    </row>
    <row r="79" spans="1:17">
      <c r="A79" t="s">
        <v>2986</v>
      </c>
      <c r="B79" t="s">
        <v>204</v>
      </c>
      <c r="C79" t="s">
        <v>84</v>
      </c>
      <c r="D79" t="s">
        <v>349</v>
      </c>
      <c r="E79">
        <v>1</v>
      </c>
      <c r="F79" s="43">
        <f t="shared" si="18"/>
        <v>0.92592592592592582</v>
      </c>
      <c r="G79" s="44">
        <f t="shared" si="19"/>
        <v>0</v>
      </c>
      <c r="H79" s="44">
        <f t="shared" si="20"/>
        <v>0.92592592592592582</v>
      </c>
      <c r="I79" cm="1">
        <f t="array" ref="I79">INT(F79)+IF(100-SUM(INT(F$75:F$99))&gt;=RANK(H79,H$75:H$99)+COUNTIF(H$75:H79,H79)-1,1,0)</f>
        <v>1</v>
      </c>
      <c r="J79">
        <f t="shared" si="24"/>
        <v>1</v>
      </c>
      <c r="K79" t="b">
        <f t="shared" si="21"/>
        <v>0</v>
      </c>
      <c r="L79" t="str">
        <f t="shared" si="22"/>
        <v/>
      </c>
      <c r="M79">
        <v>8</v>
      </c>
      <c r="N79">
        <v>8</v>
      </c>
      <c r="O79" t="b">
        <f>_xlfn.XLOOKUP(C79, BugList!C:C, BugList!L:L,"")</f>
        <v>0</v>
      </c>
      <c r="P79" t="b">
        <f t="shared" si="23"/>
        <v>0</v>
      </c>
      <c r="Q79" t="b">
        <v>0</v>
      </c>
    </row>
    <row r="80" spans="1:17">
      <c r="A80" t="s">
        <v>2986</v>
      </c>
      <c r="B80" t="s">
        <v>199</v>
      </c>
      <c r="C80" t="s">
        <v>154</v>
      </c>
      <c r="D80" t="s">
        <v>863</v>
      </c>
      <c r="E80">
        <v>35</v>
      </c>
      <c r="F80" s="43">
        <f t="shared" si="18"/>
        <v>32.407407407407405</v>
      </c>
      <c r="G80" s="44">
        <f t="shared" si="19"/>
        <v>32</v>
      </c>
      <c r="H80" s="44">
        <f t="shared" si="20"/>
        <v>0.40740740740740478</v>
      </c>
      <c r="I80" cm="1">
        <f t="array" ref="I80">INT(F80)+IF(100-SUM(INT(F$75:F$99))&gt;=RANK(H80,H$75:H$99)+COUNTIF(H$75:H80,H80)-1,1,0)</f>
        <v>32</v>
      </c>
      <c r="J80">
        <f t="shared" si="24"/>
        <v>32</v>
      </c>
      <c r="K80" t="b">
        <f t="shared" si="21"/>
        <v>1</v>
      </c>
      <c r="L80" t="str">
        <f t="shared" si="22"/>
        <v>Ephemeroptera</v>
      </c>
      <c r="M80">
        <v>6</v>
      </c>
      <c r="N80">
        <v>6</v>
      </c>
      <c r="O80" t="b">
        <f>_xlfn.XLOOKUP(C80, BugList!C:C, BugList!L:L,"")</f>
        <v>1</v>
      </c>
      <c r="P80" t="b">
        <f t="shared" si="23"/>
        <v>1</v>
      </c>
      <c r="Q80" t="b">
        <v>0</v>
      </c>
    </row>
    <row r="81" spans="1:19">
      <c r="A81" t="s">
        <v>2986</v>
      </c>
      <c r="B81" t="s">
        <v>199</v>
      </c>
      <c r="C81" t="s">
        <v>111</v>
      </c>
      <c r="D81" t="s">
        <v>2599</v>
      </c>
      <c r="E81">
        <v>3</v>
      </c>
      <c r="F81" s="43">
        <f t="shared" si="18"/>
        <v>2.7777777777777777</v>
      </c>
      <c r="G81" s="44">
        <f t="shared" si="19"/>
        <v>2</v>
      </c>
      <c r="H81" s="44">
        <f t="shared" si="20"/>
        <v>0.77777777777777768</v>
      </c>
      <c r="I81" cm="1">
        <f t="array" ref="I81">INT(F81)+IF(100-SUM(INT(F$75:F$99))&gt;=RANK(H81,H$75:H$99)+COUNTIF(H$75:H81,H81)-1,1,0)</f>
        <v>3</v>
      </c>
      <c r="J81">
        <f>I81+I82</f>
        <v>9</v>
      </c>
      <c r="K81" t="b">
        <f t="shared" si="21"/>
        <v>1</v>
      </c>
      <c r="L81" t="str">
        <f t="shared" si="22"/>
        <v>Ephemeroptera</v>
      </c>
      <c r="M81">
        <v>3</v>
      </c>
      <c r="N81">
        <v>3</v>
      </c>
      <c r="O81" t="b">
        <f>_xlfn.XLOOKUP(C81, BugList!C:C, BugList!L:L,"")</f>
        <v>1</v>
      </c>
      <c r="P81" t="b">
        <f t="shared" si="23"/>
        <v>1</v>
      </c>
      <c r="Q81" t="b">
        <v>1</v>
      </c>
      <c r="S81">
        <v>3</v>
      </c>
    </row>
    <row r="82" spans="1:19">
      <c r="A82" t="s">
        <v>2986</v>
      </c>
      <c r="B82" t="s">
        <v>199</v>
      </c>
      <c r="C82" t="s">
        <v>111</v>
      </c>
      <c r="D82" t="s">
        <v>989</v>
      </c>
      <c r="E82">
        <v>7</v>
      </c>
      <c r="F82" s="43">
        <f t="shared" si="18"/>
        <v>6.481481481481481</v>
      </c>
      <c r="G82" s="44">
        <f t="shared" si="19"/>
        <v>6</v>
      </c>
      <c r="H82" s="44">
        <f t="shared" si="20"/>
        <v>0.48148148148148096</v>
      </c>
      <c r="I82" cm="1">
        <f t="array" ref="I82">INT(F82)+IF(100-SUM(INT(F$75:F$99))&gt;=RANK(H82,H$75:H$99)+COUNTIF(H$75:H82,H82)-1,1,0)</f>
        <v>6</v>
      </c>
      <c r="K82" t="b">
        <f t="shared" si="21"/>
        <v>1</v>
      </c>
      <c r="L82" t="str">
        <f t="shared" si="22"/>
        <v>Ephemeroptera</v>
      </c>
      <c r="M82">
        <v>3</v>
      </c>
      <c r="N82">
        <v>7</v>
      </c>
      <c r="O82" t="b">
        <f>_xlfn.XLOOKUP(C82, BugList!C:C, BugList!L:L,"")</f>
        <v>1</v>
      </c>
      <c r="P82" t="b">
        <f t="shared" si="23"/>
        <v>1</v>
      </c>
      <c r="Q82" t="b">
        <v>1</v>
      </c>
    </row>
    <row r="83" spans="1:19">
      <c r="A83" t="s">
        <v>2986</v>
      </c>
      <c r="B83" t="s">
        <v>195</v>
      </c>
      <c r="C83" t="s">
        <v>97</v>
      </c>
      <c r="D83" t="s">
        <v>1070</v>
      </c>
      <c r="E83">
        <v>1</v>
      </c>
      <c r="F83" s="43">
        <f t="shared" si="18"/>
        <v>0.92592592592592582</v>
      </c>
      <c r="G83" s="44">
        <f t="shared" si="19"/>
        <v>0</v>
      </c>
      <c r="H83" s="44">
        <f t="shared" si="20"/>
        <v>0.92592592592592582</v>
      </c>
      <c r="I83" cm="1">
        <f t="array" ref="I83">INT(F83)+IF(100-SUM(INT(F$75:F$99))&gt;=RANK(H83,H$75:H$99)+COUNTIF(H$75:H83,H83)-1,1,0)</f>
        <v>1</v>
      </c>
      <c r="J83">
        <f>I83</f>
        <v>1</v>
      </c>
      <c r="K83" t="b">
        <f t="shared" si="21"/>
        <v>0</v>
      </c>
      <c r="L83" t="str">
        <f t="shared" si="22"/>
        <v/>
      </c>
      <c r="M83">
        <v>8</v>
      </c>
      <c r="N83">
        <v>8</v>
      </c>
      <c r="O83" t="b">
        <f>_xlfn.XLOOKUP(C83, BugList!C:C, BugList!L:L,"")</f>
        <v>1</v>
      </c>
      <c r="P83" t="b">
        <f t="shared" si="23"/>
        <v>0</v>
      </c>
      <c r="Q83" t="b">
        <v>0</v>
      </c>
    </row>
    <row r="84" spans="1:19">
      <c r="A84" t="s">
        <v>2986</v>
      </c>
      <c r="B84" t="s">
        <v>198</v>
      </c>
      <c r="C84" t="s">
        <v>107</v>
      </c>
      <c r="D84" t="s">
        <v>1312</v>
      </c>
      <c r="E84">
        <v>1</v>
      </c>
      <c r="F84" s="43">
        <f t="shared" si="18"/>
        <v>0.92592592592592582</v>
      </c>
      <c r="G84" s="44">
        <f t="shared" si="19"/>
        <v>0</v>
      </c>
      <c r="H84" s="44">
        <f t="shared" si="20"/>
        <v>0.92592592592592582</v>
      </c>
      <c r="I84" cm="1">
        <f t="array" ref="I84">INT(F84)+IF(100-SUM(INT(F$75:F$99))&gt;=RANK(H84,H$75:H$99)+COUNTIF(H$75:H84,H84)-1,1,0)</f>
        <v>1</v>
      </c>
      <c r="J84">
        <f>I84</f>
        <v>1</v>
      </c>
      <c r="K84" t="b">
        <f t="shared" si="21"/>
        <v>1</v>
      </c>
      <c r="L84" t="str">
        <f t="shared" si="22"/>
        <v>Trichoptera</v>
      </c>
      <c r="M84">
        <v>4</v>
      </c>
      <c r="N84">
        <v>4</v>
      </c>
      <c r="O84" t="b">
        <f>_xlfn.XLOOKUP(C84, BugList!C:C, BugList!L:L,"")</f>
        <v>1</v>
      </c>
      <c r="P84" t="b">
        <f t="shared" si="23"/>
        <v>1</v>
      </c>
      <c r="Q84" t="b">
        <v>1</v>
      </c>
    </row>
    <row r="85" spans="1:19">
      <c r="A85" t="s">
        <v>2986</v>
      </c>
      <c r="B85" t="s">
        <v>200</v>
      </c>
      <c r="C85" t="s">
        <v>98</v>
      </c>
      <c r="D85" t="s">
        <v>1545</v>
      </c>
      <c r="E85">
        <v>2</v>
      </c>
      <c r="F85" s="43">
        <f t="shared" si="18"/>
        <v>1.8518518518518516</v>
      </c>
      <c r="G85" s="44">
        <f t="shared" si="19"/>
        <v>1</v>
      </c>
      <c r="H85" s="44">
        <f t="shared" si="20"/>
        <v>0.85185185185185164</v>
      </c>
      <c r="I85" cm="1">
        <f t="array" ref="I85">INT(F85)+IF(100-SUM(INT(F$75:F$99))&gt;=RANK(H85,H$75:H$99)+COUNTIF(H$75:H85,H85)-1,1,0)</f>
        <v>2</v>
      </c>
      <c r="J85">
        <f>I85+I86+I87</f>
        <v>6</v>
      </c>
      <c r="K85" t="b">
        <f t="shared" si="21"/>
        <v>0</v>
      </c>
      <c r="L85" t="str">
        <f t="shared" si="22"/>
        <v/>
      </c>
      <c r="M85">
        <v>5</v>
      </c>
      <c r="N85">
        <v>6</v>
      </c>
      <c r="O85" t="b">
        <f>_xlfn.XLOOKUP(C85, BugList!C:C, BugList!L:L,"")</f>
        <v>1</v>
      </c>
      <c r="P85" t="b">
        <f t="shared" si="23"/>
        <v>0</v>
      </c>
      <c r="Q85" t="b">
        <v>1</v>
      </c>
    </row>
    <row r="86" spans="1:19">
      <c r="A86" t="s">
        <v>2986</v>
      </c>
      <c r="B86" t="s">
        <v>200</v>
      </c>
      <c r="C86" t="s">
        <v>98</v>
      </c>
      <c r="D86" t="s">
        <v>1604</v>
      </c>
      <c r="E86">
        <v>1</v>
      </c>
      <c r="F86" s="43">
        <f t="shared" si="18"/>
        <v>0.92592592592592582</v>
      </c>
      <c r="G86" s="44">
        <f t="shared" si="19"/>
        <v>0</v>
      </c>
      <c r="H86" s="44">
        <f t="shared" si="20"/>
        <v>0.92592592592592582</v>
      </c>
      <c r="I86" cm="1">
        <f t="array" ref="I86">INT(F86)+IF(100-SUM(INT(F$75:F$99))&gt;=RANK(H86,H$75:H$99)+COUNTIF(H$75:H86,H86)-1,1,0)</f>
        <v>1</v>
      </c>
      <c r="K86" t="b">
        <f t="shared" si="21"/>
        <v>0</v>
      </c>
      <c r="L86" t="str">
        <f t="shared" si="22"/>
        <v/>
      </c>
      <c r="M86">
        <v>5</v>
      </c>
      <c r="N86">
        <v>3</v>
      </c>
      <c r="O86" t="b">
        <f>_xlfn.XLOOKUP(C86, BugList!C:C, BugList!L:L,"")</f>
        <v>1</v>
      </c>
      <c r="P86" t="b">
        <f t="shared" si="23"/>
        <v>0</v>
      </c>
      <c r="Q86" t="b">
        <v>1</v>
      </c>
    </row>
    <row r="87" spans="1:19">
      <c r="A87" t="s">
        <v>2986</v>
      </c>
      <c r="B87" t="s">
        <v>200</v>
      </c>
      <c r="C87" t="s">
        <v>98</v>
      </c>
      <c r="D87" t="s">
        <v>1609</v>
      </c>
      <c r="E87">
        <v>3</v>
      </c>
      <c r="F87" s="43">
        <f t="shared" si="18"/>
        <v>2.7777777777777777</v>
      </c>
      <c r="G87" s="44">
        <f t="shared" si="19"/>
        <v>2</v>
      </c>
      <c r="H87" s="44">
        <f t="shared" si="20"/>
        <v>0.77777777777777768</v>
      </c>
      <c r="I87" cm="1">
        <f t="array" ref="I87">INT(F87)+IF(100-SUM(INT(F$75:F$99))&gt;=RANK(H87,H$75:H$99)+COUNTIF(H$75:H87,H87)-1,1,0)</f>
        <v>3</v>
      </c>
      <c r="K87" t="b">
        <f t="shared" si="21"/>
        <v>0</v>
      </c>
      <c r="L87" t="str">
        <f t="shared" si="22"/>
        <v/>
      </c>
      <c r="M87">
        <v>5</v>
      </c>
      <c r="N87">
        <v>4</v>
      </c>
      <c r="O87" t="b">
        <f>_xlfn.XLOOKUP(C87, BugList!C:C, BugList!L:L,"")</f>
        <v>1</v>
      </c>
      <c r="P87" t="b">
        <f t="shared" si="23"/>
        <v>0</v>
      </c>
      <c r="Q87" t="b">
        <v>0</v>
      </c>
    </row>
    <row r="88" spans="1:19">
      <c r="A88" t="s">
        <v>2986</v>
      </c>
      <c r="B88" t="s">
        <v>200</v>
      </c>
      <c r="C88" t="s">
        <v>98</v>
      </c>
      <c r="D88" t="s">
        <v>1641</v>
      </c>
      <c r="E88">
        <v>7</v>
      </c>
      <c r="F88" s="43">
        <f t="shared" si="18"/>
        <v>6.481481481481481</v>
      </c>
      <c r="G88" s="44">
        <f t="shared" si="19"/>
        <v>6</v>
      </c>
      <c r="H88" s="44">
        <f t="shared" si="20"/>
        <v>0.48148148148148096</v>
      </c>
      <c r="I88" cm="1">
        <f t="array" ref="I88">INT(F88)+IF(100-SUM(INT(F$75:F$99))&gt;=RANK(H88,H$75:H$99)+COUNTIF(H$75:H88,H88)-1,1,0)</f>
        <v>6</v>
      </c>
      <c r="K88" t="b">
        <f t="shared" si="21"/>
        <v>0</v>
      </c>
      <c r="L88" t="str">
        <f t="shared" si="22"/>
        <v/>
      </c>
      <c r="M88">
        <v>5</v>
      </c>
      <c r="N88">
        <v>5</v>
      </c>
      <c r="O88" t="b">
        <f>_xlfn.XLOOKUP(C88, BugList!C:C, BugList!L:L,"")</f>
        <v>1</v>
      </c>
      <c r="P88" t="b">
        <f t="shared" si="23"/>
        <v>0</v>
      </c>
      <c r="Q88" t="b">
        <v>0</v>
      </c>
    </row>
    <row r="89" spans="1:19">
      <c r="A89" t="s">
        <v>2986</v>
      </c>
      <c r="B89" t="s">
        <v>200</v>
      </c>
      <c r="C89" t="s">
        <v>99</v>
      </c>
      <c r="D89" t="s">
        <v>1516</v>
      </c>
      <c r="E89">
        <v>2</v>
      </c>
      <c r="F89" s="43">
        <f t="shared" si="18"/>
        <v>1.8518518518518516</v>
      </c>
      <c r="G89" s="44">
        <f t="shared" si="19"/>
        <v>1</v>
      </c>
      <c r="H89" s="44">
        <f t="shared" si="20"/>
        <v>0.85185185185185164</v>
      </c>
      <c r="I89" cm="1">
        <f t="array" ref="I89">INT(F89)+IF(100-SUM(INT(F$75:F$99))&gt;=RANK(H89,H$75:H$99)+COUNTIF(H$75:H89,H89)-1,1,0)</f>
        <v>2</v>
      </c>
      <c r="J89">
        <f>I89</f>
        <v>2</v>
      </c>
      <c r="K89" t="b">
        <f t="shared" si="21"/>
        <v>0</v>
      </c>
      <c r="L89" t="str">
        <f t="shared" si="22"/>
        <v/>
      </c>
      <c r="M89">
        <v>5</v>
      </c>
      <c r="N89">
        <v>5</v>
      </c>
      <c r="O89" t="b">
        <f>_xlfn.XLOOKUP(C89, BugList!C:C, BugList!L:L,"")</f>
        <v>1</v>
      </c>
      <c r="P89" t="b">
        <f t="shared" si="23"/>
        <v>0</v>
      </c>
      <c r="Q89" t="b">
        <v>0</v>
      </c>
    </row>
    <row r="90" spans="1:19">
      <c r="A90" t="s">
        <v>2986</v>
      </c>
      <c r="B90" t="s">
        <v>200</v>
      </c>
      <c r="C90" t="s">
        <v>100</v>
      </c>
      <c r="D90" t="s">
        <v>1552</v>
      </c>
      <c r="E90">
        <v>1</v>
      </c>
      <c r="F90" s="43">
        <f t="shared" si="18"/>
        <v>0.92592592592592582</v>
      </c>
      <c r="G90" s="44">
        <f t="shared" si="19"/>
        <v>0</v>
      </c>
      <c r="H90" s="44">
        <f t="shared" si="20"/>
        <v>0.92592592592592582</v>
      </c>
      <c r="I90" cm="1">
        <f t="array" ref="I90">INT(F90)+IF(100-SUM(INT(F$75:F$99))&gt;=RANK(H90,H$75:H$99)+COUNTIF(H$75:H90,H90)-1,1,0)</f>
        <v>1</v>
      </c>
      <c r="J90">
        <f>I90+I91</f>
        <v>6</v>
      </c>
      <c r="K90" t="b">
        <f t="shared" si="21"/>
        <v>0</v>
      </c>
      <c r="L90" t="str">
        <f t="shared" si="22"/>
        <v/>
      </c>
      <c r="M90">
        <v>4</v>
      </c>
      <c r="N90">
        <v>5</v>
      </c>
      <c r="O90" t="b">
        <f>_xlfn.XLOOKUP(C90, BugList!C:C, BugList!L:L,"")</f>
        <v>1</v>
      </c>
      <c r="P90" t="b">
        <f t="shared" si="23"/>
        <v>0</v>
      </c>
      <c r="Q90" t="b">
        <v>1</v>
      </c>
    </row>
    <row r="91" spans="1:19">
      <c r="A91" t="s">
        <v>2986</v>
      </c>
      <c r="B91" t="s">
        <v>200</v>
      </c>
      <c r="C91" t="s">
        <v>100</v>
      </c>
      <c r="D91" t="s">
        <v>1635</v>
      </c>
      <c r="E91">
        <v>6</v>
      </c>
      <c r="F91" s="43">
        <f t="shared" si="18"/>
        <v>5.5555555555555554</v>
      </c>
      <c r="G91" s="44">
        <f t="shared" si="19"/>
        <v>5</v>
      </c>
      <c r="H91" s="44">
        <f t="shared" si="20"/>
        <v>0.55555555555555536</v>
      </c>
      <c r="I91" cm="1">
        <f t="array" ref="I91">INT(F91)+IF(100-SUM(INT(F$75:F$99))&gt;=RANK(H91,H$75:H$99)+COUNTIF(H$75:H91,H91)-1,1,0)</f>
        <v>5</v>
      </c>
      <c r="K91" t="b">
        <f t="shared" si="21"/>
        <v>0</v>
      </c>
      <c r="L91" t="str">
        <f t="shared" si="22"/>
        <v/>
      </c>
      <c r="M91">
        <v>4</v>
      </c>
      <c r="N91">
        <v>4</v>
      </c>
      <c r="O91" t="b">
        <f>_xlfn.XLOOKUP(C91, BugList!C:C, BugList!L:L,"")</f>
        <v>1</v>
      </c>
      <c r="P91" t="b">
        <f t="shared" si="23"/>
        <v>0</v>
      </c>
      <c r="Q91" t="b">
        <v>1</v>
      </c>
    </row>
    <row r="92" spans="1:19">
      <c r="A92" t="s">
        <v>2986</v>
      </c>
      <c r="B92" t="s">
        <v>194</v>
      </c>
      <c r="C92" t="s">
        <v>90</v>
      </c>
      <c r="D92" t="s">
        <v>1876</v>
      </c>
      <c r="E92">
        <v>2</v>
      </c>
      <c r="F92" s="43">
        <f t="shared" si="18"/>
        <v>1.8518518518518516</v>
      </c>
      <c r="G92" s="44">
        <f t="shared" si="19"/>
        <v>1</v>
      </c>
      <c r="H92" s="44">
        <f t="shared" si="20"/>
        <v>0.85185185185185164</v>
      </c>
      <c r="I92" cm="1">
        <f t="array" ref="I92">INT(F92)+IF(100-SUM(INT(F$75:F$99))&gt;=RANK(H92,H$75:H$99)+COUNTIF(H$75:H92,H92)-1,1,0)</f>
        <v>2</v>
      </c>
      <c r="J92">
        <f>SUM(I92:I99)</f>
        <v>19</v>
      </c>
      <c r="K92" t="b">
        <f t="shared" si="21"/>
        <v>0</v>
      </c>
      <c r="L92" t="str">
        <f t="shared" si="22"/>
        <v/>
      </c>
      <c r="M92">
        <v>6</v>
      </c>
      <c r="N92">
        <v>8</v>
      </c>
      <c r="O92" t="b">
        <f>_xlfn.XLOOKUP(C92, BugList!C:C, BugList!L:L,"")</f>
        <v>1</v>
      </c>
      <c r="P92" t="b">
        <f t="shared" si="23"/>
        <v>0</v>
      </c>
      <c r="Q92" t="b">
        <v>0</v>
      </c>
    </row>
    <row r="93" spans="1:19">
      <c r="A93" t="s">
        <v>2986</v>
      </c>
      <c r="B93" t="s">
        <v>194</v>
      </c>
      <c r="C93" t="s">
        <v>90</v>
      </c>
      <c r="D93" t="s">
        <v>2008</v>
      </c>
      <c r="E93">
        <v>1</v>
      </c>
      <c r="F93" s="43">
        <f t="shared" si="18"/>
        <v>0.92592592592592582</v>
      </c>
      <c r="G93" s="44">
        <f t="shared" si="19"/>
        <v>0</v>
      </c>
      <c r="H93" s="44">
        <f t="shared" si="20"/>
        <v>0.92592592592592582</v>
      </c>
      <c r="I93" cm="1">
        <f t="array" ref="I93">INT(F93)+IF(100-SUM(INT(F$75:F$99))&gt;=RANK(H93,H$75:H$99)+COUNTIF(H$75:H93,H93)-1,1,0)</f>
        <v>1</v>
      </c>
      <c r="K93" t="b">
        <f t="shared" si="21"/>
        <v>0</v>
      </c>
      <c r="L93" t="str">
        <f t="shared" si="22"/>
        <v/>
      </c>
      <c r="M93">
        <v>6</v>
      </c>
      <c r="N93">
        <v>5</v>
      </c>
      <c r="O93" t="b">
        <f>_xlfn.XLOOKUP(C93, BugList!C:C, BugList!L:L,"")</f>
        <v>1</v>
      </c>
      <c r="P93" t="b">
        <f t="shared" si="23"/>
        <v>0</v>
      </c>
      <c r="Q93" t="b">
        <v>0</v>
      </c>
    </row>
    <row r="94" spans="1:19">
      <c r="A94" t="s">
        <v>2986</v>
      </c>
      <c r="B94" t="s">
        <v>194</v>
      </c>
      <c r="C94" t="s">
        <v>90</v>
      </c>
      <c r="D94" t="s">
        <v>2989</v>
      </c>
      <c r="E94">
        <v>10</v>
      </c>
      <c r="F94" s="43">
        <f t="shared" si="18"/>
        <v>9.2592592592592595</v>
      </c>
      <c r="G94" s="44">
        <f t="shared" si="19"/>
        <v>9</v>
      </c>
      <c r="H94" s="44">
        <f t="shared" si="20"/>
        <v>0.25925925925925952</v>
      </c>
      <c r="I94" cm="1">
        <f t="array" ref="I94">INT(F94)+IF(100-SUM(INT(F$75:F$99))&gt;=RANK(H94,H$75:H$99)+COUNTIF(H$75:H94,H94)-1,1,0)</f>
        <v>9</v>
      </c>
      <c r="K94" t="b">
        <f t="shared" si="21"/>
        <v>0</v>
      </c>
      <c r="L94" t="str">
        <f t="shared" si="22"/>
        <v/>
      </c>
      <c r="M94">
        <v>6</v>
      </c>
      <c r="N94">
        <v>6</v>
      </c>
      <c r="O94" t="b">
        <f>_xlfn.XLOOKUP(C94, BugList!C:C, BugList!L:L,"")</f>
        <v>1</v>
      </c>
      <c r="P94" t="b">
        <f t="shared" si="23"/>
        <v>0</v>
      </c>
      <c r="Q94" t="b">
        <v>0</v>
      </c>
    </row>
    <row r="95" spans="1:19">
      <c r="A95" t="s">
        <v>2986</v>
      </c>
      <c r="B95" t="s">
        <v>194</v>
      </c>
      <c r="C95" t="s">
        <v>90</v>
      </c>
      <c r="D95" t="s">
        <v>2108</v>
      </c>
      <c r="E95">
        <v>1</v>
      </c>
      <c r="F95" s="43">
        <f t="shared" si="18"/>
        <v>0.92592592592592582</v>
      </c>
      <c r="G95" s="44">
        <f t="shared" si="19"/>
        <v>0</v>
      </c>
      <c r="H95" s="44">
        <f t="shared" si="20"/>
        <v>0.92592592592592582</v>
      </c>
      <c r="I95" cm="1">
        <f t="array" ref="I95">INT(F95)+IF(100-SUM(INT(F$75:F$99))&gt;=RANK(H95,H$75:H$99)+COUNTIF(H$75:H95,H95)-1,1,0)</f>
        <v>1</v>
      </c>
      <c r="K95" t="b">
        <f t="shared" si="21"/>
        <v>0</v>
      </c>
      <c r="L95" t="str">
        <f t="shared" si="22"/>
        <v/>
      </c>
      <c r="M95">
        <v>6</v>
      </c>
      <c r="N95">
        <v>6</v>
      </c>
      <c r="O95" t="b">
        <f>_xlfn.XLOOKUP(C95, BugList!C:C, BugList!L:L,"")</f>
        <v>1</v>
      </c>
      <c r="P95" t="b">
        <f t="shared" si="23"/>
        <v>0</v>
      </c>
      <c r="Q95" t="b">
        <v>0</v>
      </c>
    </row>
    <row r="96" spans="1:19">
      <c r="A96" t="s">
        <v>2986</v>
      </c>
      <c r="B96" t="s">
        <v>194</v>
      </c>
      <c r="C96" t="s">
        <v>90</v>
      </c>
      <c r="D96" t="s">
        <v>2131</v>
      </c>
      <c r="E96">
        <v>2</v>
      </c>
      <c r="F96" s="43">
        <f t="shared" si="18"/>
        <v>1.8518518518518516</v>
      </c>
      <c r="G96" s="44">
        <f t="shared" si="19"/>
        <v>1</v>
      </c>
      <c r="H96" s="44">
        <f t="shared" si="20"/>
        <v>0.85185185185185164</v>
      </c>
      <c r="I96" cm="1">
        <f t="array" ref="I96">INT(F96)+IF(100-SUM(INT(F$75:F$99))&gt;=RANK(H96,H$75:H$99)+COUNTIF(H$75:H96,H96)-1,1,0)</f>
        <v>2</v>
      </c>
      <c r="K96" t="b">
        <f t="shared" si="21"/>
        <v>0</v>
      </c>
      <c r="L96" t="str">
        <f t="shared" si="22"/>
        <v/>
      </c>
      <c r="M96">
        <v>6</v>
      </c>
      <c r="N96">
        <v>9</v>
      </c>
      <c r="O96" t="b">
        <f>_xlfn.XLOOKUP(C96, BugList!C:C, BugList!L:L,"")</f>
        <v>1</v>
      </c>
      <c r="P96" t="b">
        <f t="shared" si="23"/>
        <v>0</v>
      </c>
      <c r="Q96" t="b">
        <v>0</v>
      </c>
    </row>
    <row r="97" spans="1:17">
      <c r="A97" t="s">
        <v>2986</v>
      </c>
      <c r="B97" t="s">
        <v>194</v>
      </c>
      <c r="C97" t="s">
        <v>90</v>
      </c>
      <c r="D97" t="s">
        <v>2220</v>
      </c>
      <c r="E97">
        <v>1</v>
      </c>
      <c r="F97" s="43">
        <f t="shared" si="18"/>
        <v>0.92592592592592582</v>
      </c>
      <c r="G97" s="44">
        <f t="shared" si="19"/>
        <v>0</v>
      </c>
      <c r="H97" s="44">
        <f t="shared" si="20"/>
        <v>0.92592592592592582</v>
      </c>
      <c r="I97" cm="1">
        <f t="array" ref="I97">INT(F97)+IF(100-SUM(INT(F$75:F$99))&gt;=RANK(H97,H$75:H$99)+COUNTIF(H$75:H97,H97)-1,1,0)</f>
        <v>1</v>
      </c>
      <c r="K97" t="b">
        <f t="shared" si="21"/>
        <v>0</v>
      </c>
      <c r="L97" t="str">
        <f t="shared" si="22"/>
        <v/>
      </c>
      <c r="M97">
        <v>6</v>
      </c>
      <c r="N97">
        <v>9</v>
      </c>
      <c r="O97" t="b">
        <f>_xlfn.XLOOKUP(C97, BugList!C:C, BugList!L:L,"")</f>
        <v>1</v>
      </c>
      <c r="P97" t="b">
        <f t="shared" si="23"/>
        <v>0</v>
      </c>
      <c r="Q97" t="b">
        <v>0</v>
      </c>
    </row>
    <row r="98" spans="1:17">
      <c r="A98" t="s">
        <v>2986</v>
      </c>
      <c r="B98" t="s">
        <v>194</v>
      </c>
      <c r="C98" t="s">
        <v>90</v>
      </c>
      <c r="D98" t="s">
        <v>220</v>
      </c>
      <c r="E98">
        <v>1</v>
      </c>
      <c r="F98" s="43">
        <f t="shared" si="18"/>
        <v>0.92592592592592582</v>
      </c>
      <c r="G98" s="44">
        <f t="shared" si="19"/>
        <v>0</v>
      </c>
      <c r="H98" s="44">
        <f t="shared" si="20"/>
        <v>0.92592592592592582</v>
      </c>
      <c r="I98" cm="1">
        <f t="array" ref="I98">INT(F98)+IF(100-SUM(INT(F$75:F$99))&gt;=RANK(H98,H$75:H$99)+COUNTIF(H$75:H98,H98)-1,1,0)</f>
        <v>1</v>
      </c>
      <c r="K98" t="b">
        <f t="shared" si="21"/>
        <v>0</v>
      </c>
      <c r="L98" t="str">
        <f t="shared" si="22"/>
        <v/>
      </c>
      <c r="M98">
        <v>6</v>
      </c>
      <c r="N98">
        <v>7</v>
      </c>
      <c r="O98" t="b">
        <f>_xlfn.XLOOKUP(C98, BugList!C:C, BugList!L:L,"")</f>
        <v>1</v>
      </c>
      <c r="P98" t="b">
        <f t="shared" si="23"/>
        <v>0</v>
      </c>
      <c r="Q98" t="b">
        <v>0</v>
      </c>
    </row>
    <row r="99" spans="1:17">
      <c r="A99" t="s">
        <v>2986</v>
      </c>
      <c r="B99" t="s">
        <v>194</v>
      </c>
      <c r="C99" t="s">
        <v>90</v>
      </c>
      <c r="D99" t="s">
        <v>218</v>
      </c>
      <c r="E99">
        <v>2</v>
      </c>
      <c r="F99" s="43">
        <f t="shared" si="18"/>
        <v>1.8518518518518516</v>
      </c>
      <c r="G99" s="44">
        <f t="shared" si="19"/>
        <v>1</v>
      </c>
      <c r="H99" s="44">
        <f t="shared" si="20"/>
        <v>0.85185185185185164</v>
      </c>
      <c r="I99" cm="1">
        <f t="array" ref="I99">INT(F99)+IF(100-SUM(INT(F$75:F$99))&gt;=RANK(H99,H$75:H$99)+COUNTIF(H$75:H99,H99)-1,1,0)</f>
        <v>2</v>
      </c>
      <c r="K99" t="b">
        <f t="shared" si="21"/>
        <v>0</v>
      </c>
      <c r="L99" t="str">
        <f t="shared" si="22"/>
        <v/>
      </c>
      <c r="M99">
        <v>6</v>
      </c>
      <c r="N99">
        <v>6</v>
      </c>
      <c r="O99" t="b">
        <f>_xlfn.XLOOKUP(C99, BugList!C:C, BugList!L:L,"")</f>
        <v>1</v>
      </c>
      <c r="P99" t="b">
        <f t="shared" si="23"/>
        <v>0</v>
      </c>
      <c r="Q99" t="b">
        <v>0</v>
      </c>
    </row>
  </sheetData>
  <phoneticPr fontId="2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09E78-4A5C-450A-B815-6346CDD43E7F}">
  <dimension ref="A1:U1308"/>
  <sheetViews>
    <sheetView zoomScale="90" zoomScaleNormal="110" workbookViewId="0">
      <pane xSplit="2" ySplit="1" topLeftCell="C464" activePane="bottomRight" state="frozen"/>
      <selection pane="topRight"/>
      <selection pane="bottomLeft"/>
      <selection pane="bottomRight" activeCell="T487" sqref="T487:U490"/>
    </sheetView>
  </sheetViews>
  <sheetFormatPr baseColWidth="10" defaultColWidth="8.83203125" defaultRowHeight="15"/>
  <cols>
    <col min="1" max="1" width="18.83203125" style="64" customWidth="1"/>
    <col min="2" max="2" width="10" customWidth="1"/>
    <col min="3" max="3" width="14.5" customWidth="1"/>
    <col min="4" max="4" width="22.83203125" style="64" customWidth="1"/>
    <col min="5" max="5" width="24.5" style="64" customWidth="1"/>
    <col min="6" max="6" width="12.6640625" customWidth="1"/>
    <col min="7" max="7" width="10.6640625" customWidth="1"/>
    <col min="8" max="8" width="12.33203125" customWidth="1"/>
    <col min="9" max="9" width="10.5" bestFit="1" customWidth="1"/>
    <col min="10" max="10" width="12.83203125" bestFit="1" customWidth="1"/>
    <col min="11" max="11" width="13.83203125" customWidth="1"/>
    <col min="12" max="12" width="13.6640625" customWidth="1"/>
    <col min="13" max="13" width="14.5" customWidth="1"/>
    <col min="15" max="15" width="12.6640625" customWidth="1"/>
    <col min="16" max="16" width="11" bestFit="1" customWidth="1"/>
    <col min="17" max="17" width="13.5" customWidth="1"/>
    <col min="18" max="18" width="12.6640625" customWidth="1"/>
    <col min="19" max="19" width="12.83203125" style="33" customWidth="1"/>
    <col min="20" max="20" width="14.6640625" customWidth="1"/>
    <col min="21" max="21" width="17" customWidth="1"/>
    <col min="22" max="22" width="22.1640625" customWidth="1"/>
  </cols>
  <sheetData>
    <row r="1" spans="1:21">
      <c r="A1" t="s">
        <v>63</v>
      </c>
      <c r="B1" t="s">
        <v>64</v>
      </c>
      <c r="C1" t="s">
        <v>65</v>
      </c>
      <c r="D1" t="s">
        <v>66</v>
      </c>
      <c r="E1" t="s">
        <v>67</v>
      </c>
      <c r="F1" t="s">
        <v>68</v>
      </c>
      <c r="G1" t="s">
        <v>69</v>
      </c>
      <c r="H1" t="s">
        <v>70</v>
      </c>
      <c r="I1" t="s">
        <v>71</v>
      </c>
      <c r="J1" t="s">
        <v>72</v>
      </c>
      <c r="K1" t="s">
        <v>73</v>
      </c>
      <c r="L1" t="s">
        <v>74</v>
      </c>
      <c r="M1" t="s">
        <v>75</v>
      </c>
      <c r="N1" t="s">
        <v>76</v>
      </c>
      <c r="O1" t="s">
        <v>77</v>
      </c>
      <c r="P1" t="s">
        <v>78</v>
      </c>
      <c r="Q1" t="s">
        <v>79</v>
      </c>
      <c r="R1" t="s">
        <v>192</v>
      </c>
      <c r="S1" t="s">
        <v>80</v>
      </c>
      <c r="T1" t="s">
        <v>81</v>
      </c>
      <c r="U1" t="s">
        <v>82</v>
      </c>
    </row>
    <row r="2" spans="1:21" s="25" customFormat="1">
      <c r="A2" t="s">
        <v>160</v>
      </c>
      <c r="B2">
        <v>88</v>
      </c>
      <c r="C2"/>
      <c r="D2" t="s">
        <v>85</v>
      </c>
      <c r="E2" t="s">
        <v>85</v>
      </c>
      <c r="F2">
        <v>64</v>
      </c>
      <c r="G2">
        <f>(F2/(SUMIFS(F:F,A:A,A2))*100)</f>
        <v>63.366336633663366</v>
      </c>
      <c r="H2">
        <f>INT(G2)</f>
        <v>63</v>
      </c>
      <c r="I2">
        <f>G2-H2</f>
        <v>0.36633663366336577</v>
      </c>
      <c r="J2" cm="1">
        <f t="array" ref="J2">INT(G2)+IF(100-SUM(INT(G$2:G$8))&gt;=RANK(I2,I$2:I$8)+COUNTIF(I$2:I2,I2)-1,1,0)</f>
        <v>63</v>
      </c>
      <c r="K2" t="str">
        <f>_xlfn.XLOOKUP(B2,BugList!A:A,BugList!H:H)</f>
        <v/>
      </c>
      <c r="L2" t="str">
        <f>IF(K2 = "","",_xlfn.XLOOKUP(B2, BugList!A:A,BugList!B:B,""))</f>
        <v/>
      </c>
      <c r="M2">
        <f>_xlfn.XLOOKUP(D2,BugList!C:C,BugList!N:N)</f>
        <v>4</v>
      </c>
      <c r="N2">
        <f>_xlfn.XLOOKUP(B2,BugList!A:A,BugList!R:R)</f>
        <v>4</v>
      </c>
      <c r="O2"/>
      <c r="P2"/>
      <c r="Q2" t="b">
        <f>SUMPRODUCT(COUNTIF(_xlfn.XLOOKUP(B2,BugList!A:A,BugList!V:V), "*cn*"))&gt;0</f>
        <v>0</v>
      </c>
      <c r="R2"/>
      <c r="S2" t="str">
        <f>_xlfn.XLOOKUP(B2,BugList!A:A,BugList!W:W)</f>
        <v/>
      </c>
      <c r="T2">
        <f t="shared" ref="T2:T65" si="0">J2*M2</f>
        <v>252</v>
      </c>
      <c r="U2">
        <f t="shared" ref="U2:U65" si="1">J2*N2</f>
        <v>252</v>
      </c>
    </row>
    <row r="3" spans="1:21" s="25" customFormat="1">
      <c r="A3" t="s">
        <v>160</v>
      </c>
      <c r="B3">
        <v>794</v>
      </c>
      <c r="C3"/>
      <c r="D3" t="s">
        <v>89</v>
      </c>
      <c r="E3" t="s">
        <v>89</v>
      </c>
      <c r="F3">
        <v>25</v>
      </c>
      <c r="G3">
        <f t="shared" ref="G3:G33" si="2">(F3/(SUMIFS(F:F,A:A,A3))*100)</f>
        <v>24.752475247524753</v>
      </c>
      <c r="H3">
        <f t="shared" ref="H3:H33" si="3">INT(G3)</f>
        <v>24</v>
      </c>
      <c r="I3">
        <f t="shared" ref="I3:I33" si="4">G3-H3</f>
        <v>0.75247524752475314</v>
      </c>
      <c r="J3" cm="1">
        <f t="array" ref="J3">INT(G3)+IF(100-SUM(INT(G$2:G$8))&gt;=RANK(I3,I$2:I$8)+COUNTIF(I$2:I3,I3)-1,1,0)</f>
        <v>25</v>
      </c>
      <c r="K3" t="str">
        <f>_xlfn.XLOOKUP(B3,BugList!A:A,BugList!H:H)</f>
        <v>*</v>
      </c>
      <c r="L3" t="str">
        <f>IF(K3 = "","",_xlfn.XLOOKUP(B3, BugList!A:A,BugList!B:B,""))</f>
        <v>Trichoptera</v>
      </c>
      <c r="M3">
        <f>_xlfn.XLOOKUP(D3,BugList!C:C,BugList!N:N)</f>
        <v>4</v>
      </c>
      <c r="N3">
        <f>_xlfn.XLOOKUP(B3,BugList!A:A,BugList!R:R)</f>
        <v>4</v>
      </c>
      <c r="O3"/>
      <c r="P3"/>
      <c r="Q3" t="b">
        <f>SUMPRODUCT(COUNTIF(_xlfn.XLOOKUP(B3,BugList!A:A,BugList!V:V), "*cn*"))&gt;0</f>
        <v>1</v>
      </c>
      <c r="R3"/>
      <c r="S3" t="str">
        <f>_xlfn.XLOOKUP(B3,BugList!A:A,BugList!W:W)</f>
        <v/>
      </c>
      <c r="T3">
        <f t="shared" si="0"/>
        <v>100</v>
      </c>
      <c r="U3">
        <f t="shared" si="1"/>
        <v>100</v>
      </c>
    </row>
    <row r="4" spans="1:21" s="25" customFormat="1">
      <c r="A4" t="s">
        <v>160</v>
      </c>
      <c r="B4">
        <v>935</v>
      </c>
      <c r="C4"/>
      <c r="D4" t="s">
        <v>98</v>
      </c>
      <c r="E4" t="s">
        <v>98</v>
      </c>
      <c r="F4">
        <v>2</v>
      </c>
      <c r="G4">
        <f t="shared" si="2"/>
        <v>1.9801980198019802</v>
      </c>
      <c r="H4">
        <f t="shared" si="3"/>
        <v>1</v>
      </c>
      <c r="I4">
        <f t="shared" si="4"/>
        <v>0.98019801980198018</v>
      </c>
      <c r="J4" cm="1">
        <f t="array" ref="J4">INT(G4)+IF(100-SUM(INT(G$2:G$8))&gt;=RANK(I4,I$2:I$8)+COUNTIF(I$2:I4,I4)-1,1,0)</f>
        <v>2</v>
      </c>
      <c r="K4" t="str">
        <f>_xlfn.XLOOKUP(B4,BugList!A:A,BugList!H:H)</f>
        <v/>
      </c>
      <c r="L4" t="str">
        <f>IF(K4 = "","",_xlfn.XLOOKUP(B4, BugList!A:A,BugList!B:B,""))</f>
        <v/>
      </c>
      <c r="M4">
        <f>_xlfn.XLOOKUP(D4,BugList!C:C,BugList!N:N)</f>
        <v>4</v>
      </c>
      <c r="N4">
        <f>_xlfn.XLOOKUP(B4,BugList!A:A,BugList!R:R)</f>
        <v>4</v>
      </c>
      <c r="O4"/>
      <c r="P4"/>
      <c r="Q4" t="b">
        <f>SUMPRODUCT(COUNTIF(_xlfn.XLOOKUP(B4,BugList!A:A,BugList!V:V), "*cn*"))&gt;0</f>
        <v>1</v>
      </c>
      <c r="R4"/>
      <c r="S4" t="str">
        <f>_xlfn.XLOOKUP(B4,BugList!A:A,BugList!W:W)</f>
        <v/>
      </c>
      <c r="T4">
        <f t="shared" si="0"/>
        <v>8</v>
      </c>
      <c r="U4">
        <f t="shared" si="1"/>
        <v>8</v>
      </c>
    </row>
    <row r="5" spans="1:21" s="25" customFormat="1">
      <c r="A5" t="s">
        <v>160</v>
      </c>
      <c r="B5">
        <v>1088</v>
      </c>
      <c r="C5"/>
      <c r="D5" t="s">
        <v>90</v>
      </c>
      <c r="E5" t="s">
        <v>90</v>
      </c>
      <c r="F5">
        <v>3</v>
      </c>
      <c r="G5">
        <f t="shared" si="2"/>
        <v>2.9702970297029703</v>
      </c>
      <c r="H5">
        <f t="shared" si="3"/>
        <v>2</v>
      </c>
      <c r="I5">
        <f t="shared" si="4"/>
        <v>0.97029702970297027</v>
      </c>
      <c r="J5" cm="1">
        <f t="array" ref="J5">INT(G5)+IF(100-SUM(INT(G$2:G$8))&gt;=RANK(I5,I$2:I$8)+COUNTIF(I$2:I5,I5)-1,1,0)</f>
        <v>3</v>
      </c>
      <c r="K5" t="str">
        <f>_xlfn.XLOOKUP(B5,BugList!A:A,BugList!H:H)</f>
        <v/>
      </c>
      <c r="L5" t="str">
        <f>IF(K5 = "","",_xlfn.XLOOKUP(B5, BugList!A:A,BugList!B:B,""))</f>
        <v/>
      </c>
      <c r="M5">
        <f>_xlfn.XLOOKUP(D5,BugList!C:C,BugList!N:N)</f>
        <v>6</v>
      </c>
      <c r="N5">
        <f>_xlfn.XLOOKUP(B5,BugList!A:A,BugList!R:R)</f>
        <v>6</v>
      </c>
      <c r="O5"/>
      <c r="P5"/>
      <c r="Q5" t="b">
        <f>SUMPRODUCT(COUNTIF(_xlfn.XLOOKUP(B5,BugList!A:A,BugList!V:V), "*cn*"))&gt;0</f>
        <v>0</v>
      </c>
      <c r="R5"/>
      <c r="S5" t="str">
        <f>_xlfn.XLOOKUP(B5,BugList!A:A,BugList!W:W)</f>
        <v/>
      </c>
      <c r="T5">
        <f t="shared" si="0"/>
        <v>18</v>
      </c>
      <c r="U5">
        <f t="shared" si="1"/>
        <v>18</v>
      </c>
    </row>
    <row r="6" spans="1:21" s="25" customFormat="1">
      <c r="A6" t="s">
        <v>160</v>
      </c>
      <c r="B6">
        <v>1089</v>
      </c>
      <c r="C6"/>
      <c r="D6" t="s">
        <v>126</v>
      </c>
      <c r="E6" t="s">
        <v>127</v>
      </c>
      <c r="F6">
        <v>1</v>
      </c>
      <c r="G6">
        <f t="shared" si="2"/>
        <v>0.99009900990099009</v>
      </c>
      <c r="H6">
        <f t="shared" si="3"/>
        <v>0</v>
      </c>
      <c r="I6">
        <f t="shared" si="4"/>
        <v>0.99009900990099009</v>
      </c>
      <c r="J6" cm="1">
        <f t="array" ref="J6">INT(G6)+IF(100-SUM(INT(G$2:G$8))&gt;=RANK(I6,I$2:I$8)+COUNTIF(I$2:I6,I6)-1,1,0)</f>
        <v>1</v>
      </c>
      <c r="K6" t="str">
        <f>_xlfn.XLOOKUP(B6,BugList!A:A,BugList!H:H)</f>
        <v/>
      </c>
      <c r="L6" t="str">
        <f>IF(K6 = "","",_xlfn.XLOOKUP(B6, BugList!A:A,BugList!B:B,""))</f>
        <v/>
      </c>
      <c r="M6">
        <f>_xlfn.XLOOKUP(D6,BugList!C:C,BugList!N:N)</f>
        <v>8</v>
      </c>
      <c r="N6">
        <f>_xlfn.XLOOKUP(B6,BugList!A:A,BugList!R:R)</f>
        <v>10</v>
      </c>
      <c r="O6"/>
      <c r="P6"/>
      <c r="Q6" t="b">
        <f>SUMPRODUCT(COUNTIF(_xlfn.XLOOKUP(B6,BugList!A:A,BugList!V:V), "*cn*"))&gt;0</f>
        <v>0</v>
      </c>
      <c r="R6"/>
      <c r="S6" t="str">
        <f>_xlfn.XLOOKUP(B6,BugList!A:A,BugList!W:W)</f>
        <v/>
      </c>
      <c r="T6">
        <f t="shared" si="0"/>
        <v>8</v>
      </c>
      <c r="U6">
        <f t="shared" si="1"/>
        <v>10</v>
      </c>
    </row>
    <row r="7" spans="1:21" s="25" customFormat="1">
      <c r="A7" t="s">
        <v>160</v>
      </c>
      <c r="B7">
        <v>1199</v>
      </c>
      <c r="C7"/>
      <c r="D7" t="s">
        <v>131</v>
      </c>
      <c r="E7" t="s">
        <v>131</v>
      </c>
      <c r="F7">
        <v>2</v>
      </c>
      <c r="G7">
        <f t="shared" si="2"/>
        <v>1.9801980198019802</v>
      </c>
      <c r="H7">
        <f t="shared" si="3"/>
        <v>1</v>
      </c>
      <c r="I7">
        <f t="shared" si="4"/>
        <v>0.98019801980198018</v>
      </c>
      <c r="J7" cm="1">
        <f t="array" ref="J7">INT(G7)+IF(100-SUM(INT(G$2:G$8))&gt;=RANK(I7,I$2:I$8)+COUNTIF(I$2:I7,I7)-1,1,0)</f>
        <v>2</v>
      </c>
      <c r="K7" t="str">
        <f>_xlfn.XLOOKUP(B7,BugList!A:A,BugList!H:H)</f>
        <v/>
      </c>
      <c r="L7" t="str">
        <f>IF(K7 = "","",_xlfn.XLOOKUP(B7, BugList!A:A,BugList!B:B,""))</f>
        <v/>
      </c>
      <c r="M7">
        <f>_xlfn.XLOOKUP(D7,BugList!C:C,BugList!N:N)</f>
        <v>6</v>
      </c>
      <c r="N7">
        <f>_xlfn.XLOOKUP(B7,BugList!A:A,BugList!R:R)</f>
        <v>6</v>
      </c>
      <c r="O7"/>
      <c r="P7"/>
      <c r="Q7" t="b">
        <f>SUMPRODUCT(COUNTIF(_xlfn.XLOOKUP(B7,BugList!A:A,BugList!V:V), "*cn*"))&gt;0</f>
        <v>0</v>
      </c>
      <c r="R7"/>
      <c r="S7" t="str">
        <f>_xlfn.XLOOKUP(B7,BugList!A:A,BugList!W:W)</f>
        <v/>
      </c>
      <c r="T7">
        <f t="shared" si="0"/>
        <v>12</v>
      </c>
      <c r="U7">
        <f t="shared" si="1"/>
        <v>12</v>
      </c>
    </row>
    <row r="8" spans="1:21" s="25" customFormat="1">
      <c r="A8" t="s">
        <v>160</v>
      </c>
      <c r="B8">
        <v>1696</v>
      </c>
      <c r="C8"/>
      <c r="D8" t="s">
        <v>94</v>
      </c>
      <c r="E8" t="s">
        <v>94</v>
      </c>
      <c r="F8">
        <v>4</v>
      </c>
      <c r="G8">
        <f t="shared" si="2"/>
        <v>3.9603960396039604</v>
      </c>
      <c r="H8">
        <f t="shared" si="3"/>
        <v>3</v>
      </c>
      <c r="I8">
        <f t="shared" si="4"/>
        <v>0.96039603960396036</v>
      </c>
      <c r="J8" cm="1">
        <f t="array" ref="J8">INT(G8)+IF(100-SUM(INT(G$2:G$8))&gt;=RANK(I8,I$2:I$8)+COUNTIF(I$2:I8,I8)-1,1,0)</f>
        <v>4</v>
      </c>
      <c r="K8" t="str">
        <f>_xlfn.XLOOKUP(B8,BugList!A:A,BugList!H:H)</f>
        <v/>
      </c>
      <c r="L8" t="str">
        <f>IF(K8 = "","",_xlfn.XLOOKUP(B8, BugList!A:A,BugList!B:B,""))</f>
        <v/>
      </c>
      <c r="M8">
        <f>_xlfn.XLOOKUP(D8,BugList!C:C,BugList!N:N)</f>
        <v>8</v>
      </c>
      <c r="N8">
        <f>_xlfn.XLOOKUP(B8,BugList!A:A,BugList!R:R)</f>
        <v>8</v>
      </c>
      <c r="O8"/>
      <c r="P8"/>
      <c r="Q8" t="b">
        <f>SUMPRODUCT(COUNTIF(_xlfn.XLOOKUP(B8,BugList!A:A,BugList!V:V), "*cn*"))&gt;0</f>
        <v>0</v>
      </c>
      <c r="R8"/>
      <c r="S8" t="str">
        <f>_xlfn.XLOOKUP(B8,BugList!A:A,BugList!W:W)</f>
        <v/>
      </c>
      <c r="T8">
        <f t="shared" si="0"/>
        <v>32</v>
      </c>
      <c r="U8">
        <f t="shared" si="1"/>
        <v>32</v>
      </c>
    </row>
    <row r="9" spans="1:21" s="19" customFormat="1">
      <c r="A9" t="s">
        <v>83</v>
      </c>
      <c r="B9">
        <v>63</v>
      </c>
      <c r="C9"/>
      <c r="D9" t="s">
        <v>84</v>
      </c>
      <c r="E9" t="s">
        <v>84</v>
      </c>
      <c r="F9">
        <v>7</v>
      </c>
      <c r="G9">
        <f t="shared" si="2"/>
        <v>3.7433155080213902</v>
      </c>
      <c r="H9">
        <f t="shared" si="3"/>
        <v>3</v>
      </c>
      <c r="I9">
        <f t="shared" si="4"/>
        <v>0.74331550802139024</v>
      </c>
      <c r="J9" cm="1">
        <f t="array" ref="J9">INT(G9)+IF(100-SUM(INT(G$9:G$18))&gt;=RANK(I9,I$9:I$18)+COUNTIF(I$9:I9,I9)-1,1,0)</f>
        <v>4</v>
      </c>
      <c r="K9" t="str">
        <f>_xlfn.XLOOKUP(B9,BugList!A:A,BugList!H:H)</f>
        <v/>
      </c>
      <c r="L9" t="str">
        <f>IF(K9 = "","",_xlfn.XLOOKUP(B9, BugList!A:A,BugList!B:B,""))</f>
        <v/>
      </c>
      <c r="M9">
        <f>_xlfn.XLOOKUP(D9,BugList!C:C,BugList!N:N)</f>
        <v>8</v>
      </c>
      <c r="N9">
        <f>_xlfn.XLOOKUP(B9,BugList!A:A,BugList!R:R)</f>
        <v>8</v>
      </c>
      <c r="O9"/>
      <c r="P9"/>
      <c r="Q9" t="b">
        <f>SUMPRODUCT(COUNTIF(_xlfn.XLOOKUP(B9,BugList!A:A,BugList!V:V), "*cn*"))&gt;0</f>
        <v>0</v>
      </c>
      <c r="R9"/>
      <c r="S9" t="str">
        <f>_xlfn.XLOOKUP(B9,BugList!A:A,BugList!W:W)</f>
        <v/>
      </c>
      <c r="T9">
        <f t="shared" si="0"/>
        <v>32</v>
      </c>
      <c r="U9">
        <f t="shared" si="1"/>
        <v>32</v>
      </c>
    </row>
    <row r="10" spans="1:21" s="19" customFormat="1">
      <c r="A10" t="s">
        <v>83</v>
      </c>
      <c r="B10">
        <v>88</v>
      </c>
      <c r="C10"/>
      <c r="D10" t="s">
        <v>85</v>
      </c>
      <c r="E10" t="s">
        <v>85</v>
      </c>
      <c r="F10">
        <v>85</v>
      </c>
      <c r="G10">
        <f t="shared" si="2"/>
        <v>45.454545454545453</v>
      </c>
      <c r="H10">
        <f t="shared" si="3"/>
        <v>45</v>
      </c>
      <c r="I10">
        <f t="shared" si="4"/>
        <v>0.45454545454545325</v>
      </c>
      <c r="J10" cm="1">
        <f t="array" ref="J10">INT(G10)+IF(100-SUM(INT(G$9:G$18))&gt;=RANK(I10,I$9:I$18)+COUNTIF(I$9:I10,I10)-1,1,0)</f>
        <v>45</v>
      </c>
      <c r="K10" t="str">
        <f>_xlfn.XLOOKUP(B10,BugList!A:A,BugList!H:H)</f>
        <v/>
      </c>
      <c r="L10" t="str">
        <f>IF(K10 = "","",_xlfn.XLOOKUP(B10, BugList!A:A,BugList!B:B,""))</f>
        <v/>
      </c>
      <c r="M10">
        <f>_xlfn.XLOOKUP(D10,BugList!C:C,BugList!N:N)</f>
        <v>4</v>
      </c>
      <c r="N10">
        <f>_xlfn.XLOOKUP(B10,BugList!A:A,BugList!R:R)</f>
        <v>4</v>
      </c>
      <c r="O10"/>
      <c r="P10"/>
      <c r="Q10" t="b">
        <f>SUMPRODUCT(COUNTIF(_xlfn.XLOOKUP(B10,BugList!A:A,BugList!V:V), "*cn*"))&gt;0</f>
        <v>0</v>
      </c>
      <c r="R10"/>
      <c r="S10" t="str">
        <f>_xlfn.XLOOKUP(B10,BugList!A:A,BugList!W:W)</f>
        <v/>
      </c>
      <c r="T10">
        <f t="shared" si="0"/>
        <v>180</v>
      </c>
      <c r="U10">
        <f t="shared" si="1"/>
        <v>180</v>
      </c>
    </row>
    <row r="11" spans="1:21" s="19" customFormat="1">
      <c r="A11" t="s">
        <v>83</v>
      </c>
      <c r="B11">
        <v>247</v>
      </c>
      <c r="C11"/>
      <c r="D11" t="s">
        <v>87</v>
      </c>
      <c r="E11" t="s">
        <v>87</v>
      </c>
      <c r="F11">
        <v>7</v>
      </c>
      <c r="G11">
        <f t="shared" si="2"/>
        <v>3.7433155080213902</v>
      </c>
      <c r="H11">
        <f t="shared" si="3"/>
        <v>3</v>
      </c>
      <c r="I11">
        <f t="shared" si="4"/>
        <v>0.74331550802139024</v>
      </c>
      <c r="J11" cm="1">
        <f t="array" ref="J11">INT(G11)+IF(100-SUM(INT(G$9:G$18))&gt;=RANK(I11,I$9:I$18)+COUNTIF(I$9:I11,I11)-1,1,0)</f>
        <v>4</v>
      </c>
      <c r="K11" t="str">
        <f>_xlfn.XLOOKUP(B11,BugList!A:A,BugList!H:H)</f>
        <v/>
      </c>
      <c r="L11" t="str">
        <f>IF(K11 = "","",_xlfn.XLOOKUP(B11, BugList!A:A,BugList!B:B,""))</f>
        <v/>
      </c>
      <c r="M11">
        <f>_xlfn.XLOOKUP(D11,BugList!C:C,BugList!N:N)</f>
        <v>4</v>
      </c>
      <c r="N11">
        <f>_xlfn.XLOOKUP(B11,BugList!A:A,BugList!R:R)</f>
        <v>4</v>
      </c>
      <c r="O11"/>
      <c r="P11"/>
      <c r="Q11" t="b">
        <f>SUMPRODUCT(COUNTIF(_xlfn.XLOOKUP(B11,BugList!A:A,BugList!V:V), "*cn*"))&gt;0</f>
        <v>0</v>
      </c>
      <c r="R11"/>
      <c r="S11" t="str">
        <f>_xlfn.XLOOKUP(B11,BugList!A:A,BugList!W:W)</f>
        <v/>
      </c>
      <c r="T11">
        <f t="shared" si="0"/>
        <v>16</v>
      </c>
      <c r="U11">
        <f t="shared" si="1"/>
        <v>16</v>
      </c>
    </row>
    <row r="12" spans="1:21" s="19" customFormat="1">
      <c r="A12" t="s">
        <v>83</v>
      </c>
      <c r="B12">
        <v>380</v>
      </c>
      <c r="C12"/>
      <c r="D12" t="s">
        <v>88</v>
      </c>
      <c r="E12" t="s">
        <v>88</v>
      </c>
      <c r="F12">
        <v>1</v>
      </c>
      <c r="G12">
        <f t="shared" si="2"/>
        <v>0.53475935828876997</v>
      </c>
      <c r="H12">
        <f t="shared" si="3"/>
        <v>0</v>
      </c>
      <c r="I12">
        <f t="shared" si="4"/>
        <v>0.53475935828876997</v>
      </c>
      <c r="J12" cm="1">
        <f t="array" ref="J12">INT(G12)+IF(100-SUM(INT(G$9:G$18))&gt;=RANK(I12,I$9:I$18)+COUNTIF(I$9:I12,I12)-1,1,0)</f>
        <v>1</v>
      </c>
      <c r="K12" t="str">
        <f>_xlfn.XLOOKUP(B12,BugList!A:A,BugList!H:H)</f>
        <v/>
      </c>
      <c r="L12" t="str">
        <f>IF(K12 = "","",_xlfn.XLOOKUP(B12, BugList!A:A,BugList!B:B,""))</f>
        <v/>
      </c>
      <c r="M12">
        <f>_xlfn.XLOOKUP(D12,BugList!C:C,BugList!N:N)</f>
        <v>8</v>
      </c>
      <c r="N12">
        <f>_xlfn.XLOOKUP(B12,BugList!A:A,BugList!R:R)</f>
        <v>6</v>
      </c>
      <c r="O12"/>
      <c r="P12"/>
      <c r="Q12" t="b">
        <f>SUMPRODUCT(COUNTIF(_xlfn.XLOOKUP(B12,BugList!A:A,BugList!V:V), "*cn*"))&gt;0</f>
        <v>0</v>
      </c>
      <c r="R12"/>
      <c r="S12" t="str">
        <f>_xlfn.XLOOKUP(B12,BugList!A:A,BugList!W:W)</f>
        <v/>
      </c>
      <c r="T12">
        <f t="shared" si="0"/>
        <v>8</v>
      </c>
      <c r="U12">
        <f t="shared" si="1"/>
        <v>6</v>
      </c>
    </row>
    <row r="13" spans="1:21" s="19" customFormat="1">
      <c r="A13" t="s">
        <v>83</v>
      </c>
      <c r="B13">
        <v>794</v>
      </c>
      <c r="C13"/>
      <c r="D13" t="s">
        <v>89</v>
      </c>
      <c r="E13" t="s">
        <v>89</v>
      </c>
      <c r="F13">
        <v>62</v>
      </c>
      <c r="G13">
        <f t="shared" si="2"/>
        <v>33.155080213903744</v>
      </c>
      <c r="H13">
        <f t="shared" si="3"/>
        <v>33</v>
      </c>
      <c r="I13">
        <f t="shared" si="4"/>
        <v>0.15508021390374438</v>
      </c>
      <c r="J13" cm="1">
        <f t="array" ref="J13">INT(G13)+IF(100-SUM(INT(G$9:G$18))&gt;=RANK(I13,I$9:I$18)+COUNTIF(I$9:I13,I13)-1,1,0)</f>
        <v>33</v>
      </c>
      <c r="K13" t="str">
        <f>_xlfn.XLOOKUP(B13,BugList!A:A,BugList!H:H)</f>
        <v>*</v>
      </c>
      <c r="L13" t="str">
        <f>IF(K13 = "","",_xlfn.XLOOKUP(B13, BugList!A:A,BugList!B:B,""))</f>
        <v>Trichoptera</v>
      </c>
      <c r="M13">
        <f>_xlfn.XLOOKUP(D13,BugList!C:C,BugList!N:N)</f>
        <v>4</v>
      </c>
      <c r="N13">
        <f>_xlfn.XLOOKUP(B13,BugList!A:A,BugList!R:R)</f>
        <v>4</v>
      </c>
      <c r="O13"/>
      <c r="P13"/>
      <c r="Q13" t="b">
        <f>SUMPRODUCT(COUNTIF(_xlfn.XLOOKUP(B13,BugList!A:A,BugList!V:V), "*cn*"))&gt;0</f>
        <v>1</v>
      </c>
      <c r="R13"/>
      <c r="S13" t="str">
        <f>_xlfn.XLOOKUP(B13,BugList!A:A,BugList!W:W)</f>
        <v/>
      </c>
      <c r="T13">
        <f t="shared" si="0"/>
        <v>132</v>
      </c>
      <c r="U13">
        <f t="shared" si="1"/>
        <v>132</v>
      </c>
    </row>
    <row r="14" spans="1:21" s="19" customFormat="1">
      <c r="A14" t="s">
        <v>83</v>
      </c>
      <c r="B14">
        <v>1088</v>
      </c>
      <c r="C14"/>
      <c r="D14" t="s">
        <v>90</v>
      </c>
      <c r="E14" t="s">
        <v>90</v>
      </c>
      <c r="F14">
        <v>5</v>
      </c>
      <c r="G14">
        <f t="shared" si="2"/>
        <v>2.6737967914438503</v>
      </c>
      <c r="H14">
        <f t="shared" si="3"/>
        <v>2</v>
      </c>
      <c r="I14">
        <f t="shared" si="4"/>
        <v>0.6737967914438503</v>
      </c>
      <c r="J14" cm="1">
        <f t="array" ref="J14">INT(G14)+IF(100-SUM(INT(G$9:G$18))&gt;=RANK(I14,I$9:I$18)+COUNTIF(I$9:I14,I14)-1,1,0)</f>
        <v>3</v>
      </c>
      <c r="K14" t="str">
        <f>_xlfn.XLOOKUP(B14,BugList!A:A,BugList!H:H)</f>
        <v/>
      </c>
      <c r="L14" t="str">
        <f>IF(K14 = "","",_xlfn.XLOOKUP(B14, BugList!A:A,BugList!B:B,""))</f>
        <v/>
      </c>
      <c r="M14">
        <f>_xlfn.XLOOKUP(D14,BugList!C:C,BugList!N:N)</f>
        <v>6</v>
      </c>
      <c r="N14">
        <f>_xlfn.XLOOKUP(B14,BugList!A:A,BugList!R:R)</f>
        <v>6</v>
      </c>
      <c r="O14"/>
      <c r="P14"/>
      <c r="Q14" t="b">
        <f>SUMPRODUCT(COUNTIF(_xlfn.XLOOKUP(B14,BugList!A:A,BugList!V:V), "*cn*"))&gt;0</f>
        <v>0</v>
      </c>
      <c r="R14"/>
      <c r="S14" t="str">
        <f>_xlfn.XLOOKUP(B14,BugList!A:A,BugList!W:W)</f>
        <v/>
      </c>
      <c r="T14">
        <f t="shared" si="0"/>
        <v>18</v>
      </c>
      <c r="U14">
        <f t="shared" si="1"/>
        <v>18</v>
      </c>
    </row>
    <row r="15" spans="1:21" s="19" customFormat="1">
      <c r="A15" t="s">
        <v>83</v>
      </c>
      <c r="B15">
        <v>1587</v>
      </c>
      <c r="C15"/>
      <c r="D15" t="s">
        <v>91</v>
      </c>
      <c r="E15" t="s">
        <v>91</v>
      </c>
      <c r="F15">
        <v>2</v>
      </c>
      <c r="G15">
        <f t="shared" si="2"/>
        <v>1.0695187165775399</v>
      </c>
      <c r="H15">
        <f t="shared" si="3"/>
        <v>1</v>
      </c>
      <c r="I15">
        <f t="shared" si="4"/>
        <v>6.9518716577539941E-2</v>
      </c>
      <c r="J15" cm="1">
        <f t="array" ref="J15">INT(G15)+IF(100-SUM(INT(G$9:G$18))&gt;=RANK(I15,I$9:I$18)+COUNTIF(I$9:I15,I15)-1,1,0)</f>
        <v>1</v>
      </c>
      <c r="K15" t="str">
        <f>_xlfn.XLOOKUP(B15,BugList!A:A,BugList!H:H)</f>
        <v/>
      </c>
      <c r="L15" t="str">
        <f>IF(K15 = "","",_xlfn.XLOOKUP(B15, BugList!A:A,BugList!B:B,""))</f>
        <v/>
      </c>
      <c r="M15">
        <f>_xlfn.XLOOKUP(D15,BugList!C:C,BugList!N:N)</f>
        <v>6</v>
      </c>
      <c r="N15">
        <f>_xlfn.XLOOKUP(B15,BugList!A:A,BugList!R:R)</f>
        <v>6</v>
      </c>
      <c r="O15"/>
      <c r="P15"/>
      <c r="Q15" t="b">
        <f>SUMPRODUCT(COUNTIF(_xlfn.XLOOKUP(B15,BugList!A:A,BugList!V:V), "*cn*"))&gt;0</f>
        <v>0</v>
      </c>
      <c r="R15"/>
      <c r="S15" t="str">
        <f>_xlfn.XLOOKUP(B15,BugList!A:A,BugList!W:W)</f>
        <v/>
      </c>
      <c r="T15">
        <f t="shared" si="0"/>
        <v>6</v>
      </c>
      <c r="U15">
        <f t="shared" si="1"/>
        <v>6</v>
      </c>
    </row>
    <row r="16" spans="1:21" s="19" customFormat="1">
      <c r="A16" t="s">
        <v>83</v>
      </c>
      <c r="B16">
        <v>1614</v>
      </c>
      <c r="C16"/>
      <c r="D16" t="s">
        <v>92</v>
      </c>
      <c r="E16" t="s">
        <v>92</v>
      </c>
      <c r="F16">
        <v>10</v>
      </c>
      <c r="G16">
        <f t="shared" si="2"/>
        <v>5.3475935828877006</v>
      </c>
      <c r="H16">
        <f t="shared" si="3"/>
        <v>5</v>
      </c>
      <c r="I16">
        <f t="shared" si="4"/>
        <v>0.34759358288770059</v>
      </c>
      <c r="J16" cm="1">
        <f t="array" ref="J16">INT(G16)+IF(100-SUM(INT(G$9:G$18))&gt;=RANK(I16,I$9:I$18)+COUNTIF(I$9:I16,I16)-1,1,0)</f>
        <v>5</v>
      </c>
      <c r="K16" t="str">
        <f>_xlfn.XLOOKUP(B16,BugList!A:A,BugList!H:H)</f>
        <v/>
      </c>
      <c r="L16" t="str">
        <f>IF(K16 = "","",_xlfn.XLOOKUP(B16, BugList!A:A,BugList!B:B,""))</f>
        <v/>
      </c>
      <c r="M16">
        <f>_xlfn.XLOOKUP(D16,BugList!C:C,BugList!N:N)</f>
        <v>8</v>
      </c>
      <c r="N16">
        <f>_xlfn.XLOOKUP(B16,BugList!A:A,BugList!R:R)</f>
        <v>8</v>
      </c>
      <c r="O16"/>
      <c r="P16"/>
      <c r="Q16" t="b">
        <f>SUMPRODUCT(COUNTIF(_xlfn.XLOOKUP(B16,BugList!A:A,BugList!V:V), "*cn*"))&gt;0</f>
        <v>0</v>
      </c>
      <c r="R16"/>
      <c r="S16" t="str">
        <f>_xlfn.XLOOKUP(B16,BugList!A:A,BugList!W:W)</f>
        <v/>
      </c>
      <c r="T16">
        <f t="shared" si="0"/>
        <v>40</v>
      </c>
      <c r="U16">
        <f t="shared" si="1"/>
        <v>40</v>
      </c>
    </row>
    <row r="17" spans="1:21" s="19" customFormat="1">
      <c r="A17" t="s">
        <v>83</v>
      </c>
      <c r="B17">
        <v>1629</v>
      </c>
      <c r="C17"/>
      <c r="D17" t="s">
        <v>93</v>
      </c>
      <c r="E17" t="s">
        <v>93</v>
      </c>
      <c r="F17">
        <v>2</v>
      </c>
      <c r="G17">
        <f t="shared" si="2"/>
        <v>1.0695187165775399</v>
      </c>
      <c r="H17">
        <f t="shared" si="3"/>
        <v>1</v>
      </c>
      <c r="I17">
        <f t="shared" si="4"/>
        <v>6.9518716577539941E-2</v>
      </c>
      <c r="J17" cm="1">
        <f t="array" ref="J17">INT(G17)+IF(100-SUM(INT(G$9:G$18))&gt;=RANK(I17,I$9:I$18)+COUNTIF(I$9:I17,I17)-1,1,0)</f>
        <v>1</v>
      </c>
      <c r="K17" t="str">
        <f>_xlfn.XLOOKUP(B17,BugList!A:A,BugList!H:H)</f>
        <v/>
      </c>
      <c r="L17" t="str">
        <f>IF(K17 = "","",_xlfn.XLOOKUP(B17, BugList!A:A,BugList!B:B,""))</f>
        <v/>
      </c>
      <c r="M17">
        <f>_xlfn.XLOOKUP(D17,BugList!C:C,BugList!N:N)</f>
        <v>8</v>
      </c>
      <c r="N17">
        <f>_xlfn.XLOOKUP(B17,BugList!A:A,BugList!R:R)</f>
        <v>8</v>
      </c>
      <c r="O17"/>
      <c r="P17"/>
      <c r="Q17" t="b">
        <f>SUMPRODUCT(COUNTIF(_xlfn.XLOOKUP(B17,BugList!A:A,BugList!V:V), "*cn*"))&gt;0</f>
        <v>0</v>
      </c>
      <c r="R17"/>
      <c r="S17" t="str">
        <f>_xlfn.XLOOKUP(B17,BugList!A:A,BugList!W:W)</f>
        <v/>
      </c>
      <c r="T17">
        <f t="shared" si="0"/>
        <v>8</v>
      </c>
      <c r="U17">
        <f t="shared" si="1"/>
        <v>8</v>
      </c>
    </row>
    <row r="18" spans="1:21" s="19" customFormat="1">
      <c r="A18" t="s">
        <v>83</v>
      </c>
      <c r="B18">
        <v>1696</v>
      </c>
      <c r="C18"/>
      <c r="D18" t="s">
        <v>94</v>
      </c>
      <c r="E18" t="s">
        <v>94</v>
      </c>
      <c r="F18">
        <v>6</v>
      </c>
      <c r="G18">
        <f t="shared" si="2"/>
        <v>3.2085561497326207</v>
      </c>
      <c r="H18">
        <f t="shared" si="3"/>
        <v>3</v>
      </c>
      <c r="I18">
        <f t="shared" si="4"/>
        <v>0.20855614973262071</v>
      </c>
      <c r="J18" cm="1">
        <f t="array" ref="J18">INT(G18)+IF(100-SUM(INT(G$9:G$18))&gt;=RANK(I18,I$9:I$18)+COUNTIF(I$9:I18,I18)-1,1,0)</f>
        <v>3</v>
      </c>
      <c r="K18" t="str">
        <f>_xlfn.XLOOKUP(B18,BugList!A:A,BugList!H:H)</f>
        <v/>
      </c>
      <c r="L18" t="str">
        <f>IF(K18 = "","",_xlfn.XLOOKUP(B18, BugList!A:A,BugList!B:B,""))</f>
        <v/>
      </c>
      <c r="M18">
        <f>_xlfn.XLOOKUP(D18,BugList!C:C,BugList!N:N)</f>
        <v>8</v>
      </c>
      <c r="N18">
        <f>_xlfn.XLOOKUP(B18,BugList!A:A,BugList!R:R)</f>
        <v>8</v>
      </c>
      <c r="O18"/>
      <c r="P18"/>
      <c r="Q18" t="b">
        <f>SUMPRODUCT(COUNTIF(_xlfn.XLOOKUP(B18,BugList!A:A,BugList!V:V), "*cn*"))&gt;0</f>
        <v>0</v>
      </c>
      <c r="R18"/>
      <c r="S18" t="str">
        <f>_xlfn.XLOOKUP(B18,BugList!A:A,BugList!W:W)</f>
        <v/>
      </c>
      <c r="T18">
        <f t="shared" si="0"/>
        <v>24</v>
      </c>
      <c r="U18">
        <f t="shared" si="1"/>
        <v>24</v>
      </c>
    </row>
    <row r="19" spans="1:21">
      <c r="A19" t="s">
        <v>122</v>
      </c>
      <c r="B19">
        <v>88</v>
      </c>
      <c r="D19" t="s">
        <v>85</v>
      </c>
      <c r="E19" t="s">
        <v>85</v>
      </c>
      <c r="F19">
        <v>21</v>
      </c>
      <c r="G19">
        <f t="shared" si="2"/>
        <v>20.588235294117645</v>
      </c>
      <c r="H19">
        <f t="shared" si="3"/>
        <v>20</v>
      </c>
      <c r="I19">
        <f t="shared" si="4"/>
        <v>0.58823529411764497</v>
      </c>
      <c r="J19" cm="1">
        <f t="array" ref="J19">INT(G19)+IF(100-SUM(INT(G$19:G$26))&gt;=RANK(I19,I$19:I$26)+COUNTIF(I$19:I19,I19)-1,1,0)</f>
        <v>20</v>
      </c>
      <c r="K19" t="str">
        <f>_xlfn.XLOOKUP(B19,BugList!A:A,BugList!H:H)</f>
        <v/>
      </c>
      <c r="L19" t="str">
        <f>IF(K19 = "","",_xlfn.XLOOKUP(B19, BugList!A:A,BugList!B:B,""))</f>
        <v/>
      </c>
      <c r="M19">
        <f>_xlfn.XLOOKUP(D19,BugList!C:C,BugList!N:N)</f>
        <v>4</v>
      </c>
      <c r="N19">
        <f>_xlfn.XLOOKUP(B19,BugList!A:A,BugList!R:R)</f>
        <v>4</v>
      </c>
      <c r="Q19" t="b">
        <f>SUMPRODUCT(COUNTIF(_xlfn.XLOOKUP(B19,BugList!A:A,BugList!V:V), "*cn*"))&gt;0</f>
        <v>0</v>
      </c>
      <c r="S19" t="str">
        <f>_xlfn.XLOOKUP(B19,BugList!A:A,BugList!W:W)</f>
        <v/>
      </c>
      <c r="T19">
        <f t="shared" si="0"/>
        <v>80</v>
      </c>
      <c r="U19">
        <f t="shared" si="1"/>
        <v>80</v>
      </c>
    </row>
    <row r="20" spans="1:21">
      <c r="A20" t="s">
        <v>122</v>
      </c>
      <c r="B20">
        <v>372</v>
      </c>
      <c r="D20" t="s">
        <v>88</v>
      </c>
      <c r="E20" t="s">
        <v>88</v>
      </c>
      <c r="F20">
        <v>12</v>
      </c>
      <c r="G20">
        <f t="shared" si="2"/>
        <v>11.76470588235294</v>
      </c>
      <c r="H20">
        <f t="shared" si="3"/>
        <v>11</v>
      </c>
      <c r="I20">
        <f t="shared" si="4"/>
        <v>0.76470588235294024</v>
      </c>
      <c r="J20" cm="1">
        <f t="array" ref="J20">INT(G20)+IF(100-SUM(INT(G$19:G$26))&gt;=RANK(I20,I$19:I$26)+COUNTIF(I$19:I20,I20)-1,1,0)</f>
        <v>12</v>
      </c>
      <c r="K20" t="str">
        <f>_xlfn.XLOOKUP(B20,BugList!A:A,BugList!H:H)</f>
        <v/>
      </c>
      <c r="L20" t="str">
        <f>IF(K20 = "","",_xlfn.XLOOKUP(B20, BugList!A:A,BugList!B:B,""))</f>
        <v/>
      </c>
      <c r="M20">
        <f>_xlfn.XLOOKUP(D20,BugList!C:C,BugList!N:N)</f>
        <v>8</v>
      </c>
      <c r="N20">
        <f>_xlfn.XLOOKUP(B20,BugList!A:A,BugList!R:R)</f>
        <v>8</v>
      </c>
      <c r="Q20" t="b">
        <f>SUMPRODUCT(COUNTIF(_xlfn.XLOOKUP(B20,BugList!A:A,BugList!V:V), "*cn*"))&gt;0</f>
        <v>0</v>
      </c>
      <c r="S20" t="str">
        <f>_xlfn.XLOOKUP(B20,BugList!A:A,BugList!W:W)</f>
        <v/>
      </c>
      <c r="T20">
        <f t="shared" si="0"/>
        <v>96</v>
      </c>
      <c r="U20">
        <f t="shared" si="1"/>
        <v>96</v>
      </c>
    </row>
    <row r="21" spans="1:21">
      <c r="A21" t="s">
        <v>122</v>
      </c>
      <c r="B21">
        <v>794</v>
      </c>
      <c r="D21" t="s">
        <v>89</v>
      </c>
      <c r="E21" t="s">
        <v>89</v>
      </c>
      <c r="F21">
        <v>63</v>
      </c>
      <c r="G21">
        <f t="shared" si="2"/>
        <v>61.764705882352942</v>
      </c>
      <c r="H21">
        <f t="shared" si="3"/>
        <v>61</v>
      </c>
      <c r="I21">
        <f t="shared" si="4"/>
        <v>0.76470588235294201</v>
      </c>
      <c r="J21" cm="1">
        <f t="array" ref="J21">INT(G21)+IF(100-SUM(INT(G$19:G$26))&gt;=RANK(I21,I$19:I$26)+COUNTIF(I$19:I21,I21)-1,1,0)</f>
        <v>62</v>
      </c>
      <c r="K21" t="str">
        <f>_xlfn.XLOOKUP(B21,BugList!A:A,BugList!H:H)</f>
        <v>*</v>
      </c>
      <c r="L21" t="str">
        <f>IF(K21 = "","",_xlfn.XLOOKUP(B21, BugList!A:A,BugList!B:B,""))</f>
        <v>Trichoptera</v>
      </c>
      <c r="M21">
        <f>_xlfn.XLOOKUP(D21,BugList!C:C,BugList!N:N)</f>
        <v>4</v>
      </c>
      <c r="N21">
        <f>_xlfn.XLOOKUP(B21,BugList!A:A,BugList!R:R)</f>
        <v>4</v>
      </c>
      <c r="Q21" t="b">
        <f>SUMPRODUCT(COUNTIF(_xlfn.XLOOKUP(B21,BugList!A:A,BugList!V:V), "*cn*"))&gt;0</f>
        <v>1</v>
      </c>
      <c r="S21" t="str">
        <f>_xlfn.XLOOKUP(B21,BugList!A:A,BugList!W:W)</f>
        <v/>
      </c>
      <c r="T21">
        <f t="shared" si="0"/>
        <v>248</v>
      </c>
      <c r="U21">
        <f t="shared" si="1"/>
        <v>248</v>
      </c>
    </row>
    <row r="22" spans="1:21">
      <c r="A22" t="s">
        <v>122</v>
      </c>
      <c r="B22">
        <v>837</v>
      </c>
      <c r="D22" t="s">
        <v>107</v>
      </c>
      <c r="E22" t="s">
        <v>107</v>
      </c>
      <c r="F22">
        <v>1</v>
      </c>
      <c r="G22">
        <f t="shared" si="2"/>
        <v>0.98039215686274506</v>
      </c>
      <c r="H22">
        <f t="shared" si="3"/>
        <v>0</v>
      </c>
      <c r="I22">
        <f t="shared" si="4"/>
        <v>0.98039215686274506</v>
      </c>
      <c r="J22" cm="1">
        <f t="array" ref="J22">INT(G22)+IF(100-SUM(INT(G$19:G$26))&gt;=RANK(I22,I$19:I$26)+COUNTIF(I$19:I22,I22)-1,1,0)</f>
        <v>1</v>
      </c>
      <c r="K22" t="str">
        <f>_xlfn.XLOOKUP(B22,BugList!A:A,BugList!H:H)</f>
        <v>*</v>
      </c>
      <c r="L22" t="str">
        <f>IF(K22 = "","",_xlfn.XLOOKUP(B22, BugList!A:A,BugList!B:B,""))</f>
        <v>Trichoptera</v>
      </c>
      <c r="M22">
        <f>_xlfn.XLOOKUP(D22,BugList!C:C,BugList!N:N)</f>
        <v>3</v>
      </c>
      <c r="N22">
        <f>_xlfn.XLOOKUP(B22,BugList!A:A,BugList!R:R)</f>
        <v>3</v>
      </c>
      <c r="Q22" t="b">
        <f>SUMPRODUCT(COUNTIF(_xlfn.XLOOKUP(B22,BugList!A:A,BugList!V:V), "*cn*"))&gt;0</f>
        <v>1</v>
      </c>
      <c r="S22" t="str">
        <f>_xlfn.XLOOKUP(B22,BugList!A:A,BugList!W:W)</f>
        <v/>
      </c>
      <c r="T22">
        <f t="shared" si="0"/>
        <v>3</v>
      </c>
      <c r="U22">
        <f t="shared" si="1"/>
        <v>3</v>
      </c>
    </row>
    <row r="23" spans="1:21">
      <c r="A23" t="s">
        <v>122</v>
      </c>
      <c r="B23">
        <v>935</v>
      </c>
      <c r="D23" t="s">
        <v>98</v>
      </c>
      <c r="E23" t="s">
        <v>98</v>
      </c>
      <c r="F23">
        <v>2</v>
      </c>
      <c r="G23">
        <f t="shared" si="2"/>
        <v>1.9607843137254901</v>
      </c>
      <c r="H23">
        <f t="shared" si="3"/>
        <v>1</v>
      </c>
      <c r="I23">
        <f t="shared" si="4"/>
        <v>0.96078431372549011</v>
      </c>
      <c r="J23" cm="1">
        <f t="array" ref="J23">INT(G23)+IF(100-SUM(INT(G$19:G$26))&gt;=RANK(I23,I$19:I$26)+COUNTIF(I$19:I23,I23)-1,1,0)</f>
        <v>2</v>
      </c>
      <c r="K23" t="str">
        <f>_xlfn.XLOOKUP(B23,BugList!A:A,BugList!H:H)</f>
        <v/>
      </c>
      <c r="L23" t="str">
        <f>IF(K23 = "","",_xlfn.XLOOKUP(B23, BugList!A:A,BugList!B:B,""))</f>
        <v/>
      </c>
      <c r="M23">
        <f>_xlfn.XLOOKUP(D23,BugList!C:C,BugList!N:N)</f>
        <v>4</v>
      </c>
      <c r="N23">
        <f>_xlfn.XLOOKUP(B23,BugList!A:A,BugList!R:R)</f>
        <v>4</v>
      </c>
      <c r="Q23" t="b">
        <f>SUMPRODUCT(COUNTIF(_xlfn.XLOOKUP(B23,BugList!A:A,BugList!V:V), "*cn*"))&gt;0</f>
        <v>1</v>
      </c>
      <c r="S23" t="str">
        <f>_xlfn.XLOOKUP(B23,BugList!A:A,BugList!W:W)</f>
        <v/>
      </c>
      <c r="T23">
        <f t="shared" si="0"/>
        <v>8</v>
      </c>
      <c r="U23">
        <f t="shared" si="1"/>
        <v>8</v>
      </c>
    </row>
    <row r="24" spans="1:21">
      <c r="A24" t="s">
        <v>122</v>
      </c>
      <c r="B24">
        <v>1088</v>
      </c>
      <c r="D24" t="s">
        <v>90</v>
      </c>
      <c r="E24" t="s">
        <v>90</v>
      </c>
      <c r="F24">
        <v>1</v>
      </c>
      <c r="G24">
        <f t="shared" si="2"/>
        <v>0.98039215686274506</v>
      </c>
      <c r="H24">
        <f t="shared" si="3"/>
        <v>0</v>
      </c>
      <c r="I24">
        <f t="shared" si="4"/>
        <v>0.98039215686274506</v>
      </c>
      <c r="J24" cm="1">
        <f t="array" ref="J24">INT(G24)+IF(100-SUM(INT(G$19:G$26))&gt;=RANK(I24,I$19:I$26)+COUNTIF(I$19:I24,I24)-1,1,0)</f>
        <v>1</v>
      </c>
      <c r="K24" t="str">
        <f>_xlfn.XLOOKUP(B24,BugList!A:A,BugList!H:H)</f>
        <v/>
      </c>
      <c r="L24" t="str">
        <f>IF(K24 = "","",_xlfn.XLOOKUP(B24, BugList!A:A,BugList!B:B,""))</f>
        <v/>
      </c>
      <c r="M24">
        <f>_xlfn.XLOOKUP(D24,BugList!C:C,BugList!N:N)</f>
        <v>6</v>
      </c>
      <c r="N24">
        <f>_xlfn.XLOOKUP(B24,BugList!A:A,BugList!R:R)</f>
        <v>6</v>
      </c>
      <c r="Q24" t="b">
        <f>SUMPRODUCT(COUNTIF(_xlfn.XLOOKUP(B24,BugList!A:A,BugList!V:V), "*cn*"))&gt;0</f>
        <v>0</v>
      </c>
      <c r="S24" t="str">
        <f>_xlfn.XLOOKUP(B24,BugList!A:A,BugList!W:W)</f>
        <v/>
      </c>
      <c r="T24">
        <f t="shared" si="0"/>
        <v>6</v>
      </c>
      <c r="U24">
        <f t="shared" si="1"/>
        <v>6</v>
      </c>
    </row>
    <row r="25" spans="1:21">
      <c r="A25" t="s">
        <v>122</v>
      </c>
      <c r="B25">
        <v>1614</v>
      </c>
      <c r="D25" t="s">
        <v>92</v>
      </c>
      <c r="E25" t="s">
        <v>92</v>
      </c>
      <c r="F25">
        <v>1</v>
      </c>
      <c r="G25">
        <f t="shared" si="2"/>
        <v>0.98039215686274506</v>
      </c>
      <c r="H25">
        <f t="shared" si="3"/>
        <v>0</v>
      </c>
      <c r="I25">
        <f t="shared" si="4"/>
        <v>0.98039215686274506</v>
      </c>
      <c r="J25" cm="1">
        <f t="array" ref="J25">INT(G25)+IF(100-SUM(INT(G$19:G$26))&gt;=RANK(I25,I$19:I$26)+COUNTIF(I$19:I25,I25)-1,1,0)</f>
        <v>1</v>
      </c>
      <c r="K25" t="str">
        <f>_xlfn.XLOOKUP(B25,BugList!A:A,BugList!H:H)</f>
        <v/>
      </c>
      <c r="L25" t="str">
        <f>IF(K25 = "","",_xlfn.XLOOKUP(B25, BugList!A:A,BugList!B:B,""))</f>
        <v/>
      </c>
      <c r="M25">
        <f>_xlfn.XLOOKUP(D25,BugList!C:C,BugList!N:N)</f>
        <v>8</v>
      </c>
      <c r="N25">
        <f>_xlfn.XLOOKUP(B25,BugList!A:A,BugList!R:R)</f>
        <v>8</v>
      </c>
      <c r="Q25" t="b">
        <f>SUMPRODUCT(COUNTIF(_xlfn.XLOOKUP(B25,BugList!A:A,BugList!V:V), "*cn*"))&gt;0</f>
        <v>0</v>
      </c>
      <c r="S25" t="str">
        <f>_xlfn.XLOOKUP(B25,BugList!A:A,BugList!W:W)</f>
        <v/>
      </c>
      <c r="T25">
        <f t="shared" si="0"/>
        <v>8</v>
      </c>
      <c r="U25">
        <f t="shared" si="1"/>
        <v>8</v>
      </c>
    </row>
    <row r="26" spans="1:21">
      <c r="A26" t="s">
        <v>122</v>
      </c>
      <c r="B26">
        <v>1696</v>
      </c>
      <c r="D26" t="s">
        <v>94</v>
      </c>
      <c r="E26" t="s">
        <v>94</v>
      </c>
      <c r="F26">
        <v>1</v>
      </c>
      <c r="G26">
        <f t="shared" si="2"/>
        <v>0.98039215686274506</v>
      </c>
      <c r="H26">
        <f t="shared" si="3"/>
        <v>0</v>
      </c>
      <c r="I26">
        <f t="shared" si="4"/>
        <v>0.98039215686274506</v>
      </c>
      <c r="J26" cm="1">
        <f t="array" ref="J26">INT(G26)+IF(100-SUM(INT(G$19:G$26))&gt;=RANK(I26,I$19:I$26)+COUNTIF(I$19:I26,I26)-1,1,0)</f>
        <v>1</v>
      </c>
      <c r="K26" t="str">
        <f>_xlfn.XLOOKUP(B26,BugList!A:A,BugList!H:H)</f>
        <v/>
      </c>
      <c r="L26" t="str">
        <f>IF(K26 = "","",_xlfn.XLOOKUP(B26, BugList!A:A,BugList!B:B,""))</f>
        <v/>
      </c>
      <c r="M26">
        <f>_xlfn.XLOOKUP(D26,BugList!C:C,BugList!N:N)</f>
        <v>8</v>
      </c>
      <c r="N26">
        <f>_xlfn.XLOOKUP(B26,BugList!A:A,BugList!R:R)</f>
        <v>8</v>
      </c>
      <c r="Q26" t="b">
        <f>SUMPRODUCT(COUNTIF(_xlfn.XLOOKUP(B26,BugList!A:A,BugList!V:V), "*cn*"))&gt;0</f>
        <v>0</v>
      </c>
      <c r="S26" t="str">
        <f>_xlfn.XLOOKUP(B26,BugList!A:A,BugList!W:W)</f>
        <v/>
      </c>
      <c r="T26">
        <f t="shared" si="0"/>
        <v>8</v>
      </c>
      <c r="U26">
        <f t="shared" si="1"/>
        <v>8</v>
      </c>
    </row>
    <row r="27" spans="1:21" s="25" customFormat="1">
      <c r="A27" t="s">
        <v>95</v>
      </c>
      <c r="B27">
        <v>88</v>
      </c>
      <c r="C27"/>
      <c r="D27" t="s">
        <v>85</v>
      </c>
      <c r="E27" t="s">
        <v>85</v>
      </c>
      <c r="F27">
        <v>39</v>
      </c>
      <c r="G27">
        <f t="shared" si="2"/>
        <v>15.6</v>
      </c>
      <c r="H27">
        <f t="shared" si="3"/>
        <v>15</v>
      </c>
      <c r="I27">
        <f t="shared" si="4"/>
        <v>0.59999999999999964</v>
      </c>
      <c r="J27" cm="1">
        <f t="array" ref="J27">INT(G27)+IF(100-SUM(INT(G$27:G$40))&gt;=RANK(I27,I$27:I$40)+COUNTIF(I$27:I27,I27)-1,1,0)</f>
        <v>16</v>
      </c>
      <c r="K27" t="str">
        <f>_xlfn.XLOOKUP(B27,BugList!A:A,BugList!H:H)</f>
        <v/>
      </c>
      <c r="L27" t="str">
        <f>IF(K27 = "","",_xlfn.XLOOKUP(B27, BugList!A:A,BugList!B:B,""))</f>
        <v/>
      </c>
      <c r="M27">
        <f>_xlfn.XLOOKUP(D27,BugList!C:C,BugList!N:N)</f>
        <v>4</v>
      </c>
      <c r="N27">
        <f>_xlfn.XLOOKUP(B27,BugList!A:A,BugList!R:R)</f>
        <v>4</v>
      </c>
      <c r="O27"/>
      <c r="P27"/>
      <c r="Q27" t="b">
        <f>SUMPRODUCT(COUNTIF(_xlfn.XLOOKUP(B27,BugList!A:A,BugList!V:V), "*cn*"))&gt;0</f>
        <v>0</v>
      </c>
      <c r="R27"/>
      <c r="S27" t="str">
        <f>_xlfn.XLOOKUP(B27,BugList!A:A,BugList!W:W)</f>
        <v/>
      </c>
      <c r="T27">
        <f t="shared" si="0"/>
        <v>64</v>
      </c>
      <c r="U27">
        <f t="shared" si="1"/>
        <v>64</v>
      </c>
    </row>
    <row r="28" spans="1:21" s="25" customFormat="1">
      <c r="A28" t="s">
        <v>95</v>
      </c>
      <c r="B28">
        <v>380</v>
      </c>
      <c r="C28"/>
      <c r="D28" t="s">
        <v>88</v>
      </c>
      <c r="E28" t="s">
        <v>88</v>
      </c>
      <c r="F28">
        <v>35</v>
      </c>
      <c r="G28">
        <f t="shared" si="2"/>
        <v>14.000000000000002</v>
      </c>
      <c r="H28">
        <f t="shared" si="3"/>
        <v>14</v>
      </c>
      <c r="I28">
        <f t="shared" si="4"/>
        <v>0</v>
      </c>
      <c r="J28" cm="1">
        <f t="array" ref="J28">INT(G28)+IF(100-SUM(INT(G$27:G$40))&gt;=RANK(I28,I$27:I$40)+COUNTIF(I$27:I28,I28)-1,1,0)</f>
        <v>14</v>
      </c>
      <c r="K28" t="str">
        <f>_xlfn.XLOOKUP(B28,BugList!A:A,BugList!H:H)</f>
        <v/>
      </c>
      <c r="L28" t="str">
        <f>IF(K28 = "","",_xlfn.XLOOKUP(B28, BugList!A:A,BugList!B:B,""))</f>
        <v/>
      </c>
      <c r="M28">
        <f>_xlfn.XLOOKUP(D28,BugList!C:C,BugList!N:N)</f>
        <v>8</v>
      </c>
      <c r="N28">
        <f>_xlfn.XLOOKUP(B28,BugList!A:A,BugList!R:R)</f>
        <v>6</v>
      </c>
      <c r="O28" t="b">
        <f>_xlfn.XLOOKUP(B28,BugList!A:A,BugList!L:L)</f>
        <v>0</v>
      </c>
      <c r="P28" t="b">
        <f t="shared" ref="P28:P65" si="5">IF(K28="*",IF(D28="Hydropsychidae", IF(E28="Diplectrona",TRUE,FALSE),TRUE),FALSE)</f>
        <v>0</v>
      </c>
      <c r="Q28"/>
      <c r="R28" t="b">
        <f>SUMPRODUCT(COUNTIF(_xlfn.XLOOKUP(B28,BugList!A:A,BugList!P:P), "*SC*"))&gt;0</f>
        <v>0</v>
      </c>
      <c r="S28" t="str">
        <f>_xlfn.XLOOKUP(B28,BugList!A:A,BugList!W:W)</f>
        <v/>
      </c>
      <c r="T28">
        <f t="shared" si="0"/>
        <v>112</v>
      </c>
      <c r="U28">
        <f t="shared" si="1"/>
        <v>84</v>
      </c>
    </row>
    <row r="29" spans="1:21" s="25" customFormat="1">
      <c r="A29" t="s">
        <v>95</v>
      </c>
      <c r="B29">
        <v>450</v>
      </c>
      <c r="C29"/>
      <c r="D29" t="s">
        <v>96</v>
      </c>
      <c r="E29" t="s">
        <v>96</v>
      </c>
      <c r="F29">
        <v>1</v>
      </c>
      <c r="G29">
        <f t="shared" si="2"/>
        <v>0.4</v>
      </c>
      <c r="H29">
        <f t="shared" si="3"/>
        <v>0</v>
      </c>
      <c r="I29">
        <f t="shared" si="4"/>
        <v>0.4</v>
      </c>
      <c r="J29" cm="1">
        <f t="array" ref="J29">INT(G29)+IF(100-SUM(INT(G$27:G$40))&gt;=RANK(I29,I$27:I$40)+COUNTIF(I$27:I29,I29)-1,1,0)</f>
        <v>1</v>
      </c>
      <c r="K29" t="str">
        <f>_xlfn.XLOOKUP(B29,BugList!A:A,BugList!H:H)</f>
        <v>*</v>
      </c>
      <c r="L29" t="str">
        <f>IF(K29 = "","",_xlfn.XLOOKUP(B29, BugList!A:A,BugList!B:B,""))</f>
        <v>Ephemeroptera</v>
      </c>
      <c r="M29">
        <f>_xlfn.XLOOKUP(D29,BugList!C:C,BugList!N:N)</f>
        <v>4</v>
      </c>
      <c r="N29">
        <f>_xlfn.XLOOKUP(B29,BugList!A:A,BugList!R:R)</f>
        <v>4</v>
      </c>
      <c r="O29" t="b">
        <f>_xlfn.XLOOKUP(B29,BugList!A:A,BugList!L:L)</f>
        <v>1</v>
      </c>
      <c r="P29" t="b">
        <f t="shared" si="5"/>
        <v>1</v>
      </c>
      <c r="Q29"/>
      <c r="R29" t="b">
        <f>SUMPRODUCT(COUNTIF(_xlfn.XLOOKUP(B29,BugList!A:A,BugList!P:P), "*SC*"))&gt;0</f>
        <v>1</v>
      </c>
      <c r="S29" t="str">
        <f>_xlfn.XLOOKUP(B29,BugList!A:A,BugList!W:W)</f>
        <v>3</v>
      </c>
      <c r="T29">
        <f t="shared" si="0"/>
        <v>4</v>
      </c>
      <c r="U29">
        <f t="shared" si="1"/>
        <v>4</v>
      </c>
    </row>
    <row r="30" spans="1:21" s="25" customFormat="1">
      <c r="A30" t="s">
        <v>95</v>
      </c>
      <c r="B30">
        <v>602</v>
      </c>
      <c r="C30"/>
      <c r="D30" t="s">
        <v>97</v>
      </c>
      <c r="E30" t="s">
        <v>97</v>
      </c>
      <c r="F30">
        <v>8</v>
      </c>
      <c r="G30">
        <f t="shared" si="2"/>
        <v>3.2</v>
      </c>
      <c r="H30">
        <f t="shared" si="3"/>
        <v>3</v>
      </c>
      <c r="I30">
        <f t="shared" si="4"/>
        <v>0.20000000000000018</v>
      </c>
      <c r="J30" cm="1">
        <f t="array" ref="J30">INT(G30)+IF(100-SUM(INT(G$27:G$40))&gt;=RANK(I30,I$27:I$40)+COUNTIF(I$27:I30,I30)-1,1,0)</f>
        <v>3</v>
      </c>
      <c r="K30" t="str">
        <f>_xlfn.XLOOKUP(B30,BugList!A:A,BugList!H:H)</f>
        <v/>
      </c>
      <c r="L30" t="str">
        <f>IF(K30 = "","",_xlfn.XLOOKUP(B30, BugList!A:A,BugList!B:B,""))</f>
        <v/>
      </c>
      <c r="M30">
        <f>_xlfn.XLOOKUP(D30,BugList!C:C,BugList!N:N)</f>
        <v>9</v>
      </c>
      <c r="N30">
        <f>_xlfn.XLOOKUP(B30,BugList!A:A,BugList!R:R)</f>
        <v>9</v>
      </c>
      <c r="O30" t="b">
        <f>_xlfn.XLOOKUP(B30,BugList!A:A,BugList!L:L)</f>
        <v>1</v>
      </c>
      <c r="P30" t="b">
        <f t="shared" si="5"/>
        <v>0</v>
      </c>
      <c r="Q30"/>
      <c r="R30" t="b">
        <f>SUMPRODUCT(COUNTIF(_xlfn.XLOOKUP(B30,BugList!A:A,BugList!P:P), "*SC*"))&gt;0</f>
        <v>0</v>
      </c>
      <c r="S30" t="str">
        <f>_xlfn.XLOOKUP(B30,BugList!A:A,BugList!W:W)</f>
        <v/>
      </c>
      <c r="T30">
        <f t="shared" si="0"/>
        <v>27</v>
      </c>
      <c r="U30">
        <f t="shared" si="1"/>
        <v>27</v>
      </c>
    </row>
    <row r="31" spans="1:21" s="25" customFormat="1">
      <c r="A31" t="s">
        <v>95</v>
      </c>
      <c r="B31">
        <v>794</v>
      </c>
      <c r="C31"/>
      <c r="D31" t="s">
        <v>89</v>
      </c>
      <c r="E31" t="s">
        <v>89</v>
      </c>
      <c r="F31">
        <v>23</v>
      </c>
      <c r="G31">
        <f t="shared" si="2"/>
        <v>9.1999999999999993</v>
      </c>
      <c r="H31">
        <f t="shared" si="3"/>
        <v>9</v>
      </c>
      <c r="I31">
        <f t="shared" si="4"/>
        <v>0.19999999999999929</v>
      </c>
      <c r="J31" cm="1">
        <f t="array" ref="J31">INT(G31)+IF(100-SUM(INT(G$27:G$40))&gt;=RANK(I31,I$27:I$40)+COUNTIF(I$27:I31,I31)-1,1,0)</f>
        <v>9</v>
      </c>
      <c r="K31" t="str">
        <f>_xlfn.XLOOKUP(B31,BugList!A:A,BugList!H:H)</f>
        <v>*</v>
      </c>
      <c r="L31" t="str">
        <f>IF(K31 = "","",_xlfn.XLOOKUP(B31, BugList!A:A,BugList!B:B,""))</f>
        <v>Trichoptera</v>
      </c>
      <c r="M31">
        <f>_xlfn.XLOOKUP(D31,BugList!C:C,BugList!N:N)</f>
        <v>4</v>
      </c>
      <c r="N31">
        <f>_xlfn.XLOOKUP(B31,BugList!A:A,BugList!R:R)</f>
        <v>4</v>
      </c>
      <c r="O31" t="b">
        <f>_xlfn.XLOOKUP(B31,BugList!A:A,BugList!L:L)</f>
        <v>1</v>
      </c>
      <c r="P31" t="b">
        <f t="shared" si="5"/>
        <v>0</v>
      </c>
      <c r="Q31"/>
      <c r="R31" t="b">
        <f>SUMPRODUCT(COUNTIF(_xlfn.XLOOKUP(B31,BugList!A:A,BugList!P:P), "*SC*"))&gt;0</f>
        <v>0</v>
      </c>
      <c r="S31" t="str">
        <f>_xlfn.XLOOKUP(B31,BugList!A:A,BugList!W:W)</f>
        <v/>
      </c>
      <c r="T31">
        <f t="shared" si="0"/>
        <v>36</v>
      </c>
      <c r="U31">
        <f t="shared" si="1"/>
        <v>36</v>
      </c>
    </row>
    <row r="32" spans="1:21" s="25" customFormat="1">
      <c r="A32" t="s">
        <v>95</v>
      </c>
      <c r="B32">
        <v>935</v>
      </c>
      <c r="C32"/>
      <c r="D32" t="s">
        <v>98</v>
      </c>
      <c r="E32" t="s">
        <v>98</v>
      </c>
      <c r="F32">
        <v>1</v>
      </c>
      <c r="G32">
        <f t="shared" si="2"/>
        <v>0.4</v>
      </c>
      <c r="H32">
        <f t="shared" si="3"/>
        <v>0</v>
      </c>
      <c r="I32">
        <f t="shared" si="4"/>
        <v>0.4</v>
      </c>
      <c r="J32" cm="1">
        <f t="array" ref="J32">INT(G32)+IF(100-SUM(INT(G$27:G$40))&gt;=RANK(I32,I$27:I$40)+COUNTIF(I$27:I32,I32)-1,1,0)</f>
        <v>0</v>
      </c>
      <c r="K32" t="str">
        <f>_xlfn.XLOOKUP(B32,BugList!A:A,BugList!H:H)</f>
        <v/>
      </c>
      <c r="L32" t="str">
        <f>IF(K32 = "","",_xlfn.XLOOKUP(B32, BugList!A:A,BugList!B:B,""))</f>
        <v/>
      </c>
      <c r="M32">
        <f>_xlfn.XLOOKUP(D32,BugList!C:C,BugList!N:N)</f>
        <v>4</v>
      </c>
      <c r="N32">
        <f>_xlfn.XLOOKUP(B32,BugList!A:A,BugList!R:R)</f>
        <v>4</v>
      </c>
      <c r="O32" t="b">
        <f>_xlfn.XLOOKUP(B32,BugList!A:A,BugList!L:L)</f>
        <v>1</v>
      </c>
      <c r="P32" t="b">
        <f t="shared" si="5"/>
        <v>0</v>
      </c>
      <c r="Q32"/>
      <c r="R32" t="b">
        <f>SUMPRODUCT(COUNTIF(_xlfn.XLOOKUP(B32,BugList!A:A,BugList!P:P), "*SC*"))&gt;0</f>
        <v>1</v>
      </c>
      <c r="S32" t="str">
        <f>_xlfn.XLOOKUP(B32,BugList!A:A,BugList!W:W)</f>
        <v/>
      </c>
      <c r="T32">
        <f t="shared" si="0"/>
        <v>0</v>
      </c>
      <c r="U32">
        <f t="shared" si="1"/>
        <v>0</v>
      </c>
    </row>
    <row r="33" spans="1:21" s="25" customFormat="1">
      <c r="A33" t="s">
        <v>95</v>
      </c>
      <c r="B33">
        <v>961</v>
      </c>
      <c r="C33"/>
      <c r="D33" t="s">
        <v>99</v>
      </c>
      <c r="E33" t="s">
        <v>99</v>
      </c>
      <c r="F33">
        <v>56</v>
      </c>
      <c r="G33">
        <f t="shared" si="2"/>
        <v>22.400000000000002</v>
      </c>
      <c r="H33">
        <f t="shared" si="3"/>
        <v>22</v>
      </c>
      <c r="I33">
        <f t="shared" si="4"/>
        <v>0.40000000000000213</v>
      </c>
      <c r="J33" cm="1">
        <f t="array" ref="J33">INT(G33)+IF(100-SUM(INT(G$27:G$40))&gt;=RANK(I33,I$27:I$40)+COUNTIF(I$27:I33,I33)-1,1,0)</f>
        <v>23</v>
      </c>
      <c r="K33" t="str">
        <f>_xlfn.XLOOKUP(B33,BugList!A:A,BugList!H:H)</f>
        <v/>
      </c>
      <c r="L33" t="str">
        <f>IF(K33 = "","",_xlfn.XLOOKUP(B33, BugList!A:A,BugList!B:B,""))</f>
        <v/>
      </c>
      <c r="M33">
        <f>_xlfn.XLOOKUP(D33,BugList!C:C,BugList!N:N)</f>
        <v>5</v>
      </c>
      <c r="N33">
        <f>_xlfn.XLOOKUP(B33,BugList!A:A,BugList!R:R)</f>
        <v>5</v>
      </c>
      <c r="O33" t="b">
        <f>_xlfn.XLOOKUP(B33,BugList!A:A,BugList!L:L)</f>
        <v>1</v>
      </c>
      <c r="P33" t="b">
        <f t="shared" si="5"/>
        <v>0</v>
      </c>
      <c r="Q33"/>
      <c r="R33" t="b">
        <f>SUMPRODUCT(COUNTIF(_xlfn.XLOOKUP(B33,BugList!A:A,BugList!P:P), "*SC*"))&gt;0</f>
        <v>0</v>
      </c>
      <c r="S33" t="str">
        <f>_xlfn.XLOOKUP(B33,BugList!A:A,BugList!W:W)</f>
        <v/>
      </c>
      <c r="T33">
        <f t="shared" si="0"/>
        <v>115</v>
      </c>
      <c r="U33">
        <f t="shared" si="1"/>
        <v>115</v>
      </c>
    </row>
    <row r="34" spans="1:21" s="25" customFormat="1">
      <c r="A34" t="s">
        <v>95</v>
      </c>
      <c r="B34">
        <v>1002</v>
      </c>
      <c r="C34"/>
      <c r="D34" t="s">
        <v>100</v>
      </c>
      <c r="E34" t="s">
        <v>100</v>
      </c>
      <c r="F34">
        <v>13</v>
      </c>
      <c r="G34">
        <f t="shared" ref="G34:G65" si="6">(F34/(SUMIFS(F:F,A:A,A34))*100)</f>
        <v>5.2</v>
      </c>
      <c r="H34">
        <f t="shared" ref="H34:H65" si="7">INT(G34)</f>
        <v>5</v>
      </c>
      <c r="I34">
        <f t="shared" ref="I34:I65" si="8">G34-H34</f>
        <v>0.20000000000000018</v>
      </c>
      <c r="J34" cm="1">
        <f t="array" ref="J34">INT(G34)+IF(100-SUM(INT(G$27:G$40))&gt;=RANK(I34,I$27:I$40)+COUNTIF(I$27:I34,I34)-1,1,0)</f>
        <v>5</v>
      </c>
      <c r="K34" t="str">
        <f>_xlfn.XLOOKUP(B34,BugList!A:A,BugList!H:H)</f>
        <v/>
      </c>
      <c r="L34" t="str">
        <f>IF(K34 = "","",_xlfn.XLOOKUP(B34, BugList!A:A,BugList!B:B,""))</f>
        <v/>
      </c>
      <c r="M34">
        <f>_xlfn.XLOOKUP(D34,BugList!C:C,BugList!N:N)</f>
        <v>4</v>
      </c>
      <c r="N34">
        <f>_xlfn.XLOOKUP(B34,BugList!A:A,BugList!R:R)</f>
        <v>4</v>
      </c>
      <c r="O34" t="b">
        <f>_xlfn.XLOOKUP(B34,BugList!A:A,BugList!L:L)</f>
        <v>1</v>
      </c>
      <c r="P34" t="b">
        <f t="shared" si="5"/>
        <v>0</v>
      </c>
      <c r="Q34"/>
      <c r="R34" t="b">
        <f>SUMPRODUCT(COUNTIF(_xlfn.XLOOKUP(B34,BugList!A:A,BugList!P:P), "*SC*"))&gt;0</f>
        <v>1</v>
      </c>
      <c r="S34" t="str">
        <f>_xlfn.XLOOKUP(B34,BugList!A:A,BugList!W:W)</f>
        <v/>
      </c>
      <c r="T34">
        <f t="shared" si="0"/>
        <v>20</v>
      </c>
      <c r="U34">
        <f t="shared" si="1"/>
        <v>20</v>
      </c>
    </row>
    <row r="35" spans="1:21" s="25" customFormat="1">
      <c r="A35" t="s">
        <v>95</v>
      </c>
      <c r="B35">
        <v>1088</v>
      </c>
      <c r="C35"/>
      <c r="D35" t="s">
        <v>90</v>
      </c>
      <c r="E35" t="s">
        <v>90</v>
      </c>
      <c r="F35">
        <v>28</v>
      </c>
      <c r="G35">
        <f t="shared" si="6"/>
        <v>11.200000000000001</v>
      </c>
      <c r="H35">
        <f t="shared" si="7"/>
        <v>11</v>
      </c>
      <c r="I35">
        <f t="shared" si="8"/>
        <v>0.20000000000000107</v>
      </c>
      <c r="J35" cm="1">
        <f t="array" ref="J35">INT(G35)+IF(100-SUM(INT(G$27:G$40))&gt;=RANK(I35,I$27:I$40)+COUNTIF(I$27:I35,I35)-1,1,0)</f>
        <v>11</v>
      </c>
      <c r="K35" t="str">
        <f>_xlfn.XLOOKUP(B35,BugList!A:A,BugList!H:H)</f>
        <v/>
      </c>
      <c r="L35" t="str">
        <f>IF(K35 = "","",_xlfn.XLOOKUP(B35, BugList!A:A,BugList!B:B,""))</f>
        <v/>
      </c>
      <c r="M35">
        <f>_xlfn.XLOOKUP(D35,BugList!C:C,BugList!N:N)</f>
        <v>6</v>
      </c>
      <c r="N35">
        <f>_xlfn.XLOOKUP(B35,BugList!A:A,BugList!R:R)</f>
        <v>6</v>
      </c>
      <c r="O35" t="b">
        <f>_xlfn.XLOOKUP(B35,BugList!A:A,BugList!L:L)</f>
        <v>1</v>
      </c>
      <c r="P35" t="b">
        <f t="shared" si="5"/>
        <v>0</v>
      </c>
      <c r="Q35"/>
      <c r="R35" t="b">
        <f>SUMPRODUCT(COUNTIF(_xlfn.XLOOKUP(B35,BugList!A:A,BugList!P:P), "*SC*"))&gt;0</f>
        <v>0</v>
      </c>
      <c r="S35" t="str">
        <f>_xlfn.XLOOKUP(B35,BugList!A:A,BugList!W:W)</f>
        <v/>
      </c>
      <c r="T35">
        <f t="shared" si="0"/>
        <v>66</v>
      </c>
      <c r="U35">
        <f t="shared" si="1"/>
        <v>66</v>
      </c>
    </row>
    <row r="36" spans="1:21" s="25" customFormat="1">
      <c r="A36" t="s">
        <v>95</v>
      </c>
      <c r="B36">
        <v>1436</v>
      </c>
      <c r="C36"/>
      <c r="D36" t="s">
        <v>101</v>
      </c>
      <c r="E36" t="s">
        <v>101</v>
      </c>
      <c r="F36">
        <v>40</v>
      </c>
      <c r="G36">
        <f t="shared" si="6"/>
        <v>16</v>
      </c>
      <c r="H36">
        <f t="shared" si="7"/>
        <v>16</v>
      </c>
      <c r="I36">
        <f t="shared" si="8"/>
        <v>0</v>
      </c>
      <c r="J36" cm="1">
        <f t="array" ref="J36">INT(G36)+IF(100-SUM(INT(G$27:G$40))&gt;=RANK(I36,I$27:I$40)+COUNTIF(I$27:I36,I36)-1,1,0)</f>
        <v>16</v>
      </c>
      <c r="K36" t="str">
        <f>_xlfn.XLOOKUP(B36,BugList!A:A,BugList!H:H)</f>
        <v/>
      </c>
      <c r="L36" t="str">
        <f>IF(K36 = "","",_xlfn.XLOOKUP(B36, BugList!A:A,BugList!B:B,""))</f>
        <v/>
      </c>
      <c r="M36">
        <f>_xlfn.XLOOKUP(D36,BugList!C:C,BugList!N:N)</f>
        <v>6</v>
      </c>
      <c r="N36">
        <f>_xlfn.XLOOKUP(B36,BugList!A:A,BugList!R:R)</f>
        <v>6</v>
      </c>
      <c r="O36" t="b">
        <f>_xlfn.XLOOKUP(B36,BugList!A:A,BugList!L:L)</f>
        <v>1</v>
      </c>
      <c r="P36" t="b">
        <f t="shared" si="5"/>
        <v>0</v>
      </c>
      <c r="Q36"/>
      <c r="R36" t="b">
        <f>SUMPRODUCT(COUNTIF(_xlfn.XLOOKUP(B36,BugList!A:A,BugList!P:P), "*SC*"))&gt;0</f>
        <v>0</v>
      </c>
      <c r="S36" t="str">
        <f>_xlfn.XLOOKUP(B36,BugList!A:A,BugList!W:W)</f>
        <v/>
      </c>
      <c r="T36">
        <f t="shared" si="0"/>
        <v>96</v>
      </c>
      <c r="U36">
        <f t="shared" si="1"/>
        <v>96</v>
      </c>
    </row>
    <row r="37" spans="1:21" s="25" customFormat="1">
      <c r="A37" t="s">
        <v>95</v>
      </c>
      <c r="B37">
        <v>1578</v>
      </c>
      <c r="C37"/>
      <c r="D37" t="s">
        <v>102</v>
      </c>
      <c r="E37" t="s">
        <v>102</v>
      </c>
      <c r="F37">
        <v>1</v>
      </c>
      <c r="G37">
        <f t="shared" si="6"/>
        <v>0.4</v>
      </c>
      <c r="H37">
        <f t="shared" si="7"/>
        <v>0</v>
      </c>
      <c r="I37">
        <f t="shared" si="8"/>
        <v>0.4</v>
      </c>
      <c r="J37" cm="1">
        <f t="array" ref="J37">INT(G37)+IF(100-SUM(INT(G$27:G$40))&gt;=RANK(I37,I$27:I$40)+COUNTIF(I$27:I37,I37)-1,1,0)</f>
        <v>0</v>
      </c>
      <c r="K37" t="str">
        <f>_xlfn.XLOOKUP(B37,BugList!A:A,BugList!H:H)</f>
        <v/>
      </c>
      <c r="L37" t="str">
        <f>IF(K37 = "","",_xlfn.XLOOKUP(B37, BugList!A:A,BugList!B:B,""))</f>
        <v/>
      </c>
      <c r="M37">
        <f>_xlfn.XLOOKUP(D37,BugList!C:C,BugList!N:N)</f>
        <v>7</v>
      </c>
      <c r="N37">
        <f>_xlfn.XLOOKUP(B37,BugList!A:A,BugList!R:R)</f>
        <v>7</v>
      </c>
      <c r="O37" t="b">
        <f>_xlfn.XLOOKUP(B37,BugList!A:A,BugList!L:L)</f>
        <v>0</v>
      </c>
      <c r="P37" t="b">
        <f t="shared" si="5"/>
        <v>0</v>
      </c>
      <c r="Q37"/>
      <c r="R37" t="b">
        <f>SUMPRODUCT(COUNTIF(_xlfn.XLOOKUP(B37,BugList!A:A,BugList!P:P), "*SC*"))&gt;0</f>
        <v>0</v>
      </c>
      <c r="S37" t="str">
        <f>_xlfn.XLOOKUP(B37,BugList!A:A,BugList!W:W)</f>
        <v/>
      </c>
      <c r="T37">
        <f t="shared" si="0"/>
        <v>0</v>
      </c>
      <c r="U37">
        <f t="shared" si="1"/>
        <v>0</v>
      </c>
    </row>
    <row r="38" spans="1:21" s="25" customFormat="1">
      <c r="A38" t="s">
        <v>95</v>
      </c>
      <c r="B38">
        <v>1614</v>
      </c>
      <c r="C38"/>
      <c r="D38" t="s">
        <v>92</v>
      </c>
      <c r="E38" t="s">
        <v>92</v>
      </c>
      <c r="F38">
        <v>1</v>
      </c>
      <c r="G38">
        <f t="shared" si="6"/>
        <v>0.4</v>
      </c>
      <c r="H38">
        <f t="shared" si="7"/>
        <v>0</v>
      </c>
      <c r="I38">
        <f t="shared" si="8"/>
        <v>0.4</v>
      </c>
      <c r="J38" cm="1">
        <f t="array" ref="J38">INT(G38)+IF(100-SUM(INT(G$27:G$40))&gt;=RANK(I38,I$27:I$40)+COUNTIF(I$27:I38,I38)-1,1,0)</f>
        <v>0</v>
      </c>
      <c r="K38" t="str">
        <f>_xlfn.XLOOKUP(B38,BugList!A:A,BugList!H:H)</f>
        <v/>
      </c>
      <c r="L38" t="str">
        <f>IF(K38 = "","",_xlfn.XLOOKUP(B38, BugList!A:A,BugList!B:B,""))</f>
        <v/>
      </c>
      <c r="M38">
        <f>_xlfn.XLOOKUP(D38,BugList!C:C,BugList!N:N)</f>
        <v>8</v>
      </c>
      <c r="N38">
        <f>_xlfn.XLOOKUP(B38,BugList!A:A,BugList!R:R)</f>
        <v>8</v>
      </c>
      <c r="O38" t="b">
        <f>_xlfn.XLOOKUP(B38,BugList!A:A,BugList!L:L)</f>
        <v>0</v>
      </c>
      <c r="P38" t="b">
        <f t="shared" si="5"/>
        <v>0</v>
      </c>
      <c r="Q38"/>
      <c r="R38" t="b">
        <f>SUMPRODUCT(COUNTIF(_xlfn.XLOOKUP(B38,BugList!A:A,BugList!P:P), "*SC*"))&gt;0</f>
        <v>0</v>
      </c>
      <c r="S38" t="str">
        <f>_xlfn.XLOOKUP(B38,BugList!A:A,BugList!W:W)</f>
        <v/>
      </c>
      <c r="T38">
        <f t="shared" si="0"/>
        <v>0</v>
      </c>
      <c r="U38">
        <f t="shared" si="1"/>
        <v>0</v>
      </c>
    </row>
    <row r="39" spans="1:21" s="25" customFormat="1">
      <c r="A39" t="s">
        <v>95</v>
      </c>
      <c r="B39">
        <v>1629</v>
      </c>
      <c r="C39"/>
      <c r="D39" t="s">
        <v>93</v>
      </c>
      <c r="E39" t="s">
        <v>93</v>
      </c>
      <c r="F39">
        <v>2</v>
      </c>
      <c r="G39">
        <f t="shared" si="6"/>
        <v>0.8</v>
      </c>
      <c r="H39">
        <f t="shared" si="7"/>
        <v>0</v>
      </c>
      <c r="I39">
        <f t="shared" si="8"/>
        <v>0.8</v>
      </c>
      <c r="J39" cm="1">
        <f t="array" ref="J39">INT(G39)+IF(100-SUM(INT(G$27:G$40))&gt;=RANK(I39,I$27:I$40)+COUNTIF(I$27:I39,I39)-1,1,0)</f>
        <v>1</v>
      </c>
      <c r="K39" t="str">
        <f>_xlfn.XLOOKUP(B39,BugList!A:A,BugList!H:H)</f>
        <v/>
      </c>
      <c r="L39" t="str">
        <f>IF(K39 = "","",_xlfn.XLOOKUP(B39, BugList!A:A,BugList!B:B,""))</f>
        <v/>
      </c>
      <c r="M39">
        <f>_xlfn.XLOOKUP(D39,BugList!C:C,BugList!N:N)</f>
        <v>8</v>
      </c>
      <c r="N39">
        <f>_xlfn.XLOOKUP(B39,BugList!A:A,BugList!R:R)</f>
        <v>8</v>
      </c>
      <c r="O39" t="b">
        <f>_xlfn.XLOOKUP(B39,BugList!A:A,BugList!L:L)</f>
        <v>0</v>
      </c>
      <c r="P39" t="b">
        <f t="shared" si="5"/>
        <v>0</v>
      </c>
      <c r="Q39"/>
      <c r="R39" t="b">
        <f>SUMPRODUCT(COUNTIF(_xlfn.XLOOKUP(B39,BugList!A:A,BugList!P:P), "*SC*"))&gt;0</f>
        <v>0</v>
      </c>
      <c r="S39" t="str">
        <f>_xlfn.XLOOKUP(B39,BugList!A:A,BugList!W:W)</f>
        <v/>
      </c>
      <c r="T39">
        <f t="shared" si="0"/>
        <v>8</v>
      </c>
      <c r="U39">
        <f t="shared" si="1"/>
        <v>8</v>
      </c>
    </row>
    <row r="40" spans="1:21" s="25" customFormat="1">
      <c r="A40" t="s">
        <v>95</v>
      </c>
      <c r="B40">
        <v>1696</v>
      </c>
      <c r="C40"/>
      <c r="D40" t="s">
        <v>94</v>
      </c>
      <c r="E40" t="s">
        <v>94</v>
      </c>
      <c r="F40">
        <v>2</v>
      </c>
      <c r="G40">
        <f t="shared" si="6"/>
        <v>0.8</v>
      </c>
      <c r="H40">
        <f t="shared" si="7"/>
        <v>0</v>
      </c>
      <c r="I40">
        <f t="shared" si="8"/>
        <v>0.8</v>
      </c>
      <c r="J40" cm="1">
        <f t="array" ref="J40">INT(G40)+IF(100-SUM(INT(G$27:G$40))&gt;=RANK(I40,I$27:I$40)+COUNTIF(I$27:I40,I40)-1,1,0)</f>
        <v>1</v>
      </c>
      <c r="K40" t="str">
        <f>_xlfn.XLOOKUP(B40,BugList!A:A,BugList!H:H)</f>
        <v/>
      </c>
      <c r="L40" t="str">
        <f>IF(K40 = "","",_xlfn.XLOOKUP(B40, BugList!A:A,BugList!B:B,""))</f>
        <v/>
      </c>
      <c r="M40">
        <f>_xlfn.XLOOKUP(D40,BugList!C:C,BugList!N:N)</f>
        <v>8</v>
      </c>
      <c r="N40">
        <f>_xlfn.XLOOKUP(B40,BugList!A:A,BugList!R:R)</f>
        <v>8</v>
      </c>
      <c r="O40" t="b">
        <f>_xlfn.XLOOKUP(B40,BugList!A:A,BugList!L:L)</f>
        <v>0</v>
      </c>
      <c r="P40" t="b">
        <f t="shared" si="5"/>
        <v>0</v>
      </c>
      <c r="Q40"/>
      <c r="R40" t="b">
        <f>SUMPRODUCT(COUNTIF(_xlfn.XLOOKUP(B40,BugList!A:A,BugList!P:P), "*SC*"))&gt;0</f>
        <v>0</v>
      </c>
      <c r="S40" t="str">
        <f>_xlfn.XLOOKUP(B40,BugList!A:A,BugList!W:W)</f>
        <v/>
      </c>
      <c r="T40">
        <f t="shared" si="0"/>
        <v>8</v>
      </c>
      <c r="U40">
        <f t="shared" si="1"/>
        <v>8</v>
      </c>
    </row>
    <row r="41" spans="1:21">
      <c r="A41" t="s">
        <v>103</v>
      </c>
      <c r="B41">
        <v>88</v>
      </c>
      <c r="D41" t="s">
        <v>85</v>
      </c>
      <c r="E41" t="s">
        <v>85</v>
      </c>
      <c r="F41">
        <v>1</v>
      </c>
      <c r="G41">
        <f t="shared" si="6"/>
        <v>0.8771929824561403</v>
      </c>
      <c r="H41">
        <f t="shared" si="7"/>
        <v>0</v>
      </c>
      <c r="I41">
        <f t="shared" si="8"/>
        <v>0.8771929824561403</v>
      </c>
      <c r="J41" cm="1">
        <f t="array" ref="J41">INT(G41)+IF(100-SUM(INT(G$41:G$54))&gt;=RANK(I41,I$41:I$54)+COUNTIF(I$41:I41,I41)-1,1,0)</f>
        <v>1</v>
      </c>
      <c r="K41" t="str">
        <f>_xlfn.XLOOKUP(B41,BugList!A:A,BugList!H:H)</f>
        <v/>
      </c>
      <c r="L41" t="str">
        <f>IF(K41 = "","",_xlfn.XLOOKUP(B41, BugList!A:A,BugList!B:B,""))</f>
        <v/>
      </c>
      <c r="M41">
        <f>_xlfn.XLOOKUP(D41,BugList!C:C,BugList!N:N)</f>
        <v>4</v>
      </c>
      <c r="N41">
        <f>_xlfn.XLOOKUP(B41,BugList!A:A,BugList!R:R)</f>
        <v>4</v>
      </c>
      <c r="O41" t="b">
        <f>_xlfn.XLOOKUP(B41,BugList!A:A,BugList!L:L)</f>
        <v>0</v>
      </c>
      <c r="P41" t="b">
        <f t="shared" si="5"/>
        <v>0</v>
      </c>
      <c r="R41" t="b">
        <f>SUMPRODUCT(COUNTIF(_xlfn.XLOOKUP(B41,BugList!A:A,BugList!P:P), "*SC*"))&gt;0</f>
        <v>0</v>
      </c>
      <c r="S41" t="str">
        <f>_xlfn.XLOOKUP(B41,BugList!A:A,BugList!W:W)</f>
        <v/>
      </c>
      <c r="T41">
        <f t="shared" si="0"/>
        <v>4</v>
      </c>
      <c r="U41">
        <f t="shared" si="1"/>
        <v>4</v>
      </c>
    </row>
    <row r="42" spans="1:21">
      <c r="A42" t="s">
        <v>103</v>
      </c>
      <c r="B42">
        <v>380</v>
      </c>
      <c r="D42" t="s">
        <v>88</v>
      </c>
      <c r="E42" t="s">
        <v>88</v>
      </c>
      <c r="F42">
        <v>1</v>
      </c>
      <c r="G42">
        <f t="shared" si="6"/>
        <v>0.8771929824561403</v>
      </c>
      <c r="H42">
        <f t="shared" si="7"/>
        <v>0</v>
      </c>
      <c r="I42">
        <f t="shared" si="8"/>
        <v>0.8771929824561403</v>
      </c>
      <c r="J42" cm="1">
        <f t="array" ref="J42">INT(G42)+IF(100-SUM(INT(G$41:G$54))&gt;=RANK(I42,I$41:I$54)+COUNTIF(I$41:I42,I42)-1,1,0)</f>
        <v>1</v>
      </c>
      <c r="K42" t="str">
        <f>_xlfn.XLOOKUP(B42,BugList!A:A,BugList!H:H)</f>
        <v/>
      </c>
      <c r="L42" t="str">
        <f>IF(K42 = "","",_xlfn.XLOOKUP(B42, BugList!A:A,BugList!B:B,""))</f>
        <v/>
      </c>
      <c r="M42">
        <f>_xlfn.XLOOKUP(D42,BugList!C:C,BugList!N:N)</f>
        <v>8</v>
      </c>
      <c r="N42">
        <f>_xlfn.XLOOKUP(B42,BugList!A:A,BugList!R:R)</f>
        <v>6</v>
      </c>
      <c r="O42" t="b">
        <f>_xlfn.XLOOKUP(B42,BugList!A:A,BugList!L:L)</f>
        <v>0</v>
      </c>
      <c r="P42" t="b">
        <f t="shared" si="5"/>
        <v>0</v>
      </c>
      <c r="R42" t="b">
        <f>SUMPRODUCT(COUNTIF(_xlfn.XLOOKUP(B42,BugList!A:A,BugList!P:P), "*SC*"))&gt;0</f>
        <v>0</v>
      </c>
      <c r="S42" t="str">
        <f>_xlfn.XLOOKUP(B42,BugList!A:A,BugList!W:W)</f>
        <v/>
      </c>
      <c r="T42">
        <f t="shared" si="0"/>
        <v>8</v>
      </c>
      <c r="U42">
        <f t="shared" si="1"/>
        <v>6</v>
      </c>
    </row>
    <row r="43" spans="1:21">
      <c r="A43" t="s">
        <v>103</v>
      </c>
      <c r="B43">
        <v>402</v>
      </c>
      <c r="D43" t="s">
        <v>104</v>
      </c>
      <c r="E43" t="s">
        <v>104</v>
      </c>
      <c r="F43">
        <v>1</v>
      </c>
      <c r="G43">
        <f t="shared" si="6"/>
        <v>0.8771929824561403</v>
      </c>
      <c r="H43">
        <f t="shared" si="7"/>
        <v>0</v>
      </c>
      <c r="I43">
        <f t="shared" si="8"/>
        <v>0.8771929824561403</v>
      </c>
      <c r="J43" cm="1">
        <f t="array" ref="J43">INT(G43)+IF(100-SUM(INT(G$41:G$54))&gt;=RANK(I43,I$41:I$54)+COUNTIF(I$41:I43,I43)-1,1,0)</f>
        <v>1</v>
      </c>
      <c r="K43" t="str">
        <f>_xlfn.XLOOKUP(B43,BugList!A:A,BugList!H:H)</f>
        <v>*</v>
      </c>
      <c r="L43" t="str">
        <f>IF(K43 = "","",_xlfn.XLOOKUP(B43, BugList!A:A,BugList!B:B,""))</f>
        <v>Plecoptera</v>
      </c>
      <c r="M43">
        <f>_xlfn.XLOOKUP(D43,BugList!C:C,BugList!N:N)</f>
        <v>2</v>
      </c>
      <c r="N43">
        <f>_xlfn.XLOOKUP(B43,BugList!A:A,BugList!R:R)</f>
        <v>2</v>
      </c>
      <c r="O43" t="b">
        <f>_xlfn.XLOOKUP(B43,BugList!A:A,BugList!L:L)</f>
        <v>1</v>
      </c>
      <c r="P43" t="b">
        <f t="shared" si="5"/>
        <v>1</v>
      </c>
      <c r="R43" t="b">
        <f>SUMPRODUCT(COUNTIF(_xlfn.XLOOKUP(B43,BugList!A:A,BugList!P:P), "*SC*"))&gt;0</f>
        <v>0</v>
      </c>
      <c r="S43" t="str">
        <f>_xlfn.XLOOKUP(B43,BugList!A:A,BugList!W:W)</f>
        <v/>
      </c>
      <c r="T43">
        <f t="shared" si="0"/>
        <v>2</v>
      </c>
      <c r="U43">
        <f t="shared" si="1"/>
        <v>2</v>
      </c>
    </row>
    <row r="44" spans="1:21">
      <c r="A44" t="s">
        <v>103</v>
      </c>
      <c r="B44">
        <v>421</v>
      </c>
      <c r="D44" t="s">
        <v>105</v>
      </c>
      <c r="E44" t="s">
        <v>105</v>
      </c>
      <c r="F44">
        <v>1</v>
      </c>
      <c r="G44">
        <f t="shared" si="6"/>
        <v>0.8771929824561403</v>
      </c>
      <c r="H44">
        <f t="shared" si="7"/>
        <v>0</v>
      </c>
      <c r="I44">
        <f t="shared" si="8"/>
        <v>0.8771929824561403</v>
      </c>
      <c r="J44" cm="1">
        <f t="array" ref="J44">INT(G44)+IF(100-SUM(INT(G$41:G$54))&gt;=RANK(I44,I$41:I$54)+COUNTIF(I$41:I44,I44)-1,1,0)</f>
        <v>1</v>
      </c>
      <c r="K44" t="str">
        <f>_xlfn.XLOOKUP(B44,BugList!A:A,BugList!H:H)</f>
        <v>*</v>
      </c>
      <c r="L44" t="str">
        <f>IF(K44 = "","",_xlfn.XLOOKUP(B44, BugList!A:A,BugList!B:B,""))</f>
        <v>Plecoptera</v>
      </c>
      <c r="M44">
        <f>_xlfn.XLOOKUP(D44,BugList!C:C,BugList!N:N)</f>
        <v>1</v>
      </c>
      <c r="N44">
        <f>_xlfn.XLOOKUP(B44,BugList!A:A,BugList!R:R)</f>
        <v>1</v>
      </c>
      <c r="O44" t="b">
        <f>_xlfn.XLOOKUP(B44,BugList!A:A,BugList!L:L)</f>
        <v>1</v>
      </c>
      <c r="P44" t="b">
        <f t="shared" si="5"/>
        <v>1</v>
      </c>
      <c r="R44" t="b">
        <f>SUMPRODUCT(COUNTIF(_xlfn.XLOOKUP(B44,BugList!A:A,BugList!P:P), "*SC*"))&gt;0</f>
        <v>0</v>
      </c>
      <c r="S44" t="str">
        <f>_xlfn.XLOOKUP(B44,BugList!A:A,BugList!W:W)</f>
        <v/>
      </c>
      <c r="T44">
        <f t="shared" si="0"/>
        <v>1</v>
      </c>
      <c r="U44">
        <f t="shared" si="1"/>
        <v>1</v>
      </c>
    </row>
    <row r="45" spans="1:21">
      <c r="A45" t="s">
        <v>103</v>
      </c>
      <c r="B45">
        <v>436</v>
      </c>
      <c r="D45" t="s">
        <v>106</v>
      </c>
      <c r="E45" t="s">
        <v>106</v>
      </c>
      <c r="F45">
        <v>10</v>
      </c>
      <c r="G45">
        <f t="shared" si="6"/>
        <v>8.7719298245614024</v>
      </c>
      <c r="H45">
        <f t="shared" si="7"/>
        <v>8</v>
      </c>
      <c r="I45">
        <f t="shared" si="8"/>
        <v>0.77192982456140236</v>
      </c>
      <c r="J45" cm="1">
        <f t="array" ref="J45">INT(G45)+IF(100-SUM(INT(G$41:G$54))&gt;=RANK(I45,I$41:I$54)+COUNTIF(I$41:I45,I45)-1,1,0)</f>
        <v>9</v>
      </c>
      <c r="K45" t="str">
        <f>_xlfn.XLOOKUP(B45,BugList!A:A,BugList!H:H)</f>
        <v>*</v>
      </c>
      <c r="L45" t="str">
        <f>IF(K45 = "","",_xlfn.XLOOKUP(B45, BugList!A:A,BugList!B:B,""))</f>
        <v>Plecoptera</v>
      </c>
      <c r="M45">
        <f>_xlfn.XLOOKUP(D45,BugList!C:C,BugList!N:N)</f>
        <v>2</v>
      </c>
      <c r="N45">
        <f>_xlfn.XLOOKUP(B45,BugList!A:A,BugList!R:R)</f>
        <v>2</v>
      </c>
      <c r="O45" t="b">
        <f>_xlfn.XLOOKUP(B45,BugList!A:A,BugList!L:L)</f>
        <v>1</v>
      </c>
      <c r="P45" t="b">
        <f t="shared" si="5"/>
        <v>1</v>
      </c>
      <c r="R45" t="b">
        <f>SUMPRODUCT(COUNTIF(_xlfn.XLOOKUP(B45,BugList!A:A,BugList!P:P), "*SC*"))&gt;0</f>
        <v>0</v>
      </c>
      <c r="S45" t="str">
        <f>_xlfn.XLOOKUP(B45,BugList!A:A,BugList!W:W)</f>
        <v/>
      </c>
      <c r="T45">
        <f t="shared" si="0"/>
        <v>18</v>
      </c>
      <c r="U45">
        <f t="shared" si="1"/>
        <v>18</v>
      </c>
    </row>
    <row r="46" spans="1:21">
      <c r="A46" t="s">
        <v>103</v>
      </c>
      <c r="B46">
        <v>794</v>
      </c>
      <c r="D46" t="s">
        <v>89</v>
      </c>
      <c r="E46" t="s">
        <v>89</v>
      </c>
      <c r="F46">
        <v>9</v>
      </c>
      <c r="G46">
        <f t="shared" si="6"/>
        <v>7.8947368421052628</v>
      </c>
      <c r="H46">
        <f t="shared" si="7"/>
        <v>7</v>
      </c>
      <c r="I46">
        <f t="shared" si="8"/>
        <v>0.89473684210526283</v>
      </c>
      <c r="J46" cm="1">
        <f t="array" ref="J46">INT(G46)+IF(100-SUM(INT(G$41:G$54))&gt;=RANK(I46,I$41:I$54)+COUNTIF(I$41:I46,I46)-1,1,0)</f>
        <v>8</v>
      </c>
      <c r="K46" t="str">
        <f>_xlfn.XLOOKUP(B46,BugList!A:A,BugList!H:H)</f>
        <v>*</v>
      </c>
      <c r="L46" t="str">
        <f>IF(K46 = "","",_xlfn.XLOOKUP(B46, BugList!A:A,BugList!B:B,""))</f>
        <v>Trichoptera</v>
      </c>
      <c r="M46">
        <f>_xlfn.XLOOKUP(D46,BugList!C:C,BugList!N:N)</f>
        <v>4</v>
      </c>
      <c r="N46">
        <f>_xlfn.XLOOKUP(B46,BugList!A:A,BugList!R:R)</f>
        <v>4</v>
      </c>
      <c r="O46" t="b">
        <f>_xlfn.XLOOKUP(B46,BugList!A:A,BugList!L:L)</f>
        <v>1</v>
      </c>
      <c r="P46" t="b">
        <f t="shared" si="5"/>
        <v>0</v>
      </c>
      <c r="R46" t="b">
        <f>SUMPRODUCT(COUNTIF(_xlfn.XLOOKUP(B46,BugList!A:A,BugList!P:P), "*SC*"))&gt;0</f>
        <v>0</v>
      </c>
      <c r="S46" t="str">
        <f>_xlfn.XLOOKUP(B46,BugList!A:A,BugList!W:W)</f>
        <v/>
      </c>
      <c r="T46">
        <f t="shared" si="0"/>
        <v>32</v>
      </c>
      <c r="U46">
        <f t="shared" si="1"/>
        <v>32</v>
      </c>
    </row>
    <row r="47" spans="1:21">
      <c r="A47" t="s">
        <v>103</v>
      </c>
      <c r="B47">
        <v>837</v>
      </c>
      <c r="D47" t="s">
        <v>107</v>
      </c>
      <c r="E47" t="s">
        <v>107</v>
      </c>
      <c r="F47">
        <v>42</v>
      </c>
      <c r="G47">
        <f t="shared" si="6"/>
        <v>36.84210526315789</v>
      </c>
      <c r="H47">
        <f t="shared" si="7"/>
        <v>36</v>
      </c>
      <c r="I47">
        <f t="shared" si="8"/>
        <v>0.84210526315789025</v>
      </c>
      <c r="J47" cm="1">
        <f t="array" ref="J47">INT(G47)+IF(100-SUM(INT(G$41:G$54))&gt;=RANK(I47,I$41:I$54)+COUNTIF(I$41:I47,I47)-1,1,0)</f>
        <v>37</v>
      </c>
      <c r="K47" t="str">
        <f>_xlfn.XLOOKUP(B47,BugList!A:A,BugList!H:H)</f>
        <v>*</v>
      </c>
      <c r="L47" t="str">
        <f>IF(K47 = "","",_xlfn.XLOOKUP(B47, BugList!A:A,BugList!B:B,""))</f>
        <v>Trichoptera</v>
      </c>
      <c r="M47">
        <f>_xlfn.XLOOKUP(D47,BugList!C:C,BugList!N:N)</f>
        <v>3</v>
      </c>
      <c r="N47">
        <f>_xlfn.XLOOKUP(B47,BugList!A:A,BugList!R:R)</f>
        <v>3</v>
      </c>
      <c r="O47" t="b">
        <f>_xlfn.XLOOKUP(B47,BugList!A:A,BugList!L:L)</f>
        <v>1</v>
      </c>
      <c r="P47" t="b">
        <f t="shared" si="5"/>
        <v>1</v>
      </c>
      <c r="R47" t="b">
        <f>SUMPRODUCT(COUNTIF(_xlfn.XLOOKUP(B47,BugList!A:A,BugList!P:P), "*SC*"))&gt;0</f>
        <v>0</v>
      </c>
      <c r="S47" t="str">
        <f>_xlfn.XLOOKUP(B47,BugList!A:A,BugList!W:W)</f>
        <v/>
      </c>
      <c r="T47">
        <f t="shared" si="0"/>
        <v>111</v>
      </c>
      <c r="U47">
        <f t="shared" si="1"/>
        <v>111</v>
      </c>
    </row>
    <row r="48" spans="1:21">
      <c r="A48" t="s">
        <v>103</v>
      </c>
      <c r="B48">
        <v>935</v>
      </c>
      <c r="D48" t="s">
        <v>98</v>
      </c>
      <c r="E48" t="s">
        <v>98</v>
      </c>
      <c r="F48">
        <v>1</v>
      </c>
      <c r="G48">
        <f t="shared" si="6"/>
        <v>0.8771929824561403</v>
      </c>
      <c r="H48">
        <f t="shared" si="7"/>
        <v>0</v>
      </c>
      <c r="I48">
        <f t="shared" si="8"/>
        <v>0.8771929824561403</v>
      </c>
      <c r="J48" cm="1">
        <f t="array" ref="J48">INT(G48)+IF(100-SUM(INT(G$41:G$54))&gt;=RANK(I48,I$41:I$54)+COUNTIF(I$41:I48,I48)-1,1,0)</f>
        <v>1</v>
      </c>
      <c r="K48" t="str">
        <f>_xlfn.XLOOKUP(B48,BugList!A:A,BugList!H:H)</f>
        <v/>
      </c>
      <c r="L48" t="str">
        <f>IF(K48 = "","",_xlfn.XLOOKUP(B48, BugList!A:A,BugList!B:B,""))</f>
        <v/>
      </c>
      <c r="M48">
        <f>_xlfn.XLOOKUP(D48,BugList!C:C,BugList!N:N)</f>
        <v>4</v>
      </c>
      <c r="N48">
        <f>_xlfn.XLOOKUP(B48,BugList!A:A,BugList!R:R)</f>
        <v>4</v>
      </c>
      <c r="O48" t="b">
        <f>_xlfn.XLOOKUP(B48,BugList!A:A,BugList!L:L)</f>
        <v>1</v>
      </c>
      <c r="P48" t="b">
        <f t="shared" si="5"/>
        <v>0</v>
      </c>
      <c r="R48" t="b">
        <f>SUMPRODUCT(COUNTIF(_xlfn.XLOOKUP(B48,BugList!A:A,BugList!P:P), "*SC*"))&gt;0</f>
        <v>1</v>
      </c>
      <c r="S48" t="str">
        <f>_xlfn.XLOOKUP(B48,BugList!A:A,BugList!W:W)</f>
        <v/>
      </c>
      <c r="T48">
        <f t="shared" si="0"/>
        <v>4</v>
      </c>
      <c r="U48">
        <f t="shared" si="1"/>
        <v>4</v>
      </c>
    </row>
    <row r="49" spans="1:21">
      <c r="A49" t="s">
        <v>103</v>
      </c>
      <c r="B49">
        <v>1002</v>
      </c>
      <c r="D49" t="s">
        <v>100</v>
      </c>
      <c r="E49" t="s">
        <v>100</v>
      </c>
      <c r="F49">
        <v>4</v>
      </c>
      <c r="G49">
        <f t="shared" si="6"/>
        <v>3.5087719298245612</v>
      </c>
      <c r="H49">
        <f t="shared" si="7"/>
        <v>3</v>
      </c>
      <c r="I49">
        <f t="shared" si="8"/>
        <v>0.50877192982456121</v>
      </c>
      <c r="J49" cm="1">
        <f t="array" ref="J49">INT(G49)+IF(100-SUM(INT(G$41:G$54))&gt;=RANK(I49,I$41:I$54)+COUNTIF(I$41:I49,I49)-1,1,0)</f>
        <v>3</v>
      </c>
      <c r="K49" t="str">
        <f>_xlfn.XLOOKUP(B49,BugList!A:A,BugList!H:H)</f>
        <v/>
      </c>
      <c r="L49" t="str">
        <f>IF(K49 = "","",_xlfn.XLOOKUP(B49, BugList!A:A,BugList!B:B,""))</f>
        <v/>
      </c>
      <c r="M49">
        <f>_xlfn.XLOOKUP(D49,BugList!C:C,BugList!N:N)</f>
        <v>4</v>
      </c>
      <c r="N49">
        <f>_xlfn.XLOOKUP(B49,BugList!A:A,BugList!R:R)</f>
        <v>4</v>
      </c>
      <c r="O49" t="b">
        <f>_xlfn.XLOOKUP(B49,BugList!A:A,BugList!L:L)</f>
        <v>1</v>
      </c>
      <c r="P49" t="b">
        <f t="shared" si="5"/>
        <v>0</v>
      </c>
      <c r="R49" t="b">
        <f>SUMPRODUCT(COUNTIF(_xlfn.XLOOKUP(B49,BugList!A:A,BugList!P:P), "*SC*"))&gt;0</f>
        <v>1</v>
      </c>
      <c r="S49" t="str">
        <f>_xlfn.XLOOKUP(B49,BugList!A:A,BugList!W:W)</f>
        <v/>
      </c>
      <c r="T49">
        <f t="shared" si="0"/>
        <v>12</v>
      </c>
      <c r="U49">
        <f t="shared" si="1"/>
        <v>12</v>
      </c>
    </row>
    <row r="50" spans="1:21">
      <c r="A50" t="s">
        <v>103</v>
      </c>
      <c r="B50">
        <v>1088</v>
      </c>
      <c r="D50" t="s">
        <v>90</v>
      </c>
      <c r="E50" t="s">
        <v>90</v>
      </c>
      <c r="F50">
        <v>17</v>
      </c>
      <c r="G50">
        <f t="shared" si="6"/>
        <v>14.912280701754385</v>
      </c>
      <c r="H50">
        <f t="shared" si="7"/>
        <v>14</v>
      </c>
      <c r="I50">
        <f t="shared" si="8"/>
        <v>0.91228070175438525</v>
      </c>
      <c r="J50" cm="1">
        <f t="array" ref="J50">INT(G50)+IF(100-SUM(INT(G$41:G$54))&gt;=RANK(I50,I$41:I$54)+COUNTIF(I$41:I50,I50)-1,1,0)</f>
        <v>15</v>
      </c>
      <c r="K50" t="str">
        <f>_xlfn.XLOOKUP(B50,BugList!A:A,BugList!H:H)</f>
        <v/>
      </c>
      <c r="L50" t="str">
        <f>IF(K50 = "","",_xlfn.XLOOKUP(B50, BugList!A:A,BugList!B:B,""))</f>
        <v/>
      </c>
      <c r="M50">
        <f>_xlfn.XLOOKUP(D50,BugList!C:C,BugList!N:N)</f>
        <v>6</v>
      </c>
      <c r="N50">
        <f>_xlfn.XLOOKUP(B50,BugList!A:A,BugList!R:R)</f>
        <v>6</v>
      </c>
      <c r="O50" t="b">
        <f>_xlfn.XLOOKUP(B50,BugList!A:A,BugList!L:L)</f>
        <v>1</v>
      </c>
      <c r="P50" t="b">
        <f t="shared" si="5"/>
        <v>0</v>
      </c>
      <c r="R50" t="b">
        <f>SUMPRODUCT(COUNTIF(_xlfn.XLOOKUP(B50,BugList!A:A,BugList!P:P), "*SC*"))&gt;0</f>
        <v>0</v>
      </c>
      <c r="S50" t="str">
        <f>_xlfn.XLOOKUP(B50,BugList!A:A,BugList!W:W)</f>
        <v/>
      </c>
      <c r="T50">
        <f t="shared" si="0"/>
        <v>90</v>
      </c>
      <c r="U50">
        <f t="shared" si="1"/>
        <v>90</v>
      </c>
    </row>
    <row r="51" spans="1:21">
      <c r="A51" t="s">
        <v>103</v>
      </c>
      <c r="B51">
        <v>1436</v>
      </c>
      <c r="D51" t="s">
        <v>101</v>
      </c>
      <c r="E51" t="s">
        <v>101</v>
      </c>
      <c r="F51">
        <v>12</v>
      </c>
      <c r="G51">
        <f t="shared" si="6"/>
        <v>10.526315789473683</v>
      </c>
      <c r="H51">
        <f t="shared" si="7"/>
        <v>10</v>
      </c>
      <c r="I51">
        <f t="shared" si="8"/>
        <v>0.52631578947368318</v>
      </c>
      <c r="J51" cm="1">
        <f t="array" ref="J51">INT(G51)+IF(100-SUM(INT(G$41:G$54))&gt;=RANK(I51,I$41:I$54)+COUNTIF(I$41:I51,I51)-1,1,0)</f>
        <v>10</v>
      </c>
      <c r="K51" t="str">
        <f>_xlfn.XLOOKUP(B51,BugList!A:A,BugList!H:H)</f>
        <v/>
      </c>
      <c r="L51" t="str">
        <f>IF(K51 = "","",_xlfn.XLOOKUP(B51, BugList!A:A,BugList!B:B,""))</f>
        <v/>
      </c>
      <c r="M51">
        <f>_xlfn.XLOOKUP(D51,BugList!C:C,BugList!N:N)</f>
        <v>6</v>
      </c>
      <c r="N51">
        <f>_xlfn.XLOOKUP(B51,BugList!A:A,BugList!R:R)</f>
        <v>6</v>
      </c>
      <c r="O51" t="b">
        <f>_xlfn.XLOOKUP(B51,BugList!A:A,BugList!L:L)</f>
        <v>1</v>
      </c>
      <c r="P51" t="b">
        <f t="shared" si="5"/>
        <v>0</v>
      </c>
      <c r="R51" t="b">
        <f>SUMPRODUCT(COUNTIF(_xlfn.XLOOKUP(B51,BugList!A:A,BugList!P:P), "*SC*"))&gt;0</f>
        <v>0</v>
      </c>
      <c r="S51" t="str">
        <f>_xlfn.XLOOKUP(B51,BugList!A:A,BugList!W:W)</f>
        <v/>
      </c>
      <c r="T51">
        <f t="shared" si="0"/>
        <v>60</v>
      </c>
      <c r="U51">
        <f t="shared" si="1"/>
        <v>60</v>
      </c>
    </row>
    <row r="52" spans="1:21">
      <c r="A52" t="s">
        <v>103</v>
      </c>
      <c r="B52">
        <v>1497</v>
      </c>
      <c r="D52" t="s">
        <v>108</v>
      </c>
      <c r="E52" t="s">
        <v>108</v>
      </c>
      <c r="F52">
        <v>8</v>
      </c>
      <c r="G52">
        <f t="shared" si="6"/>
        <v>7.0175438596491224</v>
      </c>
      <c r="H52">
        <f t="shared" si="7"/>
        <v>7</v>
      </c>
      <c r="I52">
        <f t="shared" si="8"/>
        <v>1.7543859649122417E-2</v>
      </c>
      <c r="J52" cm="1">
        <f t="array" ref="J52">INT(G52)+IF(100-SUM(INT(G$41:G$54))&gt;=RANK(I52,I$41:I$54)+COUNTIF(I$41:I52,I52)-1,1,0)</f>
        <v>7</v>
      </c>
      <c r="K52" t="str">
        <f>_xlfn.XLOOKUP(B52,BugList!A:A,BugList!H:H)</f>
        <v/>
      </c>
      <c r="L52" t="str">
        <f>IF(K52 = "","",_xlfn.XLOOKUP(B52, BugList!A:A,BugList!B:B,""))</f>
        <v/>
      </c>
      <c r="M52">
        <f>_xlfn.XLOOKUP(D52,BugList!C:C,BugList!N:N)</f>
        <v>3</v>
      </c>
      <c r="N52">
        <f>_xlfn.XLOOKUP(B52,BugList!A:A,BugList!R:R)</f>
        <v>3</v>
      </c>
      <c r="O52" t="b">
        <f>_xlfn.XLOOKUP(B52,BugList!A:A,BugList!L:L)</f>
        <v>1</v>
      </c>
      <c r="P52" t="b">
        <f t="shared" si="5"/>
        <v>0</v>
      </c>
      <c r="R52" t="b">
        <f>SUMPRODUCT(COUNTIF(_xlfn.XLOOKUP(B52,BugList!A:A,BugList!P:P), "*SC*"))&gt;0</f>
        <v>0</v>
      </c>
      <c r="S52" t="str">
        <f>_xlfn.XLOOKUP(B52,BugList!A:A,BugList!W:W)</f>
        <v/>
      </c>
      <c r="T52">
        <f t="shared" si="0"/>
        <v>21</v>
      </c>
      <c r="U52">
        <f t="shared" si="1"/>
        <v>21</v>
      </c>
    </row>
    <row r="53" spans="1:21">
      <c r="A53" t="s">
        <v>103</v>
      </c>
      <c r="B53">
        <v>1696</v>
      </c>
      <c r="D53" t="s">
        <v>94</v>
      </c>
      <c r="E53" t="s">
        <v>94</v>
      </c>
      <c r="F53">
        <v>4</v>
      </c>
      <c r="G53">
        <f t="shared" si="6"/>
        <v>3.5087719298245612</v>
      </c>
      <c r="H53">
        <f t="shared" si="7"/>
        <v>3</v>
      </c>
      <c r="I53">
        <f t="shared" si="8"/>
        <v>0.50877192982456121</v>
      </c>
      <c r="J53" cm="1">
        <f t="array" ref="J53">INT(G53)+IF(100-SUM(INT(G$41:G$54))&gt;=RANK(I53,I$41:I$54)+COUNTIF(I$41:I53,I53)-1,1,0)</f>
        <v>3</v>
      </c>
      <c r="K53" t="str">
        <f>_xlfn.XLOOKUP(B53,BugList!A:A,BugList!H:H)</f>
        <v/>
      </c>
      <c r="L53" t="str">
        <f>IF(K53 = "","",_xlfn.XLOOKUP(B53, BugList!A:A,BugList!B:B,""))</f>
        <v/>
      </c>
      <c r="M53">
        <f>_xlfn.XLOOKUP(D53,BugList!C:C,BugList!N:N)</f>
        <v>8</v>
      </c>
      <c r="N53">
        <f>_xlfn.XLOOKUP(B53,BugList!A:A,BugList!R:R)</f>
        <v>8</v>
      </c>
      <c r="O53" t="b">
        <f>_xlfn.XLOOKUP(B53,BugList!A:A,BugList!L:L)</f>
        <v>0</v>
      </c>
      <c r="P53" t="b">
        <f t="shared" si="5"/>
        <v>0</v>
      </c>
      <c r="R53" t="b">
        <f>SUMPRODUCT(COUNTIF(_xlfn.XLOOKUP(B53,BugList!A:A,BugList!P:P), "*SC*"))&gt;0</f>
        <v>0</v>
      </c>
      <c r="S53" t="str">
        <f>_xlfn.XLOOKUP(B53,BugList!A:A,BugList!W:W)</f>
        <v/>
      </c>
      <c r="T53">
        <f t="shared" si="0"/>
        <v>24</v>
      </c>
      <c r="U53">
        <f t="shared" si="1"/>
        <v>24</v>
      </c>
    </row>
    <row r="54" spans="1:21">
      <c r="A54" t="s">
        <v>103</v>
      </c>
      <c r="B54">
        <v>2781</v>
      </c>
      <c r="D54" t="s">
        <v>109</v>
      </c>
      <c r="E54" t="s">
        <v>109</v>
      </c>
      <c r="F54">
        <v>3</v>
      </c>
      <c r="G54">
        <f t="shared" si="6"/>
        <v>2.6315789473684208</v>
      </c>
      <c r="H54">
        <f t="shared" si="7"/>
        <v>2</v>
      </c>
      <c r="I54">
        <f t="shared" si="8"/>
        <v>0.6315789473684208</v>
      </c>
      <c r="J54" cm="1">
        <f t="array" ref="J54">INT(G54)+IF(100-SUM(INT(G$41:G$54))&gt;=RANK(I54,I$41:I$54)+COUNTIF(I$41:I54,I54)-1,1,0)</f>
        <v>3</v>
      </c>
      <c r="K54" t="str">
        <f>_xlfn.XLOOKUP(B54,BugList!A:A,BugList!H:H)</f>
        <v/>
      </c>
      <c r="L54" t="str">
        <f>IF(K54 = "","",_xlfn.XLOOKUP(B54, BugList!A:A,BugList!B:B,""))</f>
        <v/>
      </c>
      <c r="M54">
        <f>_xlfn.XLOOKUP(D54,BugList!C:C,BugList!N:N)</f>
        <v>6</v>
      </c>
      <c r="N54">
        <f>_xlfn.XLOOKUP(B54,BugList!A:A,BugList!R:R)</f>
        <v>4</v>
      </c>
      <c r="O54" t="b">
        <f>_xlfn.XLOOKUP(B54,BugList!A:A,BugList!L:L)</f>
        <v>0</v>
      </c>
      <c r="P54" t="b">
        <f t="shared" si="5"/>
        <v>0</v>
      </c>
      <c r="R54" t="b">
        <f>SUMPRODUCT(COUNTIF(_xlfn.XLOOKUP(B54,BugList!A:A,BugList!P:P), "*SC*"))&gt;0</f>
        <v>0</v>
      </c>
      <c r="S54" t="str">
        <f>_xlfn.XLOOKUP(B54,BugList!A:A,BugList!W:W)</f>
        <v/>
      </c>
      <c r="T54">
        <f t="shared" si="0"/>
        <v>18</v>
      </c>
      <c r="U54">
        <f t="shared" si="1"/>
        <v>12</v>
      </c>
    </row>
    <row r="55" spans="1:21" s="25" customFormat="1">
      <c r="A55" t="s">
        <v>110</v>
      </c>
      <c r="B55">
        <v>63</v>
      </c>
      <c r="C55"/>
      <c r="D55" t="s">
        <v>84</v>
      </c>
      <c r="E55" t="s">
        <v>84</v>
      </c>
      <c r="F55">
        <v>8</v>
      </c>
      <c r="G55">
        <f t="shared" si="6"/>
        <v>5.7142857142857144</v>
      </c>
      <c r="H55">
        <f t="shared" si="7"/>
        <v>5</v>
      </c>
      <c r="I55">
        <f t="shared" si="8"/>
        <v>0.71428571428571441</v>
      </c>
      <c r="J55" cm="1">
        <f t="array" ref="J55">INT(G55)+IF(100-SUM(INT(G$55:G$66))&gt;=RANK(I55,I$55:I$66)+COUNTIF(I$55:I55,I55)-1,1,0)</f>
        <v>6</v>
      </c>
      <c r="K55" t="str">
        <f>_xlfn.XLOOKUP(B55,BugList!A:A,BugList!H:H)</f>
        <v/>
      </c>
      <c r="L55" t="str">
        <f>IF(K55 = "","",_xlfn.XLOOKUP(B55, BugList!A:A,BugList!B:B,""))</f>
        <v/>
      </c>
      <c r="M55">
        <f>_xlfn.XLOOKUP(D55,BugList!C:C,BugList!N:N)</f>
        <v>8</v>
      </c>
      <c r="N55">
        <f>_xlfn.XLOOKUP(B55,BugList!A:A,BugList!R:R)</f>
        <v>8</v>
      </c>
      <c r="O55" t="b">
        <f>_xlfn.XLOOKUP(B55,BugList!A:A,BugList!L:L)</f>
        <v>0</v>
      </c>
      <c r="P55" t="b">
        <f t="shared" si="5"/>
        <v>0</v>
      </c>
      <c r="Q55"/>
      <c r="R55" t="b">
        <f>SUMPRODUCT(COUNTIF(_xlfn.XLOOKUP(B55,BugList!A:A,BugList!P:P), "*SC*"))&gt;0</f>
        <v>0</v>
      </c>
      <c r="S55" t="str">
        <f>_xlfn.XLOOKUP(B55,BugList!A:A,BugList!W:W)</f>
        <v/>
      </c>
      <c r="T55">
        <f t="shared" si="0"/>
        <v>48</v>
      </c>
      <c r="U55">
        <f t="shared" si="1"/>
        <v>48</v>
      </c>
    </row>
    <row r="56" spans="1:21" s="25" customFormat="1">
      <c r="A56" t="s">
        <v>110</v>
      </c>
      <c r="B56">
        <v>88</v>
      </c>
      <c r="C56"/>
      <c r="D56" t="s">
        <v>85</v>
      </c>
      <c r="E56" t="s">
        <v>85</v>
      </c>
      <c r="F56">
        <v>56</v>
      </c>
      <c r="G56">
        <f t="shared" si="6"/>
        <v>40</v>
      </c>
      <c r="H56">
        <f t="shared" si="7"/>
        <v>40</v>
      </c>
      <c r="I56">
        <f t="shared" si="8"/>
        <v>0</v>
      </c>
      <c r="J56" cm="1">
        <f t="array" ref="J56">INT(G56)+IF(100-SUM(INT(G$55:G$66))&gt;=RANK(I56,I$55:I$66)+COUNTIF(I$55:I56,I56)-1,1,0)</f>
        <v>40</v>
      </c>
      <c r="K56" t="str">
        <f>_xlfn.XLOOKUP(B56,BugList!A:A,BugList!H:H)</f>
        <v/>
      </c>
      <c r="L56" t="str">
        <f>IF(K56 = "","",_xlfn.XLOOKUP(B56, BugList!A:A,BugList!B:B,""))</f>
        <v/>
      </c>
      <c r="M56">
        <f>_xlfn.XLOOKUP(D56,BugList!C:C,BugList!N:N)</f>
        <v>4</v>
      </c>
      <c r="N56">
        <f>_xlfn.XLOOKUP(B56,BugList!A:A,BugList!R:R)</f>
        <v>4</v>
      </c>
      <c r="O56" t="b">
        <f>_xlfn.XLOOKUP(B56,BugList!A:A,BugList!L:L)</f>
        <v>0</v>
      </c>
      <c r="P56" t="b">
        <f t="shared" si="5"/>
        <v>0</v>
      </c>
      <c r="Q56"/>
      <c r="R56" t="b">
        <f>SUMPRODUCT(COUNTIF(_xlfn.XLOOKUP(B56,BugList!A:A,BugList!P:P), "*SC*"))&gt;0</f>
        <v>0</v>
      </c>
      <c r="S56" t="str">
        <f>_xlfn.XLOOKUP(B56,BugList!A:A,BugList!W:W)</f>
        <v/>
      </c>
      <c r="T56">
        <f t="shared" si="0"/>
        <v>160</v>
      </c>
      <c r="U56">
        <f t="shared" si="1"/>
        <v>160</v>
      </c>
    </row>
    <row r="57" spans="1:21" s="25" customFormat="1">
      <c r="A57" t="s">
        <v>110</v>
      </c>
      <c r="B57">
        <v>380</v>
      </c>
      <c r="C57"/>
      <c r="D57" t="s">
        <v>88</v>
      </c>
      <c r="E57" t="s">
        <v>88</v>
      </c>
      <c r="F57">
        <v>3</v>
      </c>
      <c r="G57">
        <f t="shared" si="6"/>
        <v>2.1428571428571428</v>
      </c>
      <c r="H57">
        <f t="shared" si="7"/>
        <v>2</v>
      </c>
      <c r="I57">
        <f t="shared" si="8"/>
        <v>0.14285714285714279</v>
      </c>
      <c r="J57" cm="1">
        <f t="array" ref="J57">INT(G57)+IF(100-SUM(INT(G$55:G$66))&gt;=RANK(I57,I$55:I$66)+COUNTIF(I$55:I57,I57)-1,1,0)</f>
        <v>2</v>
      </c>
      <c r="K57" t="str">
        <f>_xlfn.XLOOKUP(B57,BugList!A:A,BugList!H:H)</f>
        <v/>
      </c>
      <c r="L57" t="str">
        <f>IF(K57 = "","",_xlfn.XLOOKUP(B57, BugList!A:A,BugList!B:B,""))</f>
        <v/>
      </c>
      <c r="M57">
        <f>_xlfn.XLOOKUP(D57,BugList!C:C,BugList!N:N)</f>
        <v>8</v>
      </c>
      <c r="N57">
        <f>_xlfn.XLOOKUP(B57,BugList!A:A,BugList!R:R)</f>
        <v>6</v>
      </c>
      <c r="O57" t="b">
        <f>_xlfn.XLOOKUP(B57,BugList!A:A,BugList!L:L)</f>
        <v>0</v>
      </c>
      <c r="P57" t="b">
        <f t="shared" si="5"/>
        <v>0</v>
      </c>
      <c r="Q57"/>
      <c r="R57" t="b">
        <f>SUMPRODUCT(COUNTIF(_xlfn.XLOOKUP(B57,BugList!A:A,BugList!P:P), "*SC*"))&gt;0</f>
        <v>0</v>
      </c>
      <c r="S57" t="str">
        <f>_xlfn.XLOOKUP(B57,BugList!A:A,BugList!W:W)</f>
        <v/>
      </c>
      <c r="T57">
        <f t="shared" si="0"/>
        <v>16</v>
      </c>
      <c r="U57">
        <f t="shared" si="1"/>
        <v>12</v>
      </c>
    </row>
    <row r="58" spans="1:21" s="25" customFormat="1">
      <c r="A58" t="s">
        <v>110</v>
      </c>
      <c r="B58">
        <v>436</v>
      </c>
      <c r="C58"/>
      <c r="D58" t="s">
        <v>106</v>
      </c>
      <c r="E58" t="s">
        <v>106</v>
      </c>
      <c r="F58">
        <v>2</v>
      </c>
      <c r="G58">
        <f t="shared" si="6"/>
        <v>1.4285714285714286</v>
      </c>
      <c r="H58">
        <f t="shared" si="7"/>
        <v>1</v>
      </c>
      <c r="I58">
        <f t="shared" si="8"/>
        <v>0.4285714285714286</v>
      </c>
      <c r="J58" cm="1">
        <f t="array" ref="J58">INT(G58)+IF(100-SUM(INT(G$55:G$66))&gt;=RANK(I58,I$55:I$66)+COUNTIF(I$55:I58,I58)-1,1,0)</f>
        <v>1</v>
      </c>
      <c r="K58" t="str">
        <f>_xlfn.XLOOKUP(B58,BugList!A:A,BugList!H:H)</f>
        <v>*</v>
      </c>
      <c r="L58" t="str">
        <f>IF(K58 = "","",_xlfn.XLOOKUP(B58, BugList!A:A,BugList!B:B,""))</f>
        <v>Plecoptera</v>
      </c>
      <c r="M58">
        <f>_xlfn.XLOOKUP(D58,BugList!C:C,BugList!N:N)</f>
        <v>2</v>
      </c>
      <c r="N58">
        <f>_xlfn.XLOOKUP(B58,BugList!A:A,BugList!R:R)</f>
        <v>2</v>
      </c>
      <c r="O58" t="b">
        <f>_xlfn.XLOOKUP(B58,BugList!A:A,BugList!L:L)</f>
        <v>1</v>
      </c>
      <c r="P58" t="b">
        <f t="shared" si="5"/>
        <v>1</v>
      </c>
      <c r="Q58"/>
      <c r="R58" t="b">
        <f>SUMPRODUCT(COUNTIF(_xlfn.XLOOKUP(B58,BugList!A:A,BugList!P:P), "*SC*"))&gt;0</f>
        <v>0</v>
      </c>
      <c r="S58" t="str">
        <f>_xlfn.XLOOKUP(B58,BugList!A:A,BugList!W:W)</f>
        <v/>
      </c>
      <c r="T58">
        <f t="shared" si="0"/>
        <v>2</v>
      </c>
      <c r="U58">
        <f t="shared" si="1"/>
        <v>2</v>
      </c>
    </row>
    <row r="59" spans="1:21" s="25" customFormat="1">
      <c r="A59" t="s">
        <v>110</v>
      </c>
      <c r="B59">
        <v>513</v>
      </c>
      <c r="C59"/>
      <c r="D59" t="s">
        <v>111</v>
      </c>
      <c r="E59" t="s">
        <v>111</v>
      </c>
      <c r="F59">
        <v>2</v>
      </c>
      <c r="G59">
        <f t="shared" si="6"/>
        <v>1.4285714285714286</v>
      </c>
      <c r="H59">
        <f t="shared" si="7"/>
        <v>1</v>
      </c>
      <c r="I59">
        <f t="shared" si="8"/>
        <v>0.4285714285714286</v>
      </c>
      <c r="J59" cm="1">
        <f t="array" ref="J59">INT(G59)+IF(100-SUM(INT(G$55:G$66))&gt;=RANK(I59,I$55:I$66)+COUNTIF(I$55:I59,I59)-1,1,0)</f>
        <v>1</v>
      </c>
      <c r="K59" t="str">
        <f>_xlfn.XLOOKUP(B59,BugList!A:A,BugList!H:H)</f>
        <v>*</v>
      </c>
      <c r="L59" t="str">
        <f>IF(K59 = "","",_xlfn.XLOOKUP(B59, BugList!A:A,BugList!B:B,""))</f>
        <v>Ephemeroptera</v>
      </c>
      <c r="M59">
        <f>_xlfn.XLOOKUP(D59,BugList!C:C,BugList!N:N)</f>
        <v>4</v>
      </c>
      <c r="N59">
        <f>_xlfn.XLOOKUP(B59,BugList!A:A,BugList!R:R)</f>
        <v>4</v>
      </c>
      <c r="O59" t="b">
        <f>_xlfn.XLOOKUP(B59,BugList!A:A,BugList!L:L)</f>
        <v>1</v>
      </c>
      <c r="P59" t="b">
        <f t="shared" si="5"/>
        <v>1</v>
      </c>
      <c r="Q59"/>
      <c r="R59" t="b">
        <f>SUMPRODUCT(COUNTIF(_xlfn.XLOOKUP(B59,BugList!A:A,BugList!P:P), "*SC*"))&gt;0</f>
        <v>1</v>
      </c>
      <c r="S59" t="str">
        <f>_xlfn.XLOOKUP(B59,BugList!A:A,BugList!W:W)</f>
        <v/>
      </c>
      <c r="T59">
        <f t="shared" si="0"/>
        <v>4</v>
      </c>
      <c r="U59">
        <f t="shared" si="1"/>
        <v>4</v>
      </c>
    </row>
    <row r="60" spans="1:21" s="25" customFormat="1">
      <c r="A60" t="s">
        <v>110</v>
      </c>
      <c r="B60">
        <v>598</v>
      </c>
      <c r="C60"/>
      <c r="D60" t="s">
        <v>112</v>
      </c>
      <c r="E60" t="s">
        <v>112</v>
      </c>
      <c r="F60">
        <v>5</v>
      </c>
      <c r="G60">
        <f t="shared" si="6"/>
        <v>3.5714285714285712</v>
      </c>
      <c r="H60">
        <f t="shared" si="7"/>
        <v>3</v>
      </c>
      <c r="I60">
        <f t="shared" si="8"/>
        <v>0.57142857142857117</v>
      </c>
      <c r="J60" cm="1">
        <f t="array" ref="J60">INT(G60)+IF(100-SUM(INT(G$55:G$66))&gt;=RANK(I60,I$55:I$66)+COUNTIF(I$55:I60,I60)-1,1,0)</f>
        <v>4</v>
      </c>
      <c r="K60" t="str">
        <f>_xlfn.XLOOKUP(B60,BugList!A:A,BugList!H:H)</f>
        <v/>
      </c>
      <c r="L60" t="str">
        <f>IF(K60 = "","",_xlfn.XLOOKUP(B60, BugList!A:A,BugList!B:B,""))</f>
        <v/>
      </c>
      <c r="M60">
        <f>_xlfn.XLOOKUP(D60,BugList!C:C,BugList!N:N)</f>
        <v>5</v>
      </c>
      <c r="N60">
        <f>_xlfn.XLOOKUP(B60,BugList!A:A,BugList!R:R)</f>
        <v>5</v>
      </c>
      <c r="O60" t="b">
        <f>_xlfn.XLOOKUP(B60,BugList!A:A,BugList!L:L)</f>
        <v>1</v>
      </c>
      <c r="P60" t="b">
        <f t="shared" si="5"/>
        <v>0</v>
      </c>
      <c r="Q60"/>
      <c r="R60" t="b">
        <f>SUMPRODUCT(COUNTIF(_xlfn.XLOOKUP(B60,BugList!A:A,BugList!P:P), "*SC*"))&gt;0</f>
        <v>0</v>
      </c>
      <c r="S60" t="str">
        <f>_xlfn.XLOOKUP(B60,BugList!A:A,BugList!W:W)</f>
        <v/>
      </c>
      <c r="T60">
        <f t="shared" si="0"/>
        <v>20</v>
      </c>
      <c r="U60">
        <f t="shared" si="1"/>
        <v>20</v>
      </c>
    </row>
    <row r="61" spans="1:21" s="25" customFormat="1">
      <c r="A61" t="s">
        <v>110</v>
      </c>
      <c r="B61">
        <v>620</v>
      </c>
      <c r="C61"/>
      <c r="D61" t="s">
        <v>113</v>
      </c>
      <c r="E61" t="s">
        <v>113</v>
      </c>
      <c r="F61">
        <v>1</v>
      </c>
      <c r="G61">
        <f t="shared" si="6"/>
        <v>0.7142857142857143</v>
      </c>
      <c r="H61">
        <f t="shared" si="7"/>
        <v>0</v>
      </c>
      <c r="I61">
        <f t="shared" si="8"/>
        <v>0.7142857142857143</v>
      </c>
      <c r="J61" cm="1">
        <f t="array" ref="J61">INT(G61)+IF(100-SUM(INT(G$55:G$66))&gt;=RANK(I61,I$55:I$66)+COUNTIF(I$55:I61,I61)-1,1,0)</f>
        <v>1</v>
      </c>
      <c r="K61" t="str">
        <f>_xlfn.XLOOKUP(B61,BugList!A:A,BugList!H:H)</f>
        <v/>
      </c>
      <c r="L61" t="str">
        <f>IF(K61 = "","",_xlfn.XLOOKUP(B61, BugList!A:A,BugList!B:B,""))</f>
        <v/>
      </c>
      <c r="M61">
        <f>_xlfn.XLOOKUP(D61,BugList!C:C,BugList!N:N)</f>
        <v>1</v>
      </c>
      <c r="N61">
        <f>_xlfn.XLOOKUP(B61,BugList!A:A,BugList!R:R)</f>
        <v>1</v>
      </c>
      <c r="O61" t="b">
        <f>_xlfn.XLOOKUP(B61,BugList!A:A,BugList!L:L)</f>
        <v>1</v>
      </c>
      <c r="P61" t="b">
        <f t="shared" si="5"/>
        <v>0</v>
      </c>
      <c r="Q61"/>
      <c r="R61" t="b">
        <f>SUMPRODUCT(COUNTIF(_xlfn.XLOOKUP(B61,BugList!A:A,BugList!P:P), "*SC*"))&gt;0</f>
        <v>0</v>
      </c>
      <c r="S61" t="str">
        <f>_xlfn.XLOOKUP(B61,BugList!A:A,BugList!W:W)</f>
        <v>3</v>
      </c>
      <c r="T61">
        <f t="shared" si="0"/>
        <v>1</v>
      </c>
      <c r="U61">
        <f t="shared" si="1"/>
        <v>1</v>
      </c>
    </row>
    <row r="62" spans="1:21" s="25" customFormat="1">
      <c r="A62" t="s">
        <v>110</v>
      </c>
      <c r="B62">
        <v>794</v>
      </c>
      <c r="C62"/>
      <c r="D62" t="s">
        <v>89</v>
      </c>
      <c r="E62" t="s">
        <v>89</v>
      </c>
      <c r="F62">
        <v>11</v>
      </c>
      <c r="G62">
        <f t="shared" si="6"/>
        <v>7.8571428571428568</v>
      </c>
      <c r="H62">
        <f t="shared" si="7"/>
        <v>7</v>
      </c>
      <c r="I62">
        <f t="shared" si="8"/>
        <v>0.85714285714285676</v>
      </c>
      <c r="J62" cm="1">
        <f t="array" ref="J62">INT(G62)+IF(100-SUM(INT(G$55:G$66))&gt;=RANK(I62,I$55:I$66)+COUNTIF(I$55:I62,I62)-1,1,0)</f>
        <v>8</v>
      </c>
      <c r="K62" t="str">
        <f>_xlfn.XLOOKUP(B62,BugList!A:A,BugList!H:H)</f>
        <v>*</v>
      </c>
      <c r="L62" t="str">
        <f>IF(K62 = "","",_xlfn.XLOOKUP(B62, BugList!A:A,BugList!B:B,""))</f>
        <v>Trichoptera</v>
      </c>
      <c r="M62">
        <f>_xlfn.XLOOKUP(D62,BugList!C:C,BugList!N:N)</f>
        <v>4</v>
      </c>
      <c r="N62">
        <f>_xlfn.XLOOKUP(B62,BugList!A:A,BugList!R:R)</f>
        <v>4</v>
      </c>
      <c r="O62" t="b">
        <f>_xlfn.XLOOKUP(B62,BugList!A:A,BugList!L:L)</f>
        <v>1</v>
      </c>
      <c r="P62" t="b">
        <f t="shared" si="5"/>
        <v>0</v>
      </c>
      <c r="Q62"/>
      <c r="R62" t="b">
        <f>SUMPRODUCT(COUNTIF(_xlfn.XLOOKUP(B62,BugList!A:A,BugList!P:P), "*SC*"))&gt;0</f>
        <v>0</v>
      </c>
      <c r="S62" t="str">
        <f>_xlfn.XLOOKUP(B62,BugList!A:A,BugList!W:W)</f>
        <v/>
      </c>
      <c r="T62">
        <f t="shared" si="0"/>
        <v>32</v>
      </c>
      <c r="U62">
        <f t="shared" si="1"/>
        <v>32</v>
      </c>
    </row>
    <row r="63" spans="1:21" s="25" customFormat="1">
      <c r="A63" t="s">
        <v>110</v>
      </c>
      <c r="B63">
        <v>800</v>
      </c>
      <c r="C63"/>
      <c r="D63" t="s">
        <v>114</v>
      </c>
      <c r="E63" t="s">
        <v>114</v>
      </c>
      <c r="F63">
        <v>1</v>
      </c>
      <c r="G63">
        <f t="shared" si="6"/>
        <v>0.7142857142857143</v>
      </c>
      <c r="H63">
        <f t="shared" si="7"/>
        <v>0</v>
      </c>
      <c r="I63">
        <f t="shared" si="8"/>
        <v>0.7142857142857143</v>
      </c>
      <c r="J63" cm="1">
        <f t="array" ref="J63">INT(G63)+IF(100-SUM(INT(G$55:G$66))&gt;=RANK(I63,I$55:I$66)+COUNTIF(I$55:I63,I63)-1,1,0)</f>
        <v>1</v>
      </c>
      <c r="K63" t="str">
        <f>_xlfn.XLOOKUP(B63,BugList!A:A,BugList!H:H)</f>
        <v>*</v>
      </c>
      <c r="L63" t="str">
        <f>IF(K63 = "","",_xlfn.XLOOKUP(B63, BugList!A:A,BugList!B:B,""))</f>
        <v>Trichoptera</v>
      </c>
      <c r="M63">
        <f>_xlfn.XLOOKUP(D63,BugList!C:C,BugList!N:N)</f>
        <v>1</v>
      </c>
      <c r="N63">
        <f>_xlfn.XLOOKUP(B63,BugList!A:A,BugList!R:R)</f>
        <v>1</v>
      </c>
      <c r="O63" t="b">
        <f>_xlfn.XLOOKUP(B63,BugList!A:A,BugList!L:L)</f>
        <v>1</v>
      </c>
      <c r="P63" t="b">
        <f t="shared" si="5"/>
        <v>1</v>
      </c>
      <c r="Q63"/>
      <c r="R63" t="b">
        <f>SUMPRODUCT(COUNTIF(_xlfn.XLOOKUP(B63,BugList!A:A,BugList!P:P), "*SC*"))&gt;0</f>
        <v>0</v>
      </c>
      <c r="S63" t="str">
        <f>_xlfn.XLOOKUP(B63,BugList!A:A,BugList!W:W)</f>
        <v>2</v>
      </c>
      <c r="T63">
        <f t="shared" si="0"/>
        <v>1</v>
      </c>
      <c r="U63">
        <f t="shared" si="1"/>
        <v>1</v>
      </c>
    </row>
    <row r="64" spans="1:21" s="25" customFormat="1">
      <c r="A64" t="s">
        <v>110</v>
      </c>
      <c r="B64">
        <v>1002</v>
      </c>
      <c r="C64"/>
      <c r="D64" t="s">
        <v>100</v>
      </c>
      <c r="E64" t="s">
        <v>100</v>
      </c>
      <c r="F64">
        <v>31</v>
      </c>
      <c r="G64">
        <f t="shared" si="6"/>
        <v>22.142857142857142</v>
      </c>
      <c r="H64">
        <f t="shared" si="7"/>
        <v>22</v>
      </c>
      <c r="I64">
        <f t="shared" si="8"/>
        <v>0.14285714285714235</v>
      </c>
      <c r="J64" cm="1">
        <f t="array" ref="J64">INT(G64)+IF(100-SUM(INT(G$55:G$66))&gt;=RANK(I64,I$55:I$66)+COUNTIF(I$55:I64,I64)-1,1,0)</f>
        <v>22</v>
      </c>
      <c r="K64" t="str">
        <f>_xlfn.XLOOKUP(B64,BugList!A:A,BugList!H:H)</f>
        <v/>
      </c>
      <c r="L64" t="str">
        <f>IF(K64 = "","",_xlfn.XLOOKUP(B64, BugList!A:A,BugList!B:B,""))</f>
        <v/>
      </c>
      <c r="M64">
        <f>_xlfn.XLOOKUP(D64,BugList!C:C,BugList!N:N)</f>
        <v>4</v>
      </c>
      <c r="N64">
        <f>_xlfn.XLOOKUP(B64,BugList!A:A,BugList!R:R)</f>
        <v>4</v>
      </c>
      <c r="O64" t="b">
        <f>_xlfn.XLOOKUP(B64,BugList!A:A,BugList!L:L)</f>
        <v>1</v>
      </c>
      <c r="P64" t="b">
        <f t="shared" si="5"/>
        <v>0</v>
      </c>
      <c r="Q64"/>
      <c r="R64" t="b">
        <f>SUMPRODUCT(COUNTIF(_xlfn.XLOOKUP(B64,BugList!A:A,BugList!P:P), "*SC*"))&gt;0</f>
        <v>1</v>
      </c>
      <c r="S64" t="str">
        <f>_xlfn.XLOOKUP(B64,BugList!A:A,BugList!W:W)</f>
        <v/>
      </c>
      <c r="T64">
        <f t="shared" si="0"/>
        <v>88</v>
      </c>
      <c r="U64">
        <f t="shared" si="1"/>
        <v>88</v>
      </c>
    </row>
    <row r="65" spans="1:21" s="25" customFormat="1">
      <c r="A65" t="s">
        <v>110</v>
      </c>
      <c r="B65">
        <v>1088</v>
      </c>
      <c r="C65"/>
      <c r="D65" t="s">
        <v>90</v>
      </c>
      <c r="E65" t="s">
        <v>90</v>
      </c>
      <c r="F65">
        <v>13</v>
      </c>
      <c r="G65">
        <f t="shared" si="6"/>
        <v>9.2857142857142865</v>
      </c>
      <c r="H65">
        <f t="shared" si="7"/>
        <v>9</v>
      </c>
      <c r="I65">
        <f t="shared" si="8"/>
        <v>0.28571428571428648</v>
      </c>
      <c r="J65" cm="1">
        <f t="array" ref="J65">INT(G65)+IF(100-SUM(INT(G$55:G$66))&gt;=RANK(I65,I$55:I$66)+COUNTIF(I$55:I65,I65)-1,1,0)</f>
        <v>9</v>
      </c>
      <c r="K65" t="str">
        <f>_xlfn.XLOOKUP(B65,BugList!A:A,BugList!H:H)</f>
        <v/>
      </c>
      <c r="L65" t="str">
        <f>IF(K65 = "","",_xlfn.XLOOKUP(B65, BugList!A:A,BugList!B:B,""))</f>
        <v/>
      </c>
      <c r="M65">
        <f>_xlfn.XLOOKUP(D65,BugList!C:C,BugList!N:N)</f>
        <v>6</v>
      </c>
      <c r="N65">
        <f>_xlfn.XLOOKUP(B65,BugList!A:A,BugList!R:R)</f>
        <v>6</v>
      </c>
      <c r="O65" t="b">
        <f>_xlfn.XLOOKUP(B65,BugList!A:A,BugList!L:L)</f>
        <v>1</v>
      </c>
      <c r="P65" t="b">
        <f t="shared" si="5"/>
        <v>0</v>
      </c>
      <c r="Q65"/>
      <c r="R65" t="b">
        <f>SUMPRODUCT(COUNTIF(_xlfn.XLOOKUP(B65,BugList!A:A,BugList!P:P), "*SC*"))&gt;0</f>
        <v>0</v>
      </c>
      <c r="S65" t="str">
        <f>_xlfn.XLOOKUP(B65,BugList!A:A,BugList!W:W)</f>
        <v/>
      </c>
      <c r="T65">
        <f t="shared" si="0"/>
        <v>54</v>
      </c>
      <c r="U65">
        <f t="shared" si="1"/>
        <v>54</v>
      </c>
    </row>
    <row r="66" spans="1:21" s="25" customFormat="1">
      <c r="A66" t="s">
        <v>110</v>
      </c>
      <c r="B66">
        <v>1497</v>
      </c>
      <c r="C66"/>
      <c r="D66" t="s">
        <v>108</v>
      </c>
      <c r="E66" t="s">
        <v>108</v>
      </c>
      <c r="F66">
        <v>7</v>
      </c>
      <c r="G66">
        <f t="shared" ref="G66:G94" si="9">(F66/(SUMIFS(F:F,A:A,A66))*100)</f>
        <v>5</v>
      </c>
      <c r="H66">
        <f t="shared" ref="H66:H94" si="10">INT(G66)</f>
        <v>5</v>
      </c>
      <c r="I66">
        <f t="shared" ref="I66:I94" si="11">G66-H66</f>
        <v>0</v>
      </c>
      <c r="J66" cm="1">
        <f t="array" ref="J66">INT(G66)+IF(100-SUM(INT(G$55:G$66))&gt;=RANK(I66,I$55:I$66)+COUNTIF(I$55:I66,I66)-1,1,0)</f>
        <v>5</v>
      </c>
      <c r="K66" t="str">
        <f>_xlfn.XLOOKUP(B66,BugList!A:A,BugList!H:H)</f>
        <v/>
      </c>
      <c r="L66" t="str">
        <f>IF(K66 = "","",_xlfn.XLOOKUP(B66, BugList!A:A,BugList!B:B,""))</f>
        <v/>
      </c>
      <c r="M66">
        <f>_xlfn.XLOOKUP(D66,BugList!C:C,BugList!N:N)</f>
        <v>3</v>
      </c>
      <c r="N66">
        <f>_xlfn.XLOOKUP(B66,BugList!A:A,BugList!R:R)</f>
        <v>3</v>
      </c>
      <c r="O66"/>
      <c r="P66"/>
      <c r="Q66"/>
      <c r="R66" t="b">
        <f>SUMPRODUCT(COUNTIF(_xlfn.XLOOKUP(B66,BugList!A:A,BugList!P:P), "*SC*"))&gt;0</f>
        <v>0</v>
      </c>
      <c r="S66" t="str">
        <f>_xlfn.XLOOKUP(B66,BugList!A:A,BugList!W:W)</f>
        <v/>
      </c>
      <c r="T66">
        <f t="shared" ref="T66:T129" si="12">J66*M66</f>
        <v>15</v>
      </c>
      <c r="U66">
        <f t="shared" ref="U66:U129" si="13">J66*N66</f>
        <v>15</v>
      </c>
    </row>
    <row r="67" spans="1:21">
      <c r="A67" t="s">
        <v>115</v>
      </c>
      <c r="B67">
        <v>88</v>
      </c>
      <c r="D67" t="s">
        <v>85</v>
      </c>
      <c r="E67" t="s">
        <v>85</v>
      </c>
      <c r="F67">
        <v>8</v>
      </c>
      <c r="G67">
        <f t="shared" si="9"/>
        <v>7.7669902912621351</v>
      </c>
      <c r="H67">
        <f t="shared" si="10"/>
        <v>7</v>
      </c>
      <c r="I67">
        <f t="shared" si="11"/>
        <v>0.76699029126213514</v>
      </c>
      <c r="J67" cm="1">
        <f t="array" ref="J67">INT(G67)+IF(100-SUM(INT(G$67:G$74))&gt;=RANK(I67,I$67:I$74)+COUNTIF(I$67:I67,I67)-1,1,0)</f>
        <v>8</v>
      </c>
      <c r="K67" t="str">
        <f>_xlfn.XLOOKUP(B67,BugList!A:A,BugList!H:H)</f>
        <v/>
      </c>
      <c r="L67" t="str">
        <f>IF(K67 = "","",_xlfn.XLOOKUP(B67, BugList!A:A,BugList!B:B,""))</f>
        <v/>
      </c>
      <c r="M67">
        <f>_xlfn.XLOOKUP(D67,BugList!C:C,BugList!N:N)</f>
        <v>4</v>
      </c>
      <c r="N67">
        <f>_xlfn.XLOOKUP(B67,BugList!A:A,BugList!R:R)</f>
        <v>4</v>
      </c>
      <c r="Q67" t="b">
        <f>SUMPRODUCT(COUNTIF(_xlfn.XLOOKUP(B67,BugList!A:A,BugList!V:V), "*cn*"))&gt;0</f>
        <v>0</v>
      </c>
      <c r="S67" t="str">
        <f>_xlfn.XLOOKUP(B67,BugList!A:A,BugList!W:W)</f>
        <v/>
      </c>
      <c r="T67">
        <f t="shared" si="12"/>
        <v>32</v>
      </c>
      <c r="U67">
        <f t="shared" si="13"/>
        <v>32</v>
      </c>
    </row>
    <row r="68" spans="1:21">
      <c r="A68" t="s">
        <v>115</v>
      </c>
      <c r="B68">
        <v>247</v>
      </c>
      <c r="D68" t="s">
        <v>87</v>
      </c>
      <c r="E68" t="s">
        <v>87</v>
      </c>
      <c r="F68">
        <v>2</v>
      </c>
      <c r="G68">
        <f t="shared" si="9"/>
        <v>1.9417475728155338</v>
      </c>
      <c r="H68">
        <f t="shared" si="10"/>
        <v>1</v>
      </c>
      <c r="I68">
        <f t="shared" si="11"/>
        <v>0.94174757281553378</v>
      </c>
      <c r="J68" cm="1">
        <f t="array" ref="J68">INT(G68)+IF(100-SUM(INT(G$67:G$74))&gt;=RANK(I68,I$67:I$74)+COUNTIF(I$67:I68,I68)-1,1,0)</f>
        <v>2</v>
      </c>
      <c r="K68" t="str">
        <f>_xlfn.XLOOKUP(B68,BugList!A:A,BugList!H:H)</f>
        <v/>
      </c>
      <c r="L68" t="str">
        <f>IF(K68 = "","",_xlfn.XLOOKUP(B68, BugList!A:A,BugList!B:B,""))</f>
        <v/>
      </c>
      <c r="M68">
        <f>_xlfn.XLOOKUP(D68,BugList!C:C,BugList!N:N)</f>
        <v>4</v>
      </c>
      <c r="N68">
        <f>_xlfn.XLOOKUP(B68,BugList!A:A,BugList!R:R)</f>
        <v>4</v>
      </c>
      <c r="Q68" t="b">
        <f>SUMPRODUCT(COUNTIF(_xlfn.XLOOKUP(B68,BugList!A:A,BugList!V:V), "*cn*"))&gt;0</f>
        <v>0</v>
      </c>
      <c r="S68" t="str">
        <f>_xlfn.XLOOKUP(B68,BugList!A:A,BugList!W:W)</f>
        <v/>
      </c>
      <c r="T68">
        <f t="shared" si="12"/>
        <v>8</v>
      </c>
      <c r="U68">
        <f t="shared" si="13"/>
        <v>8</v>
      </c>
    </row>
    <row r="69" spans="1:21">
      <c r="A69" t="s">
        <v>115</v>
      </c>
      <c r="B69">
        <v>380</v>
      </c>
      <c r="D69" t="s">
        <v>88</v>
      </c>
      <c r="E69" t="s">
        <v>88</v>
      </c>
      <c r="F69">
        <v>2</v>
      </c>
      <c r="G69">
        <f t="shared" si="9"/>
        <v>1.9417475728155338</v>
      </c>
      <c r="H69">
        <f t="shared" si="10"/>
        <v>1</v>
      </c>
      <c r="I69">
        <f t="shared" si="11"/>
        <v>0.94174757281553378</v>
      </c>
      <c r="J69" cm="1">
        <f t="array" ref="J69">INT(G69)+IF(100-SUM(INT(G$67:G$74))&gt;=RANK(I69,I$67:I$74)+COUNTIF(I$67:I69,I69)-1,1,0)</f>
        <v>2</v>
      </c>
      <c r="K69" t="str">
        <f>_xlfn.XLOOKUP(B69,BugList!A:A,BugList!H:H)</f>
        <v/>
      </c>
      <c r="L69" t="str">
        <f>IF(K69 = "","",_xlfn.XLOOKUP(B69, BugList!A:A,BugList!B:B,""))</f>
        <v/>
      </c>
      <c r="M69">
        <f>_xlfn.XLOOKUP(D69,BugList!C:C,BugList!N:N)</f>
        <v>8</v>
      </c>
      <c r="N69">
        <f>_xlfn.XLOOKUP(B69,BugList!A:A,BugList!R:R)</f>
        <v>6</v>
      </c>
      <c r="Q69" t="b">
        <f>SUMPRODUCT(COUNTIF(_xlfn.XLOOKUP(B69,BugList!A:A,BugList!V:V), "*cn*"))&gt;0</f>
        <v>0</v>
      </c>
      <c r="S69" t="str">
        <f>_xlfn.XLOOKUP(B69,BugList!A:A,BugList!W:W)</f>
        <v/>
      </c>
      <c r="T69">
        <f t="shared" si="12"/>
        <v>16</v>
      </c>
      <c r="U69">
        <f t="shared" si="13"/>
        <v>12</v>
      </c>
    </row>
    <row r="70" spans="1:21">
      <c r="A70" t="s">
        <v>115</v>
      </c>
      <c r="B70">
        <v>935</v>
      </c>
      <c r="D70" t="s">
        <v>98</v>
      </c>
      <c r="E70" t="s">
        <v>98</v>
      </c>
      <c r="F70">
        <v>2</v>
      </c>
      <c r="G70">
        <f t="shared" si="9"/>
        <v>1.9417475728155338</v>
      </c>
      <c r="H70">
        <f t="shared" si="10"/>
        <v>1</v>
      </c>
      <c r="I70">
        <f t="shared" si="11"/>
        <v>0.94174757281553378</v>
      </c>
      <c r="J70" cm="1">
        <f t="array" ref="J70">INT(G70)+IF(100-SUM(INT(G$67:G$74))&gt;=RANK(I70,I$67:I$74)+COUNTIF(I$67:I70,I70)-1,1,0)</f>
        <v>2</v>
      </c>
      <c r="K70" t="str">
        <f>_xlfn.XLOOKUP(B70,BugList!A:A,BugList!H:H)</f>
        <v/>
      </c>
      <c r="L70" t="str">
        <f>IF(K70 = "","",_xlfn.XLOOKUP(B70, BugList!A:A,BugList!B:B,""))</f>
        <v/>
      </c>
      <c r="M70">
        <f>_xlfn.XLOOKUP(D70,BugList!C:C,BugList!N:N)</f>
        <v>4</v>
      </c>
      <c r="N70">
        <f>_xlfn.XLOOKUP(B70,BugList!A:A,BugList!R:R)</f>
        <v>4</v>
      </c>
      <c r="Q70" t="b">
        <f>SUMPRODUCT(COUNTIF(_xlfn.XLOOKUP(B70,BugList!A:A,BugList!V:V), "*cn*"))&gt;0</f>
        <v>1</v>
      </c>
      <c r="S70" t="str">
        <f>_xlfn.XLOOKUP(B70,BugList!A:A,BugList!W:W)</f>
        <v/>
      </c>
      <c r="T70">
        <f t="shared" si="12"/>
        <v>8</v>
      </c>
      <c r="U70">
        <f t="shared" si="13"/>
        <v>8</v>
      </c>
    </row>
    <row r="71" spans="1:21">
      <c r="A71" t="s">
        <v>115</v>
      </c>
      <c r="B71">
        <v>1005</v>
      </c>
      <c r="D71" t="s">
        <v>116</v>
      </c>
      <c r="E71" t="s">
        <v>116</v>
      </c>
      <c r="F71">
        <v>24</v>
      </c>
      <c r="G71">
        <f t="shared" si="9"/>
        <v>23.300970873786408</v>
      </c>
      <c r="H71">
        <f t="shared" si="10"/>
        <v>23</v>
      </c>
      <c r="I71">
        <f t="shared" si="11"/>
        <v>0.30097087378640808</v>
      </c>
      <c r="J71" cm="1">
        <f t="array" ref="J71">INT(G71)+IF(100-SUM(INT(G$67:G$74))&gt;=RANK(I71,I$67:I$74)+COUNTIF(I$67:I71,I71)-1,1,0)</f>
        <v>23</v>
      </c>
      <c r="K71" t="str">
        <f>_xlfn.XLOOKUP(B71,BugList!A:A,BugList!H:H)</f>
        <v/>
      </c>
      <c r="L71" t="str">
        <f>IF(K71 = "","",_xlfn.XLOOKUP(B71, BugList!A:A,BugList!B:B,""))</f>
        <v/>
      </c>
      <c r="M71">
        <f>_xlfn.XLOOKUP(D71,BugList!C:C,BugList!N:N)</f>
        <v>1</v>
      </c>
      <c r="N71">
        <f>_xlfn.XLOOKUP(B71,BugList!A:A,BugList!R:R)</f>
        <v>1</v>
      </c>
      <c r="Q71" t="b">
        <f>SUMPRODUCT(COUNTIF(_xlfn.XLOOKUP(B71,BugList!A:A,BugList!V:V), "*cn*"))&gt;0</f>
        <v>1</v>
      </c>
      <c r="S71" t="str">
        <f>_xlfn.XLOOKUP(B71,BugList!A:A,BugList!W:W)</f>
        <v/>
      </c>
      <c r="T71">
        <f t="shared" si="12"/>
        <v>23</v>
      </c>
      <c r="U71">
        <f t="shared" si="13"/>
        <v>23</v>
      </c>
    </row>
    <row r="72" spans="1:21">
      <c r="A72" t="s">
        <v>115</v>
      </c>
      <c r="B72">
        <v>1088</v>
      </c>
      <c r="D72" t="s">
        <v>90</v>
      </c>
      <c r="E72" t="s">
        <v>90</v>
      </c>
      <c r="F72">
        <v>47</v>
      </c>
      <c r="G72">
        <f t="shared" si="9"/>
        <v>45.631067961165051</v>
      </c>
      <c r="H72">
        <f t="shared" si="10"/>
        <v>45</v>
      </c>
      <c r="I72">
        <f t="shared" si="11"/>
        <v>0.63106796116505137</v>
      </c>
      <c r="J72" cm="1">
        <f t="array" ref="J72">INT(G72)+IF(100-SUM(INT(G$67:G$74))&gt;=RANK(I72,I$67:I$74)+COUNTIF(I$67:I72,I72)-1,1,0)</f>
        <v>46</v>
      </c>
      <c r="K72" t="str">
        <f>_xlfn.XLOOKUP(B72,BugList!A:A,BugList!H:H)</f>
        <v/>
      </c>
      <c r="L72" t="str">
        <f>IF(K72 = "","",_xlfn.XLOOKUP(B72, BugList!A:A,BugList!B:B,""))</f>
        <v/>
      </c>
      <c r="M72">
        <f>_xlfn.XLOOKUP(D72,BugList!C:C,BugList!N:N)</f>
        <v>6</v>
      </c>
      <c r="N72">
        <f>_xlfn.XLOOKUP(B72,BugList!A:A,BugList!R:R)</f>
        <v>6</v>
      </c>
      <c r="Q72" t="b">
        <f>SUMPRODUCT(COUNTIF(_xlfn.XLOOKUP(B72,BugList!A:A,BugList!V:V), "*cn*"))&gt;0</f>
        <v>0</v>
      </c>
      <c r="S72" t="str">
        <f>_xlfn.XLOOKUP(B72,BugList!A:A,BugList!W:W)</f>
        <v/>
      </c>
      <c r="T72">
        <f t="shared" si="12"/>
        <v>276</v>
      </c>
      <c r="U72">
        <f t="shared" si="13"/>
        <v>276</v>
      </c>
    </row>
    <row r="73" spans="1:21">
      <c r="A73" t="s">
        <v>115</v>
      </c>
      <c r="B73">
        <v>1629</v>
      </c>
      <c r="D73" t="s">
        <v>93</v>
      </c>
      <c r="E73" t="s">
        <v>93</v>
      </c>
      <c r="F73">
        <v>16</v>
      </c>
      <c r="G73">
        <f t="shared" si="9"/>
        <v>15.53398058252427</v>
      </c>
      <c r="H73">
        <f t="shared" si="10"/>
        <v>15</v>
      </c>
      <c r="I73">
        <f t="shared" si="11"/>
        <v>0.53398058252427028</v>
      </c>
      <c r="J73" cm="1">
        <f t="array" ref="J73">INT(G73)+IF(100-SUM(INT(G$67:G$74))&gt;=RANK(I73,I$67:I$74)+COUNTIF(I$67:I73,I73)-1,1,0)</f>
        <v>15</v>
      </c>
      <c r="K73" t="str">
        <f>_xlfn.XLOOKUP(B73,BugList!A:A,BugList!H:H)</f>
        <v/>
      </c>
      <c r="L73" t="str">
        <f>IF(K73 = "","",_xlfn.XLOOKUP(B73, BugList!A:A,BugList!B:B,""))</f>
        <v/>
      </c>
      <c r="M73">
        <f>_xlfn.XLOOKUP(D73,BugList!C:C,BugList!N:N)</f>
        <v>8</v>
      </c>
      <c r="N73">
        <f>_xlfn.XLOOKUP(B73,BugList!A:A,BugList!R:R)</f>
        <v>8</v>
      </c>
      <c r="Q73" t="b">
        <f>SUMPRODUCT(COUNTIF(_xlfn.XLOOKUP(B73,BugList!A:A,BugList!V:V), "*cn*"))&gt;0</f>
        <v>0</v>
      </c>
      <c r="S73" t="str">
        <f>_xlfn.XLOOKUP(B73,BugList!A:A,BugList!W:W)</f>
        <v/>
      </c>
      <c r="T73">
        <f t="shared" si="12"/>
        <v>120</v>
      </c>
      <c r="U73">
        <f t="shared" si="13"/>
        <v>120</v>
      </c>
    </row>
    <row r="74" spans="1:21">
      <c r="A74" t="s">
        <v>115</v>
      </c>
      <c r="B74">
        <v>1696</v>
      </c>
      <c r="D74" t="s">
        <v>94</v>
      </c>
      <c r="E74" t="s">
        <v>94</v>
      </c>
      <c r="F74">
        <v>2</v>
      </c>
      <c r="G74">
        <f t="shared" si="9"/>
        <v>1.9417475728155338</v>
      </c>
      <c r="H74">
        <f t="shared" si="10"/>
        <v>1</v>
      </c>
      <c r="I74">
        <f t="shared" si="11"/>
        <v>0.94174757281553378</v>
      </c>
      <c r="J74" cm="1">
        <f t="array" ref="J74">INT(G74)+IF(100-SUM(INT(G$67:G$74))&gt;=RANK(I74,I$67:I$74)+COUNTIF(I$67:I74,I74)-1,1,0)</f>
        <v>2</v>
      </c>
      <c r="K74" t="str">
        <f>_xlfn.XLOOKUP(B74,BugList!A:A,BugList!H:H)</f>
        <v/>
      </c>
      <c r="L74" t="str">
        <f>IF(K74 = "","",_xlfn.XLOOKUP(B74, BugList!A:A,BugList!B:B,""))</f>
        <v/>
      </c>
      <c r="M74">
        <f>_xlfn.XLOOKUP(D74,BugList!C:C,BugList!N:N)</f>
        <v>8</v>
      </c>
      <c r="N74">
        <f>_xlfn.XLOOKUP(B74,BugList!A:A,BugList!R:R)</f>
        <v>8</v>
      </c>
      <c r="Q74" t="b">
        <f>SUMPRODUCT(COUNTIF(_xlfn.XLOOKUP(B74,BugList!A:A,BugList!V:V), "*cn*"))&gt;0</f>
        <v>0</v>
      </c>
      <c r="S74" t="str">
        <f>_xlfn.XLOOKUP(B74,BugList!A:A,BugList!W:W)</f>
        <v/>
      </c>
      <c r="T74">
        <f t="shared" si="12"/>
        <v>16</v>
      </c>
      <c r="U74">
        <f t="shared" si="13"/>
        <v>16</v>
      </c>
    </row>
    <row r="75" spans="1:21">
      <c r="A75" t="s">
        <v>117</v>
      </c>
      <c r="B75">
        <v>63</v>
      </c>
      <c r="D75" t="s">
        <v>84</v>
      </c>
      <c r="E75" t="s">
        <v>84</v>
      </c>
      <c r="F75">
        <v>2</v>
      </c>
      <c r="G75">
        <f t="shared" si="9"/>
        <v>1.3605442176870748</v>
      </c>
      <c r="H75">
        <f t="shared" si="10"/>
        <v>1</v>
      </c>
      <c r="I75">
        <f t="shared" si="11"/>
        <v>0.36054421768707479</v>
      </c>
      <c r="J75" cm="1">
        <f t="array" ref="J75">INT(G75)+IF(100-SUM(INT(G$75:G$83))&gt;=RANK(I75,I$75:I$83)+COUNTIF(I$75:I75,I75)-1,1,0)</f>
        <v>1</v>
      </c>
      <c r="K75" t="str">
        <f>_xlfn.XLOOKUP(B75,BugList!A:A,BugList!H:H)</f>
        <v/>
      </c>
      <c r="L75" t="str">
        <f>IF(K75 = "","",_xlfn.XLOOKUP(B75, BugList!A:A,BugList!B:B,""))</f>
        <v/>
      </c>
      <c r="M75">
        <f>_xlfn.XLOOKUP(D75,BugList!C:C,BugList!N:N)</f>
        <v>8</v>
      </c>
      <c r="N75">
        <f>_xlfn.XLOOKUP(B75,BugList!A:A,BugList!R:R)</f>
        <v>8</v>
      </c>
      <c r="Q75" t="b">
        <f>SUMPRODUCT(COUNTIF(_xlfn.XLOOKUP(B75,BugList!A:A,BugList!V:V), "*cn*"))&gt;0</f>
        <v>0</v>
      </c>
      <c r="S75" t="str">
        <f>_xlfn.XLOOKUP(B75,BugList!A:A,BugList!W:W)</f>
        <v/>
      </c>
      <c r="T75">
        <f t="shared" si="12"/>
        <v>8</v>
      </c>
      <c r="U75">
        <f t="shared" si="13"/>
        <v>8</v>
      </c>
    </row>
    <row r="76" spans="1:21">
      <c r="A76" t="s">
        <v>117</v>
      </c>
      <c r="B76">
        <v>88</v>
      </c>
      <c r="D76" t="s">
        <v>85</v>
      </c>
      <c r="E76" t="s">
        <v>85</v>
      </c>
      <c r="F76">
        <v>63</v>
      </c>
      <c r="G76">
        <f t="shared" si="9"/>
        <v>42.857142857142854</v>
      </c>
      <c r="H76">
        <f t="shared" si="10"/>
        <v>42</v>
      </c>
      <c r="I76">
        <f t="shared" si="11"/>
        <v>0.8571428571428541</v>
      </c>
      <c r="J76" cm="1">
        <f t="array" ref="J76">INT(G76)+IF(100-SUM(INT(G$75:G$83))&gt;=RANK(I76,I$75:I$83)+COUNTIF(I$75:I76,I76)-1,1,0)</f>
        <v>43</v>
      </c>
      <c r="K76" t="str">
        <f>_xlfn.XLOOKUP(B76,BugList!A:A,BugList!H:H)</f>
        <v/>
      </c>
      <c r="L76" t="str">
        <f>IF(K76 = "","",_xlfn.XLOOKUP(B76, BugList!A:A,BugList!B:B,""))</f>
        <v/>
      </c>
      <c r="M76">
        <f>_xlfn.XLOOKUP(D76,BugList!C:C,BugList!N:N)</f>
        <v>4</v>
      </c>
      <c r="N76">
        <f>_xlfn.XLOOKUP(B76,BugList!A:A,BugList!R:R)</f>
        <v>4</v>
      </c>
      <c r="Q76" t="b">
        <f>SUMPRODUCT(COUNTIF(_xlfn.XLOOKUP(B76,BugList!A:A,BugList!V:V), "*cn*"))&gt;0</f>
        <v>0</v>
      </c>
      <c r="S76" t="str">
        <f>_xlfn.XLOOKUP(B76,BugList!A:A,BugList!W:W)</f>
        <v/>
      </c>
      <c r="T76">
        <f t="shared" si="12"/>
        <v>172</v>
      </c>
      <c r="U76">
        <f t="shared" si="13"/>
        <v>172</v>
      </c>
    </row>
    <row r="77" spans="1:21">
      <c r="A77" t="s">
        <v>117</v>
      </c>
      <c r="B77">
        <v>380</v>
      </c>
      <c r="D77" t="s">
        <v>88</v>
      </c>
      <c r="E77" t="s">
        <v>88</v>
      </c>
      <c r="F77">
        <v>4</v>
      </c>
      <c r="G77">
        <f t="shared" si="9"/>
        <v>2.7210884353741496</v>
      </c>
      <c r="H77">
        <f t="shared" si="10"/>
        <v>2</v>
      </c>
      <c r="I77">
        <f t="shared" si="11"/>
        <v>0.72108843537414957</v>
      </c>
      <c r="J77" cm="1">
        <f t="array" ref="J77">INT(G77)+IF(100-SUM(INT(G$75:G$83))&gt;=RANK(I77,I$75:I$83)+COUNTIF(I$75:I77,I77)-1,1,0)</f>
        <v>3</v>
      </c>
      <c r="K77" t="str">
        <f>_xlfn.XLOOKUP(B77,BugList!A:A,BugList!H:H)</f>
        <v/>
      </c>
      <c r="L77" t="str">
        <f>IF(K77 = "","",_xlfn.XLOOKUP(B77, BugList!A:A,BugList!B:B,""))</f>
        <v/>
      </c>
      <c r="M77">
        <f>_xlfn.XLOOKUP(D77,BugList!C:C,BugList!N:N)</f>
        <v>8</v>
      </c>
      <c r="N77">
        <f>_xlfn.XLOOKUP(B77,BugList!A:A,BugList!R:R)</f>
        <v>6</v>
      </c>
      <c r="Q77" t="b">
        <f>SUMPRODUCT(COUNTIF(_xlfn.XLOOKUP(B77,BugList!A:A,BugList!V:V), "*cn*"))&gt;0</f>
        <v>0</v>
      </c>
      <c r="S77" t="str">
        <f>_xlfn.XLOOKUP(B77,BugList!A:A,BugList!W:W)</f>
        <v/>
      </c>
      <c r="T77">
        <f t="shared" si="12"/>
        <v>24</v>
      </c>
      <c r="U77">
        <f t="shared" si="13"/>
        <v>18</v>
      </c>
    </row>
    <row r="78" spans="1:21">
      <c r="A78" t="s">
        <v>117</v>
      </c>
      <c r="B78">
        <v>794</v>
      </c>
      <c r="D78" t="s">
        <v>89</v>
      </c>
      <c r="E78" t="s">
        <v>89</v>
      </c>
      <c r="F78">
        <v>34</v>
      </c>
      <c r="G78">
        <f t="shared" si="9"/>
        <v>23.129251700680271</v>
      </c>
      <c r="H78">
        <f t="shared" si="10"/>
        <v>23</v>
      </c>
      <c r="I78">
        <f t="shared" si="11"/>
        <v>0.12925170068027114</v>
      </c>
      <c r="J78" cm="1">
        <f t="array" ref="J78">INT(G78)+IF(100-SUM(INT(G$75:G$83))&gt;=RANK(I78,I$75:I$83)+COUNTIF(I$75:I78,I78)-1,1,0)</f>
        <v>23</v>
      </c>
      <c r="K78" t="str">
        <f>_xlfn.XLOOKUP(B78,BugList!A:A,BugList!H:H)</f>
        <v>*</v>
      </c>
      <c r="L78" t="str">
        <f>IF(K78 = "","",_xlfn.XLOOKUP(B78, BugList!A:A,BugList!B:B,""))</f>
        <v>Trichoptera</v>
      </c>
      <c r="M78">
        <f>_xlfn.XLOOKUP(D78,BugList!C:C,BugList!N:N)</f>
        <v>4</v>
      </c>
      <c r="N78">
        <f>_xlfn.XLOOKUP(B78,BugList!A:A,BugList!R:R)</f>
        <v>4</v>
      </c>
      <c r="Q78" t="b">
        <f>SUMPRODUCT(COUNTIF(_xlfn.XLOOKUP(B78,BugList!A:A,BugList!V:V), "*cn*"))&gt;0</f>
        <v>1</v>
      </c>
      <c r="S78" t="str">
        <f>_xlfn.XLOOKUP(B78,BugList!A:A,BugList!W:W)</f>
        <v/>
      </c>
      <c r="T78">
        <f t="shared" si="12"/>
        <v>92</v>
      </c>
      <c r="U78">
        <f t="shared" si="13"/>
        <v>92</v>
      </c>
    </row>
    <row r="79" spans="1:21">
      <c r="A79" t="s">
        <v>117</v>
      </c>
      <c r="B79">
        <v>935</v>
      </c>
      <c r="D79" t="s">
        <v>98</v>
      </c>
      <c r="E79" t="s">
        <v>98</v>
      </c>
      <c r="F79">
        <v>3</v>
      </c>
      <c r="G79">
        <f t="shared" si="9"/>
        <v>2.0408163265306123</v>
      </c>
      <c r="H79">
        <f t="shared" si="10"/>
        <v>2</v>
      </c>
      <c r="I79">
        <f t="shared" si="11"/>
        <v>4.081632653061229E-2</v>
      </c>
      <c r="J79" cm="1">
        <f t="array" ref="J79">INT(G79)+IF(100-SUM(INT(G$75:G$83))&gt;=RANK(I79,I$75:I$83)+COUNTIF(I$75:I79,I79)-1,1,0)</f>
        <v>2</v>
      </c>
      <c r="K79" t="str">
        <f>_xlfn.XLOOKUP(B79,BugList!A:A,BugList!H:H)</f>
        <v/>
      </c>
      <c r="L79" t="str">
        <f>IF(K79 = "","",_xlfn.XLOOKUP(B79, BugList!A:A,BugList!B:B,""))</f>
        <v/>
      </c>
      <c r="M79">
        <f>_xlfn.XLOOKUP(D79,BugList!C:C,BugList!N:N)</f>
        <v>4</v>
      </c>
      <c r="N79">
        <f>_xlfn.XLOOKUP(B79,BugList!A:A,BugList!R:R)</f>
        <v>4</v>
      </c>
      <c r="Q79" t="b">
        <f>SUMPRODUCT(COUNTIF(_xlfn.XLOOKUP(B79,BugList!A:A,BugList!V:V), "*cn*"))&gt;0</f>
        <v>1</v>
      </c>
      <c r="S79" t="str">
        <f>_xlfn.XLOOKUP(B79,BugList!A:A,BugList!W:W)</f>
        <v/>
      </c>
      <c r="T79">
        <f t="shared" si="12"/>
        <v>8</v>
      </c>
      <c r="U79">
        <f t="shared" si="13"/>
        <v>8</v>
      </c>
    </row>
    <row r="80" spans="1:21">
      <c r="A80" t="s">
        <v>117</v>
      </c>
      <c r="B80">
        <v>1088</v>
      </c>
      <c r="D80" t="s">
        <v>90</v>
      </c>
      <c r="E80" t="s">
        <v>90</v>
      </c>
      <c r="F80">
        <v>16</v>
      </c>
      <c r="G80">
        <f t="shared" si="9"/>
        <v>10.884353741496598</v>
      </c>
      <c r="H80">
        <f t="shared" si="10"/>
        <v>10</v>
      </c>
      <c r="I80">
        <f t="shared" si="11"/>
        <v>0.88435374149659829</v>
      </c>
      <c r="J80" cm="1">
        <f t="array" ref="J80">INT(G80)+IF(100-SUM(INT(G$75:G$83))&gt;=RANK(I80,I$75:I$83)+COUNTIF(I$75:I80,I80)-1,1,0)</f>
        <v>11</v>
      </c>
      <c r="K80" t="str">
        <f>_xlfn.XLOOKUP(B80,BugList!A:A,BugList!H:H)</f>
        <v/>
      </c>
      <c r="L80" t="str">
        <f>IF(K80 = "","",_xlfn.XLOOKUP(B80, BugList!A:A,BugList!B:B,""))</f>
        <v/>
      </c>
      <c r="M80">
        <f>_xlfn.XLOOKUP(D80,BugList!C:C,BugList!N:N)</f>
        <v>6</v>
      </c>
      <c r="N80">
        <f>_xlfn.XLOOKUP(B80,BugList!A:A,BugList!R:R)</f>
        <v>6</v>
      </c>
      <c r="Q80" t="b">
        <f>SUMPRODUCT(COUNTIF(_xlfn.XLOOKUP(B80,BugList!A:A,BugList!V:V), "*cn*"))&gt;0</f>
        <v>0</v>
      </c>
      <c r="S80" t="str">
        <f>_xlfn.XLOOKUP(B80,BugList!A:A,BugList!W:W)</f>
        <v/>
      </c>
      <c r="T80">
        <f t="shared" si="12"/>
        <v>66</v>
      </c>
      <c r="U80">
        <f t="shared" si="13"/>
        <v>66</v>
      </c>
    </row>
    <row r="81" spans="1:21">
      <c r="A81" t="s">
        <v>117</v>
      </c>
      <c r="B81">
        <v>1614</v>
      </c>
      <c r="D81" t="s">
        <v>92</v>
      </c>
      <c r="E81" t="s">
        <v>92</v>
      </c>
      <c r="F81">
        <v>16</v>
      </c>
      <c r="G81">
        <f t="shared" si="9"/>
        <v>10.884353741496598</v>
      </c>
      <c r="H81">
        <f t="shared" si="10"/>
        <v>10</v>
      </c>
      <c r="I81">
        <f t="shared" si="11"/>
        <v>0.88435374149659829</v>
      </c>
      <c r="J81" cm="1">
        <f t="array" ref="J81">INT(G81)+IF(100-SUM(INT(G$75:G$83))&gt;=RANK(I81,I$75:I$83)+COUNTIF(I$75:I81,I81)-1,1,0)</f>
        <v>11</v>
      </c>
      <c r="K81" t="str">
        <f>_xlfn.XLOOKUP(B81,BugList!A:A,BugList!H:H)</f>
        <v/>
      </c>
      <c r="L81" t="str">
        <f>IF(K81 = "","",_xlfn.XLOOKUP(B81, BugList!A:A,BugList!B:B,""))</f>
        <v/>
      </c>
      <c r="M81">
        <f>_xlfn.XLOOKUP(D81,BugList!C:C,BugList!N:N)</f>
        <v>8</v>
      </c>
      <c r="N81">
        <f>_xlfn.XLOOKUP(B81,BugList!A:A,BugList!R:R)</f>
        <v>8</v>
      </c>
      <c r="Q81" t="b">
        <f>SUMPRODUCT(COUNTIF(_xlfn.XLOOKUP(B81,BugList!A:A,BugList!V:V), "*cn*"))&gt;0</f>
        <v>0</v>
      </c>
      <c r="S81" t="str">
        <f>_xlfn.XLOOKUP(B81,BugList!A:A,BugList!W:W)</f>
        <v/>
      </c>
      <c r="T81">
        <f t="shared" si="12"/>
        <v>88</v>
      </c>
      <c r="U81">
        <f t="shared" si="13"/>
        <v>88</v>
      </c>
    </row>
    <row r="82" spans="1:21">
      <c r="A82" t="s">
        <v>117</v>
      </c>
      <c r="B82">
        <v>1629</v>
      </c>
      <c r="D82" t="s">
        <v>93</v>
      </c>
      <c r="E82" t="s">
        <v>93</v>
      </c>
      <c r="F82">
        <v>7</v>
      </c>
      <c r="G82">
        <f t="shared" si="9"/>
        <v>4.7619047619047619</v>
      </c>
      <c r="H82">
        <f t="shared" si="10"/>
        <v>4</v>
      </c>
      <c r="I82">
        <f t="shared" si="11"/>
        <v>0.76190476190476186</v>
      </c>
      <c r="J82" cm="1">
        <f t="array" ref="J82">INT(G82)+IF(100-SUM(INT(G$75:G$83))&gt;=RANK(I82,I$75:I$83)+COUNTIF(I$75:I82,I82)-1,1,0)</f>
        <v>5</v>
      </c>
      <c r="K82" t="str">
        <f>_xlfn.XLOOKUP(B82,BugList!A:A,BugList!H:H)</f>
        <v/>
      </c>
      <c r="L82" t="str">
        <f>IF(K82 = "","",_xlfn.XLOOKUP(B82, BugList!A:A,BugList!B:B,""))</f>
        <v/>
      </c>
      <c r="M82">
        <f>_xlfn.XLOOKUP(D82,BugList!C:C,BugList!N:N)</f>
        <v>8</v>
      </c>
      <c r="N82">
        <f>_xlfn.XLOOKUP(B82,BugList!A:A,BugList!R:R)</f>
        <v>8</v>
      </c>
      <c r="Q82" t="b">
        <f>SUMPRODUCT(COUNTIF(_xlfn.XLOOKUP(B82,BugList!A:A,BugList!V:V), "*cn*"))&gt;0</f>
        <v>0</v>
      </c>
      <c r="S82" t="str">
        <f>_xlfn.XLOOKUP(B82,BugList!A:A,BugList!W:W)</f>
        <v/>
      </c>
      <c r="T82">
        <f t="shared" si="12"/>
        <v>40</v>
      </c>
      <c r="U82">
        <f t="shared" si="13"/>
        <v>40</v>
      </c>
    </row>
    <row r="83" spans="1:21">
      <c r="A83" t="s">
        <v>117</v>
      </c>
      <c r="B83">
        <v>1696</v>
      </c>
      <c r="D83" t="s">
        <v>94</v>
      </c>
      <c r="E83" t="s">
        <v>94</v>
      </c>
      <c r="F83">
        <v>2</v>
      </c>
      <c r="G83">
        <f t="shared" si="9"/>
        <v>1.3605442176870748</v>
      </c>
      <c r="H83">
        <f t="shared" si="10"/>
        <v>1</v>
      </c>
      <c r="I83">
        <f t="shared" si="11"/>
        <v>0.36054421768707479</v>
      </c>
      <c r="J83" cm="1">
        <f t="array" ref="J83">INT(G83)+IF(100-SUM(INT(G$75:G$83))&gt;=RANK(I83,I$75:I$83)+COUNTIF(I$75:I83,I83)-1,1,0)</f>
        <v>1</v>
      </c>
      <c r="K83" t="str">
        <f>_xlfn.XLOOKUP(B83,BugList!A:A,BugList!H:H)</f>
        <v/>
      </c>
      <c r="L83" t="str">
        <f>IF(K83 = "","",_xlfn.XLOOKUP(B83, BugList!A:A,BugList!B:B,""))</f>
        <v/>
      </c>
      <c r="M83">
        <f>_xlfn.XLOOKUP(D83,BugList!C:C,BugList!N:N)</f>
        <v>8</v>
      </c>
      <c r="N83">
        <f>_xlfn.XLOOKUP(B83,BugList!A:A,BugList!R:R)</f>
        <v>8</v>
      </c>
      <c r="Q83" t="b">
        <f>SUMPRODUCT(COUNTIF(_xlfn.XLOOKUP(B83,BugList!A:A,BugList!V:V), "*cn*"))&gt;0</f>
        <v>0</v>
      </c>
      <c r="S83" t="str">
        <f>_xlfn.XLOOKUP(B83,BugList!A:A,BugList!W:W)</f>
        <v/>
      </c>
      <c r="T83">
        <f t="shared" si="12"/>
        <v>8</v>
      </c>
      <c r="U83">
        <f t="shared" si="13"/>
        <v>8</v>
      </c>
    </row>
    <row r="84" spans="1:21">
      <c r="A84" t="s">
        <v>118</v>
      </c>
      <c r="B84">
        <v>88</v>
      </c>
      <c r="D84" t="s">
        <v>85</v>
      </c>
      <c r="E84" t="s">
        <v>85</v>
      </c>
      <c r="F84">
        <v>58</v>
      </c>
      <c r="G84">
        <f t="shared" si="9"/>
        <v>50.434782608695649</v>
      </c>
      <c r="H84">
        <f t="shared" si="10"/>
        <v>50</v>
      </c>
      <c r="I84">
        <f t="shared" si="11"/>
        <v>0.43478260869564878</v>
      </c>
      <c r="J84" cm="1">
        <f t="array" ref="J84">INT(G84)+IF(100-SUM(INT(G$84:G$94))&gt;=RANK(I84,I$84:I$94)+COUNTIF(I$84:I84,I84)-1,1,0)</f>
        <v>50</v>
      </c>
      <c r="K84" t="str">
        <f>_xlfn.XLOOKUP(B84,BugList!A:A,BugList!H:H)</f>
        <v/>
      </c>
      <c r="L84" t="str">
        <f>IF(K84 = "","",_xlfn.XLOOKUP(B84, BugList!A:A,BugList!B:B,""))</f>
        <v/>
      </c>
      <c r="M84">
        <f>_xlfn.XLOOKUP(D84,BugList!C:C,BugList!N:N)</f>
        <v>4</v>
      </c>
      <c r="N84">
        <f>_xlfn.XLOOKUP(B84,BugList!A:A,BugList!R:R)</f>
        <v>4</v>
      </c>
      <c r="Q84" t="b">
        <f>SUMPRODUCT(COUNTIF(_xlfn.XLOOKUP(B84,BugList!A:A,BugList!V:V), "*cn*"))&gt;0</f>
        <v>0</v>
      </c>
      <c r="S84" t="str">
        <f>_xlfn.XLOOKUP(B84,BugList!A:A,BugList!W:W)</f>
        <v/>
      </c>
      <c r="T84">
        <f t="shared" si="12"/>
        <v>200</v>
      </c>
      <c r="U84">
        <f t="shared" si="13"/>
        <v>200</v>
      </c>
    </row>
    <row r="85" spans="1:21">
      <c r="A85" t="s">
        <v>118</v>
      </c>
      <c r="B85">
        <v>245</v>
      </c>
      <c r="D85" t="s">
        <v>87</v>
      </c>
      <c r="E85" t="s">
        <v>119</v>
      </c>
      <c r="F85">
        <v>2</v>
      </c>
      <c r="G85">
        <f t="shared" si="9"/>
        <v>1.7391304347826086</v>
      </c>
      <c r="H85">
        <f t="shared" si="10"/>
        <v>1</v>
      </c>
      <c r="I85">
        <f t="shared" si="11"/>
        <v>0.73913043478260865</v>
      </c>
      <c r="J85" cm="1">
        <f t="array" ref="J85">INT(G85)+IF(100-SUM(INT(G$84:G$94))&gt;=RANK(I85,I$84:I$94)+COUNTIF(I$84:I85,I85)-1,1,0)</f>
        <v>2</v>
      </c>
      <c r="K85" t="str">
        <f>_xlfn.XLOOKUP(B85,BugList!A:A,BugList!H:H)</f>
        <v/>
      </c>
      <c r="L85" t="str">
        <f>IF(K85 = "","",_xlfn.XLOOKUP(B85, BugList!A:A,BugList!B:B,""))</f>
        <v/>
      </c>
      <c r="M85">
        <f>_xlfn.XLOOKUP(D85,BugList!C:C,BugList!N:N)</f>
        <v>4</v>
      </c>
      <c r="N85">
        <f>_xlfn.XLOOKUP(B85,BugList!A:A,BugList!R:R)</f>
        <v>4</v>
      </c>
      <c r="Q85" t="b">
        <f>SUMPRODUCT(COUNTIF(_xlfn.XLOOKUP(B85,BugList!A:A,BugList!V:V), "*cn*"))&gt;0</f>
        <v>0</v>
      </c>
      <c r="S85" t="str">
        <f>_xlfn.XLOOKUP(B85,BugList!A:A,BugList!W:W)</f>
        <v/>
      </c>
      <c r="T85">
        <f t="shared" si="12"/>
        <v>8</v>
      </c>
      <c r="U85">
        <f t="shared" si="13"/>
        <v>8</v>
      </c>
    </row>
    <row r="86" spans="1:21">
      <c r="A86" t="s">
        <v>118</v>
      </c>
      <c r="B86">
        <v>372</v>
      </c>
      <c r="D86" t="s">
        <v>88</v>
      </c>
      <c r="E86" t="s">
        <v>88</v>
      </c>
      <c r="F86">
        <v>1</v>
      </c>
      <c r="G86">
        <f t="shared" si="9"/>
        <v>0.86956521739130432</v>
      </c>
      <c r="H86">
        <f t="shared" si="10"/>
        <v>0</v>
      </c>
      <c r="I86">
        <f t="shared" si="11"/>
        <v>0.86956521739130432</v>
      </c>
      <c r="J86" cm="1">
        <f t="array" ref="J86">INT(G86)+IF(100-SUM(INT(G$84:G$94))&gt;=RANK(I86,I$84:I$94)+COUNTIF(I$84:I86,I86)-1,1,0)</f>
        <v>1</v>
      </c>
      <c r="K86" t="str">
        <f>_xlfn.XLOOKUP(B86,BugList!A:A,BugList!H:H)</f>
        <v/>
      </c>
      <c r="L86" t="str">
        <f>IF(K86 = "","",_xlfn.XLOOKUP(B86, BugList!A:A,BugList!B:B,""))</f>
        <v/>
      </c>
      <c r="M86">
        <f>_xlfn.XLOOKUP(D86,BugList!C:C,BugList!N:N)</f>
        <v>8</v>
      </c>
      <c r="N86">
        <f>_xlfn.XLOOKUP(B86,BugList!A:A,BugList!R:R)</f>
        <v>8</v>
      </c>
      <c r="Q86" t="b">
        <f>SUMPRODUCT(COUNTIF(_xlfn.XLOOKUP(B86,BugList!A:A,BugList!V:V), "*cn*"))&gt;0</f>
        <v>0</v>
      </c>
      <c r="S86" t="str">
        <f>_xlfn.XLOOKUP(B86,BugList!A:A,BugList!W:W)</f>
        <v/>
      </c>
      <c r="T86">
        <f t="shared" si="12"/>
        <v>8</v>
      </c>
      <c r="U86">
        <f t="shared" si="13"/>
        <v>8</v>
      </c>
    </row>
    <row r="87" spans="1:21">
      <c r="A87" t="s">
        <v>118</v>
      </c>
      <c r="B87">
        <v>935</v>
      </c>
      <c r="D87" t="s">
        <v>98</v>
      </c>
      <c r="E87" t="s">
        <v>98</v>
      </c>
      <c r="F87">
        <v>2</v>
      </c>
      <c r="G87">
        <f t="shared" si="9"/>
        <v>1.7391304347826086</v>
      </c>
      <c r="H87">
        <f t="shared" si="10"/>
        <v>1</v>
      </c>
      <c r="I87">
        <f t="shared" si="11"/>
        <v>0.73913043478260865</v>
      </c>
      <c r="J87" cm="1">
        <f t="array" ref="J87">INT(G87)+IF(100-SUM(INT(G$84:G$94))&gt;=RANK(I87,I$84:I$94)+COUNTIF(I$84:I87,I87)-1,1,0)</f>
        <v>2</v>
      </c>
      <c r="K87" t="str">
        <f>_xlfn.XLOOKUP(B87,BugList!A:A,BugList!H:H)</f>
        <v/>
      </c>
      <c r="L87" t="str">
        <f>IF(K87 = "","",_xlfn.XLOOKUP(B87, BugList!A:A,BugList!B:B,""))</f>
        <v/>
      </c>
      <c r="M87">
        <f>_xlfn.XLOOKUP(D87,BugList!C:C,BugList!N:N)</f>
        <v>4</v>
      </c>
      <c r="N87">
        <f>_xlfn.XLOOKUP(B87,BugList!A:A,BugList!R:R)</f>
        <v>4</v>
      </c>
      <c r="Q87" t="b">
        <f>SUMPRODUCT(COUNTIF(_xlfn.XLOOKUP(B87,BugList!A:A,BugList!V:V), "*cn*"))&gt;0</f>
        <v>1</v>
      </c>
      <c r="S87" t="str">
        <f>_xlfn.XLOOKUP(B87,BugList!A:A,BugList!W:W)</f>
        <v/>
      </c>
      <c r="T87">
        <f t="shared" si="12"/>
        <v>8</v>
      </c>
      <c r="U87">
        <f t="shared" si="13"/>
        <v>8</v>
      </c>
    </row>
    <row r="88" spans="1:21">
      <c r="A88" t="s">
        <v>118</v>
      </c>
      <c r="B88">
        <v>1088</v>
      </c>
      <c r="D88" t="s">
        <v>90</v>
      </c>
      <c r="E88" t="s">
        <v>90</v>
      </c>
      <c r="F88">
        <v>26</v>
      </c>
      <c r="G88">
        <f t="shared" si="9"/>
        <v>22.608695652173914</v>
      </c>
      <c r="H88">
        <f t="shared" si="10"/>
        <v>22</v>
      </c>
      <c r="I88">
        <f t="shared" si="11"/>
        <v>0.60869565217391397</v>
      </c>
      <c r="J88" cm="1">
        <f t="array" ref="J88">INT(G88)+IF(100-SUM(INT(G$84:G$94))&gt;=RANK(I88,I$84:I$94)+COUNTIF(I$84:I88,I88)-1,1,0)</f>
        <v>22</v>
      </c>
      <c r="K88" t="str">
        <f>_xlfn.XLOOKUP(B88,BugList!A:A,BugList!H:H)</f>
        <v/>
      </c>
      <c r="L88" t="str">
        <f>IF(K88 = "","",_xlfn.XLOOKUP(B88, BugList!A:A,BugList!B:B,""))</f>
        <v/>
      </c>
      <c r="M88">
        <f>_xlfn.XLOOKUP(D88,BugList!C:C,BugList!N:N)</f>
        <v>6</v>
      </c>
      <c r="N88">
        <f>_xlfn.XLOOKUP(B88,BugList!A:A,BugList!R:R)</f>
        <v>6</v>
      </c>
      <c r="Q88" t="b">
        <f>SUMPRODUCT(COUNTIF(_xlfn.XLOOKUP(B88,BugList!A:A,BugList!V:V), "*cn*"))&gt;0</f>
        <v>0</v>
      </c>
      <c r="S88" t="str">
        <f>_xlfn.XLOOKUP(B88,BugList!A:A,BugList!W:W)</f>
        <v/>
      </c>
      <c r="T88">
        <f t="shared" si="12"/>
        <v>132</v>
      </c>
      <c r="U88">
        <f t="shared" si="13"/>
        <v>132</v>
      </c>
    </row>
    <row r="89" spans="1:21">
      <c r="A89" t="s">
        <v>118</v>
      </c>
      <c r="B89">
        <v>1555</v>
      </c>
      <c r="D89" t="s">
        <v>120</v>
      </c>
      <c r="E89" t="s">
        <v>120</v>
      </c>
      <c r="F89">
        <v>1</v>
      </c>
      <c r="G89">
        <f t="shared" si="9"/>
        <v>0.86956521739130432</v>
      </c>
      <c r="H89">
        <f t="shared" si="10"/>
        <v>0</v>
      </c>
      <c r="I89">
        <f t="shared" si="11"/>
        <v>0.86956521739130432</v>
      </c>
      <c r="J89" cm="1">
        <f t="array" ref="J89">INT(G89)+IF(100-SUM(INT(G$84:G$94))&gt;=RANK(I89,I$84:I$94)+COUNTIF(I$84:I89,I89)-1,1,0)</f>
        <v>1</v>
      </c>
      <c r="K89" t="str">
        <f>_xlfn.XLOOKUP(B89,BugList!A:A,BugList!H:H)</f>
        <v/>
      </c>
      <c r="L89" t="str">
        <f>IF(K89 = "","",_xlfn.XLOOKUP(B89, BugList!A:A,BugList!B:B,""))</f>
        <v/>
      </c>
      <c r="M89">
        <f>_xlfn.XLOOKUP(D89,BugList!C:C,BugList!N:N)</f>
        <v>8</v>
      </c>
      <c r="N89">
        <f>_xlfn.XLOOKUP(B89,BugList!A:A,BugList!R:R)</f>
        <v>8</v>
      </c>
      <c r="Q89" t="b">
        <f>SUMPRODUCT(COUNTIF(_xlfn.XLOOKUP(B89,BugList!A:A,BugList!V:V), "*cn*"))&gt;0</f>
        <v>0</v>
      </c>
      <c r="S89" t="str">
        <f>_xlfn.XLOOKUP(B89,BugList!A:A,BugList!W:W)</f>
        <v/>
      </c>
      <c r="T89">
        <f t="shared" si="12"/>
        <v>8</v>
      </c>
      <c r="U89">
        <f t="shared" si="13"/>
        <v>8</v>
      </c>
    </row>
    <row r="90" spans="1:21">
      <c r="A90" t="s">
        <v>118</v>
      </c>
      <c r="B90">
        <v>1578</v>
      </c>
      <c r="D90" t="s">
        <v>102</v>
      </c>
      <c r="E90" t="s">
        <v>102</v>
      </c>
      <c r="F90">
        <v>2</v>
      </c>
      <c r="G90">
        <f t="shared" si="9"/>
        <v>1.7391304347826086</v>
      </c>
      <c r="H90">
        <f t="shared" si="10"/>
        <v>1</v>
      </c>
      <c r="I90">
        <f t="shared" si="11"/>
        <v>0.73913043478260865</v>
      </c>
      <c r="J90" cm="1">
        <f t="array" ref="J90">INT(G90)+IF(100-SUM(INT(G$84:G$94))&gt;=RANK(I90,I$84:I$94)+COUNTIF(I$84:I90,I90)-1,1,0)</f>
        <v>2</v>
      </c>
      <c r="K90" t="str">
        <f>_xlfn.XLOOKUP(B90,BugList!A:A,BugList!H:H)</f>
        <v/>
      </c>
      <c r="L90" t="str">
        <f>IF(K90 = "","",_xlfn.XLOOKUP(B90, BugList!A:A,BugList!B:B,""))</f>
        <v/>
      </c>
      <c r="M90">
        <f>_xlfn.XLOOKUP(D90,BugList!C:C,BugList!N:N)</f>
        <v>7</v>
      </c>
      <c r="N90">
        <f>_xlfn.XLOOKUP(B90,BugList!A:A,BugList!R:R)</f>
        <v>7</v>
      </c>
      <c r="Q90" t="b">
        <f>SUMPRODUCT(COUNTIF(_xlfn.XLOOKUP(B90,BugList!A:A,BugList!V:V), "*cn*"))&gt;0</f>
        <v>0</v>
      </c>
      <c r="S90" t="str">
        <f>_xlfn.XLOOKUP(B90,BugList!A:A,BugList!W:W)</f>
        <v/>
      </c>
      <c r="T90">
        <f t="shared" si="12"/>
        <v>14</v>
      </c>
      <c r="U90">
        <f t="shared" si="13"/>
        <v>14</v>
      </c>
    </row>
    <row r="91" spans="1:21">
      <c r="A91" t="s">
        <v>118</v>
      </c>
      <c r="B91">
        <v>1582</v>
      </c>
      <c r="D91" t="s">
        <v>121</v>
      </c>
      <c r="E91" t="s">
        <v>121</v>
      </c>
      <c r="F91">
        <v>1</v>
      </c>
      <c r="G91">
        <f t="shared" si="9"/>
        <v>0.86956521739130432</v>
      </c>
      <c r="H91">
        <f t="shared" si="10"/>
        <v>0</v>
      </c>
      <c r="I91">
        <f t="shared" si="11"/>
        <v>0.86956521739130432</v>
      </c>
      <c r="J91" cm="1">
        <f t="array" ref="J91">INT(G91)+IF(100-SUM(INT(G$84:G$94))&gt;=RANK(I91,I$84:I$94)+COUNTIF(I$84:I91,I91)-1,1,0)</f>
        <v>1</v>
      </c>
      <c r="K91" t="str">
        <f>_xlfn.XLOOKUP(B91,BugList!A:A,BugList!H:H)</f>
        <v/>
      </c>
      <c r="L91" t="str">
        <f>IF(K91 = "","",_xlfn.XLOOKUP(B91, BugList!A:A,BugList!B:B,""))</f>
        <v/>
      </c>
      <c r="M91">
        <f>_xlfn.XLOOKUP(D91,BugList!C:C,BugList!N:N)</f>
        <v>6</v>
      </c>
      <c r="N91">
        <f>_xlfn.XLOOKUP(B91,BugList!A:A,BugList!R:R)</f>
        <v>6</v>
      </c>
      <c r="Q91" t="b">
        <f>SUMPRODUCT(COUNTIF(_xlfn.XLOOKUP(B91,BugList!A:A,BugList!V:V), "*cn*"))&gt;0</f>
        <v>0</v>
      </c>
      <c r="S91" t="str">
        <f>_xlfn.XLOOKUP(B91,BugList!A:A,BugList!W:W)</f>
        <v/>
      </c>
      <c r="T91">
        <f t="shared" si="12"/>
        <v>6</v>
      </c>
      <c r="U91">
        <f t="shared" si="13"/>
        <v>6</v>
      </c>
    </row>
    <row r="92" spans="1:21">
      <c r="A92" t="s">
        <v>118</v>
      </c>
      <c r="B92">
        <v>1629</v>
      </c>
      <c r="D92" t="s">
        <v>93</v>
      </c>
      <c r="E92" t="s">
        <v>93</v>
      </c>
      <c r="F92">
        <v>2</v>
      </c>
      <c r="G92">
        <f t="shared" si="9"/>
        <v>1.7391304347826086</v>
      </c>
      <c r="H92">
        <f t="shared" si="10"/>
        <v>1</v>
      </c>
      <c r="I92">
        <f t="shared" si="11"/>
        <v>0.73913043478260865</v>
      </c>
      <c r="J92" cm="1">
        <f t="array" ref="J92">INT(G92)+IF(100-SUM(INT(G$84:G$94))&gt;=RANK(I92,I$84:I$94)+COUNTIF(I$84:I92,I92)-1,1,0)</f>
        <v>2</v>
      </c>
      <c r="K92" t="str">
        <f>_xlfn.XLOOKUP(B92,BugList!A:A,BugList!H:H)</f>
        <v/>
      </c>
      <c r="L92" t="str">
        <f>IF(K92 = "","",_xlfn.XLOOKUP(B92, BugList!A:A,BugList!B:B,""))</f>
        <v/>
      </c>
      <c r="M92">
        <f>_xlfn.XLOOKUP(D92,BugList!C:C,BugList!N:N)</f>
        <v>8</v>
      </c>
      <c r="N92">
        <f>_xlfn.XLOOKUP(B92,BugList!A:A,BugList!R:R)</f>
        <v>8</v>
      </c>
      <c r="Q92" t="b">
        <f>SUMPRODUCT(COUNTIF(_xlfn.XLOOKUP(B92,BugList!A:A,BugList!V:V), "*cn*"))&gt;0</f>
        <v>0</v>
      </c>
      <c r="S92" t="str">
        <f>_xlfn.XLOOKUP(B92,BugList!A:A,BugList!W:W)</f>
        <v/>
      </c>
      <c r="T92">
        <f t="shared" si="12"/>
        <v>16</v>
      </c>
      <c r="U92">
        <f t="shared" si="13"/>
        <v>16</v>
      </c>
    </row>
    <row r="93" spans="1:21">
      <c r="A93" t="s">
        <v>118</v>
      </c>
      <c r="B93">
        <v>1696</v>
      </c>
      <c r="D93" t="s">
        <v>94</v>
      </c>
      <c r="E93" t="s">
        <v>94</v>
      </c>
      <c r="F93">
        <v>19</v>
      </c>
      <c r="G93">
        <f t="shared" si="9"/>
        <v>16.521739130434781</v>
      </c>
      <c r="H93">
        <f t="shared" si="10"/>
        <v>16</v>
      </c>
      <c r="I93">
        <f t="shared" si="11"/>
        <v>0.52173913043478137</v>
      </c>
      <c r="J93" cm="1">
        <f t="array" ref="J93">INT(G93)+IF(100-SUM(INT(G$84:G$94))&gt;=RANK(I93,I$84:I$94)+COUNTIF(I$84:I93,I93)-1,1,0)</f>
        <v>16</v>
      </c>
      <c r="K93" t="str">
        <f>_xlfn.XLOOKUP(B93,BugList!A:A,BugList!H:H)</f>
        <v/>
      </c>
      <c r="L93" t="str">
        <f>IF(K93 = "","",_xlfn.XLOOKUP(B93, BugList!A:A,BugList!B:B,""))</f>
        <v/>
      </c>
      <c r="M93">
        <f>_xlfn.XLOOKUP(D93,BugList!C:C,BugList!N:N)</f>
        <v>8</v>
      </c>
      <c r="N93">
        <f>_xlfn.XLOOKUP(B93,BugList!A:A,BugList!R:R)</f>
        <v>8</v>
      </c>
      <c r="Q93" t="b">
        <f>SUMPRODUCT(COUNTIF(_xlfn.XLOOKUP(B93,BugList!A:A,BugList!V:V), "*cn*"))&gt;0</f>
        <v>0</v>
      </c>
      <c r="S93" t="str">
        <f>_xlfn.XLOOKUP(B93,BugList!A:A,BugList!W:W)</f>
        <v/>
      </c>
      <c r="T93">
        <f t="shared" si="12"/>
        <v>128</v>
      </c>
      <c r="U93">
        <f t="shared" si="13"/>
        <v>128</v>
      </c>
    </row>
    <row r="94" spans="1:21">
      <c r="A94" t="s">
        <v>118</v>
      </c>
      <c r="B94">
        <v>63</v>
      </c>
      <c r="D94" t="s">
        <v>84</v>
      </c>
      <c r="E94" t="s">
        <v>84</v>
      </c>
      <c r="F94">
        <v>1</v>
      </c>
      <c r="G94">
        <f t="shared" si="9"/>
        <v>0.86956521739130432</v>
      </c>
      <c r="H94">
        <f t="shared" si="10"/>
        <v>0</v>
      </c>
      <c r="I94">
        <f t="shared" si="11"/>
        <v>0.86956521739130432</v>
      </c>
      <c r="J94" cm="1">
        <f t="array" ref="J94">INT(G94)+IF(100-SUM(INT(G$84:G$94))&gt;=RANK(I94,I$84:I$94)+COUNTIF(I$84:I94,I94)-1,1,0)</f>
        <v>1</v>
      </c>
      <c r="K94" t="str">
        <f>_xlfn.XLOOKUP(B94,BugList!A:A,BugList!H:H)</f>
        <v/>
      </c>
      <c r="L94" t="str">
        <f>IF(K94 = "","",_xlfn.XLOOKUP(B94, BugList!A:A,BugList!B:B,""))</f>
        <v/>
      </c>
      <c r="M94">
        <f>_xlfn.XLOOKUP(D94,BugList!C:C,BugList!N:N)</f>
        <v>8</v>
      </c>
      <c r="N94">
        <f>_xlfn.XLOOKUP(B94,BugList!A:A,BugList!R:R)</f>
        <v>8</v>
      </c>
      <c r="Q94" t="b">
        <f>SUMPRODUCT(COUNTIF(_xlfn.XLOOKUP(B94,BugList!A:A,BugList!V:V), "*cn*"))&gt;0</f>
        <v>0</v>
      </c>
      <c r="S94" t="str">
        <f>_xlfn.XLOOKUP(B94,BugList!A:A,BugList!W:W)</f>
        <v/>
      </c>
      <c r="T94">
        <f t="shared" si="12"/>
        <v>8</v>
      </c>
      <c r="U94">
        <f t="shared" si="13"/>
        <v>8</v>
      </c>
    </row>
    <row r="95" spans="1:21">
      <c r="A95" t="s">
        <v>123</v>
      </c>
      <c r="B95">
        <v>88</v>
      </c>
      <c r="D95" t="s">
        <v>85</v>
      </c>
      <c r="E95" t="s">
        <v>85</v>
      </c>
      <c r="F95">
        <v>24</v>
      </c>
      <c r="K95" t="str">
        <f>_xlfn.XLOOKUP(B95,BugList!A:A,BugList!H:H)</f>
        <v/>
      </c>
      <c r="L95" t="str">
        <f>IF(K95 = "","",_xlfn.XLOOKUP(B95, BugList!A:A,BugList!B:B,""))</f>
        <v/>
      </c>
      <c r="M95">
        <f>_xlfn.XLOOKUP(D95,BugList!C:C,BugList!N:N)</f>
        <v>4</v>
      </c>
      <c r="N95">
        <f>_xlfn.XLOOKUP(B95,BugList!A:A,BugList!R:R)</f>
        <v>4</v>
      </c>
      <c r="Q95" t="b">
        <f>SUMPRODUCT(COUNTIF(_xlfn.XLOOKUP(B95,BugList!A:A,BugList!V:V), "*cn*"))&gt;0</f>
        <v>0</v>
      </c>
      <c r="S95" t="str">
        <f>_xlfn.XLOOKUP(B95,BugList!A:A,BugList!W:W)</f>
        <v/>
      </c>
      <c r="T95">
        <f t="shared" si="12"/>
        <v>0</v>
      </c>
      <c r="U95">
        <f t="shared" si="13"/>
        <v>0</v>
      </c>
    </row>
    <row r="96" spans="1:21">
      <c r="A96" t="s">
        <v>123</v>
      </c>
      <c r="B96">
        <v>247</v>
      </c>
      <c r="D96" t="s">
        <v>87</v>
      </c>
      <c r="E96" t="s">
        <v>87</v>
      </c>
      <c r="F96">
        <v>3</v>
      </c>
      <c r="K96" t="str">
        <f>_xlfn.XLOOKUP(B96,BugList!A:A,BugList!H:H)</f>
        <v/>
      </c>
      <c r="L96" t="str">
        <f>IF(K96 = "","",_xlfn.XLOOKUP(B96, BugList!A:A,BugList!B:B,""))</f>
        <v/>
      </c>
      <c r="M96">
        <f>_xlfn.XLOOKUP(D96,BugList!C:C,BugList!N:N)</f>
        <v>4</v>
      </c>
      <c r="N96">
        <f>_xlfn.XLOOKUP(B96,BugList!A:A,BugList!R:R)</f>
        <v>4</v>
      </c>
      <c r="Q96" t="b">
        <f>SUMPRODUCT(COUNTIF(_xlfn.XLOOKUP(B96,BugList!A:A,BugList!V:V), "*cn*"))&gt;0</f>
        <v>0</v>
      </c>
      <c r="S96" t="str">
        <f>_xlfn.XLOOKUP(B96,BugList!A:A,BugList!W:W)</f>
        <v/>
      </c>
      <c r="T96">
        <f t="shared" si="12"/>
        <v>0</v>
      </c>
      <c r="U96">
        <f t="shared" si="13"/>
        <v>0</v>
      </c>
    </row>
    <row r="97" spans="1:21">
      <c r="A97" t="s">
        <v>123</v>
      </c>
      <c r="B97">
        <v>372</v>
      </c>
      <c r="D97" t="s">
        <v>88</v>
      </c>
      <c r="E97" t="s">
        <v>88</v>
      </c>
      <c r="F97">
        <v>4</v>
      </c>
      <c r="K97" t="str">
        <f>_xlfn.XLOOKUP(B97,BugList!A:A,BugList!H:H)</f>
        <v/>
      </c>
      <c r="L97" t="str">
        <f>IF(K97 = "","",_xlfn.XLOOKUP(B97, BugList!A:A,BugList!B:B,""))</f>
        <v/>
      </c>
      <c r="M97">
        <f>_xlfn.XLOOKUP(D97,BugList!C:C,BugList!N:N)</f>
        <v>8</v>
      </c>
      <c r="N97">
        <f>_xlfn.XLOOKUP(B97,BugList!A:A,BugList!R:R)</f>
        <v>8</v>
      </c>
      <c r="Q97" t="b">
        <f>SUMPRODUCT(COUNTIF(_xlfn.XLOOKUP(B97,BugList!A:A,BugList!V:V), "*cn*"))&gt;0</f>
        <v>0</v>
      </c>
      <c r="S97" t="str">
        <f>_xlfn.XLOOKUP(B97,BugList!A:A,BugList!W:W)</f>
        <v/>
      </c>
      <c r="T97">
        <f t="shared" si="12"/>
        <v>0</v>
      </c>
      <c r="U97">
        <f t="shared" si="13"/>
        <v>0</v>
      </c>
    </row>
    <row r="98" spans="1:21">
      <c r="A98" t="s">
        <v>123</v>
      </c>
      <c r="B98">
        <v>602</v>
      </c>
      <c r="D98" t="s">
        <v>97</v>
      </c>
      <c r="E98" t="s">
        <v>97</v>
      </c>
      <c r="F98">
        <v>4</v>
      </c>
      <c r="K98" t="str">
        <f>_xlfn.XLOOKUP(B98,BugList!A:A,BugList!H:H)</f>
        <v/>
      </c>
      <c r="L98" t="str">
        <f>IF(K98 = "","",_xlfn.XLOOKUP(B98, BugList!A:A,BugList!B:B,""))</f>
        <v/>
      </c>
      <c r="M98">
        <f>_xlfn.XLOOKUP(D98,BugList!C:C,BugList!N:N)</f>
        <v>9</v>
      </c>
      <c r="N98">
        <f>_xlfn.XLOOKUP(B98,BugList!A:A,BugList!R:R)</f>
        <v>9</v>
      </c>
      <c r="Q98" t="b">
        <f>SUMPRODUCT(COUNTIF(_xlfn.XLOOKUP(B98,BugList!A:A,BugList!V:V), "*cn*"))&gt;0</f>
        <v>0</v>
      </c>
      <c r="S98" t="str">
        <f>_xlfn.XLOOKUP(B98,BugList!A:A,BugList!W:W)</f>
        <v/>
      </c>
      <c r="T98">
        <f t="shared" si="12"/>
        <v>0</v>
      </c>
      <c r="U98">
        <f t="shared" si="13"/>
        <v>0</v>
      </c>
    </row>
    <row r="99" spans="1:21">
      <c r="A99" t="s">
        <v>123</v>
      </c>
      <c r="B99">
        <v>935</v>
      </c>
      <c r="D99" t="s">
        <v>98</v>
      </c>
      <c r="E99" t="s">
        <v>98</v>
      </c>
      <c r="F99">
        <v>1</v>
      </c>
      <c r="K99" t="str">
        <f>_xlfn.XLOOKUP(B99,BugList!A:A,BugList!H:H)</f>
        <v/>
      </c>
      <c r="L99" t="str">
        <f>IF(K99 = "","",_xlfn.XLOOKUP(B99, BugList!A:A,BugList!B:B,""))</f>
        <v/>
      </c>
      <c r="M99">
        <f>_xlfn.XLOOKUP(D99,BugList!C:C,BugList!N:N)</f>
        <v>4</v>
      </c>
      <c r="N99">
        <f>_xlfn.XLOOKUP(B99,BugList!A:A,BugList!R:R)</f>
        <v>4</v>
      </c>
      <c r="Q99" t="b">
        <f>SUMPRODUCT(COUNTIF(_xlfn.XLOOKUP(B99,BugList!A:A,BugList!V:V), "*cn*"))&gt;0</f>
        <v>1</v>
      </c>
      <c r="S99" t="str">
        <f>_xlfn.XLOOKUP(B99,BugList!A:A,BugList!W:W)</f>
        <v/>
      </c>
      <c r="T99">
        <f t="shared" si="12"/>
        <v>0</v>
      </c>
      <c r="U99">
        <f t="shared" si="13"/>
        <v>0</v>
      </c>
    </row>
    <row r="100" spans="1:21">
      <c r="A100" t="s">
        <v>123</v>
      </c>
      <c r="B100">
        <v>1083</v>
      </c>
      <c r="D100" t="s">
        <v>124</v>
      </c>
      <c r="E100" t="s">
        <v>124</v>
      </c>
      <c r="F100">
        <v>2</v>
      </c>
      <c r="K100" t="str">
        <f>_xlfn.XLOOKUP(B100,BugList!A:A,BugList!H:H)</f>
        <v/>
      </c>
      <c r="L100" t="str">
        <f>IF(K100 = "","",_xlfn.XLOOKUP(B100, BugList!A:A,BugList!B:B,""))</f>
        <v/>
      </c>
      <c r="M100">
        <f>_xlfn.XLOOKUP(D100,BugList!C:C,BugList!N:N)</f>
        <v>6</v>
      </c>
      <c r="N100">
        <f>_xlfn.XLOOKUP(B100,BugList!A:A,BugList!R:R)</f>
        <v>6</v>
      </c>
      <c r="Q100" t="b">
        <f>SUMPRODUCT(COUNTIF(_xlfn.XLOOKUP(B100,BugList!A:A,BugList!V:V), "*cn*"))&gt;0</f>
        <v>0</v>
      </c>
      <c r="S100" t="str">
        <f>_xlfn.XLOOKUP(B100,BugList!A:A,BugList!W:W)</f>
        <v/>
      </c>
      <c r="T100">
        <f t="shared" si="12"/>
        <v>0</v>
      </c>
      <c r="U100">
        <f t="shared" si="13"/>
        <v>0</v>
      </c>
    </row>
    <row r="101" spans="1:21">
      <c r="A101" t="s">
        <v>123</v>
      </c>
      <c r="B101">
        <v>1088</v>
      </c>
      <c r="D101" t="s">
        <v>90</v>
      </c>
      <c r="E101" t="s">
        <v>90</v>
      </c>
      <c r="F101">
        <v>13</v>
      </c>
      <c r="K101" t="str">
        <f>_xlfn.XLOOKUP(B101,BugList!A:A,BugList!H:H)</f>
        <v/>
      </c>
      <c r="L101" t="str">
        <f>IF(K101 = "","",_xlfn.XLOOKUP(B101, BugList!A:A,BugList!B:B,""))</f>
        <v/>
      </c>
      <c r="M101">
        <f>_xlfn.XLOOKUP(D101,BugList!C:C,BugList!N:N)</f>
        <v>6</v>
      </c>
      <c r="N101">
        <f>_xlfn.XLOOKUP(B101,BugList!A:A,BugList!R:R)</f>
        <v>6</v>
      </c>
      <c r="Q101" t="b">
        <f>SUMPRODUCT(COUNTIF(_xlfn.XLOOKUP(B101,BugList!A:A,BugList!V:V), "*cn*"))&gt;0</f>
        <v>0</v>
      </c>
      <c r="S101" t="str">
        <f>_xlfn.XLOOKUP(B101,BugList!A:A,BugList!W:W)</f>
        <v/>
      </c>
      <c r="T101">
        <f t="shared" si="12"/>
        <v>0</v>
      </c>
      <c r="U101">
        <f t="shared" si="13"/>
        <v>0</v>
      </c>
    </row>
    <row r="102" spans="1:21">
      <c r="A102" t="s">
        <v>123</v>
      </c>
      <c r="B102">
        <v>1578</v>
      </c>
      <c r="D102" t="s">
        <v>102</v>
      </c>
      <c r="E102" t="s">
        <v>102</v>
      </c>
      <c r="F102">
        <v>3</v>
      </c>
      <c r="K102" t="str">
        <f>_xlfn.XLOOKUP(B102,BugList!A:A,BugList!H:H)</f>
        <v/>
      </c>
      <c r="L102" t="str">
        <f>IF(K102 = "","",_xlfn.XLOOKUP(B102, BugList!A:A,BugList!B:B,""))</f>
        <v/>
      </c>
      <c r="M102">
        <f>_xlfn.XLOOKUP(D102,BugList!C:C,BugList!N:N)</f>
        <v>7</v>
      </c>
      <c r="N102">
        <f>_xlfn.XLOOKUP(B102,BugList!A:A,BugList!R:R)</f>
        <v>7</v>
      </c>
      <c r="Q102" t="b">
        <f>SUMPRODUCT(COUNTIF(_xlfn.XLOOKUP(B102,BugList!A:A,BugList!V:V), "*cn*"))&gt;0</f>
        <v>0</v>
      </c>
      <c r="S102" t="str">
        <f>_xlfn.XLOOKUP(B102,BugList!A:A,BugList!W:W)</f>
        <v/>
      </c>
      <c r="T102">
        <f t="shared" si="12"/>
        <v>0</v>
      </c>
      <c r="U102">
        <f t="shared" si="13"/>
        <v>0</v>
      </c>
    </row>
    <row r="103" spans="1:21">
      <c r="A103" t="s">
        <v>123</v>
      </c>
      <c r="B103">
        <v>1629</v>
      </c>
      <c r="D103" t="s">
        <v>93</v>
      </c>
      <c r="E103" t="s">
        <v>93</v>
      </c>
      <c r="F103">
        <v>1</v>
      </c>
      <c r="K103" t="str">
        <f>_xlfn.XLOOKUP(B103,BugList!A:A,BugList!H:H)</f>
        <v/>
      </c>
      <c r="L103" t="str">
        <f>IF(K103 = "","",_xlfn.XLOOKUP(B103, BugList!A:A,BugList!B:B,""))</f>
        <v/>
      </c>
      <c r="M103">
        <f>_xlfn.XLOOKUP(D103,BugList!C:C,BugList!N:N)</f>
        <v>8</v>
      </c>
      <c r="N103">
        <f>_xlfn.XLOOKUP(B103,BugList!A:A,BugList!R:R)</f>
        <v>8</v>
      </c>
      <c r="Q103" t="b">
        <f>SUMPRODUCT(COUNTIF(_xlfn.XLOOKUP(B103,BugList!A:A,BugList!V:V), "*cn*"))&gt;0</f>
        <v>0</v>
      </c>
      <c r="S103" t="str">
        <f>_xlfn.XLOOKUP(B103,BugList!A:A,BugList!W:W)</f>
        <v/>
      </c>
      <c r="T103">
        <f t="shared" si="12"/>
        <v>0</v>
      </c>
      <c r="U103">
        <f t="shared" si="13"/>
        <v>0</v>
      </c>
    </row>
    <row r="104" spans="1:21">
      <c r="A104" t="s">
        <v>123</v>
      </c>
      <c r="B104">
        <v>1696</v>
      </c>
      <c r="D104" t="s">
        <v>94</v>
      </c>
      <c r="E104" t="s">
        <v>94</v>
      </c>
      <c r="F104">
        <v>10</v>
      </c>
      <c r="K104" t="str">
        <f>_xlfn.XLOOKUP(B104,BugList!A:A,BugList!H:H)</f>
        <v/>
      </c>
      <c r="L104" t="str">
        <f>IF(K104 = "","",_xlfn.XLOOKUP(B104, BugList!A:A,BugList!B:B,""))</f>
        <v/>
      </c>
      <c r="M104">
        <f>_xlfn.XLOOKUP(D104,BugList!C:C,BugList!N:N)</f>
        <v>8</v>
      </c>
      <c r="N104">
        <f>_xlfn.XLOOKUP(B104,BugList!A:A,BugList!R:R)</f>
        <v>8</v>
      </c>
      <c r="Q104" t="b">
        <f>SUMPRODUCT(COUNTIF(_xlfn.XLOOKUP(B104,BugList!A:A,BugList!V:V), "*cn*"))&gt;0</f>
        <v>0</v>
      </c>
      <c r="S104" t="str">
        <f>_xlfn.XLOOKUP(B104,BugList!A:A,BugList!W:W)</f>
        <v/>
      </c>
      <c r="T104">
        <f t="shared" si="12"/>
        <v>0</v>
      </c>
      <c r="U104">
        <f t="shared" si="13"/>
        <v>0</v>
      </c>
    </row>
    <row r="105" spans="1:21">
      <c r="A105" t="s">
        <v>125</v>
      </c>
      <c r="B105">
        <v>63</v>
      </c>
      <c r="D105" t="s">
        <v>84</v>
      </c>
      <c r="E105" t="s">
        <v>84</v>
      </c>
      <c r="F105">
        <v>6</v>
      </c>
      <c r="G105">
        <f t="shared" ref="G105:G168" si="14">(F105/(SUMIFS(F:F,A:A,A105))*100)</f>
        <v>5.9405940594059405</v>
      </c>
      <c r="H105">
        <f t="shared" ref="H105:H168" si="15">INT(G105)</f>
        <v>5</v>
      </c>
      <c r="I105">
        <f t="shared" ref="I105:I168" si="16">G105-H105</f>
        <v>0.94059405940594054</v>
      </c>
      <c r="J105" cm="1">
        <f t="array" ref="J105">INT(G105)+IF(100-SUM(INT(G$105:G$112))&gt;=RANK(I105,I$105:I$112)+COUNTIF(I$105:I105,I105)-1,1,0)</f>
        <v>6</v>
      </c>
      <c r="K105" t="str">
        <f>_xlfn.XLOOKUP(B105,BugList!A:A,BugList!H:H)</f>
        <v/>
      </c>
      <c r="L105" t="str">
        <f>IF(K105 = "","",_xlfn.XLOOKUP(B105, BugList!A:A,BugList!B:B,""))</f>
        <v/>
      </c>
      <c r="M105">
        <f>_xlfn.XLOOKUP(D105,BugList!C:C,BugList!N:N)</f>
        <v>8</v>
      </c>
      <c r="N105">
        <f>_xlfn.XLOOKUP(B105,BugList!A:A,BugList!R:R)</f>
        <v>8</v>
      </c>
      <c r="Q105" t="b">
        <f>SUMPRODUCT(COUNTIF(_xlfn.XLOOKUP(B105,BugList!A:A,BugList!V:V), "*cn*"))&gt;0</f>
        <v>0</v>
      </c>
      <c r="S105" t="str">
        <f>_xlfn.XLOOKUP(B105,BugList!A:A,BugList!W:W)</f>
        <v/>
      </c>
      <c r="T105">
        <f t="shared" si="12"/>
        <v>48</v>
      </c>
      <c r="U105">
        <f t="shared" si="13"/>
        <v>48</v>
      </c>
    </row>
    <row r="106" spans="1:21">
      <c r="A106" t="s">
        <v>125</v>
      </c>
      <c r="B106">
        <v>88</v>
      </c>
      <c r="D106" t="s">
        <v>85</v>
      </c>
      <c r="E106" t="s">
        <v>85</v>
      </c>
      <c r="F106">
        <v>43</v>
      </c>
      <c r="G106">
        <f t="shared" si="14"/>
        <v>42.574257425742573</v>
      </c>
      <c r="H106">
        <f t="shared" si="15"/>
        <v>42</v>
      </c>
      <c r="I106">
        <f t="shared" si="16"/>
        <v>0.57425742574257299</v>
      </c>
      <c r="J106" cm="1">
        <f t="array" ref="J106">INT(G106)+IF(100-SUM(INT(G$105:G$112))&gt;=RANK(I106,I$105:I$112)+COUNTIF(I$105:I106,I106)-1,1,0)</f>
        <v>42</v>
      </c>
      <c r="K106" t="str">
        <f>_xlfn.XLOOKUP(B106,BugList!A:A,BugList!H:H)</f>
        <v/>
      </c>
      <c r="L106" t="str">
        <f>IF(K106 = "","",_xlfn.XLOOKUP(B106, BugList!A:A,BugList!B:B,""))</f>
        <v/>
      </c>
      <c r="M106">
        <f>_xlfn.XLOOKUP(D106,BugList!C:C,BugList!N:N)</f>
        <v>4</v>
      </c>
      <c r="N106">
        <f>_xlfn.XLOOKUP(B106,BugList!A:A,BugList!R:R)</f>
        <v>4</v>
      </c>
      <c r="Q106" t="b">
        <f>SUMPRODUCT(COUNTIF(_xlfn.XLOOKUP(B106,BugList!A:A,BugList!V:V), "*cn*"))&gt;0</f>
        <v>0</v>
      </c>
      <c r="S106" t="str">
        <f>_xlfn.XLOOKUP(B106,BugList!A:A,BugList!W:W)</f>
        <v/>
      </c>
      <c r="T106">
        <f t="shared" si="12"/>
        <v>168</v>
      </c>
      <c r="U106">
        <f t="shared" si="13"/>
        <v>168</v>
      </c>
    </row>
    <row r="107" spans="1:21">
      <c r="A107" t="s">
        <v>125</v>
      </c>
      <c r="B107">
        <v>247</v>
      </c>
      <c r="D107" t="s">
        <v>87</v>
      </c>
      <c r="E107" t="s">
        <v>87</v>
      </c>
      <c r="F107">
        <v>3</v>
      </c>
      <c r="G107">
        <f t="shared" si="14"/>
        <v>2.9702970297029703</v>
      </c>
      <c r="H107">
        <f t="shared" si="15"/>
        <v>2</v>
      </c>
      <c r="I107">
        <f t="shared" si="16"/>
        <v>0.97029702970297027</v>
      </c>
      <c r="J107" cm="1">
        <f t="array" ref="J107">INT(G107)+IF(100-SUM(INT(G$105:G$112))&gt;=RANK(I107,I$105:I$112)+COUNTIF(I$105:I107,I107)-1,1,0)</f>
        <v>3</v>
      </c>
      <c r="K107" t="str">
        <f>_xlfn.XLOOKUP(B107,BugList!A:A,BugList!H:H)</f>
        <v/>
      </c>
      <c r="L107" t="str">
        <f>IF(K107 = "","",_xlfn.XLOOKUP(B107, BugList!A:A,BugList!B:B,""))</f>
        <v/>
      </c>
      <c r="M107">
        <f>_xlfn.XLOOKUP(D107,BugList!C:C,BugList!N:N)</f>
        <v>4</v>
      </c>
      <c r="N107">
        <f>_xlfn.XLOOKUP(B107,BugList!A:A,BugList!R:R)</f>
        <v>4</v>
      </c>
      <c r="Q107" t="b">
        <f>SUMPRODUCT(COUNTIF(_xlfn.XLOOKUP(B107,BugList!A:A,BugList!V:V), "*cn*"))&gt;0</f>
        <v>0</v>
      </c>
      <c r="S107" t="str">
        <f>_xlfn.XLOOKUP(B107,BugList!A:A,BugList!W:W)</f>
        <v/>
      </c>
      <c r="T107">
        <f t="shared" si="12"/>
        <v>12</v>
      </c>
      <c r="U107">
        <f t="shared" si="13"/>
        <v>12</v>
      </c>
    </row>
    <row r="108" spans="1:21">
      <c r="A108" t="s">
        <v>125</v>
      </c>
      <c r="B108">
        <v>372</v>
      </c>
      <c r="D108" t="s">
        <v>88</v>
      </c>
      <c r="E108" t="s">
        <v>88</v>
      </c>
      <c r="F108">
        <v>3</v>
      </c>
      <c r="G108">
        <f t="shared" si="14"/>
        <v>2.9702970297029703</v>
      </c>
      <c r="H108">
        <f t="shared" si="15"/>
        <v>2</v>
      </c>
      <c r="I108">
        <f t="shared" si="16"/>
        <v>0.97029702970297027</v>
      </c>
      <c r="J108" cm="1">
        <f t="array" ref="J108">INT(G108)+IF(100-SUM(INT(G$105:G$112))&gt;=RANK(I108,I$105:I$112)+COUNTIF(I$105:I108,I108)-1,1,0)</f>
        <v>3</v>
      </c>
      <c r="K108" t="str">
        <f>_xlfn.XLOOKUP(B108,BugList!A:A,BugList!H:H)</f>
        <v/>
      </c>
      <c r="L108" t="str">
        <f>IF(K108 = "","",_xlfn.XLOOKUP(B108, BugList!A:A,BugList!B:B,""))</f>
        <v/>
      </c>
      <c r="M108">
        <f>_xlfn.XLOOKUP(D108,BugList!C:C,BugList!N:N)</f>
        <v>8</v>
      </c>
      <c r="N108">
        <f>_xlfn.XLOOKUP(B108,BugList!A:A,BugList!R:R)</f>
        <v>8</v>
      </c>
      <c r="Q108" t="b">
        <f>SUMPRODUCT(COUNTIF(_xlfn.XLOOKUP(B108,BugList!A:A,BugList!V:V), "*cn*"))&gt;0</f>
        <v>0</v>
      </c>
      <c r="S108" t="str">
        <f>_xlfn.XLOOKUP(B108,BugList!A:A,BugList!W:W)</f>
        <v/>
      </c>
      <c r="T108">
        <f t="shared" si="12"/>
        <v>24</v>
      </c>
      <c r="U108">
        <f t="shared" si="13"/>
        <v>24</v>
      </c>
    </row>
    <row r="109" spans="1:21">
      <c r="A109" t="s">
        <v>125</v>
      </c>
      <c r="B109">
        <v>794</v>
      </c>
      <c r="D109" t="s">
        <v>89</v>
      </c>
      <c r="E109" t="s">
        <v>89</v>
      </c>
      <c r="F109">
        <v>8</v>
      </c>
      <c r="G109">
        <f t="shared" si="14"/>
        <v>7.9207920792079207</v>
      </c>
      <c r="H109">
        <f t="shared" si="15"/>
        <v>7</v>
      </c>
      <c r="I109">
        <f t="shared" si="16"/>
        <v>0.92079207920792072</v>
      </c>
      <c r="J109" cm="1">
        <f t="array" ref="J109">INT(G109)+IF(100-SUM(INT(G$105:G$112))&gt;=RANK(I109,I$105:I$112)+COUNTIF(I$105:I109,I109)-1,1,0)</f>
        <v>8</v>
      </c>
      <c r="K109" t="str">
        <f>_xlfn.XLOOKUP(B109,BugList!A:A,BugList!H:H)</f>
        <v>*</v>
      </c>
      <c r="L109" t="str">
        <f>IF(K109 = "","",_xlfn.XLOOKUP(B109, BugList!A:A,BugList!B:B,""))</f>
        <v>Trichoptera</v>
      </c>
      <c r="M109">
        <f>_xlfn.XLOOKUP(D109,BugList!C:C,BugList!N:N)</f>
        <v>4</v>
      </c>
      <c r="N109">
        <f>_xlfn.XLOOKUP(B109,BugList!A:A,BugList!R:R)</f>
        <v>4</v>
      </c>
      <c r="Q109" t="b">
        <f>SUMPRODUCT(COUNTIF(_xlfn.XLOOKUP(B109,BugList!A:A,BugList!V:V), "*cn*"))&gt;0</f>
        <v>1</v>
      </c>
      <c r="S109" t="str">
        <f>_xlfn.XLOOKUP(B109,BugList!A:A,BugList!W:W)</f>
        <v/>
      </c>
      <c r="T109">
        <f t="shared" si="12"/>
        <v>32</v>
      </c>
      <c r="U109">
        <f t="shared" si="13"/>
        <v>32</v>
      </c>
    </row>
    <row r="110" spans="1:21">
      <c r="A110" t="s">
        <v>125</v>
      </c>
      <c r="B110">
        <v>1089</v>
      </c>
      <c r="D110" t="s">
        <v>126</v>
      </c>
      <c r="E110" t="s">
        <v>127</v>
      </c>
      <c r="F110">
        <v>12</v>
      </c>
      <c r="G110">
        <f t="shared" si="14"/>
        <v>11.881188118811881</v>
      </c>
      <c r="H110">
        <f t="shared" si="15"/>
        <v>11</v>
      </c>
      <c r="I110">
        <f t="shared" si="16"/>
        <v>0.88118811881188108</v>
      </c>
      <c r="J110" cm="1">
        <f t="array" ref="J110">INT(G110)+IF(100-SUM(INT(G$105:G$112))&gt;=RANK(I110,I$105:I$112)+COUNTIF(I$105:I110,I110)-1,1,0)</f>
        <v>12</v>
      </c>
      <c r="K110" t="str">
        <f>_xlfn.XLOOKUP(B110,BugList!A:A,BugList!H:H)</f>
        <v/>
      </c>
      <c r="L110" t="str">
        <f>IF(K110 = "","",_xlfn.XLOOKUP(B110, BugList!A:A,BugList!B:B,""))</f>
        <v/>
      </c>
      <c r="M110">
        <f>_xlfn.XLOOKUP(D110,BugList!C:C,BugList!N:N)</f>
        <v>8</v>
      </c>
      <c r="N110">
        <f>_xlfn.XLOOKUP(B110,BugList!A:A,BugList!R:R)</f>
        <v>10</v>
      </c>
      <c r="Q110" t="b">
        <f>SUMPRODUCT(COUNTIF(_xlfn.XLOOKUP(B110,BugList!A:A,BugList!V:V), "*cn*"))&gt;0</f>
        <v>0</v>
      </c>
      <c r="S110" t="str">
        <f>_xlfn.XLOOKUP(B110,BugList!A:A,BugList!W:W)</f>
        <v/>
      </c>
      <c r="T110">
        <f t="shared" si="12"/>
        <v>96</v>
      </c>
      <c r="U110">
        <f t="shared" si="13"/>
        <v>120</v>
      </c>
    </row>
    <row r="111" spans="1:21">
      <c r="A111" t="s">
        <v>125</v>
      </c>
      <c r="B111">
        <v>1614</v>
      </c>
      <c r="D111" t="s">
        <v>92</v>
      </c>
      <c r="E111" t="s">
        <v>92</v>
      </c>
      <c r="F111">
        <v>1</v>
      </c>
      <c r="G111">
        <f t="shared" si="14"/>
        <v>0.99009900990099009</v>
      </c>
      <c r="H111">
        <f t="shared" si="15"/>
        <v>0</v>
      </c>
      <c r="I111">
        <f t="shared" si="16"/>
        <v>0.99009900990099009</v>
      </c>
      <c r="J111" cm="1">
        <f t="array" ref="J111">INT(G111)+IF(100-SUM(INT(G$105:G$112))&gt;=RANK(I111,I$105:I$112)+COUNTIF(I$105:I111,I111)-1,1,0)</f>
        <v>1</v>
      </c>
      <c r="K111" t="str">
        <f>_xlfn.XLOOKUP(B111,BugList!A:A,BugList!H:H)</f>
        <v/>
      </c>
      <c r="L111" t="str">
        <f>IF(K111 = "","",_xlfn.XLOOKUP(B111, BugList!A:A,BugList!B:B,""))</f>
        <v/>
      </c>
      <c r="M111">
        <f>_xlfn.XLOOKUP(D111,BugList!C:C,BugList!N:N)</f>
        <v>8</v>
      </c>
      <c r="N111">
        <f>_xlfn.XLOOKUP(B111,BugList!A:A,BugList!R:R)</f>
        <v>8</v>
      </c>
      <c r="Q111" t="b">
        <f>SUMPRODUCT(COUNTIF(_xlfn.XLOOKUP(B111,BugList!A:A,BugList!V:V), "*cn*"))&gt;0</f>
        <v>0</v>
      </c>
      <c r="S111" t="str">
        <f>_xlfn.XLOOKUP(B111,BugList!A:A,BugList!W:W)</f>
        <v/>
      </c>
      <c r="T111">
        <f t="shared" si="12"/>
        <v>8</v>
      </c>
      <c r="U111">
        <f t="shared" si="13"/>
        <v>8</v>
      </c>
    </row>
    <row r="112" spans="1:21">
      <c r="A112" t="s">
        <v>125</v>
      </c>
      <c r="B112">
        <v>1696</v>
      </c>
      <c r="D112" t="s">
        <v>94</v>
      </c>
      <c r="E112" t="s">
        <v>94</v>
      </c>
      <c r="F112">
        <v>25</v>
      </c>
      <c r="G112">
        <f t="shared" si="14"/>
        <v>24.752475247524753</v>
      </c>
      <c r="H112">
        <f t="shared" si="15"/>
        <v>24</v>
      </c>
      <c r="I112">
        <f t="shared" si="16"/>
        <v>0.75247524752475314</v>
      </c>
      <c r="J112" cm="1">
        <f t="array" ref="J112">INT(G112)+IF(100-SUM(INT(G$105:G$112))&gt;=RANK(I112,I$105:I$112)+COUNTIF(I$105:I112,I112)-1,1,0)</f>
        <v>25</v>
      </c>
      <c r="K112" t="str">
        <f>_xlfn.XLOOKUP(B112,BugList!A:A,BugList!H:H)</f>
        <v/>
      </c>
      <c r="L112" t="str">
        <f>IF(K112 = "","",_xlfn.XLOOKUP(B112, BugList!A:A,BugList!B:B,""))</f>
        <v/>
      </c>
      <c r="M112">
        <f>_xlfn.XLOOKUP(D112,BugList!C:C,BugList!N:N)</f>
        <v>8</v>
      </c>
      <c r="N112">
        <f>_xlfn.XLOOKUP(B112,BugList!A:A,BugList!R:R)</f>
        <v>8</v>
      </c>
      <c r="Q112" t="b">
        <f>SUMPRODUCT(COUNTIF(_xlfn.XLOOKUP(B112,BugList!A:A,BugList!V:V), "*cn*"))&gt;0</f>
        <v>0</v>
      </c>
      <c r="S112" t="str">
        <f>_xlfn.XLOOKUP(B112,BugList!A:A,BugList!W:W)</f>
        <v/>
      </c>
      <c r="T112">
        <f t="shared" si="12"/>
        <v>200</v>
      </c>
      <c r="U112">
        <f t="shared" si="13"/>
        <v>200</v>
      </c>
    </row>
    <row r="113" spans="1:21">
      <c r="A113" t="s">
        <v>128</v>
      </c>
      <c r="B113">
        <v>63</v>
      </c>
      <c r="D113" t="s">
        <v>84</v>
      </c>
      <c r="E113" t="s">
        <v>84</v>
      </c>
      <c r="F113">
        <v>2</v>
      </c>
      <c r="G113">
        <f t="shared" si="14"/>
        <v>1.7391304347826086</v>
      </c>
      <c r="H113">
        <f t="shared" si="15"/>
        <v>1</v>
      </c>
      <c r="I113">
        <f t="shared" si="16"/>
        <v>0.73913043478260865</v>
      </c>
      <c r="J113" cm="1">
        <f t="array" ref="J113">INT(G113)+IF(100-SUM(INT(G$113:G$123))&gt;=RANK(I113,I$113:I$123)+COUNTIF(I$113:I113,I113)-1,1,0)</f>
        <v>2</v>
      </c>
      <c r="K113" t="str">
        <f>_xlfn.XLOOKUP(B113,BugList!A:A,BugList!H:H)</f>
        <v/>
      </c>
      <c r="L113" t="str">
        <f>IF(K113 = "","",_xlfn.XLOOKUP(B113, BugList!A:A,BugList!B:B,""))</f>
        <v/>
      </c>
      <c r="M113">
        <f>_xlfn.XLOOKUP(D113,BugList!C:C,BugList!N:N)</f>
        <v>8</v>
      </c>
      <c r="N113">
        <f>_xlfn.XLOOKUP(B113,BugList!A:A,BugList!R:R)</f>
        <v>8</v>
      </c>
      <c r="Q113" t="b">
        <f>SUMPRODUCT(COUNTIF(_xlfn.XLOOKUP(B113,BugList!A:A,BugList!V:V), "*cn*"))&gt;0</f>
        <v>0</v>
      </c>
      <c r="S113" t="str">
        <f>_xlfn.XLOOKUP(B113,BugList!A:A,BugList!W:W)</f>
        <v/>
      </c>
      <c r="T113">
        <f t="shared" si="12"/>
        <v>16</v>
      </c>
      <c r="U113">
        <f t="shared" si="13"/>
        <v>16</v>
      </c>
    </row>
    <row r="114" spans="1:21">
      <c r="A114" t="s">
        <v>128</v>
      </c>
      <c r="B114">
        <v>88</v>
      </c>
      <c r="D114" t="s">
        <v>85</v>
      </c>
      <c r="E114" t="s">
        <v>85</v>
      </c>
      <c r="F114">
        <v>26</v>
      </c>
      <c r="G114">
        <f t="shared" si="14"/>
        <v>22.608695652173914</v>
      </c>
      <c r="H114">
        <f t="shared" si="15"/>
        <v>22</v>
      </c>
      <c r="I114">
        <f t="shared" si="16"/>
        <v>0.60869565217391397</v>
      </c>
      <c r="J114" cm="1">
        <f t="array" ref="J114">INT(G114)+IF(100-SUM(INT(G$113:G$123))&gt;=RANK(I114,I$113:I$123)+COUNTIF(I$113:I114,I114)-1,1,0)</f>
        <v>23</v>
      </c>
      <c r="K114" t="str">
        <f>_xlfn.XLOOKUP(B114,BugList!A:A,BugList!H:H)</f>
        <v/>
      </c>
      <c r="L114" t="str">
        <f>IF(K114 = "","",_xlfn.XLOOKUP(B114, BugList!A:A,BugList!B:B,""))</f>
        <v/>
      </c>
      <c r="M114">
        <f>_xlfn.XLOOKUP(D114,BugList!C:C,BugList!N:N)</f>
        <v>4</v>
      </c>
      <c r="N114">
        <f>_xlfn.XLOOKUP(B114,BugList!A:A,BugList!R:R)</f>
        <v>4</v>
      </c>
      <c r="Q114" t="b">
        <f>SUMPRODUCT(COUNTIF(_xlfn.XLOOKUP(B114,BugList!A:A,BugList!V:V), "*cn*"))&gt;0</f>
        <v>0</v>
      </c>
      <c r="S114" t="str">
        <f>_xlfn.XLOOKUP(B114,BugList!A:A,BugList!W:W)</f>
        <v/>
      </c>
      <c r="T114">
        <f t="shared" si="12"/>
        <v>92</v>
      </c>
      <c r="U114">
        <f t="shared" si="13"/>
        <v>92</v>
      </c>
    </row>
    <row r="115" spans="1:21">
      <c r="A115" t="s">
        <v>128</v>
      </c>
      <c r="B115">
        <v>372</v>
      </c>
      <c r="D115" t="s">
        <v>88</v>
      </c>
      <c r="E115" t="s">
        <v>88</v>
      </c>
      <c r="F115">
        <v>15</v>
      </c>
      <c r="G115">
        <f t="shared" si="14"/>
        <v>13.043478260869565</v>
      </c>
      <c r="H115">
        <f t="shared" si="15"/>
        <v>13</v>
      </c>
      <c r="I115">
        <f t="shared" si="16"/>
        <v>4.3478260869564522E-2</v>
      </c>
      <c r="J115" cm="1">
        <f t="array" ref="J115">INT(G115)+IF(100-SUM(INT(G$113:G$123))&gt;=RANK(I115,I$113:I$123)+COUNTIF(I$113:I115,I115)-1,1,0)</f>
        <v>13</v>
      </c>
      <c r="K115" t="str">
        <f>_xlfn.XLOOKUP(B115,BugList!A:A,BugList!H:H)</f>
        <v/>
      </c>
      <c r="L115" t="str">
        <f>IF(K115 = "","",_xlfn.XLOOKUP(B115, BugList!A:A,BugList!B:B,""))</f>
        <v/>
      </c>
      <c r="M115">
        <f>_xlfn.XLOOKUP(D115,BugList!C:C,BugList!N:N)</f>
        <v>8</v>
      </c>
      <c r="N115">
        <f>_xlfn.XLOOKUP(B115,BugList!A:A,BugList!R:R)</f>
        <v>8</v>
      </c>
      <c r="Q115" t="b">
        <f>SUMPRODUCT(COUNTIF(_xlfn.XLOOKUP(B115,BugList!A:A,BugList!V:V), "*cn*"))&gt;0</f>
        <v>0</v>
      </c>
      <c r="S115" t="str">
        <f>_xlfn.XLOOKUP(B115,BugList!A:A,BugList!W:W)</f>
        <v/>
      </c>
      <c r="T115">
        <f t="shared" si="12"/>
        <v>104</v>
      </c>
      <c r="U115">
        <f t="shared" si="13"/>
        <v>104</v>
      </c>
    </row>
    <row r="116" spans="1:21">
      <c r="A116" t="s">
        <v>128</v>
      </c>
      <c r="B116">
        <v>794</v>
      </c>
      <c r="D116" t="s">
        <v>89</v>
      </c>
      <c r="E116" t="s">
        <v>89</v>
      </c>
      <c r="F116">
        <v>37</v>
      </c>
      <c r="G116">
        <f t="shared" si="14"/>
        <v>32.173913043478258</v>
      </c>
      <c r="H116">
        <f t="shared" si="15"/>
        <v>32</v>
      </c>
      <c r="I116">
        <f t="shared" si="16"/>
        <v>0.17391304347825809</v>
      </c>
      <c r="J116" cm="1">
        <f t="array" ref="J116">INT(G116)+IF(100-SUM(INT(G$113:G$123))&gt;=RANK(I116,I$113:I$123)+COUNTIF(I$113:I116,I116)-1,1,0)</f>
        <v>32</v>
      </c>
      <c r="K116" t="str">
        <f>_xlfn.XLOOKUP(B116,BugList!A:A,BugList!H:H)</f>
        <v>*</v>
      </c>
      <c r="L116" t="str">
        <f>IF(K116 = "","",_xlfn.XLOOKUP(B116, BugList!A:A,BugList!B:B,""))</f>
        <v>Trichoptera</v>
      </c>
      <c r="M116">
        <f>_xlfn.XLOOKUP(D116,BugList!C:C,BugList!N:N)</f>
        <v>4</v>
      </c>
      <c r="N116">
        <f>_xlfn.XLOOKUP(B116,BugList!A:A,BugList!R:R)</f>
        <v>4</v>
      </c>
      <c r="Q116" t="b">
        <f>SUMPRODUCT(COUNTIF(_xlfn.XLOOKUP(B116,BugList!A:A,BugList!V:V), "*cn*"))&gt;0</f>
        <v>1</v>
      </c>
      <c r="S116" t="str">
        <f>_xlfn.XLOOKUP(B116,BugList!A:A,BugList!W:W)</f>
        <v/>
      </c>
      <c r="T116">
        <f t="shared" si="12"/>
        <v>128</v>
      </c>
      <c r="U116">
        <f t="shared" si="13"/>
        <v>128</v>
      </c>
    </row>
    <row r="117" spans="1:21">
      <c r="A117" t="s">
        <v>128</v>
      </c>
      <c r="B117">
        <v>851</v>
      </c>
      <c r="D117" t="s">
        <v>129</v>
      </c>
      <c r="E117" t="s">
        <v>129</v>
      </c>
      <c r="F117">
        <v>1</v>
      </c>
      <c r="G117">
        <f t="shared" si="14"/>
        <v>0.86956521739130432</v>
      </c>
      <c r="H117">
        <f t="shared" si="15"/>
        <v>0</v>
      </c>
      <c r="I117">
        <f t="shared" si="16"/>
        <v>0.86956521739130432</v>
      </c>
      <c r="J117" cm="1">
        <f t="array" ref="J117">INT(G117)+IF(100-SUM(INT(G$113:G$123))&gt;=RANK(I117,I$113:I$123)+COUNTIF(I$113:I117,I117)-1,1,0)</f>
        <v>1</v>
      </c>
      <c r="K117" t="str">
        <f>_xlfn.XLOOKUP(B117,BugList!A:A,BugList!H:H)</f>
        <v>*</v>
      </c>
      <c r="L117" t="str">
        <f>IF(K117 = "","",_xlfn.XLOOKUP(B117, BugList!A:A,BugList!B:B,""))</f>
        <v>Trichoptera</v>
      </c>
      <c r="M117">
        <f>_xlfn.XLOOKUP(D117,BugList!C:C,BugList!N:N)</f>
        <v>2</v>
      </c>
      <c r="N117">
        <f>_xlfn.XLOOKUP(B117,BugList!A:A,BugList!R:R)</f>
        <v>2</v>
      </c>
      <c r="Q117" t="b">
        <f>SUMPRODUCT(COUNTIF(_xlfn.XLOOKUP(B117,BugList!A:A,BugList!V:V), "*cn*"))&gt;0</f>
        <v>0</v>
      </c>
      <c r="S117" t="str">
        <f>_xlfn.XLOOKUP(B117,BugList!A:A,BugList!W:W)</f>
        <v/>
      </c>
      <c r="T117">
        <f t="shared" si="12"/>
        <v>2</v>
      </c>
      <c r="U117">
        <f t="shared" si="13"/>
        <v>2</v>
      </c>
    </row>
    <row r="118" spans="1:21">
      <c r="A118" t="s">
        <v>128</v>
      </c>
      <c r="B118">
        <v>935</v>
      </c>
      <c r="D118" t="s">
        <v>98</v>
      </c>
      <c r="E118" t="s">
        <v>98</v>
      </c>
      <c r="F118">
        <v>1</v>
      </c>
      <c r="G118">
        <f t="shared" si="14"/>
        <v>0.86956521739130432</v>
      </c>
      <c r="H118">
        <f t="shared" si="15"/>
        <v>0</v>
      </c>
      <c r="I118">
        <f t="shared" si="16"/>
        <v>0.86956521739130432</v>
      </c>
      <c r="J118" cm="1">
        <f t="array" ref="J118">INT(G118)+IF(100-SUM(INT(G$113:G$123))&gt;=RANK(I118,I$113:I$123)+COUNTIF(I$113:I118,I118)-1,1,0)</f>
        <v>1</v>
      </c>
      <c r="K118" t="str">
        <f>_xlfn.XLOOKUP(B118,BugList!A:A,BugList!H:H)</f>
        <v/>
      </c>
      <c r="L118" t="str">
        <f>IF(K118 = "","",_xlfn.XLOOKUP(B118, BugList!A:A,BugList!B:B,""))</f>
        <v/>
      </c>
      <c r="M118">
        <f>_xlfn.XLOOKUP(D118,BugList!C:C,BugList!N:N)</f>
        <v>4</v>
      </c>
      <c r="N118">
        <f>_xlfn.XLOOKUP(B118,BugList!A:A,BugList!R:R)</f>
        <v>4</v>
      </c>
      <c r="Q118" t="b">
        <f>SUMPRODUCT(COUNTIF(_xlfn.XLOOKUP(B118,BugList!A:A,BugList!V:V), "*cn*"))&gt;0</f>
        <v>1</v>
      </c>
      <c r="S118" t="str">
        <f>_xlfn.XLOOKUP(B118,BugList!A:A,BugList!W:W)</f>
        <v/>
      </c>
      <c r="T118">
        <f t="shared" si="12"/>
        <v>4</v>
      </c>
      <c r="U118">
        <f t="shared" si="13"/>
        <v>4</v>
      </c>
    </row>
    <row r="119" spans="1:21">
      <c r="A119" t="s">
        <v>128</v>
      </c>
      <c r="B119">
        <v>1089</v>
      </c>
      <c r="D119" t="s">
        <v>126</v>
      </c>
      <c r="E119" t="s">
        <v>127</v>
      </c>
      <c r="F119">
        <v>3</v>
      </c>
      <c r="G119">
        <f t="shared" si="14"/>
        <v>2.6086956521739131</v>
      </c>
      <c r="H119">
        <f t="shared" si="15"/>
        <v>2</v>
      </c>
      <c r="I119">
        <f t="shared" si="16"/>
        <v>0.60869565217391308</v>
      </c>
      <c r="J119" cm="1">
        <f t="array" ref="J119">INT(G119)+IF(100-SUM(INT(G$113:G$123))&gt;=RANK(I119,I$113:I$123)+COUNTIF(I$113:I119,I119)-1,1,0)</f>
        <v>2</v>
      </c>
      <c r="K119" t="str">
        <f>_xlfn.XLOOKUP(B119,BugList!A:A,BugList!H:H)</f>
        <v/>
      </c>
      <c r="L119" t="str">
        <f>IF(K119 = "","",_xlfn.XLOOKUP(B119, BugList!A:A,BugList!B:B,""))</f>
        <v/>
      </c>
      <c r="M119">
        <f>_xlfn.XLOOKUP(D119,BugList!C:C,BugList!N:N)</f>
        <v>8</v>
      </c>
      <c r="N119">
        <f>_xlfn.XLOOKUP(B119,BugList!A:A,BugList!R:R)</f>
        <v>10</v>
      </c>
      <c r="Q119" t="b">
        <f>SUMPRODUCT(COUNTIF(_xlfn.XLOOKUP(B119,BugList!A:A,BugList!V:V), "*cn*"))&gt;0</f>
        <v>0</v>
      </c>
      <c r="S119" t="str">
        <f>_xlfn.XLOOKUP(B119,BugList!A:A,BugList!W:W)</f>
        <v/>
      </c>
      <c r="T119">
        <f t="shared" si="12"/>
        <v>16</v>
      </c>
      <c r="U119">
        <f t="shared" si="13"/>
        <v>20</v>
      </c>
    </row>
    <row r="120" spans="1:21">
      <c r="A120" t="s">
        <v>128</v>
      </c>
      <c r="B120">
        <v>1436</v>
      </c>
      <c r="D120" t="s">
        <v>101</v>
      </c>
      <c r="E120" t="s">
        <v>101</v>
      </c>
      <c r="F120">
        <v>1</v>
      </c>
      <c r="G120">
        <f t="shared" si="14"/>
        <v>0.86956521739130432</v>
      </c>
      <c r="H120">
        <f t="shared" si="15"/>
        <v>0</v>
      </c>
      <c r="I120">
        <f t="shared" si="16"/>
        <v>0.86956521739130432</v>
      </c>
      <c r="J120" cm="1">
        <f t="array" ref="J120">INT(G120)+IF(100-SUM(INT(G$113:G$123))&gt;=RANK(I120,I$113:I$123)+COUNTIF(I$113:I120,I120)-1,1,0)</f>
        <v>1</v>
      </c>
      <c r="K120" t="str">
        <f>_xlfn.XLOOKUP(B120,BugList!A:A,BugList!H:H)</f>
        <v/>
      </c>
      <c r="L120" t="str">
        <f>IF(K120 = "","",_xlfn.XLOOKUP(B120, BugList!A:A,BugList!B:B,""))</f>
        <v/>
      </c>
      <c r="M120">
        <f>_xlfn.XLOOKUP(D120,BugList!C:C,BugList!N:N)</f>
        <v>6</v>
      </c>
      <c r="N120">
        <f>_xlfn.XLOOKUP(B120,BugList!A:A,BugList!R:R)</f>
        <v>6</v>
      </c>
      <c r="Q120" t="b">
        <f>SUMPRODUCT(COUNTIF(_xlfn.XLOOKUP(B120,BugList!A:A,BugList!V:V), "*cn*"))&gt;0</f>
        <v>1</v>
      </c>
      <c r="S120" t="str">
        <f>_xlfn.XLOOKUP(B120,BugList!A:A,BugList!W:W)</f>
        <v/>
      </c>
      <c r="T120">
        <f t="shared" si="12"/>
        <v>6</v>
      </c>
      <c r="U120">
        <f t="shared" si="13"/>
        <v>6</v>
      </c>
    </row>
    <row r="121" spans="1:21">
      <c r="A121" t="s">
        <v>128</v>
      </c>
      <c r="B121">
        <v>1555</v>
      </c>
      <c r="D121" t="s">
        <v>120</v>
      </c>
      <c r="E121" t="s">
        <v>120</v>
      </c>
      <c r="F121">
        <v>2</v>
      </c>
      <c r="G121">
        <f t="shared" si="14"/>
        <v>1.7391304347826086</v>
      </c>
      <c r="H121">
        <f t="shared" si="15"/>
        <v>1</v>
      </c>
      <c r="I121">
        <f t="shared" si="16"/>
        <v>0.73913043478260865</v>
      </c>
      <c r="J121" cm="1">
        <f t="array" ref="J121">INT(G121)+IF(100-SUM(INT(G$113:G$123))&gt;=RANK(I121,I$113:I$123)+COUNTIF(I$113:I121,I121)-1,1,0)</f>
        <v>2</v>
      </c>
      <c r="K121" t="str">
        <f>_xlfn.XLOOKUP(B121,BugList!A:A,BugList!H:H)</f>
        <v/>
      </c>
      <c r="L121" t="str">
        <f>IF(K121 = "","",_xlfn.XLOOKUP(B121, BugList!A:A,BugList!B:B,""))</f>
        <v/>
      </c>
      <c r="M121">
        <f>_xlfn.XLOOKUP(D121,BugList!C:C,BugList!N:N)</f>
        <v>8</v>
      </c>
      <c r="N121">
        <f>_xlfn.XLOOKUP(B121,BugList!A:A,BugList!R:R)</f>
        <v>8</v>
      </c>
      <c r="Q121" t="b">
        <f>SUMPRODUCT(COUNTIF(_xlfn.XLOOKUP(B121,BugList!A:A,BugList!V:V), "*cn*"))&gt;0</f>
        <v>0</v>
      </c>
      <c r="S121" t="str">
        <f>_xlfn.XLOOKUP(B121,BugList!A:A,BugList!W:W)</f>
        <v/>
      </c>
      <c r="T121">
        <f t="shared" si="12"/>
        <v>16</v>
      </c>
      <c r="U121">
        <f t="shared" si="13"/>
        <v>16</v>
      </c>
    </row>
    <row r="122" spans="1:21">
      <c r="A122" t="s">
        <v>128</v>
      </c>
      <c r="B122">
        <v>1629</v>
      </c>
      <c r="D122" t="s">
        <v>93</v>
      </c>
      <c r="E122" t="s">
        <v>93</v>
      </c>
      <c r="F122">
        <v>19</v>
      </c>
      <c r="G122">
        <f t="shared" si="14"/>
        <v>16.521739130434781</v>
      </c>
      <c r="H122">
        <f t="shared" si="15"/>
        <v>16</v>
      </c>
      <c r="I122">
        <f t="shared" si="16"/>
        <v>0.52173913043478137</v>
      </c>
      <c r="J122" cm="1">
        <f t="array" ref="J122">INT(G122)+IF(100-SUM(INT(G$113:G$123))&gt;=RANK(I122,I$113:I$123)+COUNTIF(I$113:I122,I122)-1,1,0)</f>
        <v>16</v>
      </c>
      <c r="K122" t="str">
        <f>_xlfn.XLOOKUP(B122,BugList!A:A,BugList!H:H)</f>
        <v/>
      </c>
      <c r="L122" t="str">
        <f>IF(K122 = "","",_xlfn.XLOOKUP(B122, BugList!A:A,BugList!B:B,""))</f>
        <v/>
      </c>
      <c r="M122">
        <f>_xlfn.XLOOKUP(D122,BugList!C:C,BugList!N:N)</f>
        <v>8</v>
      </c>
      <c r="N122">
        <f>_xlfn.XLOOKUP(B122,BugList!A:A,BugList!R:R)</f>
        <v>8</v>
      </c>
      <c r="Q122" t="b">
        <f>SUMPRODUCT(COUNTIF(_xlfn.XLOOKUP(B122,BugList!A:A,BugList!V:V), "*cn*"))&gt;0</f>
        <v>0</v>
      </c>
      <c r="S122" t="str">
        <f>_xlfn.XLOOKUP(B122,BugList!A:A,BugList!W:W)</f>
        <v/>
      </c>
      <c r="T122">
        <f t="shared" si="12"/>
        <v>128</v>
      </c>
      <c r="U122">
        <f t="shared" si="13"/>
        <v>128</v>
      </c>
    </row>
    <row r="123" spans="1:21">
      <c r="A123" t="s">
        <v>128</v>
      </c>
      <c r="B123">
        <v>1696</v>
      </c>
      <c r="D123" t="s">
        <v>94</v>
      </c>
      <c r="E123" t="s">
        <v>94</v>
      </c>
      <c r="F123">
        <v>8</v>
      </c>
      <c r="G123">
        <f t="shared" si="14"/>
        <v>6.9565217391304346</v>
      </c>
      <c r="H123">
        <f t="shared" si="15"/>
        <v>6</v>
      </c>
      <c r="I123">
        <f t="shared" si="16"/>
        <v>0.95652173913043459</v>
      </c>
      <c r="J123" cm="1">
        <f t="array" ref="J123">INT(G123)+IF(100-SUM(INT(G$113:G$123))&gt;=RANK(I123,I$113:I$123)+COUNTIF(I$113:I123,I123)-1,1,0)</f>
        <v>7</v>
      </c>
      <c r="K123" t="str">
        <f>_xlfn.XLOOKUP(B123,BugList!A:A,BugList!H:H)</f>
        <v/>
      </c>
      <c r="L123" t="str">
        <f>IF(K123 = "","",_xlfn.XLOOKUP(B123, BugList!A:A,BugList!B:B,""))</f>
        <v/>
      </c>
      <c r="M123">
        <f>_xlfn.XLOOKUP(D123,BugList!C:C,BugList!N:N)</f>
        <v>8</v>
      </c>
      <c r="N123">
        <f>_xlfn.XLOOKUP(B123,BugList!A:A,BugList!R:R)</f>
        <v>8</v>
      </c>
      <c r="Q123" t="b">
        <f>SUMPRODUCT(COUNTIF(_xlfn.XLOOKUP(B123,BugList!A:A,BugList!V:V), "*cn*"))&gt;0</f>
        <v>0</v>
      </c>
      <c r="S123" t="str">
        <f>_xlfn.XLOOKUP(B123,BugList!A:A,BugList!W:W)</f>
        <v/>
      </c>
      <c r="T123">
        <f t="shared" si="12"/>
        <v>56</v>
      </c>
      <c r="U123">
        <f t="shared" si="13"/>
        <v>56</v>
      </c>
    </row>
    <row r="124" spans="1:21">
      <c r="A124" t="s">
        <v>130</v>
      </c>
      <c r="B124">
        <v>935</v>
      </c>
      <c r="D124" t="s">
        <v>98</v>
      </c>
      <c r="E124" t="s">
        <v>98</v>
      </c>
      <c r="F124">
        <v>5</v>
      </c>
      <c r="G124">
        <f t="shared" si="14"/>
        <v>1.3123359580052494</v>
      </c>
      <c r="H124">
        <f t="shared" si="15"/>
        <v>1</v>
      </c>
      <c r="I124">
        <f t="shared" si="16"/>
        <v>0.31233595800524938</v>
      </c>
      <c r="J124" cm="1">
        <f t="array" ref="J124">INT(G124)+IF(100-SUM(INT(G$124:G$134))&gt;=RANK(I124,I$124:I$134)+COUNTIF(I$124:I124,I124)-1,1,0)</f>
        <v>1</v>
      </c>
      <c r="K124" t="str">
        <f>_xlfn.XLOOKUP(B124,BugList!A:A,BugList!H:H)</f>
        <v/>
      </c>
      <c r="L124" t="str">
        <f>IF(K124 = "","",_xlfn.XLOOKUP(B124, BugList!A:A,BugList!B:B,""))</f>
        <v/>
      </c>
      <c r="M124">
        <f>_xlfn.XLOOKUP(D124,BugList!C:C,BugList!N:N)</f>
        <v>4</v>
      </c>
      <c r="N124">
        <f>_xlfn.XLOOKUP(B124,BugList!A:A,BugList!R:R)</f>
        <v>4</v>
      </c>
      <c r="Q124" t="b">
        <f>SUMPRODUCT(COUNTIF(_xlfn.XLOOKUP(B124,BugList!A:A,BugList!V:V), "*cn*"))&gt;0</f>
        <v>1</v>
      </c>
      <c r="S124" t="str">
        <f>_xlfn.XLOOKUP(B124,BugList!A:A,BugList!W:W)</f>
        <v/>
      </c>
      <c r="T124">
        <f t="shared" si="12"/>
        <v>4</v>
      </c>
      <c r="U124">
        <f t="shared" si="13"/>
        <v>4</v>
      </c>
    </row>
    <row r="125" spans="1:21">
      <c r="A125" t="s">
        <v>130</v>
      </c>
      <c r="B125">
        <v>1088</v>
      </c>
      <c r="D125" t="s">
        <v>90</v>
      </c>
      <c r="E125" t="s">
        <v>90</v>
      </c>
      <c r="F125">
        <v>28</v>
      </c>
      <c r="G125">
        <f t="shared" si="14"/>
        <v>7.349081364829396</v>
      </c>
      <c r="H125">
        <f t="shared" si="15"/>
        <v>7</v>
      </c>
      <c r="I125">
        <f t="shared" si="16"/>
        <v>0.349081364829396</v>
      </c>
      <c r="J125" cm="1">
        <f t="array" ref="J125">INT(G125)+IF(100-SUM(INT(G$124:G$134))&gt;=RANK(I125,I$124:I$134)+COUNTIF(I$124:I125,I125)-1,1,0)</f>
        <v>7</v>
      </c>
      <c r="K125" t="str">
        <f>_xlfn.XLOOKUP(B125,BugList!A:A,BugList!H:H)</f>
        <v/>
      </c>
      <c r="L125" t="str">
        <f>IF(K125 = "","",_xlfn.XLOOKUP(B125, BugList!A:A,BugList!B:B,""))</f>
        <v/>
      </c>
      <c r="M125">
        <f>_xlfn.XLOOKUP(D125,BugList!C:C,BugList!N:N)</f>
        <v>6</v>
      </c>
      <c r="N125">
        <f>_xlfn.XLOOKUP(B125,BugList!A:A,BugList!R:R)</f>
        <v>6</v>
      </c>
      <c r="Q125" t="b">
        <f>SUMPRODUCT(COUNTIF(_xlfn.XLOOKUP(B125,BugList!A:A,BugList!V:V), "*cn*"))&gt;0</f>
        <v>0</v>
      </c>
      <c r="S125" t="str">
        <f>_xlfn.XLOOKUP(B125,BugList!A:A,BugList!W:W)</f>
        <v/>
      </c>
      <c r="T125">
        <f t="shared" si="12"/>
        <v>42</v>
      </c>
      <c r="U125">
        <f t="shared" si="13"/>
        <v>42</v>
      </c>
    </row>
    <row r="126" spans="1:21">
      <c r="A126" t="s">
        <v>130</v>
      </c>
      <c r="B126">
        <v>1089</v>
      </c>
      <c r="D126" t="s">
        <v>126</v>
      </c>
      <c r="E126" t="s">
        <v>127</v>
      </c>
      <c r="F126">
        <v>56</v>
      </c>
      <c r="G126">
        <f t="shared" si="14"/>
        <v>14.698162729658792</v>
      </c>
      <c r="H126">
        <f t="shared" si="15"/>
        <v>14</v>
      </c>
      <c r="I126">
        <f t="shared" si="16"/>
        <v>0.698162729658792</v>
      </c>
      <c r="J126" cm="1">
        <f t="array" ref="J126">INT(G126)+IF(100-SUM(INT(G$124:G$134))&gt;=RANK(I126,I$124:I$134)+COUNTIF(I$124:I126,I126)-1,1,0)</f>
        <v>15</v>
      </c>
      <c r="K126" t="str">
        <f>_xlfn.XLOOKUP(B126,BugList!A:A,BugList!H:H)</f>
        <v/>
      </c>
      <c r="L126" t="str">
        <f>IF(K126 = "","",_xlfn.XLOOKUP(B126, BugList!A:A,BugList!B:B,""))</f>
        <v/>
      </c>
      <c r="M126">
        <f>_xlfn.XLOOKUP(D126,BugList!C:C,BugList!N:N)</f>
        <v>8</v>
      </c>
      <c r="N126">
        <f>_xlfn.XLOOKUP(B126,BugList!A:A,BugList!R:R)</f>
        <v>10</v>
      </c>
      <c r="Q126" t="b">
        <f>SUMPRODUCT(COUNTIF(_xlfn.XLOOKUP(B126,BugList!A:A,BugList!V:V), "*cn*"))&gt;0</f>
        <v>0</v>
      </c>
      <c r="S126" t="str">
        <f>_xlfn.XLOOKUP(B126,BugList!A:A,BugList!W:W)</f>
        <v/>
      </c>
      <c r="T126">
        <f t="shared" si="12"/>
        <v>120</v>
      </c>
      <c r="U126">
        <f t="shared" si="13"/>
        <v>150</v>
      </c>
    </row>
    <row r="127" spans="1:21">
      <c r="A127" t="s">
        <v>130</v>
      </c>
      <c r="B127">
        <v>1199</v>
      </c>
      <c r="D127" t="s">
        <v>131</v>
      </c>
      <c r="E127" t="s">
        <v>131</v>
      </c>
      <c r="F127">
        <v>2</v>
      </c>
      <c r="G127">
        <f t="shared" si="14"/>
        <v>0.52493438320209973</v>
      </c>
      <c r="H127">
        <f t="shared" si="15"/>
        <v>0</v>
      </c>
      <c r="I127">
        <f t="shared" si="16"/>
        <v>0.52493438320209973</v>
      </c>
      <c r="J127" cm="1">
        <f t="array" ref="J127">INT(G127)+IF(100-SUM(INT(G$124:G$134))&gt;=RANK(I127,I$124:I$134)+COUNTIF(I$124:I127,I127)-1,1,0)</f>
        <v>1</v>
      </c>
      <c r="K127" t="str">
        <f>_xlfn.XLOOKUP(B127,BugList!A:A,BugList!H:H)</f>
        <v/>
      </c>
      <c r="L127" t="str">
        <f>IF(K127 = "","",_xlfn.XLOOKUP(B127, BugList!A:A,BugList!B:B,""))</f>
        <v/>
      </c>
      <c r="M127">
        <f>_xlfn.XLOOKUP(D127,BugList!C:C,BugList!N:N)</f>
        <v>6</v>
      </c>
      <c r="N127">
        <f>_xlfn.XLOOKUP(B127,BugList!A:A,BugList!R:R)</f>
        <v>6</v>
      </c>
      <c r="Q127" t="b">
        <f>SUMPRODUCT(COUNTIF(_xlfn.XLOOKUP(B127,BugList!A:A,BugList!V:V), "*cn*"))&gt;0</f>
        <v>0</v>
      </c>
      <c r="S127" t="str">
        <f>_xlfn.XLOOKUP(B127,BugList!A:A,BugList!W:W)</f>
        <v/>
      </c>
      <c r="T127">
        <f t="shared" si="12"/>
        <v>6</v>
      </c>
      <c r="U127">
        <f t="shared" si="13"/>
        <v>6</v>
      </c>
    </row>
    <row r="128" spans="1:21">
      <c r="A128" t="s">
        <v>130</v>
      </c>
      <c r="B128">
        <v>1436</v>
      </c>
      <c r="D128" t="s">
        <v>101</v>
      </c>
      <c r="E128" t="s">
        <v>101</v>
      </c>
      <c r="F128">
        <v>6</v>
      </c>
      <c r="G128">
        <f t="shared" si="14"/>
        <v>1.5748031496062991</v>
      </c>
      <c r="H128">
        <f t="shared" si="15"/>
        <v>1</v>
      </c>
      <c r="I128">
        <f t="shared" si="16"/>
        <v>0.57480314960629908</v>
      </c>
      <c r="J128" cm="1">
        <f t="array" ref="J128">INT(G128)+IF(100-SUM(INT(G$124:G$134))&gt;=RANK(I128,I$124:I$134)+COUNTIF(I$124:I128,I128)-1,1,0)</f>
        <v>2</v>
      </c>
      <c r="K128" t="str">
        <f>_xlfn.XLOOKUP(B128,BugList!A:A,BugList!H:H)</f>
        <v/>
      </c>
      <c r="L128" t="str">
        <f>IF(K128 = "","",_xlfn.XLOOKUP(B128, BugList!A:A,BugList!B:B,""))</f>
        <v/>
      </c>
      <c r="M128">
        <f>_xlfn.XLOOKUP(D128,BugList!C:C,BugList!N:N)</f>
        <v>6</v>
      </c>
      <c r="N128">
        <f>_xlfn.XLOOKUP(B128,BugList!A:A,BugList!R:R)</f>
        <v>6</v>
      </c>
      <c r="Q128" t="b">
        <f>SUMPRODUCT(COUNTIF(_xlfn.XLOOKUP(B128,BugList!A:A,BugList!V:V), "*cn*"))&gt;0</f>
        <v>1</v>
      </c>
      <c r="S128" t="str">
        <f>_xlfn.XLOOKUP(B128,BugList!A:A,BugList!W:W)</f>
        <v/>
      </c>
      <c r="T128">
        <f t="shared" si="12"/>
        <v>12</v>
      </c>
      <c r="U128">
        <f t="shared" si="13"/>
        <v>12</v>
      </c>
    </row>
    <row r="129" spans="1:21">
      <c r="A129" t="s">
        <v>130</v>
      </c>
      <c r="B129">
        <v>1497</v>
      </c>
      <c r="D129" t="s">
        <v>108</v>
      </c>
      <c r="E129" t="s">
        <v>108</v>
      </c>
      <c r="F129">
        <v>2</v>
      </c>
      <c r="G129">
        <f t="shared" si="14"/>
        <v>0.52493438320209973</v>
      </c>
      <c r="H129">
        <f t="shared" si="15"/>
        <v>0</v>
      </c>
      <c r="I129">
        <f t="shared" si="16"/>
        <v>0.52493438320209973</v>
      </c>
      <c r="J129" cm="1">
        <f t="array" ref="J129">INT(G129)+IF(100-SUM(INT(G$124:G$134))&gt;=RANK(I129,I$124:I$134)+COUNTIF(I$124:I129,I129)-1,1,0)</f>
        <v>1</v>
      </c>
      <c r="K129" t="str">
        <f>_xlfn.XLOOKUP(B129,BugList!A:A,BugList!H:H)</f>
        <v/>
      </c>
      <c r="L129" t="str">
        <f>IF(K129 = "","",_xlfn.XLOOKUP(B129, BugList!A:A,BugList!B:B,""))</f>
        <v/>
      </c>
      <c r="M129">
        <f>_xlfn.XLOOKUP(D129,BugList!C:C,BugList!N:N)</f>
        <v>3</v>
      </c>
      <c r="N129">
        <f>_xlfn.XLOOKUP(B129,BugList!A:A,BugList!R:R)</f>
        <v>3</v>
      </c>
      <c r="Q129" t="b">
        <f>SUMPRODUCT(COUNTIF(_xlfn.XLOOKUP(B129,BugList!A:A,BugList!V:V), "*cn*"))&gt;0</f>
        <v>0</v>
      </c>
      <c r="S129" t="str">
        <f>_xlfn.XLOOKUP(B129,BugList!A:A,BugList!W:W)</f>
        <v/>
      </c>
      <c r="T129">
        <f t="shared" si="12"/>
        <v>3</v>
      </c>
      <c r="U129">
        <f t="shared" si="13"/>
        <v>3</v>
      </c>
    </row>
    <row r="130" spans="1:21">
      <c r="A130" t="s">
        <v>130</v>
      </c>
      <c r="B130">
        <v>1578</v>
      </c>
      <c r="D130" t="s">
        <v>102</v>
      </c>
      <c r="E130" t="s">
        <v>102</v>
      </c>
      <c r="F130">
        <v>1</v>
      </c>
      <c r="G130">
        <f t="shared" si="14"/>
        <v>0.26246719160104987</v>
      </c>
      <c r="H130">
        <f t="shared" si="15"/>
        <v>0</v>
      </c>
      <c r="I130">
        <f t="shared" si="16"/>
        <v>0.26246719160104987</v>
      </c>
      <c r="J130" cm="1">
        <f t="array" ref="J130">INT(G130)+IF(100-SUM(INT(G$124:G$134))&gt;=RANK(I130,I$124:I$134)+COUNTIF(I$124:I130,I130)-1,1,0)</f>
        <v>0</v>
      </c>
      <c r="K130" t="str">
        <f>_xlfn.XLOOKUP(B130,BugList!A:A,BugList!H:H)</f>
        <v/>
      </c>
      <c r="L130" t="str">
        <f>IF(K130 = "","",_xlfn.XLOOKUP(B130, BugList!A:A,BugList!B:B,""))</f>
        <v/>
      </c>
      <c r="M130">
        <f>_xlfn.XLOOKUP(D130,BugList!C:C,BugList!N:N)</f>
        <v>7</v>
      </c>
      <c r="N130">
        <f>_xlfn.XLOOKUP(B130,BugList!A:A,BugList!R:R)</f>
        <v>7</v>
      </c>
      <c r="Q130" t="b">
        <f>SUMPRODUCT(COUNTIF(_xlfn.XLOOKUP(B130,BugList!A:A,BugList!V:V), "*cn*"))&gt;0</f>
        <v>0</v>
      </c>
      <c r="S130" t="str">
        <f>_xlfn.XLOOKUP(B130,BugList!A:A,BugList!W:W)</f>
        <v/>
      </c>
      <c r="T130">
        <f t="shared" ref="T130:T193" si="17">J130*M130</f>
        <v>0</v>
      </c>
      <c r="U130">
        <f t="shared" ref="U130:U193" si="18">J130*N130</f>
        <v>0</v>
      </c>
    </row>
    <row r="131" spans="1:21">
      <c r="A131" t="s">
        <v>130</v>
      </c>
      <c r="B131">
        <v>88</v>
      </c>
      <c r="D131" t="s">
        <v>85</v>
      </c>
      <c r="E131" t="s">
        <v>85</v>
      </c>
      <c r="F131">
        <v>194</v>
      </c>
      <c r="G131">
        <f t="shared" si="14"/>
        <v>50.918635170603679</v>
      </c>
      <c r="H131">
        <f t="shared" si="15"/>
        <v>50</v>
      </c>
      <c r="I131">
        <f t="shared" si="16"/>
        <v>0.91863517060367883</v>
      </c>
      <c r="J131" cm="1">
        <f t="array" ref="J131">INT(G131)+IF(100-SUM(INT(G$124:G$134))&gt;=RANK(I131,I$124:I$134)+COUNTIF(I$124:I131,I131)-1,1,0)</f>
        <v>51</v>
      </c>
      <c r="K131" t="str">
        <f>_xlfn.XLOOKUP(B131,BugList!A:A,BugList!H:H)</f>
        <v/>
      </c>
      <c r="L131" t="str">
        <f>IF(K131 = "","",_xlfn.XLOOKUP(B131, BugList!A:A,BugList!B:B,""))</f>
        <v/>
      </c>
      <c r="M131">
        <f>_xlfn.XLOOKUP(D131,BugList!C:C,BugList!N:N)</f>
        <v>4</v>
      </c>
      <c r="N131">
        <f>_xlfn.XLOOKUP(B131,BugList!A:A,BugList!R:R)</f>
        <v>4</v>
      </c>
      <c r="Q131" t="b">
        <f>SUMPRODUCT(COUNTIF(_xlfn.XLOOKUP(B131,BugList!A:A,BugList!V:V), "*cn*"))&gt;0</f>
        <v>0</v>
      </c>
      <c r="S131" t="str">
        <f>_xlfn.XLOOKUP(B131,BugList!A:A,BugList!W:W)</f>
        <v/>
      </c>
      <c r="T131">
        <f t="shared" si="17"/>
        <v>204</v>
      </c>
      <c r="U131">
        <f t="shared" si="18"/>
        <v>204</v>
      </c>
    </row>
    <row r="132" spans="1:21">
      <c r="A132" t="s">
        <v>130</v>
      </c>
      <c r="B132">
        <v>245</v>
      </c>
      <c r="D132" t="s">
        <v>87</v>
      </c>
      <c r="E132" t="s">
        <v>119</v>
      </c>
      <c r="F132">
        <v>3</v>
      </c>
      <c r="G132">
        <f t="shared" si="14"/>
        <v>0.78740157480314954</v>
      </c>
      <c r="H132">
        <f t="shared" si="15"/>
        <v>0</v>
      </c>
      <c r="I132">
        <f t="shared" si="16"/>
        <v>0.78740157480314954</v>
      </c>
      <c r="J132" cm="1">
        <f t="array" ref="J132">INT(G132)+IF(100-SUM(INT(G$124:G$134))&gt;=RANK(I132,I$124:I$134)+COUNTIF(I$124:I132,I132)-1,1,0)</f>
        <v>1</v>
      </c>
      <c r="K132" t="str">
        <f>_xlfn.XLOOKUP(B132,BugList!A:A,BugList!H:H)</f>
        <v/>
      </c>
      <c r="L132" t="str">
        <f>IF(K132 = "","",_xlfn.XLOOKUP(B132, BugList!A:A,BugList!B:B,""))</f>
        <v/>
      </c>
      <c r="M132">
        <f>_xlfn.XLOOKUP(D132,BugList!C:C,BugList!N:N)</f>
        <v>4</v>
      </c>
      <c r="N132">
        <f>_xlfn.XLOOKUP(B132,BugList!A:A,BugList!R:R)</f>
        <v>4</v>
      </c>
      <c r="Q132" t="b">
        <f>SUMPRODUCT(COUNTIF(_xlfn.XLOOKUP(B132,BugList!A:A,BugList!V:V), "*cn*"))&gt;0</f>
        <v>0</v>
      </c>
      <c r="S132" t="str">
        <f>_xlfn.XLOOKUP(B132,BugList!A:A,BugList!W:W)</f>
        <v/>
      </c>
      <c r="T132">
        <f t="shared" si="17"/>
        <v>4</v>
      </c>
      <c r="U132">
        <f t="shared" si="18"/>
        <v>4</v>
      </c>
    </row>
    <row r="133" spans="1:21">
      <c r="A133" t="s">
        <v>130</v>
      </c>
      <c r="B133">
        <v>372</v>
      </c>
      <c r="D133" t="s">
        <v>88</v>
      </c>
      <c r="E133" t="s">
        <v>88</v>
      </c>
      <c r="F133">
        <v>2</v>
      </c>
      <c r="G133">
        <f t="shared" si="14"/>
        <v>0.52493438320209973</v>
      </c>
      <c r="H133">
        <f t="shared" si="15"/>
        <v>0</v>
      </c>
      <c r="I133">
        <f t="shared" si="16"/>
        <v>0.52493438320209973</v>
      </c>
      <c r="J133" cm="1">
        <f t="array" ref="J133">INT(G133)+IF(100-SUM(INT(G$124:G$134))&gt;=RANK(I133,I$124:I$134)+COUNTIF(I$124:I133,I133)-1,1,0)</f>
        <v>0</v>
      </c>
      <c r="K133" t="str">
        <f>_xlfn.XLOOKUP(B133,BugList!A:A,BugList!H:H)</f>
        <v/>
      </c>
      <c r="L133" t="str">
        <f>IF(K133 = "","",_xlfn.XLOOKUP(B133, BugList!A:A,BugList!B:B,""))</f>
        <v/>
      </c>
      <c r="M133">
        <f>_xlfn.XLOOKUP(D133,BugList!C:C,BugList!N:N)</f>
        <v>8</v>
      </c>
      <c r="N133">
        <f>_xlfn.XLOOKUP(B133,BugList!A:A,BugList!R:R)</f>
        <v>8</v>
      </c>
      <c r="Q133" t="b">
        <f>SUMPRODUCT(COUNTIF(_xlfn.XLOOKUP(B133,BugList!A:A,BugList!V:V), "*cn*"))&gt;0</f>
        <v>0</v>
      </c>
      <c r="S133" t="str">
        <f>_xlfn.XLOOKUP(B133,BugList!A:A,BugList!W:W)</f>
        <v/>
      </c>
      <c r="T133">
        <f t="shared" si="17"/>
        <v>0</v>
      </c>
      <c r="U133">
        <f t="shared" si="18"/>
        <v>0</v>
      </c>
    </row>
    <row r="134" spans="1:21">
      <c r="A134" t="s">
        <v>130</v>
      </c>
      <c r="B134">
        <v>794</v>
      </c>
      <c r="D134" t="s">
        <v>89</v>
      </c>
      <c r="E134" t="s">
        <v>89</v>
      </c>
      <c r="F134">
        <v>82</v>
      </c>
      <c r="G134">
        <f t="shared" si="14"/>
        <v>21.522309711286088</v>
      </c>
      <c r="H134">
        <f t="shared" si="15"/>
        <v>21</v>
      </c>
      <c r="I134">
        <f t="shared" si="16"/>
        <v>0.52230971128608772</v>
      </c>
      <c r="J134" cm="1">
        <f t="array" ref="J134">INT(G134)+IF(100-SUM(INT(G$124:G$134))&gt;=RANK(I134,I$124:I$134)+COUNTIF(I$124:I134,I134)-1,1,0)</f>
        <v>21</v>
      </c>
      <c r="K134" t="str">
        <f>_xlfn.XLOOKUP(B134,BugList!A:A,BugList!H:H)</f>
        <v>*</v>
      </c>
      <c r="L134" t="str">
        <f>IF(K134 = "","",_xlfn.XLOOKUP(B134, BugList!A:A,BugList!B:B,""))</f>
        <v>Trichoptera</v>
      </c>
      <c r="M134">
        <f>_xlfn.XLOOKUP(D134,BugList!C:C,BugList!N:N)</f>
        <v>4</v>
      </c>
      <c r="N134">
        <f>_xlfn.XLOOKUP(B134,BugList!A:A,BugList!R:R)</f>
        <v>4</v>
      </c>
      <c r="Q134" t="b">
        <f>SUMPRODUCT(COUNTIF(_xlfn.XLOOKUP(B134,BugList!A:A,BugList!V:V), "*cn*"))&gt;0</f>
        <v>1</v>
      </c>
      <c r="S134" t="str">
        <f>_xlfn.XLOOKUP(B134,BugList!A:A,BugList!W:W)</f>
        <v/>
      </c>
      <c r="T134">
        <f t="shared" si="17"/>
        <v>84</v>
      </c>
      <c r="U134">
        <f t="shared" si="18"/>
        <v>84</v>
      </c>
    </row>
    <row r="135" spans="1:21">
      <c r="A135" t="s">
        <v>132</v>
      </c>
      <c r="B135">
        <v>88</v>
      </c>
      <c r="D135" t="s">
        <v>85</v>
      </c>
      <c r="E135" t="s">
        <v>85</v>
      </c>
      <c r="F135">
        <v>102</v>
      </c>
      <c r="G135">
        <f t="shared" si="14"/>
        <v>75.555555555555557</v>
      </c>
      <c r="H135">
        <f t="shared" si="15"/>
        <v>75</v>
      </c>
      <c r="I135">
        <f t="shared" si="16"/>
        <v>0.55555555555555713</v>
      </c>
      <c r="J135" cm="1">
        <f t="array" ref="J135">INT(G135)+IF(100-SUM(INT(G$135:G$139))&gt;=RANK(I135,I$135:I$139)+COUNTIF(I$135:I135,I135)-1,1,0)</f>
        <v>75</v>
      </c>
      <c r="K135" t="str">
        <f>_xlfn.XLOOKUP(B135,BugList!A:A,BugList!H:H)</f>
        <v/>
      </c>
      <c r="L135" t="str">
        <f>IF(K135 = "","",_xlfn.XLOOKUP(B135, BugList!A:A,BugList!B:B,""))</f>
        <v/>
      </c>
      <c r="M135">
        <f>_xlfn.XLOOKUP(D135,BugList!C:C,BugList!N:N)</f>
        <v>4</v>
      </c>
      <c r="N135">
        <f>_xlfn.XLOOKUP(B135,BugList!A:A,BugList!R:R)</f>
        <v>4</v>
      </c>
      <c r="Q135" t="b">
        <f>SUMPRODUCT(COUNTIF(_xlfn.XLOOKUP(B135,BugList!A:A,BugList!V:V), "*cn*"))&gt;0</f>
        <v>0</v>
      </c>
      <c r="S135" t="str">
        <f>_xlfn.XLOOKUP(B135,BugList!A:A,BugList!W:W)</f>
        <v/>
      </c>
      <c r="T135">
        <f t="shared" si="17"/>
        <v>300</v>
      </c>
      <c r="U135">
        <f t="shared" si="18"/>
        <v>300</v>
      </c>
    </row>
    <row r="136" spans="1:21">
      <c r="A136" t="s">
        <v>132</v>
      </c>
      <c r="B136">
        <v>794</v>
      </c>
      <c r="D136" t="s">
        <v>89</v>
      </c>
      <c r="E136" t="s">
        <v>89</v>
      </c>
      <c r="F136">
        <v>15</v>
      </c>
      <c r="G136">
        <f t="shared" si="14"/>
        <v>11.111111111111111</v>
      </c>
      <c r="H136">
        <f t="shared" si="15"/>
        <v>11</v>
      </c>
      <c r="I136">
        <f t="shared" si="16"/>
        <v>0.11111111111111072</v>
      </c>
      <c r="J136" cm="1">
        <f t="array" ref="J136">INT(G136)+IF(100-SUM(INT(G$135:G$139))&gt;=RANK(I136,I$135:I$139)+COUNTIF(I$135:I136,I136)-1,1,0)</f>
        <v>11</v>
      </c>
      <c r="K136" t="str">
        <f>_xlfn.XLOOKUP(B136,BugList!A:A,BugList!H:H)</f>
        <v>*</v>
      </c>
      <c r="L136" t="str">
        <f>IF(K136 = "","",_xlfn.XLOOKUP(B136, BugList!A:A,BugList!B:B,""))</f>
        <v>Trichoptera</v>
      </c>
      <c r="M136">
        <f>_xlfn.XLOOKUP(D136,BugList!C:C,BugList!N:N)</f>
        <v>4</v>
      </c>
      <c r="N136">
        <f>_xlfn.XLOOKUP(B136,BugList!A:A,BugList!R:R)</f>
        <v>4</v>
      </c>
      <c r="Q136" t="b">
        <f>SUMPRODUCT(COUNTIF(_xlfn.XLOOKUP(B136,BugList!A:A,BugList!V:V), "*cn*"))&gt;0</f>
        <v>1</v>
      </c>
      <c r="S136" t="str">
        <f>_xlfn.XLOOKUP(B136,BugList!A:A,BugList!W:W)</f>
        <v/>
      </c>
      <c r="T136">
        <f t="shared" si="17"/>
        <v>44</v>
      </c>
      <c r="U136">
        <f t="shared" si="18"/>
        <v>44</v>
      </c>
    </row>
    <row r="137" spans="1:21">
      <c r="A137" t="s">
        <v>132</v>
      </c>
      <c r="B137">
        <v>1497</v>
      </c>
      <c r="D137" t="s">
        <v>108</v>
      </c>
      <c r="E137" t="s">
        <v>108</v>
      </c>
      <c r="F137">
        <v>1</v>
      </c>
      <c r="G137">
        <f t="shared" si="14"/>
        <v>0.74074074074074081</v>
      </c>
      <c r="H137">
        <f t="shared" si="15"/>
        <v>0</v>
      </c>
      <c r="I137">
        <f t="shared" si="16"/>
        <v>0.74074074074074081</v>
      </c>
      <c r="J137" cm="1">
        <f t="array" ref="J137">INT(G137)+IF(100-SUM(INT(G$135:G$139))&gt;=RANK(I137,I$135:I$139)+COUNTIF(I$135:I137,I137)-1,1,0)</f>
        <v>1</v>
      </c>
      <c r="K137" t="str">
        <f>_xlfn.XLOOKUP(B137,BugList!A:A,BugList!H:H)</f>
        <v/>
      </c>
      <c r="L137" t="str">
        <f>IF(K137 = "","",_xlfn.XLOOKUP(B137, BugList!A:A,BugList!B:B,""))</f>
        <v/>
      </c>
      <c r="M137">
        <f>_xlfn.XLOOKUP(D137,BugList!C:C,BugList!N:N)</f>
        <v>3</v>
      </c>
      <c r="N137">
        <f>_xlfn.XLOOKUP(B137,BugList!A:A,BugList!R:R)</f>
        <v>3</v>
      </c>
      <c r="Q137" t="b">
        <f>SUMPRODUCT(COUNTIF(_xlfn.XLOOKUP(B137,BugList!A:A,BugList!V:V), "*cn*"))&gt;0</f>
        <v>0</v>
      </c>
      <c r="S137" t="str">
        <f>_xlfn.XLOOKUP(B137,BugList!A:A,BugList!W:W)</f>
        <v/>
      </c>
      <c r="T137">
        <f t="shared" si="17"/>
        <v>3</v>
      </c>
      <c r="U137">
        <f t="shared" si="18"/>
        <v>3</v>
      </c>
    </row>
    <row r="138" spans="1:21">
      <c r="A138" t="s">
        <v>132</v>
      </c>
      <c r="B138">
        <v>1555</v>
      </c>
      <c r="D138" t="s">
        <v>120</v>
      </c>
      <c r="E138" t="s">
        <v>120</v>
      </c>
      <c r="F138">
        <v>1</v>
      </c>
      <c r="G138">
        <f t="shared" si="14"/>
        <v>0.74074074074074081</v>
      </c>
      <c r="H138">
        <f t="shared" si="15"/>
        <v>0</v>
      </c>
      <c r="I138">
        <f t="shared" si="16"/>
        <v>0.74074074074074081</v>
      </c>
      <c r="J138" cm="1">
        <f t="array" ref="J138">INT(G138)+IF(100-SUM(INT(G$135:G$139))&gt;=RANK(I138,I$135:I$139)+COUNTIF(I$135:I138,I138)-1,1,0)</f>
        <v>1</v>
      </c>
      <c r="K138" t="str">
        <f>_xlfn.XLOOKUP(B138,BugList!A:A,BugList!H:H)</f>
        <v/>
      </c>
      <c r="L138" t="str">
        <f>IF(K138 = "","",_xlfn.XLOOKUP(B138, BugList!A:A,BugList!B:B,""))</f>
        <v/>
      </c>
      <c r="M138">
        <f>_xlfn.XLOOKUP(D138,BugList!C:C,BugList!N:N)</f>
        <v>8</v>
      </c>
      <c r="N138">
        <f>_xlfn.XLOOKUP(B138,BugList!A:A,BugList!R:R)</f>
        <v>8</v>
      </c>
      <c r="Q138" t="b">
        <f>SUMPRODUCT(COUNTIF(_xlfn.XLOOKUP(B138,BugList!A:A,BugList!V:V), "*cn*"))&gt;0</f>
        <v>0</v>
      </c>
      <c r="S138" t="str">
        <f>_xlfn.XLOOKUP(B138,BugList!A:A,BugList!W:W)</f>
        <v/>
      </c>
      <c r="T138">
        <f t="shared" si="17"/>
        <v>8</v>
      </c>
      <c r="U138">
        <f t="shared" si="18"/>
        <v>8</v>
      </c>
    </row>
    <row r="139" spans="1:21">
      <c r="A139" t="s">
        <v>132</v>
      </c>
      <c r="B139">
        <v>1614</v>
      </c>
      <c r="D139" t="s">
        <v>92</v>
      </c>
      <c r="E139" t="s">
        <v>92</v>
      </c>
      <c r="F139">
        <v>16</v>
      </c>
      <c r="G139">
        <f t="shared" si="14"/>
        <v>11.851851851851853</v>
      </c>
      <c r="H139">
        <f t="shared" si="15"/>
        <v>11</v>
      </c>
      <c r="I139">
        <f t="shared" si="16"/>
        <v>0.85185185185185297</v>
      </c>
      <c r="J139" cm="1">
        <f t="array" ref="J139">INT(G139)+IF(100-SUM(INT(G$135:G$139))&gt;=RANK(I139,I$135:I$139)+COUNTIF(I$135:I139,I139)-1,1,0)</f>
        <v>12</v>
      </c>
      <c r="K139" t="str">
        <f>_xlfn.XLOOKUP(B139,BugList!A:A,BugList!H:H)</f>
        <v/>
      </c>
      <c r="L139" t="str">
        <f>IF(K139 = "","",_xlfn.XLOOKUP(B139, BugList!A:A,BugList!B:B,""))</f>
        <v/>
      </c>
      <c r="M139">
        <f>_xlfn.XLOOKUP(D139,BugList!C:C,BugList!N:N)</f>
        <v>8</v>
      </c>
      <c r="N139">
        <f>_xlfn.XLOOKUP(B139,BugList!A:A,BugList!R:R)</f>
        <v>8</v>
      </c>
      <c r="Q139" t="b">
        <f>SUMPRODUCT(COUNTIF(_xlfn.XLOOKUP(B139,BugList!A:A,BugList!V:V), "*cn*"))&gt;0</f>
        <v>0</v>
      </c>
      <c r="S139" t="str">
        <f>_xlfn.XLOOKUP(B139,BugList!A:A,BugList!W:W)</f>
        <v/>
      </c>
      <c r="T139">
        <f t="shared" si="17"/>
        <v>96</v>
      </c>
      <c r="U139">
        <f t="shared" si="18"/>
        <v>96</v>
      </c>
    </row>
    <row r="140" spans="1:21">
      <c r="A140" t="s">
        <v>133</v>
      </c>
      <c r="B140">
        <v>63</v>
      </c>
      <c r="D140" t="s">
        <v>84</v>
      </c>
      <c r="E140" t="s">
        <v>84</v>
      </c>
      <c r="F140">
        <v>8</v>
      </c>
      <c r="G140">
        <f t="shared" si="14"/>
        <v>6.1538461538461542</v>
      </c>
      <c r="H140">
        <f t="shared" si="15"/>
        <v>6</v>
      </c>
      <c r="I140">
        <f t="shared" si="16"/>
        <v>0.15384615384615419</v>
      </c>
      <c r="J140" cm="1">
        <f t="array" ref="J140">INT(G140)+IF(100-SUM(INT(G$140:G$150))&gt;=RANK(I140,I$140:I$150)+COUNTIF(I$140:I140,I140)-1,1,0)</f>
        <v>6</v>
      </c>
      <c r="K140" t="str">
        <f>_xlfn.XLOOKUP(B140,BugList!A:A,BugList!H:H)</f>
        <v/>
      </c>
      <c r="L140" t="str">
        <f>IF(K140 = "","",_xlfn.XLOOKUP(B140, BugList!A:A,BugList!B:B,""))</f>
        <v/>
      </c>
      <c r="M140">
        <f>_xlfn.XLOOKUP(D140,BugList!C:C,BugList!N:N)</f>
        <v>8</v>
      </c>
      <c r="N140">
        <f>_xlfn.XLOOKUP(B140,BugList!A:A,BugList!R:R)</f>
        <v>8</v>
      </c>
      <c r="Q140" t="b">
        <f>SUMPRODUCT(COUNTIF(_xlfn.XLOOKUP(B140,BugList!A:A,BugList!V:V), "*cn*"))&gt;0</f>
        <v>0</v>
      </c>
      <c r="S140" t="str">
        <f>_xlfn.XLOOKUP(B140,BugList!A:A,BugList!W:W)</f>
        <v/>
      </c>
      <c r="T140">
        <f t="shared" si="17"/>
        <v>48</v>
      </c>
      <c r="U140">
        <f t="shared" si="18"/>
        <v>48</v>
      </c>
    </row>
    <row r="141" spans="1:21">
      <c r="A141" t="s">
        <v>133</v>
      </c>
      <c r="B141">
        <v>88</v>
      </c>
      <c r="D141" t="s">
        <v>85</v>
      </c>
      <c r="E141" t="s">
        <v>85</v>
      </c>
      <c r="F141">
        <v>24</v>
      </c>
      <c r="G141">
        <f t="shared" si="14"/>
        <v>18.461538461538463</v>
      </c>
      <c r="H141">
        <f t="shared" si="15"/>
        <v>18</v>
      </c>
      <c r="I141">
        <f t="shared" si="16"/>
        <v>0.46153846153846345</v>
      </c>
      <c r="J141" cm="1">
        <f t="array" ref="J141">INT(G141)+IF(100-SUM(INT(G$140:G$150))&gt;=RANK(I141,I$140:I$150)+COUNTIF(I$140:I141,I141)-1,1,0)</f>
        <v>18</v>
      </c>
      <c r="K141" t="str">
        <f>_xlfn.XLOOKUP(B141,BugList!A:A,BugList!H:H)</f>
        <v/>
      </c>
      <c r="L141" t="str">
        <f>IF(K141 = "","",_xlfn.XLOOKUP(B141, BugList!A:A,BugList!B:B,""))</f>
        <v/>
      </c>
      <c r="M141">
        <f>_xlfn.XLOOKUP(D141,BugList!C:C,BugList!N:N)</f>
        <v>4</v>
      </c>
      <c r="N141">
        <f>_xlfn.XLOOKUP(B141,BugList!A:A,BugList!R:R)</f>
        <v>4</v>
      </c>
      <c r="Q141" t="b">
        <f>SUMPRODUCT(COUNTIF(_xlfn.XLOOKUP(B141,BugList!A:A,BugList!V:V), "*cn*"))&gt;0</f>
        <v>0</v>
      </c>
      <c r="S141" t="str">
        <f>_xlfn.XLOOKUP(B141,BugList!A:A,BugList!W:W)</f>
        <v/>
      </c>
      <c r="T141">
        <f t="shared" si="17"/>
        <v>72</v>
      </c>
      <c r="U141">
        <f t="shared" si="18"/>
        <v>72</v>
      </c>
    </row>
    <row r="142" spans="1:21">
      <c r="A142" t="s">
        <v>133</v>
      </c>
      <c r="B142">
        <v>372</v>
      </c>
      <c r="D142" t="s">
        <v>88</v>
      </c>
      <c r="E142" t="s">
        <v>88</v>
      </c>
      <c r="F142">
        <v>4</v>
      </c>
      <c r="G142">
        <f t="shared" si="14"/>
        <v>3.0769230769230771</v>
      </c>
      <c r="H142">
        <f t="shared" si="15"/>
        <v>3</v>
      </c>
      <c r="I142">
        <f t="shared" si="16"/>
        <v>7.6923076923077094E-2</v>
      </c>
      <c r="J142" cm="1">
        <f t="array" ref="J142">INT(G142)+IF(100-SUM(INT(G$140:G$150))&gt;=RANK(I142,I$140:I$150)+COUNTIF(I$140:I142,I142)-1,1,0)</f>
        <v>3</v>
      </c>
      <c r="K142" t="str">
        <f>_xlfn.XLOOKUP(B142,BugList!A:A,BugList!H:H)</f>
        <v/>
      </c>
      <c r="L142" t="str">
        <f>IF(K142 = "","",_xlfn.XLOOKUP(B142, BugList!A:A,BugList!B:B,""))</f>
        <v/>
      </c>
      <c r="M142">
        <f>_xlfn.XLOOKUP(D142,BugList!C:C,BugList!N:N)</f>
        <v>8</v>
      </c>
      <c r="N142">
        <f>_xlfn.XLOOKUP(B142,BugList!A:A,BugList!R:R)</f>
        <v>8</v>
      </c>
      <c r="Q142" t="b">
        <f>SUMPRODUCT(COUNTIF(_xlfn.XLOOKUP(B142,BugList!A:A,BugList!V:V), "*cn*"))&gt;0</f>
        <v>0</v>
      </c>
      <c r="S142" t="str">
        <f>_xlfn.XLOOKUP(B142,BugList!A:A,BugList!W:W)</f>
        <v/>
      </c>
      <c r="T142">
        <f t="shared" si="17"/>
        <v>24</v>
      </c>
      <c r="U142">
        <f t="shared" si="18"/>
        <v>24</v>
      </c>
    </row>
    <row r="143" spans="1:21">
      <c r="A143" t="s">
        <v>133</v>
      </c>
      <c r="B143">
        <v>794</v>
      </c>
      <c r="D143" t="s">
        <v>89</v>
      </c>
      <c r="E143" t="s">
        <v>89</v>
      </c>
      <c r="F143">
        <v>30</v>
      </c>
      <c r="G143">
        <f t="shared" si="14"/>
        <v>23.076923076923077</v>
      </c>
      <c r="H143">
        <f t="shared" si="15"/>
        <v>23</v>
      </c>
      <c r="I143">
        <f t="shared" si="16"/>
        <v>7.692307692307665E-2</v>
      </c>
      <c r="J143" cm="1">
        <f t="array" ref="J143">INT(G143)+IF(100-SUM(INT(G$140:G$150))&gt;=RANK(I143,I$140:I$150)+COUNTIF(I$140:I143,I143)-1,1,0)</f>
        <v>23</v>
      </c>
      <c r="K143" t="str">
        <f>_xlfn.XLOOKUP(B143,BugList!A:A,BugList!H:H)</f>
        <v>*</v>
      </c>
      <c r="L143" t="str">
        <f>IF(K143 = "","",_xlfn.XLOOKUP(B143, BugList!A:A,BugList!B:B,""))</f>
        <v>Trichoptera</v>
      </c>
      <c r="M143">
        <f>_xlfn.XLOOKUP(D143,BugList!C:C,BugList!N:N)</f>
        <v>4</v>
      </c>
      <c r="N143">
        <f>_xlfn.XLOOKUP(B143,BugList!A:A,BugList!R:R)</f>
        <v>4</v>
      </c>
      <c r="Q143" t="b">
        <f>SUMPRODUCT(COUNTIF(_xlfn.XLOOKUP(B143,BugList!A:A,BugList!V:V), "*cn*"))&gt;0</f>
        <v>1</v>
      </c>
      <c r="S143" t="str">
        <f>_xlfn.XLOOKUP(B143,BugList!A:A,BugList!W:W)</f>
        <v/>
      </c>
      <c r="T143">
        <f t="shared" si="17"/>
        <v>92</v>
      </c>
      <c r="U143">
        <f t="shared" si="18"/>
        <v>92</v>
      </c>
    </row>
    <row r="144" spans="1:21">
      <c r="A144" t="s">
        <v>133</v>
      </c>
      <c r="B144">
        <v>935</v>
      </c>
      <c r="D144" t="s">
        <v>98</v>
      </c>
      <c r="E144" t="s">
        <v>98</v>
      </c>
      <c r="F144">
        <v>2</v>
      </c>
      <c r="G144">
        <f t="shared" si="14"/>
        <v>1.5384615384615385</v>
      </c>
      <c r="H144">
        <f t="shared" si="15"/>
        <v>1</v>
      </c>
      <c r="I144">
        <f t="shared" si="16"/>
        <v>0.53846153846153855</v>
      </c>
      <c r="J144" cm="1">
        <f t="array" ref="J144">INT(G144)+IF(100-SUM(INT(G$140:G$150))&gt;=RANK(I144,I$140:I$150)+COUNTIF(I$140:I144,I144)-1,1,0)</f>
        <v>2</v>
      </c>
      <c r="K144" t="str">
        <f>_xlfn.XLOOKUP(B144,BugList!A:A,BugList!H:H)</f>
        <v/>
      </c>
      <c r="L144" t="str">
        <f>IF(K144 = "","",_xlfn.XLOOKUP(B144, BugList!A:A,BugList!B:B,""))</f>
        <v/>
      </c>
      <c r="M144">
        <f>_xlfn.XLOOKUP(D144,BugList!C:C,BugList!N:N)</f>
        <v>4</v>
      </c>
      <c r="N144">
        <f>_xlfn.XLOOKUP(B144,BugList!A:A,BugList!R:R)</f>
        <v>4</v>
      </c>
      <c r="Q144" t="b">
        <f>SUMPRODUCT(COUNTIF(_xlfn.XLOOKUP(B144,BugList!A:A,BugList!V:V), "*cn*"))&gt;0</f>
        <v>1</v>
      </c>
      <c r="S144" t="str">
        <f>_xlfn.XLOOKUP(B144,BugList!A:A,BugList!W:W)</f>
        <v/>
      </c>
      <c r="T144">
        <f t="shared" si="17"/>
        <v>8</v>
      </c>
      <c r="U144">
        <f t="shared" si="18"/>
        <v>8</v>
      </c>
    </row>
    <row r="145" spans="1:21">
      <c r="A145" t="s">
        <v>133</v>
      </c>
      <c r="B145">
        <v>1088</v>
      </c>
      <c r="D145" t="s">
        <v>90</v>
      </c>
      <c r="E145" t="s">
        <v>90</v>
      </c>
      <c r="F145">
        <v>2</v>
      </c>
      <c r="G145">
        <f t="shared" si="14"/>
        <v>1.5384615384615385</v>
      </c>
      <c r="H145">
        <f t="shared" si="15"/>
        <v>1</v>
      </c>
      <c r="I145">
        <f t="shared" si="16"/>
        <v>0.53846153846153855</v>
      </c>
      <c r="J145" cm="1">
        <f t="array" ref="J145">INT(G145)+IF(100-SUM(INT(G$140:G$150))&gt;=RANK(I145,I$140:I$150)+COUNTIF(I$140:I145,I145)-1,1,0)</f>
        <v>2</v>
      </c>
      <c r="K145" t="str">
        <f>_xlfn.XLOOKUP(B145,BugList!A:A,BugList!H:H)</f>
        <v/>
      </c>
      <c r="L145" t="str">
        <f>IF(K145 = "","",_xlfn.XLOOKUP(B145, BugList!A:A,BugList!B:B,""))</f>
        <v/>
      </c>
      <c r="M145">
        <f>_xlfn.XLOOKUP(D145,BugList!C:C,BugList!N:N)</f>
        <v>6</v>
      </c>
      <c r="N145">
        <f>_xlfn.XLOOKUP(B145,BugList!A:A,BugList!R:R)</f>
        <v>6</v>
      </c>
      <c r="Q145" t="b">
        <f>SUMPRODUCT(COUNTIF(_xlfn.XLOOKUP(B145,BugList!A:A,BugList!V:V), "*cn*"))&gt;0</f>
        <v>0</v>
      </c>
      <c r="S145" t="str">
        <f>_xlfn.XLOOKUP(B145,BugList!A:A,BugList!W:W)</f>
        <v/>
      </c>
      <c r="T145">
        <f t="shared" si="17"/>
        <v>12</v>
      </c>
      <c r="U145">
        <f t="shared" si="18"/>
        <v>12</v>
      </c>
    </row>
    <row r="146" spans="1:21">
      <c r="A146" t="s">
        <v>133</v>
      </c>
      <c r="B146">
        <v>1089</v>
      </c>
      <c r="D146" t="s">
        <v>126</v>
      </c>
      <c r="E146" t="s">
        <v>127</v>
      </c>
      <c r="F146">
        <v>3</v>
      </c>
      <c r="G146">
        <f t="shared" si="14"/>
        <v>2.3076923076923079</v>
      </c>
      <c r="H146">
        <f t="shared" si="15"/>
        <v>2</v>
      </c>
      <c r="I146">
        <f t="shared" si="16"/>
        <v>0.30769230769230793</v>
      </c>
      <c r="J146" cm="1">
        <f t="array" ref="J146">INT(G146)+IF(100-SUM(INT(G$140:G$150))&gt;=RANK(I146,I$140:I$150)+COUNTIF(I$140:I146,I146)-1,1,0)</f>
        <v>2</v>
      </c>
      <c r="K146" t="str">
        <f>_xlfn.XLOOKUP(B146,BugList!A:A,BugList!H:H)</f>
        <v/>
      </c>
      <c r="L146" t="str">
        <f>IF(K146 = "","",_xlfn.XLOOKUP(B146, BugList!A:A,BugList!B:B,""))</f>
        <v/>
      </c>
      <c r="M146">
        <f>_xlfn.XLOOKUP(D146,BugList!C:C,BugList!N:N)</f>
        <v>8</v>
      </c>
      <c r="N146">
        <f>_xlfn.XLOOKUP(B146,BugList!A:A,BugList!R:R)</f>
        <v>10</v>
      </c>
      <c r="Q146" t="b">
        <f>SUMPRODUCT(COUNTIF(_xlfn.XLOOKUP(B146,BugList!A:A,BugList!V:V), "*cn*"))&gt;0</f>
        <v>0</v>
      </c>
      <c r="S146" t="str">
        <f>_xlfn.XLOOKUP(B146,BugList!A:A,BugList!W:W)</f>
        <v/>
      </c>
      <c r="T146">
        <f t="shared" si="17"/>
        <v>16</v>
      </c>
      <c r="U146">
        <f t="shared" si="18"/>
        <v>20</v>
      </c>
    </row>
    <row r="147" spans="1:21">
      <c r="A147" t="s">
        <v>133</v>
      </c>
      <c r="B147">
        <v>1436</v>
      </c>
      <c r="D147" t="s">
        <v>101</v>
      </c>
      <c r="E147" t="s">
        <v>101</v>
      </c>
      <c r="F147">
        <v>1</v>
      </c>
      <c r="G147">
        <f t="shared" si="14"/>
        <v>0.76923076923076927</v>
      </c>
      <c r="H147">
        <f t="shared" si="15"/>
        <v>0</v>
      </c>
      <c r="I147">
        <f t="shared" si="16"/>
        <v>0.76923076923076927</v>
      </c>
      <c r="J147" cm="1">
        <f t="array" ref="J147">INT(G147)+IF(100-SUM(INT(G$140:G$150))&gt;=RANK(I147,I$140:I$150)+COUNTIF(I$140:I147,I147)-1,1,0)</f>
        <v>1</v>
      </c>
      <c r="K147" t="str">
        <f>_xlfn.XLOOKUP(B147,BugList!A:A,BugList!H:H)</f>
        <v/>
      </c>
      <c r="L147" t="str">
        <f>IF(K147 = "","",_xlfn.XLOOKUP(B147, BugList!A:A,BugList!B:B,""))</f>
        <v/>
      </c>
      <c r="M147">
        <f>_xlfn.XLOOKUP(D147,BugList!C:C,BugList!N:N)</f>
        <v>6</v>
      </c>
      <c r="N147">
        <f>_xlfn.XLOOKUP(B147,BugList!A:A,BugList!R:R)</f>
        <v>6</v>
      </c>
      <c r="Q147" t="b">
        <f>SUMPRODUCT(COUNTIF(_xlfn.XLOOKUP(B147,BugList!A:A,BugList!V:V), "*cn*"))&gt;0</f>
        <v>1</v>
      </c>
      <c r="S147" t="str">
        <f>_xlfn.XLOOKUP(B147,BugList!A:A,BugList!W:W)</f>
        <v/>
      </c>
      <c r="T147">
        <f t="shared" si="17"/>
        <v>6</v>
      </c>
      <c r="U147">
        <f t="shared" si="18"/>
        <v>6</v>
      </c>
    </row>
    <row r="148" spans="1:21">
      <c r="A148" t="s">
        <v>133</v>
      </c>
      <c r="B148">
        <v>1497</v>
      </c>
      <c r="D148" t="s">
        <v>108</v>
      </c>
      <c r="E148" t="s">
        <v>108</v>
      </c>
      <c r="F148">
        <v>1</v>
      </c>
      <c r="G148">
        <f t="shared" si="14"/>
        <v>0.76923076923076927</v>
      </c>
      <c r="H148">
        <f t="shared" si="15"/>
        <v>0</v>
      </c>
      <c r="I148">
        <f t="shared" si="16"/>
        <v>0.76923076923076927</v>
      </c>
      <c r="J148" cm="1">
        <f t="array" ref="J148">INT(G148)+IF(100-SUM(INT(G$140:G$150))&gt;=RANK(I148,I$140:I$150)+COUNTIF(I$140:I148,I148)-1,1,0)</f>
        <v>1</v>
      </c>
      <c r="K148" t="str">
        <f>_xlfn.XLOOKUP(B148,BugList!A:A,BugList!H:H)</f>
        <v/>
      </c>
      <c r="L148" t="str">
        <f>IF(K148 = "","",_xlfn.XLOOKUP(B148, BugList!A:A,BugList!B:B,""))</f>
        <v/>
      </c>
      <c r="M148">
        <f>_xlfn.XLOOKUP(D148,BugList!C:C,BugList!N:N)</f>
        <v>3</v>
      </c>
      <c r="N148">
        <f>_xlfn.XLOOKUP(B148,BugList!A:A,BugList!R:R)</f>
        <v>3</v>
      </c>
      <c r="Q148" t="b">
        <f>SUMPRODUCT(COUNTIF(_xlfn.XLOOKUP(B148,BugList!A:A,BugList!V:V), "*cn*"))&gt;0</f>
        <v>0</v>
      </c>
      <c r="S148" t="str">
        <f>_xlfn.XLOOKUP(B148,BugList!A:A,BugList!W:W)</f>
        <v/>
      </c>
      <c r="T148">
        <f t="shared" si="17"/>
        <v>3</v>
      </c>
      <c r="U148">
        <f t="shared" si="18"/>
        <v>3</v>
      </c>
    </row>
    <row r="149" spans="1:21">
      <c r="A149" t="s">
        <v>133</v>
      </c>
      <c r="B149">
        <v>1629</v>
      </c>
      <c r="D149" t="s">
        <v>93</v>
      </c>
      <c r="E149" t="s">
        <v>93</v>
      </c>
      <c r="F149">
        <v>52</v>
      </c>
      <c r="G149">
        <f t="shared" si="14"/>
        <v>40</v>
      </c>
      <c r="H149">
        <f t="shared" si="15"/>
        <v>40</v>
      </c>
      <c r="I149">
        <f t="shared" si="16"/>
        <v>0</v>
      </c>
      <c r="J149" cm="1">
        <f t="array" ref="J149">INT(G149)+IF(100-SUM(INT(G$140:G$150))&gt;=RANK(I149,I$140:I$150)+COUNTIF(I$140:I149,I149)-1,1,0)</f>
        <v>40</v>
      </c>
      <c r="K149" t="str">
        <f>_xlfn.XLOOKUP(B149,BugList!A:A,BugList!H:H)</f>
        <v/>
      </c>
      <c r="L149" t="str">
        <f>IF(K149 = "","",_xlfn.XLOOKUP(B149, BugList!A:A,BugList!B:B,""))</f>
        <v/>
      </c>
      <c r="M149">
        <f>_xlfn.XLOOKUP(D149,BugList!C:C,BugList!N:N)</f>
        <v>8</v>
      </c>
      <c r="N149">
        <f>_xlfn.XLOOKUP(B149,BugList!A:A,BugList!R:R)</f>
        <v>8</v>
      </c>
      <c r="Q149" t="b">
        <f>SUMPRODUCT(COUNTIF(_xlfn.XLOOKUP(B149,BugList!A:A,BugList!V:V), "*cn*"))&gt;0</f>
        <v>0</v>
      </c>
      <c r="S149" t="str">
        <f>_xlfn.XLOOKUP(B149,BugList!A:A,BugList!W:W)</f>
        <v/>
      </c>
      <c r="T149">
        <f t="shared" si="17"/>
        <v>320</v>
      </c>
      <c r="U149">
        <f t="shared" si="18"/>
        <v>320</v>
      </c>
    </row>
    <row r="150" spans="1:21">
      <c r="A150" t="s">
        <v>133</v>
      </c>
      <c r="B150">
        <v>1696</v>
      </c>
      <c r="D150" t="s">
        <v>94</v>
      </c>
      <c r="E150" t="s">
        <v>94</v>
      </c>
      <c r="F150">
        <v>3</v>
      </c>
      <c r="G150">
        <f t="shared" si="14"/>
        <v>2.3076923076923079</v>
      </c>
      <c r="H150">
        <f t="shared" si="15"/>
        <v>2</v>
      </c>
      <c r="I150">
        <f t="shared" si="16"/>
        <v>0.30769230769230793</v>
      </c>
      <c r="J150" cm="1">
        <f t="array" ref="J150">INT(G150)+IF(100-SUM(INT(G$140:G$150))&gt;=RANK(I150,I$140:I$150)+COUNTIF(I$140:I150,I150)-1,1,0)</f>
        <v>2</v>
      </c>
      <c r="K150" t="str">
        <f>_xlfn.XLOOKUP(B150,BugList!A:A,BugList!H:H)</f>
        <v/>
      </c>
      <c r="L150" t="str">
        <f>IF(K150 = "","",_xlfn.XLOOKUP(B150, BugList!A:A,BugList!B:B,""))</f>
        <v/>
      </c>
      <c r="M150">
        <f>_xlfn.XLOOKUP(D150,BugList!C:C,BugList!N:N)</f>
        <v>8</v>
      </c>
      <c r="N150">
        <f>_xlfn.XLOOKUP(B150,BugList!A:A,BugList!R:R)</f>
        <v>8</v>
      </c>
      <c r="Q150" t="b">
        <f>SUMPRODUCT(COUNTIF(_xlfn.XLOOKUP(B150,BugList!A:A,BugList!V:V), "*cn*"))&gt;0</f>
        <v>0</v>
      </c>
      <c r="S150" t="str">
        <f>_xlfn.XLOOKUP(B150,BugList!A:A,BugList!W:W)</f>
        <v/>
      </c>
      <c r="T150">
        <f t="shared" si="17"/>
        <v>16</v>
      </c>
      <c r="U150">
        <f t="shared" si="18"/>
        <v>16</v>
      </c>
    </row>
    <row r="151" spans="1:21">
      <c r="A151" t="s">
        <v>134</v>
      </c>
      <c r="B151">
        <v>88</v>
      </c>
      <c r="D151" t="s">
        <v>85</v>
      </c>
      <c r="E151" t="s">
        <v>85</v>
      </c>
      <c r="F151">
        <v>138</v>
      </c>
      <c r="G151">
        <f t="shared" si="14"/>
        <v>66.990291262135926</v>
      </c>
      <c r="H151">
        <f t="shared" si="15"/>
        <v>66</v>
      </c>
      <c r="I151">
        <f t="shared" si="16"/>
        <v>0.99029126213592633</v>
      </c>
      <c r="J151" cm="1">
        <f t="array" ref="J151">INT(G151)+IF(100-SUM(INT(G$151:G$161))&gt;=RANK(I151,I$151:I$161)+COUNTIF(I$151:I151,I151)-1,1,0)</f>
        <v>67</v>
      </c>
      <c r="K151" t="str">
        <f>_xlfn.XLOOKUP(B151,BugList!A:A,BugList!H:H)</f>
        <v/>
      </c>
      <c r="L151" t="str">
        <f>IF(K151 = "","",_xlfn.XLOOKUP(B151, BugList!A:A,BugList!B:B,""))</f>
        <v/>
      </c>
      <c r="M151">
        <f>_xlfn.XLOOKUP(D151,BugList!C:C,BugList!N:N)</f>
        <v>4</v>
      </c>
      <c r="N151">
        <f>_xlfn.XLOOKUP(B151,BugList!A:A,BugList!R:R)</f>
        <v>4</v>
      </c>
      <c r="Q151" t="b">
        <f>SUMPRODUCT(COUNTIF(_xlfn.XLOOKUP(B151,BugList!A:A,BugList!V:V), "*cn*"))&gt;0</f>
        <v>0</v>
      </c>
      <c r="S151" t="str">
        <f>_xlfn.XLOOKUP(B151,BugList!A:A,BugList!W:W)</f>
        <v/>
      </c>
      <c r="T151">
        <f t="shared" si="17"/>
        <v>268</v>
      </c>
      <c r="U151">
        <f t="shared" si="18"/>
        <v>268</v>
      </c>
    </row>
    <row r="152" spans="1:21">
      <c r="A152" t="s">
        <v>134</v>
      </c>
      <c r="B152">
        <v>247</v>
      </c>
      <c r="D152" t="s">
        <v>87</v>
      </c>
      <c r="E152" t="s">
        <v>87</v>
      </c>
      <c r="F152">
        <v>4</v>
      </c>
      <c r="G152">
        <f t="shared" si="14"/>
        <v>1.9417475728155338</v>
      </c>
      <c r="H152">
        <f t="shared" si="15"/>
        <v>1</v>
      </c>
      <c r="I152">
        <f t="shared" si="16"/>
        <v>0.94174757281553378</v>
      </c>
      <c r="J152" cm="1">
        <f t="array" ref="J152">INT(G152)+IF(100-SUM(INT(G$151:G$161))&gt;=RANK(I152,I$151:I$161)+COUNTIF(I$151:I152,I152)-1,1,0)</f>
        <v>2</v>
      </c>
      <c r="K152" t="str">
        <f>_xlfn.XLOOKUP(B152,BugList!A:A,BugList!H:H)</f>
        <v/>
      </c>
      <c r="L152" t="str">
        <f>IF(K152 = "","",_xlfn.XLOOKUP(B152, BugList!A:A,BugList!B:B,""))</f>
        <v/>
      </c>
      <c r="M152">
        <f>_xlfn.XLOOKUP(D152,BugList!C:C,BugList!N:N)</f>
        <v>4</v>
      </c>
      <c r="N152">
        <f>_xlfn.XLOOKUP(B152,BugList!A:A,BugList!R:R)</f>
        <v>4</v>
      </c>
      <c r="Q152" t="b">
        <f>SUMPRODUCT(COUNTIF(_xlfn.XLOOKUP(B152,BugList!A:A,BugList!V:V), "*cn*"))&gt;0</f>
        <v>0</v>
      </c>
      <c r="S152" t="str">
        <f>_xlfn.XLOOKUP(B152,BugList!A:A,BugList!W:W)</f>
        <v/>
      </c>
      <c r="T152">
        <f t="shared" si="17"/>
        <v>8</v>
      </c>
      <c r="U152">
        <f t="shared" si="18"/>
        <v>8</v>
      </c>
    </row>
    <row r="153" spans="1:21">
      <c r="A153" t="s">
        <v>134</v>
      </c>
      <c r="B153">
        <v>794</v>
      </c>
      <c r="D153" t="s">
        <v>89</v>
      </c>
      <c r="E153" t="s">
        <v>89</v>
      </c>
      <c r="F153">
        <v>2</v>
      </c>
      <c r="G153">
        <f t="shared" si="14"/>
        <v>0.97087378640776689</v>
      </c>
      <c r="H153">
        <f t="shared" si="15"/>
        <v>0</v>
      </c>
      <c r="I153">
        <f t="shared" si="16"/>
        <v>0.97087378640776689</v>
      </c>
      <c r="J153" cm="1">
        <f t="array" ref="J153">INT(G153)+IF(100-SUM(INT(G$151:G$161))&gt;=RANK(I153,I$151:I$161)+COUNTIF(I$151:I153,I153)-1,1,0)</f>
        <v>1</v>
      </c>
      <c r="K153" t="str">
        <f>_xlfn.XLOOKUP(B153,BugList!A:A,BugList!H:H)</f>
        <v>*</v>
      </c>
      <c r="L153" t="str">
        <f>IF(K153 = "","",_xlfn.XLOOKUP(B153, BugList!A:A,BugList!B:B,""))</f>
        <v>Trichoptera</v>
      </c>
      <c r="M153">
        <f>_xlfn.XLOOKUP(D153,BugList!C:C,BugList!N:N)</f>
        <v>4</v>
      </c>
      <c r="N153">
        <f>_xlfn.XLOOKUP(B153,BugList!A:A,BugList!R:R)</f>
        <v>4</v>
      </c>
      <c r="Q153" t="b">
        <f>SUMPRODUCT(COUNTIF(_xlfn.XLOOKUP(B153,BugList!A:A,BugList!V:V), "*cn*"))&gt;0</f>
        <v>1</v>
      </c>
      <c r="S153" t="str">
        <f>_xlfn.XLOOKUP(B153,BugList!A:A,BugList!W:W)</f>
        <v/>
      </c>
      <c r="T153">
        <f t="shared" si="17"/>
        <v>4</v>
      </c>
      <c r="U153">
        <f t="shared" si="18"/>
        <v>4</v>
      </c>
    </row>
    <row r="154" spans="1:21">
      <c r="A154" t="s">
        <v>134</v>
      </c>
      <c r="B154">
        <v>935</v>
      </c>
      <c r="D154" t="s">
        <v>98</v>
      </c>
      <c r="E154" t="s">
        <v>98</v>
      </c>
      <c r="F154">
        <v>2</v>
      </c>
      <c r="G154">
        <f t="shared" si="14"/>
        <v>0.97087378640776689</v>
      </c>
      <c r="H154">
        <f t="shared" si="15"/>
        <v>0</v>
      </c>
      <c r="I154">
        <f t="shared" si="16"/>
        <v>0.97087378640776689</v>
      </c>
      <c r="J154" cm="1">
        <f t="array" ref="J154">INT(G154)+IF(100-SUM(INT(G$151:G$161))&gt;=RANK(I154,I$151:I$161)+COUNTIF(I$151:I154,I154)-1,1,0)</f>
        <v>1</v>
      </c>
      <c r="K154" t="str">
        <f>_xlfn.XLOOKUP(B154,BugList!A:A,BugList!H:H)</f>
        <v/>
      </c>
      <c r="L154" t="str">
        <f>IF(K154 = "","",_xlfn.XLOOKUP(B154, BugList!A:A,BugList!B:B,""))</f>
        <v/>
      </c>
      <c r="M154">
        <f>_xlfn.XLOOKUP(D154,BugList!C:C,BugList!N:N)</f>
        <v>4</v>
      </c>
      <c r="N154">
        <f>_xlfn.XLOOKUP(B154,BugList!A:A,BugList!R:R)</f>
        <v>4</v>
      </c>
      <c r="Q154" t="b">
        <f>SUMPRODUCT(COUNTIF(_xlfn.XLOOKUP(B154,BugList!A:A,BugList!V:V), "*cn*"))&gt;0</f>
        <v>1</v>
      </c>
      <c r="S154" t="str">
        <f>_xlfn.XLOOKUP(B154,BugList!A:A,BugList!W:W)</f>
        <v/>
      </c>
      <c r="T154">
        <f t="shared" si="17"/>
        <v>4</v>
      </c>
      <c r="U154">
        <f t="shared" si="18"/>
        <v>4</v>
      </c>
    </row>
    <row r="155" spans="1:21">
      <c r="A155" t="s">
        <v>134</v>
      </c>
      <c r="B155">
        <v>1089</v>
      </c>
      <c r="D155" t="s">
        <v>126</v>
      </c>
      <c r="E155" t="s">
        <v>127</v>
      </c>
      <c r="F155">
        <v>51</v>
      </c>
      <c r="G155">
        <f t="shared" si="14"/>
        <v>24.757281553398059</v>
      </c>
      <c r="H155">
        <f t="shared" si="15"/>
        <v>24</v>
      </c>
      <c r="I155">
        <f t="shared" si="16"/>
        <v>0.7572815533980588</v>
      </c>
      <c r="J155" cm="1">
        <f t="array" ref="J155">INT(G155)+IF(100-SUM(INT(G$151:G$161))&gt;=RANK(I155,I$151:I$161)+COUNTIF(I$151:I155,I155)-1,1,0)</f>
        <v>25</v>
      </c>
      <c r="K155" t="str">
        <f>_xlfn.XLOOKUP(B155,BugList!A:A,BugList!H:H)</f>
        <v/>
      </c>
      <c r="L155" t="str">
        <f>IF(K155 = "","",_xlfn.XLOOKUP(B155, BugList!A:A,BugList!B:B,""))</f>
        <v/>
      </c>
      <c r="M155">
        <f>_xlfn.XLOOKUP(D155,BugList!C:C,BugList!N:N)</f>
        <v>8</v>
      </c>
      <c r="N155">
        <f>_xlfn.XLOOKUP(B155,BugList!A:A,BugList!R:R)</f>
        <v>10</v>
      </c>
      <c r="Q155" t="b">
        <f>SUMPRODUCT(COUNTIF(_xlfn.XLOOKUP(B155,BugList!A:A,BugList!V:V), "*cn*"))&gt;0</f>
        <v>0</v>
      </c>
      <c r="S155" t="str">
        <f>_xlfn.XLOOKUP(B155,BugList!A:A,BugList!W:W)</f>
        <v/>
      </c>
      <c r="T155">
        <f t="shared" si="17"/>
        <v>200</v>
      </c>
      <c r="U155">
        <f t="shared" si="18"/>
        <v>250</v>
      </c>
    </row>
    <row r="156" spans="1:21">
      <c r="A156" t="s">
        <v>134</v>
      </c>
      <c r="B156">
        <v>1555</v>
      </c>
      <c r="D156" t="s">
        <v>120</v>
      </c>
      <c r="E156" t="s">
        <v>120</v>
      </c>
      <c r="F156">
        <v>1</v>
      </c>
      <c r="G156">
        <f t="shared" si="14"/>
        <v>0.48543689320388345</v>
      </c>
      <c r="H156">
        <f t="shared" si="15"/>
        <v>0</v>
      </c>
      <c r="I156">
        <f t="shared" si="16"/>
        <v>0.48543689320388345</v>
      </c>
      <c r="J156" cm="1">
        <f t="array" ref="J156">INT(G156)+IF(100-SUM(INT(G$151:G$161))&gt;=RANK(I156,I$151:I$161)+COUNTIF(I$151:I156,I156)-1,1,0)</f>
        <v>1</v>
      </c>
      <c r="K156" t="str">
        <f>_xlfn.XLOOKUP(B156,BugList!A:A,BugList!H:H)</f>
        <v/>
      </c>
      <c r="L156" t="str">
        <f>IF(K156 = "","",_xlfn.XLOOKUP(B156, BugList!A:A,BugList!B:B,""))</f>
        <v/>
      </c>
      <c r="M156">
        <f>_xlfn.XLOOKUP(D156,BugList!C:C,BugList!N:N)</f>
        <v>8</v>
      </c>
      <c r="N156">
        <f>_xlfn.XLOOKUP(B156,BugList!A:A,BugList!R:R)</f>
        <v>8</v>
      </c>
      <c r="Q156" t="b">
        <f>SUMPRODUCT(COUNTIF(_xlfn.XLOOKUP(B156,BugList!A:A,BugList!V:V), "*cn*"))&gt;0</f>
        <v>0</v>
      </c>
      <c r="S156" t="str">
        <f>_xlfn.XLOOKUP(B156,BugList!A:A,BugList!W:W)</f>
        <v/>
      </c>
      <c r="T156">
        <f t="shared" si="17"/>
        <v>8</v>
      </c>
      <c r="U156">
        <f t="shared" si="18"/>
        <v>8</v>
      </c>
    </row>
    <row r="157" spans="1:21">
      <c r="A157" t="s">
        <v>134</v>
      </c>
      <c r="B157">
        <v>1578</v>
      </c>
      <c r="D157" t="s">
        <v>102</v>
      </c>
      <c r="E157" t="s">
        <v>102</v>
      </c>
      <c r="F157">
        <v>2</v>
      </c>
      <c r="G157">
        <f t="shared" si="14"/>
        <v>0.97087378640776689</v>
      </c>
      <c r="H157">
        <f t="shared" si="15"/>
        <v>0</v>
      </c>
      <c r="I157">
        <f t="shared" si="16"/>
        <v>0.97087378640776689</v>
      </c>
      <c r="J157" cm="1">
        <f t="array" ref="J157">INT(G157)+IF(100-SUM(INT(G$151:G$161))&gt;=RANK(I157,I$151:I$161)+COUNTIF(I$151:I157,I157)-1,1,0)</f>
        <v>1</v>
      </c>
      <c r="K157" t="str">
        <f>_xlfn.XLOOKUP(B157,BugList!A:A,BugList!H:H)</f>
        <v/>
      </c>
      <c r="L157" t="str">
        <f>IF(K157 = "","",_xlfn.XLOOKUP(B157, BugList!A:A,BugList!B:B,""))</f>
        <v/>
      </c>
      <c r="M157">
        <f>_xlfn.XLOOKUP(D157,BugList!C:C,BugList!N:N)</f>
        <v>7</v>
      </c>
      <c r="N157">
        <f>_xlfn.XLOOKUP(B157,BugList!A:A,BugList!R:R)</f>
        <v>7</v>
      </c>
      <c r="Q157" t="b">
        <f>SUMPRODUCT(COUNTIF(_xlfn.XLOOKUP(B157,BugList!A:A,BugList!V:V), "*cn*"))&gt;0</f>
        <v>0</v>
      </c>
      <c r="S157" t="str">
        <f>_xlfn.XLOOKUP(B157,BugList!A:A,BugList!W:W)</f>
        <v/>
      </c>
      <c r="T157">
        <f t="shared" si="17"/>
        <v>7</v>
      </c>
      <c r="U157">
        <f t="shared" si="18"/>
        <v>7</v>
      </c>
    </row>
    <row r="158" spans="1:21">
      <c r="A158" t="s">
        <v>134</v>
      </c>
      <c r="B158">
        <v>1602</v>
      </c>
      <c r="D158" t="s">
        <v>135</v>
      </c>
      <c r="E158" t="s">
        <v>135</v>
      </c>
      <c r="F158">
        <v>1</v>
      </c>
      <c r="G158">
        <f t="shared" si="14"/>
        <v>0.48543689320388345</v>
      </c>
      <c r="H158">
        <f t="shared" si="15"/>
        <v>0</v>
      </c>
      <c r="I158">
        <f t="shared" si="16"/>
        <v>0.48543689320388345</v>
      </c>
      <c r="J158" cm="1">
        <f t="array" ref="J158">INT(G158)+IF(100-SUM(INT(G$151:G$161))&gt;=RANK(I158,I$151:I$161)+COUNTIF(I$151:I158,I158)-1,1,0)</f>
        <v>1</v>
      </c>
      <c r="K158" t="str">
        <f>_xlfn.XLOOKUP(B158,BugList!A:A,BugList!H:H)</f>
        <v/>
      </c>
      <c r="L158" t="str">
        <f>IF(K158 = "","",_xlfn.XLOOKUP(B158, BugList!A:A,BugList!B:B,""))</f>
        <v/>
      </c>
      <c r="M158">
        <f>_xlfn.XLOOKUP(D158,BugList!C:C,BugList!N:N)</f>
        <v>6</v>
      </c>
      <c r="N158">
        <f>_xlfn.XLOOKUP(B158,BugList!A:A,BugList!R:R)</f>
        <v>6</v>
      </c>
      <c r="Q158" t="b">
        <f>SUMPRODUCT(COUNTIF(_xlfn.XLOOKUP(B158,BugList!A:A,BugList!V:V), "*cn*"))&gt;0</f>
        <v>0</v>
      </c>
      <c r="S158" t="str">
        <f>_xlfn.XLOOKUP(B158,BugList!A:A,BugList!W:W)</f>
        <v/>
      </c>
      <c r="T158">
        <f t="shared" si="17"/>
        <v>6</v>
      </c>
      <c r="U158">
        <f t="shared" si="18"/>
        <v>6</v>
      </c>
    </row>
    <row r="159" spans="1:21">
      <c r="A159" t="s">
        <v>134</v>
      </c>
      <c r="B159">
        <v>1629</v>
      </c>
      <c r="D159" t="s">
        <v>93</v>
      </c>
      <c r="E159" t="s">
        <v>93</v>
      </c>
      <c r="F159">
        <v>1</v>
      </c>
      <c r="G159">
        <f t="shared" si="14"/>
        <v>0.48543689320388345</v>
      </c>
      <c r="H159">
        <f t="shared" si="15"/>
        <v>0</v>
      </c>
      <c r="I159">
        <f t="shared" si="16"/>
        <v>0.48543689320388345</v>
      </c>
      <c r="J159" cm="1">
        <f t="array" ref="J159">INT(G159)+IF(100-SUM(INT(G$151:G$161))&gt;=RANK(I159,I$151:I$161)+COUNTIF(I$151:I159,I159)-1,1,0)</f>
        <v>0</v>
      </c>
      <c r="K159" t="str">
        <f>_xlfn.XLOOKUP(B159,BugList!A:A,BugList!H:H)</f>
        <v/>
      </c>
      <c r="L159" t="str">
        <f>IF(K159 = "","",_xlfn.XLOOKUP(B159, BugList!A:A,BugList!B:B,""))</f>
        <v/>
      </c>
      <c r="M159">
        <f>_xlfn.XLOOKUP(D159,BugList!C:C,BugList!N:N)</f>
        <v>8</v>
      </c>
      <c r="N159">
        <f>_xlfn.XLOOKUP(B159,BugList!A:A,BugList!R:R)</f>
        <v>8</v>
      </c>
      <c r="Q159" t="b">
        <f>SUMPRODUCT(COUNTIF(_xlfn.XLOOKUP(B159,BugList!A:A,BugList!V:V), "*cn*"))&gt;0</f>
        <v>0</v>
      </c>
      <c r="S159" t="str">
        <f>_xlfn.XLOOKUP(B159,BugList!A:A,BugList!W:W)</f>
        <v/>
      </c>
      <c r="T159">
        <f t="shared" si="17"/>
        <v>0</v>
      </c>
      <c r="U159">
        <f t="shared" si="18"/>
        <v>0</v>
      </c>
    </row>
    <row r="160" spans="1:21">
      <c r="A160" t="s">
        <v>134</v>
      </c>
      <c r="B160">
        <v>1641</v>
      </c>
      <c r="D160" t="s">
        <v>136</v>
      </c>
      <c r="E160" t="s">
        <v>136</v>
      </c>
      <c r="F160">
        <v>1</v>
      </c>
      <c r="G160">
        <f t="shared" si="14"/>
        <v>0.48543689320388345</v>
      </c>
      <c r="H160">
        <f t="shared" si="15"/>
        <v>0</v>
      </c>
      <c r="I160">
        <f t="shared" si="16"/>
        <v>0.48543689320388345</v>
      </c>
      <c r="J160" cm="1">
        <f t="array" ref="J160">INT(G160)+IF(100-SUM(INT(G$151:G$161))&gt;=RANK(I160,I$151:I$161)+COUNTIF(I$151:I160,I160)-1,1,0)</f>
        <v>0</v>
      </c>
      <c r="K160" t="str">
        <f>_xlfn.XLOOKUP(B160,BugList!A:A,BugList!H:H)</f>
        <v/>
      </c>
      <c r="L160" t="str">
        <f>IF(K160 = "","",_xlfn.XLOOKUP(B160, BugList!A:A,BugList!B:B,""))</f>
        <v/>
      </c>
      <c r="M160">
        <f>_xlfn.XLOOKUP(D160,BugList!C:C,BugList!N:N)</f>
        <v>8</v>
      </c>
      <c r="N160">
        <f>_xlfn.XLOOKUP(B160,BugList!A:A,BugList!R:R)</f>
        <v>8</v>
      </c>
      <c r="Q160" t="b">
        <f>SUMPRODUCT(COUNTIF(_xlfn.XLOOKUP(B160,BugList!A:A,BugList!V:V), "*cn*"))&gt;0</f>
        <v>0</v>
      </c>
      <c r="S160" t="str">
        <f>_xlfn.XLOOKUP(B160,BugList!A:A,BugList!W:W)</f>
        <v/>
      </c>
      <c r="T160">
        <f t="shared" si="17"/>
        <v>0</v>
      </c>
      <c r="U160">
        <f t="shared" si="18"/>
        <v>0</v>
      </c>
    </row>
    <row r="161" spans="1:21">
      <c r="A161" t="s">
        <v>134</v>
      </c>
      <c r="B161">
        <v>1696</v>
      </c>
      <c r="D161" t="s">
        <v>94</v>
      </c>
      <c r="E161" t="s">
        <v>94</v>
      </c>
      <c r="F161">
        <v>3</v>
      </c>
      <c r="G161">
        <f t="shared" si="14"/>
        <v>1.4563106796116505</v>
      </c>
      <c r="H161">
        <f t="shared" si="15"/>
        <v>1</v>
      </c>
      <c r="I161">
        <f t="shared" si="16"/>
        <v>0.4563106796116505</v>
      </c>
      <c r="J161" cm="1">
        <f t="array" ref="J161">INT(G161)+IF(100-SUM(INT(G$151:G$161))&gt;=RANK(I161,I$151:I$161)+COUNTIF(I$151:I161,I161)-1,1,0)</f>
        <v>1</v>
      </c>
      <c r="K161" t="str">
        <f>_xlfn.XLOOKUP(B161,BugList!A:A,BugList!H:H)</f>
        <v/>
      </c>
      <c r="L161" t="str">
        <f>IF(K161 = "","",_xlfn.XLOOKUP(B161, BugList!A:A,BugList!B:B,""))</f>
        <v/>
      </c>
      <c r="M161">
        <f>_xlfn.XLOOKUP(D161,BugList!C:C,BugList!N:N)</f>
        <v>8</v>
      </c>
      <c r="N161">
        <f>_xlfn.XLOOKUP(B161,BugList!A:A,BugList!R:R)</f>
        <v>8</v>
      </c>
      <c r="Q161" t="b">
        <f>SUMPRODUCT(COUNTIF(_xlfn.XLOOKUP(B161,BugList!A:A,BugList!V:V), "*cn*"))&gt;0</f>
        <v>0</v>
      </c>
      <c r="S161" t="str">
        <f>_xlfn.XLOOKUP(B161,BugList!A:A,BugList!W:W)</f>
        <v/>
      </c>
      <c r="T161">
        <f t="shared" si="17"/>
        <v>8</v>
      </c>
      <c r="U161">
        <f t="shared" si="18"/>
        <v>8</v>
      </c>
    </row>
    <row r="162" spans="1:21">
      <c r="A162" t="s">
        <v>137</v>
      </c>
      <c r="B162">
        <v>88</v>
      </c>
      <c r="D162" t="s">
        <v>85</v>
      </c>
      <c r="E162" t="s">
        <v>85</v>
      </c>
      <c r="F162">
        <v>113</v>
      </c>
      <c r="G162">
        <f t="shared" si="14"/>
        <v>83.703703703703695</v>
      </c>
      <c r="H162">
        <f t="shared" si="15"/>
        <v>83</v>
      </c>
      <c r="I162">
        <f t="shared" si="16"/>
        <v>0.70370370370369528</v>
      </c>
      <c r="J162" cm="1">
        <f t="array" ref="J162">INT(G162)+IF(100-SUM(INT(G$162:G$168))&gt;=RANK(I162,I$162:I$168)+COUNTIF(I$162:I162,I162)-1,1,0)</f>
        <v>84</v>
      </c>
      <c r="K162" t="str">
        <f>_xlfn.XLOOKUP(B162,BugList!A:A,BugList!H:H)</f>
        <v/>
      </c>
      <c r="L162" t="str">
        <f>IF(K162 = "","",_xlfn.XLOOKUP(B162, BugList!A:A,BugList!B:B,""))</f>
        <v/>
      </c>
      <c r="M162">
        <f>_xlfn.XLOOKUP(D162,BugList!C:C,BugList!N:N)</f>
        <v>4</v>
      </c>
      <c r="N162">
        <f>_xlfn.XLOOKUP(B162,BugList!A:A,BugList!R:R)</f>
        <v>4</v>
      </c>
      <c r="Q162" t="b">
        <f>SUMPRODUCT(COUNTIF(_xlfn.XLOOKUP(B162,BugList!A:A,BugList!V:V), "*cn*"))&gt;0</f>
        <v>0</v>
      </c>
      <c r="S162" t="str">
        <f>_xlfn.XLOOKUP(B162,BugList!A:A,BugList!W:W)</f>
        <v/>
      </c>
      <c r="T162">
        <f t="shared" si="17"/>
        <v>336</v>
      </c>
      <c r="U162">
        <f t="shared" si="18"/>
        <v>336</v>
      </c>
    </row>
    <row r="163" spans="1:21">
      <c r="A163" t="s">
        <v>137</v>
      </c>
      <c r="B163">
        <v>372</v>
      </c>
      <c r="D163" t="s">
        <v>88</v>
      </c>
      <c r="E163" t="s">
        <v>88</v>
      </c>
      <c r="F163">
        <v>2</v>
      </c>
      <c r="G163">
        <f t="shared" si="14"/>
        <v>1.4814814814814816</v>
      </c>
      <c r="H163">
        <f t="shared" si="15"/>
        <v>1</v>
      </c>
      <c r="I163">
        <f t="shared" si="16"/>
        <v>0.48148148148148162</v>
      </c>
      <c r="J163" cm="1">
        <f t="array" ref="J163">INT(G163)+IF(100-SUM(INT(G$162:G$168))&gt;=RANK(I163,I$162:I$168)+COUNTIF(I$162:I163,I163)-1,1,0)</f>
        <v>1</v>
      </c>
      <c r="K163" t="str">
        <f>_xlfn.XLOOKUP(B163,BugList!A:A,BugList!H:H)</f>
        <v/>
      </c>
      <c r="L163" t="str">
        <f>IF(K163 = "","",_xlfn.XLOOKUP(B163, BugList!A:A,BugList!B:B,""))</f>
        <v/>
      </c>
      <c r="M163">
        <f>_xlfn.XLOOKUP(D163,BugList!C:C,BugList!N:N)</f>
        <v>8</v>
      </c>
      <c r="N163">
        <f>_xlfn.XLOOKUP(B163,BugList!A:A,BugList!R:R)</f>
        <v>8</v>
      </c>
      <c r="Q163" t="b">
        <f>SUMPRODUCT(COUNTIF(_xlfn.XLOOKUP(B163,BugList!A:A,BugList!V:V), "*cn*"))&gt;0</f>
        <v>0</v>
      </c>
      <c r="S163" t="str">
        <f>_xlfn.XLOOKUP(B163,BugList!A:A,BugList!W:W)</f>
        <v/>
      </c>
      <c r="T163">
        <f t="shared" si="17"/>
        <v>8</v>
      </c>
      <c r="U163">
        <f t="shared" si="18"/>
        <v>8</v>
      </c>
    </row>
    <row r="164" spans="1:21">
      <c r="A164" t="s">
        <v>137</v>
      </c>
      <c r="B164">
        <v>794</v>
      </c>
      <c r="D164" t="s">
        <v>89</v>
      </c>
      <c r="E164" t="s">
        <v>89</v>
      </c>
      <c r="F164">
        <v>8</v>
      </c>
      <c r="G164">
        <f t="shared" si="14"/>
        <v>5.9259259259259265</v>
      </c>
      <c r="H164">
        <f t="shared" si="15"/>
        <v>5</v>
      </c>
      <c r="I164">
        <f t="shared" si="16"/>
        <v>0.92592592592592649</v>
      </c>
      <c r="J164" cm="1">
        <f t="array" ref="J164">INT(G164)+IF(100-SUM(INT(G$162:G$168))&gt;=RANK(I164,I$162:I$168)+COUNTIF(I$162:I164,I164)-1,1,0)</f>
        <v>6</v>
      </c>
      <c r="K164" t="str">
        <f>_xlfn.XLOOKUP(B164,BugList!A:A,BugList!H:H)</f>
        <v>*</v>
      </c>
      <c r="L164" t="str">
        <f>IF(K164 = "","",_xlfn.XLOOKUP(B164, BugList!A:A,BugList!B:B,""))</f>
        <v>Trichoptera</v>
      </c>
      <c r="M164">
        <f>_xlfn.XLOOKUP(D164,BugList!C:C,BugList!N:N)</f>
        <v>4</v>
      </c>
      <c r="N164">
        <f>_xlfn.XLOOKUP(B164,BugList!A:A,BugList!R:R)</f>
        <v>4</v>
      </c>
      <c r="Q164" t="b">
        <f>SUMPRODUCT(COUNTIF(_xlfn.XLOOKUP(B164,BugList!A:A,BugList!V:V), "*cn*"))&gt;0</f>
        <v>1</v>
      </c>
      <c r="S164" t="str">
        <f>_xlfn.XLOOKUP(B164,BugList!A:A,BugList!W:W)</f>
        <v/>
      </c>
      <c r="T164">
        <f t="shared" si="17"/>
        <v>24</v>
      </c>
      <c r="U164">
        <f t="shared" si="18"/>
        <v>24</v>
      </c>
    </row>
    <row r="165" spans="1:21">
      <c r="A165" t="s">
        <v>137</v>
      </c>
      <c r="B165">
        <v>1555</v>
      </c>
      <c r="D165" t="s">
        <v>120</v>
      </c>
      <c r="E165" t="s">
        <v>120</v>
      </c>
      <c r="F165">
        <v>1</v>
      </c>
      <c r="G165">
        <f t="shared" si="14"/>
        <v>0.74074074074074081</v>
      </c>
      <c r="H165">
        <f t="shared" si="15"/>
        <v>0</v>
      </c>
      <c r="I165">
        <f t="shared" si="16"/>
        <v>0.74074074074074081</v>
      </c>
      <c r="J165" cm="1">
        <f t="array" ref="J165">INT(G165)+IF(100-SUM(INT(G$162:G$168))&gt;=RANK(I165,I$162:I$168)+COUNTIF(I$162:I165,I165)-1,1,0)</f>
        <v>1</v>
      </c>
      <c r="K165" t="str">
        <f>_xlfn.XLOOKUP(B165,BugList!A:A,BugList!H:H)</f>
        <v/>
      </c>
      <c r="L165" t="str">
        <f>IF(K165 = "","",_xlfn.XLOOKUP(B165, BugList!A:A,BugList!B:B,""))</f>
        <v/>
      </c>
      <c r="M165">
        <f>_xlfn.XLOOKUP(D165,BugList!C:C,BugList!N:N)</f>
        <v>8</v>
      </c>
      <c r="N165">
        <f>_xlfn.XLOOKUP(B165,BugList!A:A,BugList!R:R)</f>
        <v>8</v>
      </c>
      <c r="Q165" t="b">
        <f>SUMPRODUCT(COUNTIF(_xlfn.XLOOKUP(B165,BugList!A:A,BugList!V:V), "*cn*"))&gt;0</f>
        <v>0</v>
      </c>
      <c r="S165" t="str">
        <f>_xlfn.XLOOKUP(B165,BugList!A:A,BugList!W:W)</f>
        <v/>
      </c>
      <c r="T165">
        <f t="shared" si="17"/>
        <v>8</v>
      </c>
      <c r="U165">
        <f t="shared" si="18"/>
        <v>8</v>
      </c>
    </row>
    <row r="166" spans="1:21">
      <c r="A166" t="s">
        <v>137</v>
      </c>
      <c r="B166">
        <v>1582</v>
      </c>
      <c r="D166" t="s">
        <v>121</v>
      </c>
      <c r="E166" t="s">
        <v>121</v>
      </c>
      <c r="F166">
        <v>1</v>
      </c>
      <c r="G166">
        <f t="shared" si="14"/>
        <v>0.74074074074074081</v>
      </c>
      <c r="H166">
        <f t="shared" si="15"/>
        <v>0</v>
      </c>
      <c r="I166">
        <f t="shared" si="16"/>
        <v>0.74074074074074081</v>
      </c>
      <c r="J166" cm="1">
        <f t="array" ref="J166">INT(G166)+IF(100-SUM(INT(G$162:G$168))&gt;=RANK(I166,I$162:I$168)+COUNTIF(I$162:I166,I166)-1,1,0)</f>
        <v>1</v>
      </c>
      <c r="K166" t="str">
        <f>_xlfn.XLOOKUP(B166,BugList!A:A,BugList!H:H)</f>
        <v/>
      </c>
      <c r="L166" t="str">
        <f>IF(K166 = "","",_xlfn.XLOOKUP(B166, BugList!A:A,BugList!B:B,""))</f>
        <v/>
      </c>
      <c r="M166">
        <f>_xlfn.XLOOKUP(D166,BugList!C:C,BugList!N:N)</f>
        <v>6</v>
      </c>
      <c r="N166">
        <f>_xlfn.XLOOKUP(B166,BugList!A:A,BugList!R:R)</f>
        <v>6</v>
      </c>
      <c r="Q166" t="b">
        <f>SUMPRODUCT(COUNTIF(_xlfn.XLOOKUP(B166,BugList!A:A,BugList!V:V), "*cn*"))&gt;0</f>
        <v>0</v>
      </c>
      <c r="S166" t="str">
        <f>_xlfn.XLOOKUP(B166,BugList!A:A,BugList!W:W)</f>
        <v/>
      </c>
      <c r="T166">
        <f t="shared" si="17"/>
        <v>6</v>
      </c>
      <c r="U166">
        <f t="shared" si="18"/>
        <v>6</v>
      </c>
    </row>
    <row r="167" spans="1:21">
      <c r="A167" t="s">
        <v>137</v>
      </c>
      <c r="B167">
        <v>1614</v>
      </c>
      <c r="D167" t="s">
        <v>92</v>
      </c>
      <c r="E167" t="s">
        <v>92</v>
      </c>
      <c r="F167">
        <v>6</v>
      </c>
      <c r="G167">
        <f t="shared" si="14"/>
        <v>4.4444444444444446</v>
      </c>
      <c r="H167">
        <f t="shared" si="15"/>
        <v>4</v>
      </c>
      <c r="I167">
        <f t="shared" si="16"/>
        <v>0.44444444444444464</v>
      </c>
      <c r="J167" cm="1">
        <f t="array" ref="J167">INT(G167)+IF(100-SUM(INT(G$162:G$168))&gt;=RANK(I167,I$162:I$168)+COUNTIF(I$162:I167,I167)-1,1,0)</f>
        <v>4</v>
      </c>
      <c r="K167" t="str">
        <f>_xlfn.XLOOKUP(B167,BugList!A:A,BugList!H:H)</f>
        <v/>
      </c>
      <c r="L167" t="str">
        <f>IF(K167 = "","",_xlfn.XLOOKUP(B167, BugList!A:A,BugList!B:B,""))</f>
        <v/>
      </c>
      <c r="M167">
        <f>_xlfn.XLOOKUP(D167,BugList!C:C,BugList!N:N)</f>
        <v>8</v>
      </c>
      <c r="N167">
        <f>_xlfn.XLOOKUP(B167,BugList!A:A,BugList!R:R)</f>
        <v>8</v>
      </c>
      <c r="Q167" t="b">
        <f>SUMPRODUCT(COUNTIF(_xlfn.XLOOKUP(B167,BugList!A:A,BugList!V:V), "*cn*"))&gt;0</f>
        <v>0</v>
      </c>
      <c r="S167" t="str">
        <f>_xlfn.XLOOKUP(B167,BugList!A:A,BugList!W:W)</f>
        <v/>
      </c>
      <c r="T167">
        <f t="shared" si="17"/>
        <v>32</v>
      </c>
      <c r="U167">
        <f t="shared" si="18"/>
        <v>32</v>
      </c>
    </row>
    <row r="168" spans="1:21">
      <c r="A168" t="s">
        <v>137</v>
      </c>
      <c r="B168">
        <v>1629</v>
      </c>
      <c r="D168" t="s">
        <v>93</v>
      </c>
      <c r="E168" t="s">
        <v>93</v>
      </c>
      <c r="F168">
        <v>4</v>
      </c>
      <c r="G168">
        <f t="shared" si="14"/>
        <v>2.9629629629629632</v>
      </c>
      <c r="H168">
        <f t="shared" si="15"/>
        <v>2</v>
      </c>
      <c r="I168">
        <f t="shared" si="16"/>
        <v>0.96296296296296324</v>
      </c>
      <c r="J168" cm="1">
        <f t="array" ref="J168">INT(G168)+IF(100-SUM(INT(G$162:G$168))&gt;=RANK(I168,I$162:I$168)+COUNTIF(I$162:I168,I168)-1,1,0)</f>
        <v>3</v>
      </c>
      <c r="K168" t="str">
        <f>_xlfn.XLOOKUP(B168,BugList!A:A,BugList!H:H)</f>
        <v/>
      </c>
      <c r="L168" t="str">
        <f>IF(K168 = "","",_xlfn.XLOOKUP(B168, BugList!A:A,BugList!B:B,""))</f>
        <v/>
      </c>
      <c r="M168">
        <f>_xlfn.XLOOKUP(D168,BugList!C:C,BugList!N:N)</f>
        <v>8</v>
      </c>
      <c r="N168">
        <f>_xlfn.XLOOKUP(B168,BugList!A:A,BugList!R:R)</f>
        <v>8</v>
      </c>
      <c r="Q168" t="b">
        <f>SUMPRODUCT(COUNTIF(_xlfn.XLOOKUP(B168,BugList!A:A,BugList!V:V), "*cn*"))&gt;0</f>
        <v>0</v>
      </c>
      <c r="S168" t="str">
        <f>_xlfn.XLOOKUP(B168,BugList!A:A,BugList!W:W)</f>
        <v/>
      </c>
      <c r="T168">
        <f t="shared" si="17"/>
        <v>24</v>
      </c>
      <c r="U168">
        <f t="shared" si="18"/>
        <v>24</v>
      </c>
    </row>
    <row r="169" spans="1:21">
      <c r="A169" t="s">
        <v>138</v>
      </c>
      <c r="B169">
        <v>63</v>
      </c>
      <c r="D169" t="s">
        <v>84</v>
      </c>
      <c r="E169" t="s">
        <v>84</v>
      </c>
      <c r="F169">
        <v>5</v>
      </c>
      <c r="G169">
        <f t="shared" ref="G169:G232" si="19">(F169/(SUMIFS(F:F,A:A,A169))*100)</f>
        <v>4</v>
      </c>
      <c r="H169">
        <f t="shared" ref="H169:H232" si="20">INT(G169)</f>
        <v>4</v>
      </c>
      <c r="I169">
        <f t="shared" ref="I169:I232" si="21">G169-H169</f>
        <v>0</v>
      </c>
      <c r="J169" cm="1">
        <f t="array" ref="J169">INT(G169)+IF(100-SUM(INT(G$169:G$174))&gt;=RANK(I169,I$169:I$174)+COUNTIF(I$169:I169,I169)-1,1,0)</f>
        <v>4</v>
      </c>
      <c r="K169" t="str">
        <f>_xlfn.XLOOKUP(B169,BugList!A:A,BugList!H:H)</f>
        <v/>
      </c>
      <c r="L169" t="str">
        <f>IF(K169 = "","",_xlfn.XLOOKUP(B169, BugList!A:A,BugList!B:B,""))</f>
        <v/>
      </c>
      <c r="M169">
        <f>_xlfn.XLOOKUP(D169,BugList!C:C,BugList!N:N)</f>
        <v>8</v>
      </c>
      <c r="N169">
        <f>_xlfn.XLOOKUP(B169,BugList!A:A,BugList!R:R)</f>
        <v>8</v>
      </c>
      <c r="Q169" t="b">
        <f>SUMPRODUCT(COUNTIF(_xlfn.XLOOKUP(B169,BugList!A:A,BugList!V:V), "*cn*"))&gt;0</f>
        <v>0</v>
      </c>
      <c r="S169" t="str">
        <f>_xlfn.XLOOKUP(B169,BugList!A:A,BugList!W:W)</f>
        <v/>
      </c>
      <c r="T169">
        <f t="shared" si="17"/>
        <v>32</v>
      </c>
      <c r="U169">
        <f t="shared" si="18"/>
        <v>32</v>
      </c>
    </row>
    <row r="170" spans="1:21">
      <c r="A170" t="s">
        <v>138</v>
      </c>
      <c r="B170">
        <v>88</v>
      </c>
      <c r="D170" t="s">
        <v>85</v>
      </c>
      <c r="E170" t="s">
        <v>85</v>
      </c>
      <c r="F170">
        <v>40</v>
      </c>
      <c r="G170">
        <f t="shared" si="19"/>
        <v>32</v>
      </c>
      <c r="H170">
        <f t="shared" si="20"/>
        <v>32</v>
      </c>
      <c r="I170">
        <f t="shared" si="21"/>
        <v>0</v>
      </c>
      <c r="J170" cm="1">
        <f t="array" ref="J170">INT(G170)+IF(100-SUM(INT(G$169:G$174))&gt;=RANK(I170,I$169:I$174)+COUNTIF(I$169:I170,I170)-1,1,0)</f>
        <v>32</v>
      </c>
      <c r="K170" t="str">
        <f>_xlfn.XLOOKUP(B170,BugList!A:A,BugList!H:H)</f>
        <v/>
      </c>
      <c r="L170" t="str">
        <f>IF(K170 = "","",_xlfn.XLOOKUP(B170, BugList!A:A,BugList!B:B,""))</f>
        <v/>
      </c>
      <c r="M170">
        <f>_xlfn.XLOOKUP(D170,BugList!C:C,BugList!N:N)</f>
        <v>4</v>
      </c>
      <c r="N170">
        <f>_xlfn.XLOOKUP(B170,BugList!A:A,BugList!R:R)</f>
        <v>4</v>
      </c>
      <c r="Q170" t="b">
        <f>SUMPRODUCT(COUNTIF(_xlfn.XLOOKUP(B170,BugList!A:A,BugList!V:V), "*cn*"))&gt;0</f>
        <v>0</v>
      </c>
      <c r="S170" t="str">
        <f>_xlfn.XLOOKUP(B170,BugList!A:A,BugList!W:W)</f>
        <v/>
      </c>
      <c r="T170">
        <f t="shared" si="17"/>
        <v>128</v>
      </c>
      <c r="U170">
        <f t="shared" si="18"/>
        <v>128</v>
      </c>
    </row>
    <row r="171" spans="1:21">
      <c r="A171" t="s">
        <v>138</v>
      </c>
      <c r="B171">
        <v>372</v>
      </c>
      <c r="D171" t="s">
        <v>88</v>
      </c>
      <c r="E171" t="s">
        <v>88</v>
      </c>
      <c r="F171">
        <v>2</v>
      </c>
      <c r="G171">
        <f t="shared" si="19"/>
        <v>1.6</v>
      </c>
      <c r="H171">
        <f t="shared" si="20"/>
        <v>1</v>
      </c>
      <c r="I171">
        <f t="shared" si="21"/>
        <v>0.60000000000000009</v>
      </c>
      <c r="J171" cm="1">
        <f t="array" ref="J171">INT(G171)+IF(100-SUM(INT(G$169:G$174))&gt;=RANK(I171,I$169:I$174)+COUNTIF(I$169:I171,I171)-1,1,0)</f>
        <v>2</v>
      </c>
      <c r="K171" t="str">
        <f>_xlfn.XLOOKUP(B171,BugList!A:A,BugList!H:H)</f>
        <v/>
      </c>
      <c r="L171" t="str">
        <f>IF(K171 = "","",_xlfn.XLOOKUP(B171, BugList!A:A,BugList!B:B,""))</f>
        <v/>
      </c>
      <c r="M171">
        <f>_xlfn.XLOOKUP(D171,BugList!C:C,BugList!N:N)</f>
        <v>8</v>
      </c>
      <c r="N171">
        <f>_xlfn.XLOOKUP(B171,BugList!A:A,BugList!R:R)</f>
        <v>8</v>
      </c>
      <c r="Q171" t="b">
        <f>SUMPRODUCT(COUNTIF(_xlfn.XLOOKUP(B171,BugList!A:A,BugList!V:V), "*cn*"))&gt;0</f>
        <v>0</v>
      </c>
      <c r="S171" t="str">
        <f>_xlfn.XLOOKUP(B171,BugList!A:A,BugList!W:W)</f>
        <v/>
      </c>
      <c r="T171">
        <f t="shared" si="17"/>
        <v>16</v>
      </c>
      <c r="U171">
        <f t="shared" si="18"/>
        <v>16</v>
      </c>
    </row>
    <row r="172" spans="1:21">
      <c r="A172" t="s">
        <v>138</v>
      </c>
      <c r="B172">
        <v>794</v>
      </c>
      <c r="D172" t="s">
        <v>89</v>
      </c>
      <c r="E172" t="s">
        <v>89</v>
      </c>
      <c r="F172">
        <v>71</v>
      </c>
      <c r="G172">
        <f t="shared" si="19"/>
        <v>56.8</v>
      </c>
      <c r="H172">
        <f t="shared" si="20"/>
        <v>56</v>
      </c>
      <c r="I172">
        <f t="shared" si="21"/>
        <v>0.79999999999999716</v>
      </c>
      <c r="J172" cm="1">
        <f t="array" ref="J172">INT(G172)+IF(100-SUM(INT(G$169:G$174))&gt;=RANK(I172,I$169:I$174)+COUNTIF(I$169:I172,I172)-1,1,0)</f>
        <v>57</v>
      </c>
      <c r="K172" t="str">
        <f>_xlfn.XLOOKUP(B172,BugList!A:A,BugList!H:H)</f>
        <v>*</v>
      </c>
      <c r="L172" t="str">
        <f>IF(K172 = "","",_xlfn.XLOOKUP(B172, BugList!A:A,BugList!B:B,""))</f>
        <v>Trichoptera</v>
      </c>
      <c r="M172">
        <f>_xlfn.XLOOKUP(D172,BugList!C:C,BugList!N:N)</f>
        <v>4</v>
      </c>
      <c r="N172">
        <f>_xlfn.XLOOKUP(B172,BugList!A:A,BugList!R:R)</f>
        <v>4</v>
      </c>
      <c r="Q172" t="b">
        <f>SUMPRODUCT(COUNTIF(_xlfn.XLOOKUP(B172,BugList!A:A,BugList!V:V), "*cn*"))&gt;0</f>
        <v>1</v>
      </c>
      <c r="S172" t="str">
        <f>_xlfn.XLOOKUP(B172,BugList!A:A,BugList!W:W)</f>
        <v/>
      </c>
      <c r="T172">
        <f t="shared" si="17"/>
        <v>228</v>
      </c>
      <c r="U172">
        <f t="shared" si="18"/>
        <v>228</v>
      </c>
    </row>
    <row r="173" spans="1:21">
      <c r="A173" t="s">
        <v>138</v>
      </c>
      <c r="B173">
        <v>1614</v>
      </c>
      <c r="D173" t="s">
        <v>92</v>
      </c>
      <c r="E173" t="s">
        <v>92</v>
      </c>
      <c r="F173">
        <v>2</v>
      </c>
      <c r="G173">
        <f t="shared" si="19"/>
        <v>1.6</v>
      </c>
      <c r="H173">
        <f t="shared" si="20"/>
        <v>1</v>
      </c>
      <c r="I173">
        <f t="shared" si="21"/>
        <v>0.60000000000000009</v>
      </c>
      <c r="J173" cm="1">
        <f t="array" ref="J173">INT(G173)+IF(100-SUM(INT(G$169:G$174))&gt;=RANK(I173,I$169:I$174)+COUNTIF(I$169:I173,I173)-1,1,0)</f>
        <v>1</v>
      </c>
      <c r="K173" t="str">
        <f>_xlfn.XLOOKUP(B173,BugList!A:A,BugList!H:H)</f>
        <v/>
      </c>
      <c r="L173" t="str">
        <f>IF(K173 = "","",_xlfn.XLOOKUP(B173, BugList!A:A,BugList!B:B,""))</f>
        <v/>
      </c>
      <c r="M173">
        <f>_xlfn.XLOOKUP(D173,BugList!C:C,BugList!N:N)</f>
        <v>8</v>
      </c>
      <c r="N173">
        <f>_xlfn.XLOOKUP(B173,BugList!A:A,BugList!R:R)</f>
        <v>8</v>
      </c>
      <c r="Q173" t="b">
        <f>SUMPRODUCT(COUNTIF(_xlfn.XLOOKUP(B173,BugList!A:A,BugList!V:V), "*cn*"))&gt;0</f>
        <v>0</v>
      </c>
      <c r="S173" t="str">
        <f>_xlfn.XLOOKUP(B173,BugList!A:A,BugList!W:W)</f>
        <v/>
      </c>
      <c r="T173">
        <f t="shared" si="17"/>
        <v>8</v>
      </c>
      <c r="U173">
        <f t="shared" si="18"/>
        <v>8</v>
      </c>
    </row>
    <row r="174" spans="1:21">
      <c r="A174" t="s">
        <v>138</v>
      </c>
      <c r="B174">
        <v>1629</v>
      </c>
      <c r="D174" t="s">
        <v>93</v>
      </c>
      <c r="E174" t="s">
        <v>93</v>
      </c>
      <c r="F174">
        <v>5</v>
      </c>
      <c r="G174">
        <f t="shared" si="19"/>
        <v>4</v>
      </c>
      <c r="H174">
        <f t="shared" si="20"/>
        <v>4</v>
      </c>
      <c r="I174">
        <f t="shared" si="21"/>
        <v>0</v>
      </c>
      <c r="J174" cm="1">
        <f t="array" ref="J174">INT(G174)+IF(100-SUM(INT(G$169:G$174))&gt;=RANK(I174,I$169:I$174)+COUNTIF(I$169:I174,I174)-1,1,0)</f>
        <v>4</v>
      </c>
      <c r="K174" t="str">
        <f>_xlfn.XLOOKUP(B174,BugList!A:A,BugList!H:H)</f>
        <v/>
      </c>
      <c r="L174" t="str">
        <f>IF(K174 = "","",_xlfn.XLOOKUP(B174, BugList!A:A,BugList!B:B,""))</f>
        <v/>
      </c>
      <c r="M174">
        <f>_xlfn.XLOOKUP(D174,BugList!C:C,BugList!N:N)</f>
        <v>8</v>
      </c>
      <c r="N174">
        <f>_xlfn.XLOOKUP(B174,BugList!A:A,BugList!R:R)</f>
        <v>8</v>
      </c>
      <c r="Q174" t="b">
        <f>SUMPRODUCT(COUNTIF(_xlfn.XLOOKUP(B174,BugList!A:A,BugList!V:V), "*cn*"))&gt;0</f>
        <v>0</v>
      </c>
      <c r="S174" t="str">
        <f>_xlfn.XLOOKUP(B174,BugList!A:A,BugList!W:W)</f>
        <v/>
      </c>
      <c r="T174">
        <f t="shared" si="17"/>
        <v>32</v>
      </c>
      <c r="U174">
        <f t="shared" si="18"/>
        <v>32</v>
      </c>
    </row>
    <row r="175" spans="1:21">
      <c r="A175" t="s">
        <v>139</v>
      </c>
      <c r="B175">
        <v>88</v>
      </c>
      <c r="D175" t="s">
        <v>85</v>
      </c>
      <c r="E175" t="s">
        <v>85</v>
      </c>
      <c r="F175">
        <v>40</v>
      </c>
      <c r="G175">
        <f t="shared" si="19"/>
        <v>32.786885245901637</v>
      </c>
      <c r="H175">
        <f t="shared" si="20"/>
        <v>32</v>
      </c>
      <c r="I175">
        <f t="shared" si="21"/>
        <v>0.78688524590163667</v>
      </c>
      <c r="J175" cm="1">
        <f t="array" ref="J175">INT(G175)+IF(100-SUM(INT(G$175:G$183))&gt;=RANK(I175,I$175:I$183)+COUNTIF(I$175:I175,I175)-1,1,0)</f>
        <v>33</v>
      </c>
      <c r="K175" t="str">
        <f>_xlfn.XLOOKUP(B175,BugList!A:A,BugList!H:H)</f>
        <v/>
      </c>
      <c r="L175" t="str">
        <f>IF(K175 = "","",_xlfn.XLOOKUP(B175, BugList!A:A,BugList!B:B,""))</f>
        <v/>
      </c>
      <c r="M175">
        <f>_xlfn.XLOOKUP(D175,BugList!C:C,BugList!N:N)</f>
        <v>4</v>
      </c>
      <c r="N175">
        <f>_xlfn.XLOOKUP(B175,BugList!A:A,BugList!R:R)</f>
        <v>4</v>
      </c>
      <c r="Q175" t="b">
        <f>SUMPRODUCT(COUNTIF(_xlfn.XLOOKUP(B175,BugList!A:A,BugList!V:V), "*cn*"))&gt;0</f>
        <v>0</v>
      </c>
      <c r="S175" t="str">
        <f>_xlfn.XLOOKUP(B175,BugList!A:A,BugList!W:W)</f>
        <v/>
      </c>
      <c r="T175">
        <f t="shared" si="17"/>
        <v>132</v>
      </c>
      <c r="U175">
        <f t="shared" si="18"/>
        <v>132</v>
      </c>
    </row>
    <row r="176" spans="1:21">
      <c r="A176" t="s">
        <v>139</v>
      </c>
      <c r="B176">
        <v>247</v>
      </c>
      <c r="D176" t="s">
        <v>87</v>
      </c>
      <c r="E176" t="s">
        <v>87</v>
      </c>
      <c r="F176">
        <v>16</v>
      </c>
      <c r="G176">
        <f t="shared" si="19"/>
        <v>13.114754098360656</v>
      </c>
      <c r="H176">
        <f t="shared" si="20"/>
        <v>13</v>
      </c>
      <c r="I176">
        <f t="shared" si="21"/>
        <v>0.11475409836065609</v>
      </c>
      <c r="J176" cm="1">
        <f t="array" ref="J176">INT(G176)+IF(100-SUM(INT(G$175:G$183))&gt;=RANK(I176,I$175:I$183)+COUNTIF(I$175:I176,I176)-1,1,0)</f>
        <v>13</v>
      </c>
      <c r="K176" t="str">
        <f>_xlfn.XLOOKUP(B176,BugList!A:A,BugList!H:H)</f>
        <v/>
      </c>
      <c r="L176" t="str">
        <f>IF(K176 = "","",_xlfn.XLOOKUP(B176, BugList!A:A,BugList!B:B,""))</f>
        <v/>
      </c>
      <c r="M176">
        <f>_xlfn.XLOOKUP(D176,BugList!C:C,BugList!N:N)</f>
        <v>4</v>
      </c>
      <c r="N176">
        <f>_xlfn.XLOOKUP(B176,BugList!A:A,BugList!R:R)</f>
        <v>4</v>
      </c>
      <c r="Q176" t="b">
        <f>SUMPRODUCT(COUNTIF(_xlfn.XLOOKUP(B176,BugList!A:A,BugList!V:V), "*cn*"))&gt;0</f>
        <v>0</v>
      </c>
      <c r="S176" t="str">
        <f>_xlfn.XLOOKUP(B176,BugList!A:A,BugList!W:W)</f>
        <v/>
      </c>
      <c r="T176">
        <f t="shared" si="17"/>
        <v>52</v>
      </c>
      <c r="U176">
        <f t="shared" si="18"/>
        <v>52</v>
      </c>
    </row>
    <row r="177" spans="1:21">
      <c r="A177" t="s">
        <v>139</v>
      </c>
      <c r="B177">
        <v>794</v>
      </c>
      <c r="D177" t="s">
        <v>89</v>
      </c>
      <c r="E177" t="s">
        <v>89</v>
      </c>
      <c r="F177">
        <v>7</v>
      </c>
      <c r="G177">
        <f t="shared" si="19"/>
        <v>5.7377049180327866</v>
      </c>
      <c r="H177">
        <f t="shared" si="20"/>
        <v>5</v>
      </c>
      <c r="I177">
        <f t="shared" si="21"/>
        <v>0.73770491803278659</v>
      </c>
      <c r="J177" cm="1">
        <f t="array" ref="J177">INT(G177)+IF(100-SUM(INT(G$175:G$183))&gt;=RANK(I177,I$175:I$183)+COUNTIF(I$175:I177,I177)-1,1,0)</f>
        <v>6</v>
      </c>
      <c r="K177" t="str">
        <f>_xlfn.XLOOKUP(B177,BugList!A:A,BugList!H:H)</f>
        <v>*</v>
      </c>
      <c r="L177" t="str">
        <f>IF(K177 = "","",_xlfn.XLOOKUP(B177, BugList!A:A,BugList!B:B,""))</f>
        <v>Trichoptera</v>
      </c>
      <c r="M177">
        <f>_xlfn.XLOOKUP(D177,BugList!C:C,BugList!N:N)</f>
        <v>4</v>
      </c>
      <c r="N177">
        <f>_xlfn.XLOOKUP(B177,BugList!A:A,BugList!R:R)</f>
        <v>4</v>
      </c>
      <c r="Q177" t="b">
        <f>SUMPRODUCT(COUNTIF(_xlfn.XLOOKUP(B177,BugList!A:A,BugList!V:V), "*cn*"))&gt;0</f>
        <v>1</v>
      </c>
      <c r="S177" t="str">
        <f>_xlfn.XLOOKUP(B177,BugList!A:A,BugList!W:W)</f>
        <v/>
      </c>
      <c r="T177">
        <f t="shared" si="17"/>
        <v>24</v>
      </c>
      <c r="U177">
        <f t="shared" si="18"/>
        <v>24</v>
      </c>
    </row>
    <row r="178" spans="1:21">
      <c r="A178" t="s">
        <v>139</v>
      </c>
      <c r="B178">
        <v>935</v>
      </c>
      <c r="D178" t="s">
        <v>98</v>
      </c>
      <c r="E178" t="s">
        <v>98</v>
      </c>
      <c r="F178">
        <v>4</v>
      </c>
      <c r="G178">
        <f t="shared" si="19"/>
        <v>3.278688524590164</v>
      </c>
      <c r="H178">
        <f t="shared" si="20"/>
        <v>3</v>
      </c>
      <c r="I178">
        <f t="shared" si="21"/>
        <v>0.27868852459016402</v>
      </c>
      <c r="J178" cm="1">
        <f t="array" ref="J178">INT(G178)+IF(100-SUM(INT(G$175:G$183))&gt;=RANK(I178,I$175:I$183)+COUNTIF(I$175:I178,I178)-1,1,0)</f>
        <v>3</v>
      </c>
      <c r="K178" t="str">
        <f>_xlfn.XLOOKUP(B178,BugList!A:A,BugList!H:H)</f>
        <v/>
      </c>
      <c r="L178" t="str">
        <f>IF(K178 = "","",_xlfn.XLOOKUP(B178, BugList!A:A,BugList!B:B,""))</f>
        <v/>
      </c>
      <c r="M178">
        <f>_xlfn.XLOOKUP(D178,BugList!C:C,BugList!N:N)</f>
        <v>4</v>
      </c>
      <c r="N178">
        <f>_xlfn.XLOOKUP(B178,BugList!A:A,BugList!R:R)</f>
        <v>4</v>
      </c>
      <c r="Q178" t="b">
        <f>SUMPRODUCT(COUNTIF(_xlfn.XLOOKUP(B178,BugList!A:A,BugList!V:V), "*cn*"))&gt;0</f>
        <v>1</v>
      </c>
      <c r="S178" t="str">
        <f>_xlfn.XLOOKUP(B178,BugList!A:A,BugList!W:W)</f>
        <v/>
      </c>
      <c r="T178">
        <f t="shared" si="17"/>
        <v>12</v>
      </c>
      <c r="U178">
        <f t="shared" si="18"/>
        <v>12</v>
      </c>
    </row>
    <row r="179" spans="1:21">
      <c r="A179" t="s">
        <v>139</v>
      </c>
      <c r="B179">
        <v>1089</v>
      </c>
      <c r="D179" t="s">
        <v>126</v>
      </c>
      <c r="E179" t="s">
        <v>127</v>
      </c>
      <c r="F179">
        <v>48</v>
      </c>
      <c r="G179">
        <f t="shared" si="19"/>
        <v>39.344262295081968</v>
      </c>
      <c r="H179">
        <f t="shared" si="20"/>
        <v>39</v>
      </c>
      <c r="I179">
        <f t="shared" si="21"/>
        <v>0.34426229508196826</v>
      </c>
      <c r="J179" cm="1">
        <f t="array" ref="J179">INT(G179)+IF(100-SUM(INT(G$175:G$183))&gt;=RANK(I179,I$175:I$183)+COUNTIF(I$175:I179,I179)-1,1,0)</f>
        <v>39</v>
      </c>
      <c r="K179" t="str">
        <f>_xlfn.XLOOKUP(B179,BugList!A:A,BugList!H:H)</f>
        <v/>
      </c>
      <c r="L179" t="str">
        <f>IF(K179 = "","",_xlfn.XLOOKUP(B179, BugList!A:A,BugList!B:B,""))</f>
        <v/>
      </c>
      <c r="M179">
        <f>_xlfn.XLOOKUP(D179,BugList!C:C,BugList!N:N)</f>
        <v>8</v>
      </c>
      <c r="N179">
        <f>_xlfn.XLOOKUP(B179,BugList!A:A,BugList!R:R)</f>
        <v>10</v>
      </c>
      <c r="Q179" t="b">
        <f>SUMPRODUCT(COUNTIF(_xlfn.XLOOKUP(B179,BugList!A:A,BugList!V:V), "*cn*"))&gt;0</f>
        <v>0</v>
      </c>
      <c r="S179" t="str">
        <f>_xlfn.XLOOKUP(B179,BugList!A:A,BugList!W:W)</f>
        <v/>
      </c>
      <c r="T179">
        <f t="shared" si="17"/>
        <v>312</v>
      </c>
      <c r="U179">
        <f t="shared" si="18"/>
        <v>390</v>
      </c>
    </row>
    <row r="180" spans="1:21">
      <c r="A180" t="s">
        <v>139</v>
      </c>
      <c r="B180">
        <v>1555</v>
      </c>
      <c r="D180" t="s">
        <v>120</v>
      </c>
      <c r="E180" t="s">
        <v>120</v>
      </c>
      <c r="F180">
        <v>2</v>
      </c>
      <c r="G180">
        <f t="shared" si="19"/>
        <v>1.639344262295082</v>
      </c>
      <c r="H180">
        <f t="shared" si="20"/>
        <v>1</v>
      </c>
      <c r="I180">
        <f t="shared" si="21"/>
        <v>0.63934426229508201</v>
      </c>
      <c r="J180" cm="1">
        <f t="array" ref="J180">INT(G180)+IF(100-SUM(INT(G$175:G$183))&gt;=RANK(I180,I$175:I$183)+COUNTIF(I$175:I180,I180)-1,1,0)</f>
        <v>2</v>
      </c>
      <c r="K180" t="str">
        <f>_xlfn.XLOOKUP(B180,BugList!A:A,BugList!H:H)</f>
        <v/>
      </c>
      <c r="L180" t="str">
        <f>IF(K180 = "","",_xlfn.XLOOKUP(B180, BugList!A:A,BugList!B:B,""))</f>
        <v/>
      </c>
      <c r="M180">
        <f>_xlfn.XLOOKUP(D180,BugList!C:C,BugList!N:N)</f>
        <v>8</v>
      </c>
      <c r="N180">
        <f>_xlfn.XLOOKUP(B180,BugList!A:A,BugList!R:R)</f>
        <v>8</v>
      </c>
      <c r="Q180" t="b">
        <f>SUMPRODUCT(COUNTIF(_xlfn.XLOOKUP(B180,BugList!A:A,BugList!V:V), "*cn*"))&gt;0</f>
        <v>0</v>
      </c>
      <c r="S180" t="str">
        <f>_xlfn.XLOOKUP(B180,BugList!A:A,BugList!W:W)</f>
        <v/>
      </c>
      <c r="T180">
        <f t="shared" si="17"/>
        <v>16</v>
      </c>
      <c r="U180">
        <f t="shared" si="18"/>
        <v>16</v>
      </c>
    </row>
    <row r="181" spans="1:21">
      <c r="A181" t="s">
        <v>139</v>
      </c>
      <c r="B181">
        <v>1582</v>
      </c>
      <c r="D181" t="s">
        <v>121</v>
      </c>
      <c r="E181" t="s">
        <v>121</v>
      </c>
      <c r="F181">
        <v>1</v>
      </c>
      <c r="G181">
        <f t="shared" si="19"/>
        <v>0.81967213114754101</v>
      </c>
      <c r="H181">
        <f t="shared" si="20"/>
        <v>0</v>
      </c>
      <c r="I181">
        <f t="shared" si="21"/>
        <v>0.81967213114754101</v>
      </c>
      <c r="J181" cm="1">
        <f t="array" ref="J181">INT(G181)+IF(100-SUM(INT(G$175:G$183))&gt;=RANK(I181,I$175:I$183)+COUNTIF(I$175:I181,I181)-1,1,0)</f>
        <v>1</v>
      </c>
      <c r="K181" t="str">
        <f>_xlfn.XLOOKUP(B181,BugList!A:A,BugList!H:H)</f>
        <v/>
      </c>
      <c r="L181" t="str">
        <f>IF(K181 = "","",_xlfn.XLOOKUP(B181, BugList!A:A,BugList!B:B,""))</f>
        <v/>
      </c>
      <c r="M181">
        <f>_xlfn.XLOOKUP(D181,BugList!C:C,BugList!N:N)</f>
        <v>6</v>
      </c>
      <c r="N181">
        <f>_xlfn.XLOOKUP(B181,BugList!A:A,BugList!R:R)</f>
        <v>6</v>
      </c>
      <c r="Q181" t="b">
        <f>SUMPRODUCT(COUNTIF(_xlfn.XLOOKUP(B181,BugList!A:A,BugList!V:V), "*cn*"))&gt;0</f>
        <v>0</v>
      </c>
      <c r="S181" t="str">
        <f>_xlfn.XLOOKUP(B181,BugList!A:A,BugList!W:W)</f>
        <v/>
      </c>
      <c r="T181">
        <f t="shared" si="17"/>
        <v>6</v>
      </c>
      <c r="U181">
        <f t="shared" si="18"/>
        <v>6</v>
      </c>
    </row>
    <row r="182" spans="1:21">
      <c r="A182" t="s">
        <v>139</v>
      </c>
      <c r="B182">
        <v>1629</v>
      </c>
      <c r="D182" t="s">
        <v>93</v>
      </c>
      <c r="E182" t="s">
        <v>93</v>
      </c>
      <c r="F182">
        <v>1</v>
      </c>
      <c r="G182">
        <f t="shared" si="19"/>
        <v>0.81967213114754101</v>
      </c>
      <c r="H182">
        <f t="shared" si="20"/>
        <v>0</v>
      </c>
      <c r="I182">
        <f t="shared" si="21"/>
        <v>0.81967213114754101</v>
      </c>
      <c r="J182" cm="1">
        <f t="array" ref="J182">INT(G182)+IF(100-SUM(INT(G$175:G$183))&gt;=RANK(I182,I$175:I$183)+COUNTIF(I$175:I182,I182)-1,1,0)</f>
        <v>1</v>
      </c>
      <c r="K182" t="str">
        <f>_xlfn.XLOOKUP(B182,BugList!A:A,BugList!H:H)</f>
        <v/>
      </c>
      <c r="L182" t="str">
        <f>IF(K182 = "","",_xlfn.XLOOKUP(B182, BugList!A:A,BugList!B:B,""))</f>
        <v/>
      </c>
      <c r="M182">
        <f>_xlfn.XLOOKUP(D182,BugList!C:C,BugList!N:N)</f>
        <v>8</v>
      </c>
      <c r="N182">
        <f>_xlfn.XLOOKUP(B182,BugList!A:A,BugList!R:R)</f>
        <v>8</v>
      </c>
      <c r="Q182" t="b">
        <f>SUMPRODUCT(COUNTIF(_xlfn.XLOOKUP(B182,BugList!A:A,BugList!V:V), "*cn*"))&gt;0</f>
        <v>0</v>
      </c>
      <c r="S182" t="str">
        <f>_xlfn.XLOOKUP(B182,BugList!A:A,BugList!W:W)</f>
        <v/>
      </c>
      <c r="T182">
        <f t="shared" si="17"/>
        <v>8</v>
      </c>
      <c r="U182">
        <f t="shared" si="18"/>
        <v>8</v>
      </c>
    </row>
    <row r="183" spans="1:21">
      <c r="A183" t="s">
        <v>139</v>
      </c>
      <c r="B183">
        <v>1696</v>
      </c>
      <c r="D183" t="s">
        <v>94</v>
      </c>
      <c r="E183" t="s">
        <v>94</v>
      </c>
      <c r="F183">
        <v>3</v>
      </c>
      <c r="G183">
        <f t="shared" si="19"/>
        <v>2.459016393442623</v>
      </c>
      <c r="H183">
        <f t="shared" si="20"/>
        <v>2</v>
      </c>
      <c r="I183">
        <f t="shared" si="21"/>
        <v>0.45901639344262302</v>
      </c>
      <c r="J183" cm="1">
        <f t="array" ref="J183">INT(G183)+IF(100-SUM(INT(G$175:G$183))&gt;=RANK(I183,I$175:I$183)+COUNTIF(I$175:I183,I183)-1,1,0)</f>
        <v>2</v>
      </c>
      <c r="K183" t="str">
        <f>_xlfn.XLOOKUP(B183,BugList!A:A,BugList!H:H)</f>
        <v/>
      </c>
      <c r="L183" t="str">
        <f>IF(K183 = "","",_xlfn.XLOOKUP(B183, BugList!A:A,BugList!B:B,""))</f>
        <v/>
      </c>
      <c r="M183">
        <f>_xlfn.XLOOKUP(D183,BugList!C:C,BugList!N:N)</f>
        <v>8</v>
      </c>
      <c r="N183">
        <f>_xlfn.XLOOKUP(B183,BugList!A:A,BugList!R:R)</f>
        <v>8</v>
      </c>
      <c r="Q183" t="b">
        <f>SUMPRODUCT(COUNTIF(_xlfn.XLOOKUP(B183,BugList!A:A,BugList!V:V), "*cn*"))&gt;0</f>
        <v>0</v>
      </c>
      <c r="S183" t="str">
        <f>_xlfn.XLOOKUP(B183,BugList!A:A,BugList!W:W)</f>
        <v/>
      </c>
      <c r="T183">
        <f t="shared" si="17"/>
        <v>16</v>
      </c>
      <c r="U183">
        <f t="shared" si="18"/>
        <v>16</v>
      </c>
    </row>
    <row r="184" spans="1:21">
      <c r="A184" t="s">
        <v>140</v>
      </c>
      <c r="B184">
        <v>88</v>
      </c>
      <c r="D184" t="s">
        <v>85</v>
      </c>
      <c r="E184" t="s">
        <v>85</v>
      </c>
      <c r="F184">
        <v>153</v>
      </c>
      <c r="G184">
        <f t="shared" si="19"/>
        <v>82.702702702702709</v>
      </c>
      <c r="H184">
        <f t="shared" si="20"/>
        <v>82</v>
      </c>
      <c r="I184">
        <f t="shared" si="21"/>
        <v>0.70270270270270885</v>
      </c>
      <c r="J184" cm="1">
        <f t="array" ref="J184">INT(G184)+IF(100-SUM(INT(G$184:G$188))&gt;=RANK(I184,I$184:I$188)+COUNTIF(I$184:I184,I184)-1,1,0)</f>
        <v>83</v>
      </c>
      <c r="K184" t="str">
        <f>_xlfn.XLOOKUP(B184,BugList!A:A,BugList!H:H)</f>
        <v/>
      </c>
      <c r="L184" t="str">
        <f>IF(K184 = "","",_xlfn.XLOOKUP(B184, BugList!A:A,BugList!B:B,""))</f>
        <v/>
      </c>
      <c r="M184">
        <f>_xlfn.XLOOKUP(D184,BugList!C:C,BugList!N:N)</f>
        <v>4</v>
      </c>
      <c r="N184">
        <f>_xlfn.XLOOKUP(B184,BugList!A:A,BugList!R:R)</f>
        <v>4</v>
      </c>
      <c r="Q184" t="b">
        <f>SUMPRODUCT(COUNTIF(_xlfn.XLOOKUP(B184,BugList!A:A,BugList!V:V), "*cn*"))&gt;0</f>
        <v>0</v>
      </c>
      <c r="S184" t="str">
        <f>_xlfn.XLOOKUP(B184,BugList!A:A,BugList!W:W)</f>
        <v/>
      </c>
      <c r="T184">
        <f t="shared" si="17"/>
        <v>332</v>
      </c>
      <c r="U184">
        <f t="shared" si="18"/>
        <v>332</v>
      </c>
    </row>
    <row r="185" spans="1:21">
      <c r="A185" t="s">
        <v>140</v>
      </c>
      <c r="B185">
        <v>247</v>
      </c>
      <c r="D185" t="s">
        <v>87</v>
      </c>
      <c r="E185" t="s">
        <v>87</v>
      </c>
      <c r="F185">
        <v>1</v>
      </c>
      <c r="G185">
        <f t="shared" si="19"/>
        <v>0.54054054054054057</v>
      </c>
      <c r="H185">
        <f t="shared" si="20"/>
        <v>0</v>
      </c>
      <c r="I185">
        <f t="shared" si="21"/>
        <v>0.54054054054054057</v>
      </c>
      <c r="J185" cm="1">
        <f t="array" ref="J185">INT(G185)+IF(100-SUM(INT(G$184:G$188))&gt;=RANK(I185,I$184:I$188)+COUNTIF(I$184:I185,I185)-1,1,0)</f>
        <v>0</v>
      </c>
      <c r="K185" t="str">
        <f>_xlfn.XLOOKUP(B185,BugList!A:A,BugList!H:H)</f>
        <v/>
      </c>
      <c r="L185" t="str">
        <f>IF(K185 = "","",_xlfn.XLOOKUP(B185, BugList!A:A,BugList!B:B,""))</f>
        <v/>
      </c>
      <c r="M185">
        <f>_xlfn.XLOOKUP(D185,BugList!C:C,BugList!N:N)</f>
        <v>4</v>
      </c>
      <c r="N185">
        <f>_xlfn.XLOOKUP(B185,BugList!A:A,BugList!R:R)</f>
        <v>4</v>
      </c>
      <c r="Q185" t="b">
        <f>SUMPRODUCT(COUNTIF(_xlfn.XLOOKUP(B185,BugList!A:A,BugList!V:V), "*cn*"))&gt;0</f>
        <v>0</v>
      </c>
      <c r="S185" t="str">
        <f>_xlfn.XLOOKUP(B185,BugList!A:A,BugList!W:W)</f>
        <v/>
      </c>
      <c r="T185">
        <f t="shared" si="17"/>
        <v>0</v>
      </c>
      <c r="U185">
        <f t="shared" si="18"/>
        <v>0</v>
      </c>
    </row>
    <row r="186" spans="1:21">
      <c r="A186" t="s">
        <v>140</v>
      </c>
      <c r="B186">
        <v>372</v>
      </c>
      <c r="D186" t="s">
        <v>88</v>
      </c>
      <c r="E186" t="s">
        <v>88</v>
      </c>
      <c r="F186">
        <v>1</v>
      </c>
      <c r="G186">
        <f t="shared" si="19"/>
        <v>0.54054054054054057</v>
      </c>
      <c r="H186">
        <f t="shared" si="20"/>
        <v>0</v>
      </c>
      <c r="I186">
        <f t="shared" si="21"/>
        <v>0.54054054054054057</v>
      </c>
      <c r="J186" cm="1">
        <f t="array" ref="J186">INT(G186)+IF(100-SUM(INT(G$184:G$188))&gt;=RANK(I186,I$184:I$188)+COUNTIF(I$184:I186,I186)-1,1,0)</f>
        <v>0</v>
      </c>
      <c r="K186" t="str">
        <f>_xlfn.XLOOKUP(B186,BugList!A:A,BugList!H:H)</f>
        <v/>
      </c>
      <c r="L186" t="str">
        <f>IF(K186 = "","",_xlfn.XLOOKUP(B186, BugList!A:A,BugList!B:B,""))</f>
        <v/>
      </c>
      <c r="M186">
        <f>_xlfn.XLOOKUP(D186,BugList!C:C,BugList!N:N)</f>
        <v>8</v>
      </c>
      <c r="N186">
        <f>_xlfn.XLOOKUP(B186,BugList!A:A,BugList!R:R)</f>
        <v>8</v>
      </c>
      <c r="Q186" t="b">
        <f>SUMPRODUCT(COUNTIF(_xlfn.XLOOKUP(B186,BugList!A:A,BugList!V:V), "*cn*"))&gt;0</f>
        <v>0</v>
      </c>
      <c r="S186" t="str">
        <f>_xlfn.XLOOKUP(B186,BugList!A:A,BugList!W:W)</f>
        <v/>
      </c>
      <c r="T186">
        <f t="shared" si="17"/>
        <v>0</v>
      </c>
      <c r="U186">
        <f t="shared" si="18"/>
        <v>0</v>
      </c>
    </row>
    <row r="187" spans="1:21">
      <c r="A187" t="s">
        <v>140</v>
      </c>
      <c r="B187">
        <v>794</v>
      </c>
      <c r="D187" t="s">
        <v>89</v>
      </c>
      <c r="E187" t="s">
        <v>89</v>
      </c>
      <c r="F187">
        <v>14</v>
      </c>
      <c r="G187">
        <f t="shared" si="19"/>
        <v>7.5675675675675684</v>
      </c>
      <c r="H187">
        <f t="shared" si="20"/>
        <v>7</v>
      </c>
      <c r="I187">
        <f t="shared" si="21"/>
        <v>0.56756756756756843</v>
      </c>
      <c r="J187" cm="1">
        <f t="array" ref="J187">INT(G187)+IF(100-SUM(INT(G$184:G$188))&gt;=RANK(I187,I$184:I$188)+COUNTIF(I$184:I187,I187)-1,1,0)</f>
        <v>8</v>
      </c>
      <c r="K187" t="str">
        <f>_xlfn.XLOOKUP(B187,BugList!A:A,BugList!H:H)</f>
        <v>*</v>
      </c>
      <c r="L187" t="str">
        <f>IF(K187 = "","",_xlfn.XLOOKUP(B187, BugList!A:A,BugList!B:B,""))</f>
        <v>Trichoptera</v>
      </c>
      <c r="M187">
        <f>_xlfn.XLOOKUP(D187,BugList!C:C,BugList!N:N)</f>
        <v>4</v>
      </c>
      <c r="N187">
        <f>_xlfn.XLOOKUP(B187,BugList!A:A,BugList!R:R)</f>
        <v>4</v>
      </c>
      <c r="Q187" t="b">
        <f>SUMPRODUCT(COUNTIF(_xlfn.XLOOKUP(B187,BugList!A:A,BugList!V:V), "*cn*"))&gt;0</f>
        <v>1</v>
      </c>
      <c r="S187" t="str">
        <f>_xlfn.XLOOKUP(B187,BugList!A:A,BugList!W:W)</f>
        <v/>
      </c>
      <c r="T187">
        <f t="shared" si="17"/>
        <v>32</v>
      </c>
      <c r="U187">
        <f t="shared" si="18"/>
        <v>32</v>
      </c>
    </row>
    <row r="188" spans="1:21">
      <c r="A188" t="s">
        <v>140</v>
      </c>
      <c r="B188">
        <v>1614</v>
      </c>
      <c r="D188" t="s">
        <v>92</v>
      </c>
      <c r="E188" t="s">
        <v>92</v>
      </c>
      <c r="F188">
        <v>16</v>
      </c>
      <c r="G188">
        <f t="shared" si="19"/>
        <v>8.6486486486486491</v>
      </c>
      <c r="H188">
        <f t="shared" si="20"/>
        <v>8</v>
      </c>
      <c r="I188">
        <f t="shared" si="21"/>
        <v>0.64864864864864913</v>
      </c>
      <c r="J188" cm="1">
        <f t="array" ref="J188">INT(G188)+IF(100-SUM(INT(G$184:G$188))&gt;=RANK(I188,I$184:I$188)+COUNTIF(I$184:I188,I188)-1,1,0)</f>
        <v>9</v>
      </c>
      <c r="K188" t="str">
        <f>_xlfn.XLOOKUP(B188,BugList!A:A,BugList!H:H)</f>
        <v/>
      </c>
      <c r="L188" t="str">
        <f>IF(K188 = "","",_xlfn.XLOOKUP(B188, BugList!A:A,BugList!B:B,""))</f>
        <v/>
      </c>
      <c r="M188">
        <f>_xlfn.XLOOKUP(D188,BugList!C:C,BugList!N:N)</f>
        <v>8</v>
      </c>
      <c r="N188">
        <f>_xlfn.XLOOKUP(B188,BugList!A:A,BugList!R:R)</f>
        <v>8</v>
      </c>
      <c r="Q188" t="b">
        <f>SUMPRODUCT(COUNTIF(_xlfn.XLOOKUP(B188,BugList!A:A,BugList!V:V), "*cn*"))&gt;0</f>
        <v>0</v>
      </c>
      <c r="S188" t="str">
        <f>_xlfn.XLOOKUP(B188,BugList!A:A,BugList!W:W)</f>
        <v/>
      </c>
      <c r="T188">
        <f t="shared" si="17"/>
        <v>72</v>
      </c>
      <c r="U188">
        <f t="shared" si="18"/>
        <v>72</v>
      </c>
    </row>
    <row r="189" spans="1:21">
      <c r="A189" t="s">
        <v>141</v>
      </c>
      <c r="B189">
        <v>63</v>
      </c>
      <c r="D189" t="s">
        <v>84</v>
      </c>
      <c r="E189" t="s">
        <v>84</v>
      </c>
      <c r="F189">
        <v>5</v>
      </c>
      <c r="G189">
        <f t="shared" si="19"/>
        <v>4.3478260869565215</v>
      </c>
      <c r="H189">
        <f t="shared" si="20"/>
        <v>4</v>
      </c>
      <c r="I189">
        <f t="shared" si="21"/>
        <v>0.34782608695652151</v>
      </c>
      <c r="J189" cm="1">
        <f t="array" ref="J189">INT(G189)+IF(100-SUM(INT(G$189:G$197))&gt;=RANK(I189,I$189:I$197)+COUNTIF(I$189:I189,I189)-1,1,0)</f>
        <v>4</v>
      </c>
      <c r="K189" t="str">
        <f>_xlfn.XLOOKUP(B189,BugList!A:A,BugList!H:H)</f>
        <v/>
      </c>
      <c r="L189" t="str">
        <f>IF(K189 = "","",_xlfn.XLOOKUP(B189, BugList!A:A,BugList!B:B,""))</f>
        <v/>
      </c>
      <c r="M189">
        <f>_xlfn.XLOOKUP(D189,BugList!C:C,BugList!N:N)</f>
        <v>8</v>
      </c>
      <c r="N189">
        <f>_xlfn.XLOOKUP(B189,BugList!A:A,BugList!R:R)</f>
        <v>8</v>
      </c>
      <c r="Q189" t="b">
        <f>SUMPRODUCT(COUNTIF(_xlfn.XLOOKUP(B189,BugList!A:A,BugList!V:V), "*cn*"))&gt;0</f>
        <v>0</v>
      </c>
      <c r="S189" t="str">
        <f>_xlfn.XLOOKUP(B189,BugList!A:A,BugList!W:W)</f>
        <v/>
      </c>
      <c r="T189">
        <f t="shared" si="17"/>
        <v>32</v>
      </c>
      <c r="U189">
        <f t="shared" si="18"/>
        <v>32</v>
      </c>
    </row>
    <row r="190" spans="1:21">
      <c r="A190" t="s">
        <v>141</v>
      </c>
      <c r="B190">
        <v>88</v>
      </c>
      <c r="D190" t="s">
        <v>85</v>
      </c>
      <c r="E190" t="s">
        <v>85</v>
      </c>
      <c r="F190">
        <v>58</v>
      </c>
      <c r="G190">
        <f t="shared" si="19"/>
        <v>50.434782608695649</v>
      </c>
      <c r="H190">
        <f t="shared" si="20"/>
        <v>50</v>
      </c>
      <c r="I190">
        <f t="shared" si="21"/>
        <v>0.43478260869564878</v>
      </c>
      <c r="J190" cm="1">
        <f t="array" ref="J190">INT(G190)+IF(100-SUM(INT(G$189:G$197))&gt;=RANK(I190,I$189:I$197)+COUNTIF(I$189:I190,I190)-1,1,0)</f>
        <v>51</v>
      </c>
      <c r="K190" t="str">
        <f>_xlfn.XLOOKUP(B190,BugList!A:A,BugList!H:H)</f>
        <v/>
      </c>
      <c r="L190" t="str">
        <f>IF(K190 = "","",_xlfn.XLOOKUP(B190, BugList!A:A,BugList!B:B,""))</f>
        <v/>
      </c>
      <c r="M190">
        <f>_xlfn.XLOOKUP(D190,BugList!C:C,BugList!N:N)</f>
        <v>4</v>
      </c>
      <c r="N190">
        <f>_xlfn.XLOOKUP(B190,BugList!A:A,BugList!R:R)</f>
        <v>4</v>
      </c>
      <c r="Q190" t="b">
        <f>SUMPRODUCT(COUNTIF(_xlfn.XLOOKUP(B190,BugList!A:A,BugList!V:V), "*cn*"))&gt;0</f>
        <v>0</v>
      </c>
      <c r="S190" t="str">
        <f>_xlfn.XLOOKUP(B190,BugList!A:A,BugList!W:W)</f>
        <v/>
      </c>
      <c r="T190">
        <f t="shared" si="17"/>
        <v>204</v>
      </c>
      <c r="U190">
        <f t="shared" si="18"/>
        <v>204</v>
      </c>
    </row>
    <row r="191" spans="1:21">
      <c r="A191" t="s">
        <v>141</v>
      </c>
      <c r="B191">
        <v>372</v>
      </c>
      <c r="D191" t="s">
        <v>88</v>
      </c>
      <c r="E191" t="s">
        <v>88</v>
      </c>
      <c r="F191">
        <v>5</v>
      </c>
      <c r="G191">
        <f t="shared" si="19"/>
        <v>4.3478260869565215</v>
      </c>
      <c r="H191">
        <f t="shared" si="20"/>
        <v>4</v>
      </c>
      <c r="I191">
        <f t="shared" si="21"/>
        <v>0.34782608695652151</v>
      </c>
      <c r="J191" cm="1">
        <f t="array" ref="J191">INT(G191)+IF(100-SUM(INT(G$189:G$197))&gt;=RANK(I191,I$189:I$197)+COUNTIF(I$189:I191,I191)-1,1,0)</f>
        <v>4</v>
      </c>
      <c r="K191" t="str">
        <f>_xlfn.XLOOKUP(B191,BugList!A:A,BugList!H:H)</f>
        <v/>
      </c>
      <c r="L191" t="str">
        <f>IF(K191 = "","",_xlfn.XLOOKUP(B191, BugList!A:A,BugList!B:B,""))</f>
        <v/>
      </c>
      <c r="M191">
        <f>_xlfn.XLOOKUP(D191,BugList!C:C,BugList!N:N)</f>
        <v>8</v>
      </c>
      <c r="N191">
        <f>_xlfn.XLOOKUP(B191,BugList!A:A,BugList!R:R)</f>
        <v>8</v>
      </c>
      <c r="Q191" t="b">
        <f>SUMPRODUCT(COUNTIF(_xlfn.XLOOKUP(B191,BugList!A:A,BugList!V:V), "*cn*"))&gt;0</f>
        <v>0</v>
      </c>
      <c r="S191" t="str">
        <f>_xlfn.XLOOKUP(B191,BugList!A:A,BugList!W:W)</f>
        <v/>
      </c>
      <c r="T191">
        <f t="shared" si="17"/>
        <v>32</v>
      </c>
      <c r="U191">
        <f t="shared" si="18"/>
        <v>32</v>
      </c>
    </row>
    <row r="192" spans="1:21">
      <c r="A192" t="s">
        <v>141</v>
      </c>
      <c r="B192">
        <v>794</v>
      </c>
      <c r="D192" t="s">
        <v>89</v>
      </c>
      <c r="E192" t="s">
        <v>89</v>
      </c>
      <c r="F192">
        <v>28</v>
      </c>
      <c r="G192">
        <f t="shared" si="19"/>
        <v>24.347826086956523</v>
      </c>
      <c r="H192">
        <f t="shared" si="20"/>
        <v>24</v>
      </c>
      <c r="I192">
        <f t="shared" si="21"/>
        <v>0.34782608695652328</v>
      </c>
      <c r="J192" cm="1">
        <f t="array" ref="J192">INT(G192)+IF(100-SUM(INT(G$189:G$197))&gt;=RANK(I192,I$189:I$197)+COUNTIF(I$189:I192,I192)-1,1,0)</f>
        <v>24</v>
      </c>
      <c r="K192" t="str">
        <f>_xlfn.XLOOKUP(B192,BugList!A:A,BugList!H:H)</f>
        <v>*</v>
      </c>
      <c r="L192" t="str">
        <f>IF(K192 = "","",_xlfn.XLOOKUP(B192, BugList!A:A,BugList!B:B,""))</f>
        <v>Trichoptera</v>
      </c>
      <c r="M192">
        <f>_xlfn.XLOOKUP(D192,BugList!C:C,BugList!N:N)</f>
        <v>4</v>
      </c>
      <c r="N192">
        <f>_xlfn.XLOOKUP(B192,BugList!A:A,BugList!R:R)</f>
        <v>4</v>
      </c>
      <c r="Q192" t="b">
        <f>SUMPRODUCT(COUNTIF(_xlfn.XLOOKUP(B192,BugList!A:A,BugList!V:V), "*cn*"))&gt;0</f>
        <v>1</v>
      </c>
      <c r="S192" t="str">
        <f>_xlfn.XLOOKUP(B192,BugList!A:A,BugList!W:W)</f>
        <v/>
      </c>
      <c r="T192">
        <f t="shared" si="17"/>
        <v>96</v>
      </c>
      <c r="U192">
        <f t="shared" si="18"/>
        <v>96</v>
      </c>
    </row>
    <row r="193" spans="1:21">
      <c r="A193" t="s">
        <v>141</v>
      </c>
      <c r="B193">
        <v>1089</v>
      </c>
      <c r="D193" t="s">
        <v>126</v>
      </c>
      <c r="E193" t="s">
        <v>127</v>
      </c>
      <c r="F193">
        <v>1</v>
      </c>
      <c r="G193">
        <f t="shared" si="19"/>
        <v>0.86956521739130432</v>
      </c>
      <c r="H193">
        <f t="shared" si="20"/>
        <v>0</v>
      </c>
      <c r="I193">
        <f t="shared" si="21"/>
        <v>0.86956521739130432</v>
      </c>
      <c r="J193" cm="1">
        <f t="array" ref="J193">INT(G193)+IF(100-SUM(INT(G$189:G$197))&gt;=RANK(I193,I$189:I$197)+COUNTIF(I$189:I193,I193)-1,1,0)</f>
        <v>1</v>
      </c>
      <c r="K193" t="str">
        <f>_xlfn.XLOOKUP(B193,BugList!A:A,BugList!H:H)</f>
        <v/>
      </c>
      <c r="L193" t="str">
        <f>IF(K193 = "","",_xlfn.XLOOKUP(B193, BugList!A:A,BugList!B:B,""))</f>
        <v/>
      </c>
      <c r="M193">
        <f>_xlfn.XLOOKUP(D193,BugList!C:C,BugList!N:N)</f>
        <v>8</v>
      </c>
      <c r="N193">
        <f>_xlfn.XLOOKUP(B193,BugList!A:A,BugList!R:R)</f>
        <v>10</v>
      </c>
      <c r="Q193" t="b">
        <f>SUMPRODUCT(COUNTIF(_xlfn.XLOOKUP(B193,BugList!A:A,BugList!V:V), "*cn*"))&gt;0</f>
        <v>0</v>
      </c>
      <c r="S193" t="str">
        <f>_xlfn.XLOOKUP(B193,BugList!A:A,BugList!W:W)</f>
        <v/>
      </c>
      <c r="T193">
        <f t="shared" si="17"/>
        <v>8</v>
      </c>
      <c r="U193">
        <f t="shared" si="18"/>
        <v>10</v>
      </c>
    </row>
    <row r="194" spans="1:21">
      <c r="A194" t="s">
        <v>141</v>
      </c>
      <c r="B194">
        <v>1497</v>
      </c>
      <c r="D194" t="s">
        <v>108</v>
      </c>
      <c r="E194" t="s">
        <v>108</v>
      </c>
      <c r="F194">
        <v>2</v>
      </c>
      <c r="G194">
        <f t="shared" si="19"/>
        <v>1.7391304347826086</v>
      </c>
      <c r="H194">
        <f t="shared" si="20"/>
        <v>1</v>
      </c>
      <c r="I194">
        <f t="shared" si="21"/>
        <v>0.73913043478260865</v>
      </c>
      <c r="J194" cm="1">
        <f t="array" ref="J194">INT(G194)+IF(100-SUM(INT(G$189:G$197))&gt;=RANK(I194,I$189:I$197)+COUNTIF(I$189:I194,I194)-1,1,0)</f>
        <v>2</v>
      </c>
      <c r="K194" t="str">
        <f>_xlfn.XLOOKUP(B194,BugList!A:A,BugList!H:H)</f>
        <v/>
      </c>
      <c r="L194" t="str">
        <f>IF(K194 = "","",_xlfn.XLOOKUP(B194, BugList!A:A,BugList!B:B,""))</f>
        <v/>
      </c>
      <c r="M194">
        <f>_xlfn.XLOOKUP(D194,BugList!C:C,BugList!N:N)</f>
        <v>3</v>
      </c>
      <c r="N194">
        <f>_xlfn.XLOOKUP(B194,BugList!A:A,BugList!R:R)</f>
        <v>3</v>
      </c>
      <c r="Q194" t="b">
        <f>SUMPRODUCT(COUNTIF(_xlfn.XLOOKUP(B194,BugList!A:A,BugList!V:V), "*cn*"))&gt;0</f>
        <v>0</v>
      </c>
      <c r="S194" t="str">
        <f>_xlfn.XLOOKUP(B194,BugList!A:A,BugList!W:W)</f>
        <v/>
      </c>
      <c r="T194">
        <f t="shared" ref="T194:T257" si="22">J194*M194</f>
        <v>6</v>
      </c>
      <c r="U194">
        <f t="shared" ref="U194:U257" si="23">J194*N194</f>
        <v>6</v>
      </c>
    </row>
    <row r="195" spans="1:21">
      <c r="A195" t="s">
        <v>141</v>
      </c>
      <c r="B195">
        <v>1555</v>
      </c>
      <c r="D195" t="s">
        <v>120</v>
      </c>
      <c r="E195" t="s">
        <v>120</v>
      </c>
      <c r="F195">
        <v>1</v>
      </c>
      <c r="G195">
        <f t="shared" si="19"/>
        <v>0.86956521739130432</v>
      </c>
      <c r="H195">
        <f t="shared" si="20"/>
        <v>0</v>
      </c>
      <c r="I195">
        <f t="shared" si="21"/>
        <v>0.86956521739130432</v>
      </c>
      <c r="J195" cm="1">
        <f t="array" ref="J195">INT(G195)+IF(100-SUM(INT(G$189:G$197))&gt;=RANK(I195,I$189:I$197)+COUNTIF(I$189:I195,I195)-1,1,0)</f>
        <v>1</v>
      </c>
      <c r="K195" t="str">
        <f>_xlfn.XLOOKUP(B195,BugList!A:A,BugList!H:H)</f>
        <v/>
      </c>
      <c r="L195" t="str">
        <f>IF(K195 = "","",_xlfn.XLOOKUP(B195, BugList!A:A,BugList!B:B,""))</f>
        <v/>
      </c>
      <c r="M195">
        <f>_xlfn.XLOOKUP(D195,BugList!C:C,BugList!N:N)</f>
        <v>8</v>
      </c>
      <c r="N195">
        <f>_xlfn.XLOOKUP(B195,BugList!A:A,BugList!R:R)</f>
        <v>8</v>
      </c>
      <c r="Q195" t="b">
        <f>SUMPRODUCT(COUNTIF(_xlfn.XLOOKUP(B195,BugList!A:A,BugList!V:V), "*cn*"))&gt;0</f>
        <v>0</v>
      </c>
      <c r="S195" t="str">
        <f>_xlfn.XLOOKUP(B195,BugList!A:A,BugList!W:W)</f>
        <v/>
      </c>
      <c r="T195">
        <f t="shared" si="22"/>
        <v>8</v>
      </c>
      <c r="U195">
        <f t="shared" si="23"/>
        <v>8</v>
      </c>
    </row>
    <row r="196" spans="1:21">
      <c r="A196" t="s">
        <v>141</v>
      </c>
      <c r="B196">
        <v>1614</v>
      </c>
      <c r="D196" t="s">
        <v>92</v>
      </c>
      <c r="E196" t="s">
        <v>92</v>
      </c>
      <c r="F196">
        <v>13</v>
      </c>
      <c r="G196">
        <f t="shared" si="19"/>
        <v>11.304347826086957</v>
      </c>
      <c r="H196">
        <f t="shared" si="20"/>
        <v>11</v>
      </c>
      <c r="I196">
        <f t="shared" si="21"/>
        <v>0.30434782608695699</v>
      </c>
      <c r="J196" cm="1">
        <f t="array" ref="J196">INT(G196)+IF(100-SUM(INT(G$189:G$197))&gt;=RANK(I196,I$189:I$197)+COUNTIF(I$189:I196,I196)-1,1,0)</f>
        <v>11</v>
      </c>
      <c r="K196" t="str">
        <f>_xlfn.XLOOKUP(B196,BugList!A:A,BugList!H:H)</f>
        <v/>
      </c>
      <c r="L196" t="str">
        <f>IF(K196 = "","",_xlfn.XLOOKUP(B196, BugList!A:A,BugList!B:B,""))</f>
        <v/>
      </c>
      <c r="M196">
        <f>_xlfn.XLOOKUP(D196,BugList!C:C,BugList!N:N)</f>
        <v>8</v>
      </c>
      <c r="N196">
        <f>_xlfn.XLOOKUP(B196,BugList!A:A,BugList!R:R)</f>
        <v>8</v>
      </c>
      <c r="Q196" t="b">
        <f>SUMPRODUCT(COUNTIF(_xlfn.XLOOKUP(B196,BugList!A:A,BugList!V:V), "*cn*"))&gt;0</f>
        <v>0</v>
      </c>
      <c r="S196" t="str">
        <f>_xlfn.XLOOKUP(B196,BugList!A:A,BugList!W:W)</f>
        <v/>
      </c>
      <c r="T196">
        <f t="shared" si="22"/>
        <v>88</v>
      </c>
      <c r="U196">
        <f t="shared" si="23"/>
        <v>88</v>
      </c>
    </row>
    <row r="197" spans="1:21">
      <c r="A197" t="s">
        <v>141</v>
      </c>
      <c r="B197">
        <v>1696</v>
      </c>
      <c r="D197" t="s">
        <v>94</v>
      </c>
      <c r="E197" t="s">
        <v>94</v>
      </c>
      <c r="F197">
        <v>2</v>
      </c>
      <c r="G197">
        <f t="shared" si="19"/>
        <v>1.7391304347826086</v>
      </c>
      <c r="H197">
        <f t="shared" si="20"/>
        <v>1</v>
      </c>
      <c r="I197">
        <f t="shared" si="21"/>
        <v>0.73913043478260865</v>
      </c>
      <c r="J197" cm="1">
        <f t="array" ref="J197">INT(G197)+IF(100-SUM(INT(G$189:G$197))&gt;=RANK(I197,I$189:I$197)+COUNTIF(I$189:I197,I197)-1,1,0)</f>
        <v>2</v>
      </c>
      <c r="K197" t="str">
        <f>_xlfn.XLOOKUP(B197,BugList!A:A,BugList!H:H)</f>
        <v/>
      </c>
      <c r="L197" t="str">
        <f>IF(K197 = "","",_xlfn.XLOOKUP(B197, BugList!A:A,BugList!B:B,""))</f>
        <v/>
      </c>
      <c r="M197">
        <f>_xlfn.XLOOKUP(D197,BugList!C:C,BugList!N:N)</f>
        <v>8</v>
      </c>
      <c r="N197">
        <f>_xlfn.XLOOKUP(B197,BugList!A:A,BugList!R:R)</f>
        <v>8</v>
      </c>
      <c r="Q197" t="b">
        <f>SUMPRODUCT(COUNTIF(_xlfn.XLOOKUP(B197,BugList!A:A,BugList!V:V), "*cn*"))&gt;0</f>
        <v>0</v>
      </c>
      <c r="S197" t="str">
        <f>_xlfn.XLOOKUP(B197,BugList!A:A,BugList!W:W)</f>
        <v/>
      </c>
      <c r="T197">
        <f t="shared" si="22"/>
        <v>16</v>
      </c>
      <c r="U197">
        <f t="shared" si="23"/>
        <v>16</v>
      </c>
    </row>
    <row r="198" spans="1:21">
      <c r="A198" t="s">
        <v>142</v>
      </c>
      <c r="B198">
        <v>88</v>
      </c>
      <c r="D198" t="s">
        <v>85</v>
      </c>
      <c r="E198" t="s">
        <v>85</v>
      </c>
      <c r="F198">
        <v>8</v>
      </c>
      <c r="G198">
        <f t="shared" si="19"/>
        <v>3.9603960396039604</v>
      </c>
      <c r="H198">
        <f t="shared" si="20"/>
        <v>3</v>
      </c>
      <c r="I198">
        <f t="shared" si="21"/>
        <v>0.96039603960396036</v>
      </c>
      <c r="J198" cm="1">
        <f t="array" ref="J198">INT(G198)+IF(100-SUM(INT(G$198:G$207))&gt;=RANK(I198,I$198:I$207)+COUNTIF(I$198:I198,I198)-1,1,0)</f>
        <v>4</v>
      </c>
      <c r="K198" t="str">
        <f>_xlfn.XLOOKUP(B198,BugList!A:A,BugList!H:H)</f>
        <v/>
      </c>
      <c r="L198" t="str">
        <f>IF(K198 = "","",_xlfn.XLOOKUP(B198, BugList!A:A,BugList!B:B,""))</f>
        <v/>
      </c>
      <c r="M198">
        <f>_xlfn.XLOOKUP(D198,BugList!C:C,BugList!N:N)</f>
        <v>4</v>
      </c>
      <c r="N198">
        <f>_xlfn.XLOOKUP(B198,BugList!A:A,BugList!R:R)</f>
        <v>4</v>
      </c>
      <c r="Q198" t="b">
        <f>SUMPRODUCT(COUNTIF(_xlfn.XLOOKUP(B198,BugList!A:A,BugList!V:V), "*cn*"))&gt;0</f>
        <v>0</v>
      </c>
      <c r="S198" t="str">
        <f>_xlfn.XLOOKUP(B198,BugList!A:A,BugList!W:W)</f>
        <v/>
      </c>
      <c r="T198">
        <f t="shared" si="22"/>
        <v>16</v>
      </c>
      <c r="U198">
        <f t="shared" si="23"/>
        <v>16</v>
      </c>
    </row>
    <row r="199" spans="1:21">
      <c r="A199" t="s">
        <v>142</v>
      </c>
      <c r="B199">
        <v>247</v>
      </c>
      <c r="D199" t="s">
        <v>87</v>
      </c>
      <c r="E199" t="s">
        <v>87</v>
      </c>
      <c r="F199">
        <v>26</v>
      </c>
      <c r="G199">
        <f t="shared" si="19"/>
        <v>12.871287128712872</v>
      </c>
      <c r="H199">
        <f t="shared" si="20"/>
        <v>12</v>
      </c>
      <c r="I199">
        <f t="shared" si="21"/>
        <v>0.87128712871287206</v>
      </c>
      <c r="J199" cm="1">
        <f t="array" ref="J199">INT(G199)+IF(100-SUM(INT(G$198:G$207))&gt;=RANK(I199,I$198:I$207)+COUNTIF(I$198:I199,I199)-1,1,0)</f>
        <v>13</v>
      </c>
      <c r="K199" t="str">
        <f>_xlfn.XLOOKUP(B199,BugList!A:A,BugList!H:H)</f>
        <v/>
      </c>
      <c r="L199" t="str">
        <f>IF(K199 = "","",_xlfn.XLOOKUP(B199, BugList!A:A,BugList!B:B,""))</f>
        <v/>
      </c>
      <c r="M199">
        <f>_xlfn.XLOOKUP(D199,BugList!C:C,BugList!N:N)</f>
        <v>4</v>
      </c>
      <c r="N199">
        <f>_xlfn.XLOOKUP(B199,BugList!A:A,BugList!R:R)</f>
        <v>4</v>
      </c>
      <c r="Q199" t="b">
        <f>SUMPRODUCT(COUNTIF(_xlfn.XLOOKUP(B199,BugList!A:A,BugList!V:V), "*cn*"))&gt;0</f>
        <v>0</v>
      </c>
      <c r="S199" t="str">
        <f>_xlfn.XLOOKUP(B199,BugList!A:A,BugList!W:W)</f>
        <v/>
      </c>
      <c r="T199">
        <f t="shared" si="22"/>
        <v>52</v>
      </c>
      <c r="U199">
        <f t="shared" si="23"/>
        <v>52</v>
      </c>
    </row>
    <row r="200" spans="1:21">
      <c r="A200" t="s">
        <v>142</v>
      </c>
      <c r="B200">
        <v>372</v>
      </c>
      <c r="D200" t="s">
        <v>88</v>
      </c>
      <c r="E200" t="s">
        <v>88</v>
      </c>
      <c r="F200">
        <v>1</v>
      </c>
      <c r="G200">
        <f t="shared" si="19"/>
        <v>0.49504950495049505</v>
      </c>
      <c r="H200">
        <f t="shared" si="20"/>
        <v>0</v>
      </c>
      <c r="I200">
        <f t="shared" si="21"/>
        <v>0.49504950495049505</v>
      </c>
      <c r="J200" cm="1">
        <f t="array" ref="J200">INT(G200)+IF(100-SUM(INT(G$198:G$207))&gt;=RANK(I200,I$198:I$207)+COUNTIF(I$198:I200,I200)-1,1,0)</f>
        <v>1</v>
      </c>
      <c r="K200" t="str">
        <f>_xlfn.XLOOKUP(B200,BugList!A:A,BugList!H:H)</f>
        <v/>
      </c>
      <c r="L200" t="str">
        <f>IF(K200 = "","",_xlfn.XLOOKUP(B200, BugList!A:A,BugList!B:B,""))</f>
        <v/>
      </c>
      <c r="M200">
        <f>_xlfn.XLOOKUP(D200,BugList!C:C,BugList!N:N)</f>
        <v>8</v>
      </c>
      <c r="N200">
        <f>_xlfn.XLOOKUP(B200,BugList!A:A,BugList!R:R)</f>
        <v>8</v>
      </c>
      <c r="Q200" t="b">
        <f>SUMPRODUCT(COUNTIF(_xlfn.XLOOKUP(B200,BugList!A:A,BugList!V:V), "*cn*"))&gt;0</f>
        <v>0</v>
      </c>
      <c r="S200" t="str">
        <f>_xlfn.XLOOKUP(B200,BugList!A:A,BugList!W:W)</f>
        <v/>
      </c>
      <c r="T200">
        <f t="shared" si="22"/>
        <v>8</v>
      </c>
      <c r="U200">
        <f t="shared" si="23"/>
        <v>8</v>
      </c>
    </row>
    <row r="201" spans="1:21">
      <c r="A201" t="s">
        <v>142</v>
      </c>
      <c r="B201">
        <v>602</v>
      </c>
      <c r="D201" t="s">
        <v>97</v>
      </c>
      <c r="E201" t="s">
        <v>97</v>
      </c>
      <c r="F201">
        <v>5</v>
      </c>
      <c r="G201">
        <f t="shared" si="19"/>
        <v>2.4752475247524752</v>
      </c>
      <c r="H201">
        <f t="shared" si="20"/>
        <v>2</v>
      </c>
      <c r="I201">
        <f t="shared" si="21"/>
        <v>0.47524752475247523</v>
      </c>
      <c r="J201" cm="1">
        <f t="array" ref="J201">INT(G201)+IF(100-SUM(INT(G$198:G$207))&gt;=RANK(I201,I$198:I$207)+COUNTIF(I$198:I201,I201)-1,1,0)</f>
        <v>2</v>
      </c>
      <c r="K201" t="str">
        <f>_xlfn.XLOOKUP(B201,BugList!A:A,BugList!H:H)</f>
        <v/>
      </c>
      <c r="L201" t="str">
        <f>IF(K201 = "","",_xlfn.XLOOKUP(B201, BugList!A:A,BugList!B:B,""))</f>
        <v/>
      </c>
      <c r="M201">
        <f>_xlfn.XLOOKUP(D201,BugList!C:C,BugList!N:N)</f>
        <v>9</v>
      </c>
      <c r="N201">
        <f>_xlfn.XLOOKUP(B201,BugList!A:A,BugList!R:R)</f>
        <v>9</v>
      </c>
      <c r="Q201" t="b">
        <f>SUMPRODUCT(COUNTIF(_xlfn.XLOOKUP(B201,BugList!A:A,BugList!V:V), "*cn*"))&gt;0</f>
        <v>0</v>
      </c>
      <c r="S201" t="str">
        <f>_xlfn.XLOOKUP(B201,BugList!A:A,BugList!W:W)</f>
        <v/>
      </c>
      <c r="T201">
        <f t="shared" si="22"/>
        <v>18</v>
      </c>
      <c r="U201">
        <f t="shared" si="23"/>
        <v>18</v>
      </c>
    </row>
    <row r="202" spans="1:21">
      <c r="A202" t="s">
        <v>142</v>
      </c>
      <c r="B202">
        <v>794</v>
      </c>
      <c r="D202" t="s">
        <v>89</v>
      </c>
      <c r="E202" t="s">
        <v>89</v>
      </c>
      <c r="F202">
        <v>65</v>
      </c>
      <c r="G202">
        <f t="shared" si="19"/>
        <v>32.178217821782177</v>
      </c>
      <c r="H202">
        <f t="shared" si="20"/>
        <v>32</v>
      </c>
      <c r="I202">
        <f t="shared" si="21"/>
        <v>0.1782178217821766</v>
      </c>
      <c r="J202" cm="1">
        <f t="array" ref="J202">INT(G202)+IF(100-SUM(INT(G$198:G$207))&gt;=RANK(I202,I$198:I$207)+COUNTIF(I$198:I202,I202)-1,1,0)</f>
        <v>32</v>
      </c>
      <c r="K202" t="str">
        <f>_xlfn.XLOOKUP(B202,BugList!A:A,BugList!H:H)</f>
        <v>*</v>
      </c>
      <c r="L202" t="str">
        <f>IF(K202 = "","",_xlfn.XLOOKUP(B202, BugList!A:A,BugList!B:B,""))</f>
        <v>Trichoptera</v>
      </c>
      <c r="M202">
        <f>_xlfn.XLOOKUP(D202,BugList!C:C,BugList!N:N)</f>
        <v>4</v>
      </c>
      <c r="N202">
        <f>_xlfn.XLOOKUP(B202,BugList!A:A,BugList!R:R)</f>
        <v>4</v>
      </c>
      <c r="Q202" t="b">
        <f>SUMPRODUCT(COUNTIF(_xlfn.XLOOKUP(B202,BugList!A:A,BugList!V:V), "*cn*"))&gt;0</f>
        <v>1</v>
      </c>
      <c r="S202" t="str">
        <f>_xlfn.XLOOKUP(B202,BugList!A:A,BugList!W:W)</f>
        <v/>
      </c>
      <c r="T202">
        <f t="shared" si="22"/>
        <v>128</v>
      </c>
      <c r="U202">
        <f t="shared" si="23"/>
        <v>128</v>
      </c>
    </row>
    <row r="203" spans="1:21">
      <c r="A203" t="s">
        <v>142</v>
      </c>
      <c r="B203">
        <v>935</v>
      </c>
      <c r="D203" t="s">
        <v>98</v>
      </c>
      <c r="E203" t="s">
        <v>98</v>
      </c>
      <c r="F203">
        <v>17</v>
      </c>
      <c r="G203">
        <f t="shared" si="19"/>
        <v>8.4158415841584162</v>
      </c>
      <c r="H203">
        <f t="shared" si="20"/>
        <v>8</v>
      </c>
      <c r="I203">
        <f t="shared" si="21"/>
        <v>0.41584158415841621</v>
      </c>
      <c r="J203" cm="1">
        <f t="array" ref="J203">INT(G203)+IF(100-SUM(INT(G$198:G$207))&gt;=RANK(I203,I$198:I$207)+COUNTIF(I$198:I203,I203)-1,1,0)</f>
        <v>8</v>
      </c>
      <c r="K203" t="str">
        <f>_xlfn.XLOOKUP(B203,BugList!A:A,BugList!H:H)</f>
        <v/>
      </c>
      <c r="L203" t="str">
        <f>IF(K203 = "","",_xlfn.XLOOKUP(B203, BugList!A:A,BugList!B:B,""))</f>
        <v/>
      </c>
      <c r="M203">
        <f>_xlfn.XLOOKUP(D203,BugList!C:C,BugList!N:N)</f>
        <v>4</v>
      </c>
      <c r="N203">
        <f>_xlfn.XLOOKUP(B203,BugList!A:A,BugList!R:R)</f>
        <v>4</v>
      </c>
      <c r="Q203" t="b">
        <f>SUMPRODUCT(COUNTIF(_xlfn.XLOOKUP(B203,BugList!A:A,BugList!V:V), "*cn*"))&gt;0</f>
        <v>1</v>
      </c>
      <c r="S203" t="str">
        <f>_xlfn.XLOOKUP(B203,BugList!A:A,BugList!W:W)</f>
        <v/>
      </c>
      <c r="T203">
        <f t="shared" si="22"/>
        <v>32</v>
      </c>
      <c r="U203">
        <f t="shared" si="23"/>
        <v>32</v>
      </c>
    </row>
    <row r="204" spans="1:21">
      <c r="A204" t="s">
        <v>142</v>
      </c>
      <c r="B204">
        <v>1089</v>
      </c>
      <c r="D204" t="s">
        <v>126</v>
      </c>
      <c r="E204" t="s">
        <v>127</v>
      </c>
      <c r="F204">
        <v>74</v>
      </c>
      <c r="G204">
        <f t="shared" si="19"/>
        <v>36.633663366336634</v>
      </c>
      <c r="H204">
        <f t="shared" si="20"/>
        <v>36</v>
      </c>
      <c r="I204">
        <f t="shared" si="21"/>
        <v>0.63366336633663423</v>
      </c>
      <c r="J204" cm="1">
        <f t="array" ref="J204">INT(G204)+IF(100-SUM(INT(G$198:G$207))&gt;=RANK(I204,I$198:I$207)+COUNTIF(I$198:I204,I204)-1,1,0)</f>
        <v>37</v>
      </c>
      <c r="K204" t="str">
        <f>_xlfn.XLOOKUP(B204,BugList!A:A,BugList!H:H)</f>
        <v/>
      </c>
      <c r="L204" t="str">
        <f>IF(K204 = "","",_xlfn.XLOOKUP(B204, BugList!A:A,BugList!B:B,""))</f>
        <v/>
      </c>
      <c r="M204">
        <f>_xlfn.XLOOKUP(D204,BugList!C:C,BugList!N:N)</f>
        <v>8</v>
      </c>
      <c r="N204">
        <f>_xlfn.XLOOKUP(B204,BugList!A:A,BugList!R:R)</f>
        <v>10</v>
      </c>
      <c r="Q204" t="b">
        <f>SUMPRODUCT(COUNTIF(_xlfn.XLOOKUP(B204,BugList!A:A,BugList!V:V), "*cn*"))&gt;0</f>
        <v>0</v>
      </c>
      <c r="S204" t="str">
        <f>_xlfn.XLOOKUP(B204,BugList!A:A,BugList!W:W)</f>
        <v/>
      </c>
      <c r="T204">
        <f t="shared" si="22"/>
        <v>296</v>
      </c>
      <c r="U204">
        <f t="shared" si="23"/>
        <v>370</v>
      </c>
    </row>
    <row r="205" spans="1:21">
      <c r="A205" t="s">
        <v>142</v>
      </c>
      <c r="B205">
        <v>1578</v>
      </c>
      <c r="D205" t="s">
        <v>102</v>
      </c>
      <c r="E205" t="s">
        <v>102</v>
      </c>
      <c r="F205">
        <v>1</v>
      </c>
      <c r="G205">
        <f t="shared" si="19"/>
        <v>0.49504950495049505</v>
      </c>
      <c r="H205">
        <f t="shared" si="20"/>
        <v>0</v>
      </c>
      <c r="I205">
        <f t="shared" si="21"/>
        <v>0.49504950495049505</v>
      </c>
      <c r="J205" cm="1">
        <f t="array" ref="J205">INT(G205)+IF(100-SUM(INT(G$198:G$207))&gt;=RANK(I205,I$198:I$207)+COUNTIF(I$198:I205,I205)-1,1,0)</f>
        <v>1</v>
      </c>
      <c r="K205" t="str">
        <f>_xlfn.XLOOKUP(B205,BugList!A:A,BugList!H:H)</f>
        <v/>
      </c>
      <c r="L205" t="str">
        <f>IF(K205 = "","",_xlfn.XLOOKUP(B205, BugList!A:A,BugList!B:B,""))</f>
        <v/>
      </c>
      <c r="M205">
        <f>_xlfn.XLOOKUP(D205,BugList!C:C,BugList!N:N)</f>
        <v>7</v>
      </c>
      <c r="N205">
        <f>_xlfn.XLOOKUP(B205,BugList!A:A,BugList!R:R)</f>
        <v>7</v>
      </c>
      <c r="Q205" t="b">
        <f>SUMPRODUCT(COUNTIF(_xlfn.XLOOKUP(B205,BugList!A:A,BugList!V:V), "*cn*"))&gt;0</f>
        <v>0</v>
      </c>
      <c r="S205" t="str">
        <f>_xlfn.XLOOKUP(B205,BugList!A:A,BugList!W:W)</f>
        <v/>
      </c>
      <c r="T205">
        <f t="shared" si="22"/>
        <v>7</v>
      </c>
      <c r="U205">
        <f t="shared" si="23"/>
        <v>7</v>
      </c>
    </row>
    <row r="206" spans="1:21">
      <c r="A206" t="s">
        <v>142</v>
      </c>
      <c r="B206">
        <v>1629</v>
      </c>
      <c r="D206" t="s">
        <v>93</v>
      </c>
      <c r="E206" t="s">
        <v>93</v>
      </c>
      <c r="F206">
        <v>4</v>
      </c>
      <c r="G206">
        <f t="shared" si="19"/>
        <v>1.9801980198019802</v>
      </c>
      <c r="H206">
        <f t="shared" si="20"/>
        <v>1</v>
      </c>
      <c r="I206">
        <f t="shared" si="21"/>
        <v>0.98019801980198018</v>
      </c>
      <c r="J206" cm="1">
        <f t="array" ref="J206">INT(G206)+IF(100-SUM(INT(G$198:G$207))&gt;=RANK(I206,I$198:I$207)+COUNTIF(I$198:I206,I206)-1,1,0)</f>
        <v>2</v>
      </c>
      <c r="K206" t="str">
        <f>_xlfn.XLOOKUP(B206,BugList!A:A,BugList!H:H)</f>
        <v/>
      </c>
      <c r="L206" t="str">
        <f>IF(K206 = "","",_xlfn.XLOOKUP(B206, BugList!A:A,BugList!B:B,""))</f>
        <v/>
      </c>
      <c r="M206">
        <f>_xlfn.XLOOKUP(D206,BugList!C:C,BugList!N:N)</f>
        <v>8</v>
      </c>
      <c r="N206">
        <f>_xlfn.XLOOKUP(B206,BugList!A:A,BugList!R:R)</f>
        <v>8</v>
      </c>
      <c r="Q206" t="b">
        <f>SUMPRODUCT(COUNTIF(_xlfn.XLOOKUP(B206,BugList!A:A,BugList!V:V), "*cn*"))&gt;0</f>
        <v>0</v>
      </c>
      <c r="S206" t="str">
        <f>_xlfn.XLOOKUP(B206,BugList!A:A,BugList!W:W)</f>
        <v/>
      </c>
      <c r="T206">
        <f t="shared" si="22"/>
        <v>16</v>
      </c>
      <c r="U206">
        <f t="shared" si="23"/>
        <v>16</v>
      </c>
    </row>
    <row r="207" spans="1:21">
      <c r="A207" t="s">
        <v>142</v>
      </c>
      <c r="B207">
        <v>1696</v>
      </c>
      <c r="D207" t="s">
        <v>94</v>
      </c>
      <c r="E207" t="s">
        <v>94</v>
      </c>
      <c r="F207">
        <v>1</v>
      </c>
      <c r="G207">
        <f t="shared" si="19"/>
        <v>0.49504950495049505</v>
      </c>
      <c r="H207">
        <f t="shared" si="20"/>
        <v>0</v>
      </c>
      <c r="I207">
        <f t="shared" si="21"/>
        <v>0.49504950495049505</v>
      </c>
      <c r="J207" cm="1">
        <f t="array" ref="J207">INT(G207)+IF(100-SUM(INT(G$198:G$207))&gt;=RANK(I207,I$198:I$207)+COUNTIF(I$198:I207,I207)-1,1,0)</f>
        <v>0</v>
      </c>
      <c r="K207" t="str">
        <f>_xlfn.XLOOKUP(B207,BugList!A:A,BugList!H:H)</f>
        <v/>
      </c>
      <c r="L207" t="str">
        <f>IF(K207 = "","",_xlfn.XLOOKUP(B207, BugList!A:A,BugList!B:B,""))</f>
        <v/>
      </c>
      <c r="M207">
        <f>_xlfn.XLOOKUP(D207,BugList!C:C,BugList!N:N)</f>
        <v>8</v>
      </c>
      <c r="N207">
        <f>_xlfn.XLOOKUP(B207,BugList!A:A,BugList!R:R)</f>
        <v>8</v>
      </c>
      <c r="Q207" t="b">
        <f>SUMPRODUCT(COUNTIF(_xlfn.XLOOKUP(B207,BugList!A:A,BugList!V:V), "*cn*"))&gt;0</f>
        <v>0</v>
      </c>
      <c r="S207" t="str">
        <f>_xlfn.XLOOKUP(B207,BugList!A:A,BugList!W:W)</f>
        <v/>
      </c>
      <c r="T207">
        <f t="shared" si="22"/>
        <v>0</v>
      </c>
      <c r="U207">
        <f t="shared" si="23"/>
        <v>0</v>
      </c>
    </row>
    <row r="208" spans="1:21">
      <c r="A208" t="s">
        <v>143</v>
      </c>
      <c r="B208">
        <v>88</v>
      </c>
      <c r="D208" t="s">
        <v>85</v>
      </c>
      <c r="E208" t="s">
        <v>85</v>
      </c>
      <c r="F208">
        <v>145</v>
      </c>
      <c r="G208">
        <f t="shared" si="19"/>
        <v>94.155844155844164</v>
      </c>
      <c r="H208">
        <f t="shared" si="20"/>
        <v>94</v>
      </c>
      <c r="I208">
        <f t="shared" si="21"/>
        <v>0.15584415584416433</v>
      </c>
      <c r="J208" cm="1">
        <f t="array" ref="J208">INT(G208)+IF(100-SUM(INT(G$208:G$211))&gt;=RANK(I208,I$208:I$211)+COUNTIF(I$208:I208,I208)-1,1,0)</f>
        <v>94</v>
      </c>
      <c r="K208" t="str">
        <f>_xlfn.XLOOKUP(B208,BugList!A:A,BugList!H:H)</f>
        <v/>
      </c>
      <c r="L208" t="str">
        <f>IF(K208 = "","",_xlfn.XLOOKUP(B208, BugList!A:A,BugList!B:B,""))</f>
        <v/>
      </c>
      <c r="M208">
        <f>_xlfn.XLOOKUP(D208,BugList!C:C,BugList!N:N)</f>
        <v>4</v>
      </c>
      <c r="N208">
        <f>_xlfn.XLOOKUP(B208,BugList!A:A,BugList!R:R)</f>
        <v>4</v>
      </c>
      <c r="Q208" t="b">
        <f>SUMPRODUCT(COUNTIF(_xlfn.XLOOKUP(B208,BugList!A:A,BugList!V:V), "*cn*"))&gt;0</f>
        <v>0</v>
      </c>
      <c r="S208" t="str">
        <f>_xlfn.XLOOKUP(B208,BugList!A:A,BugList!W:W)</f>
        <v/>
      </c>
      <c r="T208">
        <f t="shared" si="22"/>
        <v>376</v>
      </c>
      <c r="U208">
        <f t="shared" si="23"/>
        <v>376</v>
      </c>
    </row>
    <row r="209" spans="1:21">
      <c r="A209" t="s">
        <v>143</v>
      </c>
      <c r="B209">
        <v>372</v>
      </c>
      <c r="D209" t="s">
        <v>88</v>
      </c>
      <c r="E209" t="s">
        <v>88</v>
      </c>
      <c r="F209">
        <v>3</v>
      </c>
      <c r="G209">
        <f t="shared" si="19"/>
        <v>1.948051948051948</v>
      </c>
      <c r="H209">
        <f t="shared" si="20"/>
        <v>1</v>
      </c>
      <c r="I209">
        <f t="shared" si="21"/>
        <v>0.94805194805194803</v>
      </c>
      <c r="J209" cm="1">
        <f t="array" ref="J209">INT(G209)+IF(100-SUM(INT(G$208:G$211))&gt;=RANK(I209,I$208:I$211)+COUNTIF(I$208:I209,I209)-1,1,0)</f>
        <v>2</v>
      </c>
      <c r="K209" t="str">
        <f>_xlfn.XLOOKUP(B209,BugList!A:A,BugList!H:H)</f>
        <v/>
      </c>
      <c r="L209" t="str">
        <f>IF(K209 = "","",_xlfn.XLOOKUP(B209, BugList!A:A,BugList!B:B,""))</f>
        <v/>
      </c>
      <c r="M209">
        <f>_xlfn.XLOOKUP(D209,BugList!C:C,BugList!N:N)</f>
        <v>8</v>
      </c>
      <c r="N209">
        <f>_xlfn.XLOOKUP(B209,BugList!A:A,BugList!R:R)</f>
        <v>8</v>
      </c>
      <c r="Q209" t="b">
        <f>SUMPRODUCT(COUNTIF(_xlfn.XLOOKUP(B209,BugList!A:A,BugList!V:V), "*cn*"))&gt;0</f>
        <v>0</v>
      </c>
      <c r="S209" t="str">
        <f>_xlfn.XLOOKUP(B209,BugList!A:A,BugList!W:W)</f>
        <v/>
      </c>
      <c r="T209">
        <f t="shared" si="22"/>
        <v>16</v>
      </c>
      <c r="U209">
        <f t="shared" si="23"/>
        <v>16</v>
      </c>
    </row>
    <row r="210" spans="1:21">
      <c r="A210" t="s">
        <v>143</v>
      </c>
      <c r="B210">
        <v>794</v>
      </c>
      <c r="D210" t="s">
        <v>89</v>
      </c>
      <c r="E210" t="s">
        <v>89</v>
      </c>
      <c r="F210">
        <v>5</v>
      </c>
      <c r="G210">
        <f t="shared" si="19"/>
        <v>3.2467532467532463</v>
      </c>
      <c r="H210">
        <f t="shared" si="20"/>
        <v>3</v>
      </c>
      <c r="I210">
        <f t="shared" si="21"/>
        <v>0.24675324675324628</v>
      </c>
      <c r="J210" cm="1">
        <f t="array" ref="J210">INT(G210)+IF(100-SUM(INT(G$208:G$211))&gt;=RANK(I210,I$208:I$211)+COUNTIF(I$208:I210,I210)-1,1,0)</f>
        <v>3</v>
      </c>
      <c r="K210" t="str">
        <f>_xlfn.XLOOKUP(B210,BugList!A:A,BugList!H:H)</f>
        <v>*</v>
      </c>
      <c r="L210" t="str">
        <f>IF(K210 = "","",_xlfn.XLOOKUP(B210, BugList!A:A,BugList!B:B,""))</f>
        <v>Trichoptera</v>
      </c>
      <c r="M210">
        <f>_xlfn.XLOOKUP(D210,BugList!C:C,BugList!N:N)</f>
        <v>4</v>
      </c>
      <c r="N210">
        <f>_xlfn.XLOOKUP(B210,BugList!A:A,BugList!R:R)</f>
        <v>4</v>
      </c>
      <c r="Q210" t="b">
        <f>SUMPRODUCT(COUNTIF(_xlfn.XLOOKUP(B210,BugList!A:A,BugList!V:V), "*cn*"))&gt;0</f>
        <v>1</v>
      </c>
      <c r="S210" t="str">
        <f>_xlfn.XLOOKUP(B210,BugList!A:A,BugList!W:W)</f>
        <v/>
      </c>
      <c r="T210">
        <f t="shared" si="22"/>
        <v>12</v>
      </c>
      <c r="U210">
        <f t="shared" si="23"/>
        <v>12</v>
      </c>
    </row>
    <row r="211" spans="1:21">
      <c r="A211" t="s">
        <v>143</v>
      </c>
      <c r="B211">
        <v>1614</v>
      </c>
      <c r="D211" t="s">
        <v>92</v>
      </c>
      <c r="E211" t="s">
        <v>92</v>
      </c>
      <c r="F211">
        <v>1</v>
      </c>
      <c r="G211">
        <f t="shared" si="19"/>
        <v>0.64935064935064934</v>
      </c>
      <c r="H211">
        <f t="shared" si="20"/>
        <v>0</v>
      </c>
      <c r="I211">
        <f t="shared" si="21"/>
        <v>0.64935064935064934</v>
      </c>
      <c r="J211" cm="1">
        <f t="array" ref="J211">INT(G211)+IF(100-SUM(INT(G$208:G$211))&gt;=RANK(I211,I$208:I$211)+COUNTIF(I$208:I211,I211)-1,1,0)</f>
        <v>1</v>
      </c>
      <c r="K211" t="str">
        <f>_xlfn.XLOOKUP(B211,BugList!A:A,BugList!H:H)</f>
        <v/>
      </c>
      <c r="L211" t="str">
        <f>IF(K211 = "","",_xlfn.XLOOKUP(B211, BugList!A:A,BugList!B:B,""))</f>
        <v/>
      </c>
      <c r="M211">
        <f>_xlfn.XLOOKUP(D211,BugList!C:C,BugList!N:N)</f>
        <v>8</v>
      </c>
      <c r="N211">
        <f>_xlfn.XLOOKUP(B211,BugList!A:A,BugList!R:R)</f>
        <v>8</v>
      </c>
      <c r="Q211" t="b">
        <f>SUMPRODUCT(COUNTIF(_xlfn.XLOOKUP(B211,BugList!A:A,BugList!V:V), "*cn*"))&gt;0</f>
        <v>0</v>
      </c>
      <c r="S211" t="str">
        <f>_xlfn.XLOOKUP(B211,BugList!A:A,BugList!W:W)</f>
        <v/>
      </c>
      <c r="T211">
        <f t="shared" si="22"/>
        <v>8</v>
      </c>
      <c r="U211">
        <f t="shared" si="23"/>
        <v>8</v>
      </c>
    </row>
    <row r="212" spans="1:21">
      <c r="A212" t="s">
        <v>144</v>
      </c>
      <c r="B212">
        <v>88</v>
      </c>
      <c r="D212" t="s">
        <v>85</v>
      </c>
      <c r="E212" t="s">
        <v>85</v>
      </c>
      <c r="F212">
        <v>40</v>
      </c>
      <c r="G212">
        <f t="shared" si="19"/>
        <v>32.786885245901637</v>
      </c>
      <c r="H212">
        <f t="shared" si="20"/>
        <v>32</v>
      </c>
      <c r="I212">
        <f t="shared" si="21"/>
        <v>0.78688524590163667</v>
      </c>
      <c r="J212" cm="1">
        <f t="array" ref="J212">INT(G212)+IF(100-SUM(INT(G$212:G$221))&gt;=RANK(I212,I$212:I$221)+COUNTIF(I$212:I212,I212)-1,1,0)</f>
        <v>33</v>
      </c>
      <c r="K212" t="str">
        <f>_xlfn.XLOOKUP(B212,BugList!A:A,BugList!H:H)</f>
        <v/>
      </c>
      <c r="L212" t="str">
        <f>IF(K212 = "","",_xlfn.XLOOKUP(B212, BugList!A:A,BugList!B:B,""))</f>
        <v/>
      </c>
      <c r="M212">
        <f>_xlfn.XLOOKUP(D212,BugList!C:C,BugList!N:N)</f>
        <v>4</v>
      </c>
      <c r="N212">
        <f>_xlfn.XLOOKUP(B212,BugList!A:A,BugList!R:R)</f>
        <v>4</v>
      </c>
      <c r="Q212" t="b">
        <f>SUMPRODUCT(COUNTIF(_xlfn.XLOOKUP(B212,BugList!A:A,BugList!V:V), "*cn*"))&gt;0</f>
        <v>0</v>
      </c>
      <c r="S212" t="str">
        <f>_xlfn.XLOOKUP(B212,BugList!A:A,BugList!W:W)</f>
        <v/>
      </c>
      <c r="T212">
        <f t="shared" si="22"/>
        <v>132</v>
      </c>
      <c r="U212">
        <f t="shared" si="23"/>
        <v>132</v>
      </c>
    </row>
    <row r="213" spans="1:21">
      <c r="A213" t="s">
        <v>144</v>
      </c>
      <c r="B213">
        <v>372</v>
      </c>
      <c r="D213" t="s">
        <v>88</v>
      </c>
      <c r="E213" t="s">
        <v>88</v>
      </c>
      <c r="F213">
        <v>16</v>
      </c>
      <c r="G213">
        <f t="shared" si="19"/>
        <v>13.114754098360656</v>
      </c>
      <c r="H213">
        <f t="shared" si="20"/>
        <v>13</v>
      </c>
      <c r="I213">
        <f t="shared" si="21"/>
        <v>0.11475409836065609</v>
      </c>
      <c r="J213" cm="1">
        <f t="array" ref="J213">INT(G213)+IF(100-SUM(INT(G$212:G$221))&gt;=RANK(I213,I$212:I$221)+COUNTIF(I$212:I213,I213)-1,1,0)</f>
        <v>13</v>
      </c>
      <c r="K213" t="str">
        <f>_xlfn.XLOOKUP(B213,BugList!A:A,BugList!H:H)</f>
        <v/>
      </c>
      <c r="L213" t="str">
        <f>IF(K213 = "","",_xlfn.XLOOKUP(B213, BugList!A:A,BugList!B:B,""))</f>
        <v/>
      </c>
      <c r="M213">
        <f>_xlfn.XLOOKUP(D213,BugList!C:C,BugList!N:N)</f>
        <v>8</v>
      </c>
      <c r="N213">
        <f>_xlfn.XLOOKUP(B213,BugList!A:A,BugList!R:R)</f>
        <v>8</v>
      </c>
      <c r="Q213" t="b">
        <f>SUMPRODUCT(COUNTIF(_xlfn.XLOOKUP(B213,BugList!A:A,BugList!V:V), "*cn*"))&gt;0</f>
        <v>0</v>
      </c>
      <c r="S213" t="str">
        <f>_xlfn.XLOOKUP(B213,BugList!A:A,BugList!W:W)</f>
        <v/>
      </c>
      <c r="T213">
        <f t="shared" si="22"/>
        <v>104</v>
      </c>
      <c r="U213">
        <f t="shared" si="23"/>
        <v>104</v>
      </c>
    </row>
    <row r="214" spans="1:21">
      <c r="A214" t="s">
        <v>144</v>
      </c>
      <c r="B214">
        <v>794</v>
      </c>
      <c r="D214" t="s">
        <v>89</v>
      </c>
      <c r="E214" t="s">
        <v>89</v>
      </c>
      <c r="F214">
        <v>30</v>
      </c>
      <c r="G214">
        <f t="shared" si="19"/>
        <v>24.590163934426229</v>
      </c>
      <c r="H214">
        <f t="shared" si="20"/>
        <v>24</v>
      </c>
      <c r="I214">
        <f t="shared" si="21"/>
        <v>0.59016393442622928</v>
      </c>
      <c r="J214" cm="1">
        <f t="array" ref="J214">INT(G214)+IF(100-SUM(INT(G$212:G$221))&gt;=RANK(I214,I$212:I$221)+COUNTIF(I$212:I214,I214)-1,1,0)</f>
        <v>25</v>
      </c>
      <c r="K214" t="str">
        <f>_xlfn.XLOOKUP(B214,BugList!A:A,BugList!H:H)</f>
        <v>*</v>
      </c>
      <c r="L214" t="str">
        <f>IF(K214 = "","",_xlfn.XLOOKUP(B214, BugList!A:A,BugList!B:B,""))</f>
        <v>Trichoptera</v>
      </c>
      <c r="M214">
        <f>_xlfn.XLOOKUP(D214,BugList!C:C,BugList!N:N)</f>
        <v>4</v>
      </c>
      <c r="N214">
        <f>_xlfn.XLOOKUP(B214,BugList!A:A,BugList!R:R)</f>
        <v>4</v>
      </c>
      <c r="Q214" t="b">
        <f>SUMPRODUCT(COUNTIF(_xlfn.XLOOKUP(B214,BugList!A:A,BugList!V:V), "*cn*"))&gt;0</f>
        <v>1</v>
      </c>
      <c r="S214" t="str">
        <f>_xlfn.XLOOKUP(B214,BugList!A:A,BugList!W:W)</f>
        <v/>
      </c>
      <c r="T214">
        <f t="shared" si="22"/>
        <v>100</v>
      </c>
      <c r="U214">
        <f t="shared" si="23"/>
        <v>100</v>
      </c>
    </row>
    <row r="215" spans="1:21">
      <c r="A215" t="s">
        <v>144</v>
      </c>
      <c r="B215">
        <v>935</v>
      </c>
      <c r="D215" t="s">
        <v>98</v>
      </c>
      <c r="E215" t="s">
        <v>98</v>
      </c>
      <c r="F215">
        <v>4</v>
      </c>
      <c r="G215">
        <f t="shared" si="19"/>
        <v>3.278688524590164</v>
      </c>
      <c r="H215">
        <f t="shared" si="20"/>
        <v>3</v>
      </c>
      <c r="I215">
        <f t="shared" si="21"/>
        <v>0.27868852459016402</v>
      </c>
      <c r="J215" cm="1">
        <f t="array" ref="J215">INT(G215)+IF(100-SUM(INT(G$212:G$221))&gt;=RANK(I215,I$212:I$221)+COUNTIF(I$212:I215,I215)-1,1,0)</f>
        <v>3</v>
      </c>
      <c r="K215" t="str">
        <f>_xlfn.XLOOKUP(B215,BugList!A:A,BugList!H:H)</f>
        <v/>
      </c>
      <c r="L215" t="str">
        <f>IF(K215 = "","",_xlfn.XLOOKUP(B215, BugList!A:A,BugList!B:B,""))</f>
        <v/>
      </c>
      <c r="M215">
        <f>_xlfn.XLOOKUP(D215,BugList!C:C,BugList!N:N)</f>
        <v>4</v>
      </c>
      <c r="N215">
        <f>_xlfn.XLOOKUP(B215,BugList!A:A,BugList!R:R)</f>
        <v>4</v>
      </c>
      <c r="Q215" t="b">
        <f>SUMPRODUCT(COUNTIF(_xlfn.XLOOKUP(B215,BugList!A:A,BugList!V:V), "*cn*"))&gt;0</f>
        <v>1</v>
      </c>
      <c r="S215" t="str">
        <f>_xlfn.XLOOKUP(B215,BugList!A:A,BugList!W:W)</f>
        <v/>
      </c>
      <c r="T215">
        <f t="shared" si="22"/>
        <v>12</v>
      </c>
      <c r="U215">
        <f t="shared" si="23"/>
        <v>12</v>
      </c>
    </row>
    <row r="216" spans="1:21">
      <c r="A216" t="s">
        <v>144</v>
      </c>
      <c r="B216">
        <v>1088</v>
      </c>
      <c r="D216" t="s">
        <v>90</v>
      </c>
      <c r="E216" t="s">
        <v>90</v>
      </c>
      <c r="F216">
        <v>4</v>
      </c>
      <c r="G216">
        <f t="shared" si="19"/>
        <v>3.278688524590164</v>
      </c>
      <c r="H216">
        <f t="shared" si="20"/>
        <v>3</v>
      </c>
      <c r="I216">
        <f t="shared" si="21"/>
        <v>0.27868852459016402</v>
      </c>
      <c r="J216" cm="1">
        <f t="array" ref="J216">INT(G216)+IF(100-SUM(INT(G$212:G$221))&gt;=RANK(I216,I$212:I$221)+COUNTIF(I$212:I216,I216)-1,1,0)</f>
        <v>3</v>
      </c>
      <c r="K216" t="str">
        <f>_xlfn.XLOOKUP(B216,BugList!A:A,BugList!H:H)</f>
        <v/>
      </c>
      <c r="L216" t="str">
        <f>IF(K216 = "","",_xlfn.XLOOKUP(B216, BugList!A:A,BugList!B:B,""))</f>
        <v/>
      </c>
      <c r="M216">
        <f>_xlfn.XLOOKUP(D216,BugList!C:C,BugList!N:N)</f>
        <v>6</v>
      </c>
      <c r="N216">
        <f>_xlfn.XLOOKUP(B216,BugList!A:A,BugList!R:R)</f>
        <v>6</v>
      </c>
      <c r="Q216" t="b">
        <f>SUMPRODUCT(COUNTIF(_xlfn.XLOOKUP(B216,BugList!A:A,BugList!V:V), "*cn*"))&gt;0</f>
        <v>0</v>
      </c>
      <c r="S216" t="str">
        <f>_xlfn.XLOOKUP(B216,BugList!A:A,BugList!W:W)</f>
        <v/>
      </c>
      <c r="T216">
        <f t="shared" si="22"/>
        <v>18</v>
      </c>
      <c r="U216">
        <f t="shared" si="23"/>
        <v>18</v>
      </c>
    </row>
    <row r="217" spans="1:21">
      <c r="A217" t="s">
        <v>144</v>
      </c>
      <c r="B217">
        <v>1089</v>
      </c>
      <c r="D217" t="s">
        <v>126</v>
      </c>
      <c r="E217" t="s">
        <v>127</v>
      </c>
      <c r="F217">
        <v>5</v>
      </c>
      <c r="G217">
        <f t="shared" si="19"/>
        <v>4.0983606557377046</v>
      </c>
      <c r="H217">
        <f t="shared" si="20"/>
        <v>4</v>
      </c>
      <c r="I217">
        <f t="shared" si="21"/>
        <v>9.8360655737704583E-2</v>
      </c>
      <c r="J217" cm="1">
        <f t="array" ref="J217">INT(G217)+IF(100-SUM(INT(G$212:G$221))&gt;=RANK(I217,I$212:I$221)+COUNTIF(I$212:I217,I217)-1,1,0)</f>
        <v>4</v>
      </c>
      <c r="K217" t="str">
        <f>_xlfn.XLOOKUP(B217,BugList!A:A,BugList!H:H)</f>
        <v/>
      </c>
      <c r="L217" t="str">
        <f>IF(K217 = "","",_xlfn.XLOOKUP(B217, BugList!A:A,BugList!B:B,""))</f>
        <v/>
      </c>
      <c r="M217">
        <f>_xlfn.XLOOKUP(D217,BugList!C:C,BugList!N:N)</f>
        <v>8</v>
      </c>
      <c r="N217">
        <f>_xlfn.XLOOKUP(B217,BugList!A:A,BugList!R:R)</f>
        <v>10</v>
      </c>
      <c r="Q217" t="b">
        <f>SUMPRODUCT(COUNTIF(_xlfn.XLOOKUP(B217,BugList!A:A,BugList!V:V), "*cn*"))&gt;0</f>
        <v>0</v>
      </c>
      <c r="S217" t="str">
        <f>_xlfn.XLOOKUP(B217,BugList!A:A,BugList!W:W)</f>
        <v/>
      </c>
      <c r="T217">
        <f t="shared" si="22"/>
        <v>32</v>
      </c>
      <c r="U217">
        <f t="shared" si="23"/>
        <v>40</v>
      </c>
    </row>
    <row r="218" spans="1:21">
      <c r="A218" t="s">
        <v>144</v>
      </c>
      <c r="B218">
        <v>1555</v>
      </c>
      <c r="D218" t="s">
        <v>120</v>
      </c>
      <c r="E218" t="s">
        <v>120</v>
      </c>
      <c r="F218">
        <v>2</v>
      </c>
      <c r="G218">
        <f t="shared" si="19"/>
        <v>1.639344262295082</v>
      </c>
      <c r="H218">
        <f t="shared" si="20"/>
        <v>1</v>
      </c>
      <c r="I218">
        <f t="shared" si="21"/>
        <v>0.63934426229508201</v>
      </c>
      <c r="J218" cm="1">
        <f t="array" ref="J218">INT(G218)+IF(100-SUM(INT(G$212:G$221))&gt;=RANK(I218,I$212:I$221)+COUNTIF(I$212:I218,I218)-1,1,0)</f>
        <v>2</v>
      </c>
      <c r="K218" t="str">
        <f>_xlfn.XLOOKUP(B218,BugList!A:A,BugList!H:H)</f>
        <v/>
      </c>
      <c r="L218" t="str">
        <f>IF(K218 = "","",_xlfn.XLOOKUP(B218, BugList!A:A,BugList!B:B,""))</f>
        <v/>
      </c>
      <c r="M218">
        <f>_xlfn.XLOOKUP(D218,BugList!C:C,BugList!N:N)</f>
        <v>8</v>
      </c>
      <c r="N218">
        <f>_xlfn.XLOOKUP(B218,BugList!A:A,BugList!R:R)</f>
        <v>8</v>
      </c>
      <c r="Q218" t="b">
        <f>SUMPRODUCT(COUNTIF(_xlfn.XLOOKUP(B218,BugList!A:A,BugList!V:V), "*cn*"))&gt;0</f>
        <v>0</v>
      </c>
      <c r="S218" t="str">
        <f>_xlfn.XLOOKUP(B218,BugList!A:A,BugList!W:W)</f>
        <v/>
      </c>
      <c r="T218">
        <f t="shared" si="22"/>
        <v>16</v>
      </c>
      <c r="U218">
        <f t="shared" si="23"/>
        <v>16</v>
      </c>
    </row>
    <row r="219" spans="1:21">
      <c r="A219" t="s">
        <v>144</v>
      </c>
      <c r="B219">
        <v>1614</v>
      </c>
      <c r="D219" t="s">
        <v>92</v>
      </c>
      <c r="E219" t="s">
        <v>92</v>
      </c>
      <c r="F219">
        <v>5</v>
      </c>
      <c r="G219">
        <f t="shared" si="19"/>
        <v>4.0983606557377046</v>
      </c>
      <c r="H219">
        <f t="shared" si="20"/>
        <v>4</v>
      </c>
      <c r="I219">
        <f t="shared" si="21"/>
        <v>9.8360655737704583E-2</v>
      </c>
      <c r="J219" cm="1">
        <f t="array" ref="J219">INT(G219)+IF(100-SUM(INT(G$212:G$221))&gt;=RANK(I219,I$212:I$221)+COUNTIF(I$212:I219,I219)-1,1,0)</f>
        <v>4</v>
      </c>
      <c r="K219" t="str">
        <f>_xlfn.XLOOKUP(B219,BugList!A:A,BugList!H:H)</f>
        <v/>
      </c>
      <c r="L219" t="str">
        <f>IF(K219 = "","",_xlfn.XLOOKUP(B219, BugList!A:A,BugList!B:B,""))</f>
        <v/>
      </c>
      <c r="M219">
        <f>_xlfn.XLOOKUP(D219,BugList!C:C,BugList!N:N)</f>
        <v>8</v>
      </c>
      <c r="N219">
        <f>_xlfn.XLOOKUP(B219,BugList!A:A,BugList!R:R)</f>
        <v>8</v>
      </c>
      <c r="Q219" t="b">
        <f>SUMPRODUCT(COUNTIF(_xlfn.XLOOKUP(B219,BugList!A:A,BugList!V:V), "*cn*"))&gt;0</f>
        <v>0</v>
      </c>
      <c r="S219" t="str">
        <f>_xlfn.XLOOKUP(B219,BugList!A:A,BugList!W:W)</f>
        <v/>
      </c>
      <c r="T219">
        <f t="shared" si="22"/>
        <v>32</v>
      </c>
      <c r="U219">
        <f t="shared" si="23"/>
        <v>32</v>
      </c>
    </row>
    <row r="220" spans="1:21">
      <c r="A220" t="s">
        <v>144</v>
      </c>
      <c r="B220">
        <v>1629</v>
      </c>
      <c r="D220" t="s">
        <v>93</v>
      </c>
      <c r="E220" t="s">
        <v>93</v>
      </c>
      <c r="F220">
        <v>7</v>
      </c>
      <c r="G220">
        <f t="shared" si="19"/>
        <v>5.7377049180327866</v>
      </c>
      <c r="H220">
        <f t="shared" si="20"/>
        <v>5</v>
      </c>
      <c r="I220">
        <f t="shared" si="21"/>
        <v>0.73770491803278659</v>
      </c>
      <c r="J220" cm="1">
        <f t="array" ref="J220">INT(G220)+IF(100-SUM(INT(G$212:G$221))&gt;=RANK(I220,I$212:I$221)+COUNTIF(I$212:I220,I220)-1,1,0)</f>
        <v>6</v>
      </c>
      <c r="K220" t="str">
        <f>_xlfn.XLOOKUP(B220,BugList!A:A,BugList!H:H)</f>
        <v/>
      </c>
      <c r="L220" t="str">
        <f>IF(K220 = "","",_xlfn.XLOOKUP(B220, BugList!A:A,BugList!B:B,""))</f>
        <v/>
      </c>
      <c r="M220">
        <f>_xlfn.XLOOKUP(D220,BugList!C:C,BugList!N:N)</f>
        <v>8</v>
      </c>
      <c r="N220">
        <f>_xlfn.XLOOKUP(B220,BugList!A:A,BugList!R:R)</f>
        <v>8</v>
      </c>
      <c r="Q220" t="b">
        <f>SUMPRODUCT(COUNTIF(_xlfn.XLOOKUP(B220,BugList!A:A,BugList!V:V), "*cn*"))&gt;0</f>
        <v>0</v>
      </c>
      <c r="S220" t="str">
        <f>_xlfn.XLOOKUP(B220,BugList!A:A,BugList!W:W)</f>
        <v/>
      </c>
      <c r="T220">
        <f t="shared" si="22"/>
        <v>48</v>
      </c>
      <c r="U220">
        <f t="shared" si="23"/>
        <v>48</v>
      </c>
    </row>
    <row r="221" spans="1:21">
      <c r="A221" t="s">
        <v>144</v>
      </c>
      <c r="B221">
        <v>1696</v>
      </c>
      <c r="D221" t="s">
        <v>94</v>
      </c>
      <c r="E221" t="s">
        <v>94</v>
      </c>
      <c r="F221">
        <v>9</v>
      </c>
      <c r="G221">
        <f t="shared" si="19"/>
        <v>7.3770491803278686</v>
      </c>
      <c r="H221">
        <f t="shared" si="20"/>
        <v>7</v>
      </c>
      <c r="I221">
        <f t="shared" si="21"/>
        <v>0.3770491803278686</v>
      </c>
      <c r="J221" cm="1">
        <f t="array" ref="J221">INT(G221)+IF(100-SUM(INT(G$212:G$221))&gt;=RANK(I221,I$212:I$221)+COUNTIF(I$212:I221,I221)-1,1,0)</f>
        <v>7</v>
      </c>
      <c r="K221" t="str">
        <f>_xlfn.XLOOKUP(B221,BugList!A:A,BugList!H:H)</f>
        <v/>
      </c>
      <c r="L221" t="str">
        <f>IF(K221 = "","",_xlfn.XLOOKUP(B221, BugList!A:A,BugList!B:B,""))</f>
        <v/>
      </c>
      <c r="M221">
        <f>_xlfn.XLOOKUP(D221,BugList!C:C,BugList!N:N)</f>
        <v>8</v>
      </c>
      <c r="N221">
        <f>_xlfn.XLOOKUP(B221,BugList!A:A,BugList!R:R)</f>
        <v>8</v>
      </c>
      <c r="Q221" t="b">
        <f>SUMPRODUCT(COUNTIF(_xlfn.XLOOKUP(B221,BugList!A:A,BugList!V:V), "*cn*"))&gt;0</f>
        <v>0</v>
      </c>
      <c r="S221" t="str">
        <f>_xlfn.XLOOKUP(B221,BugList!A:A,BugList!W:W)</f>
        <v/>
      </c>
      <c r="T221">
        <f t="shared" si="22"/>
        <v>56</v>
      </c>
      <c r="U221">
        <f t="shared" si="23"/>
        <v>56</v>
      </c>
    </row>
    <row r="222" spans="1:21" s="25" customFormat="1">
      <c r="A222" t="s">
        <v>145</v>
      </c>
      <c r="B222">
        <v>88</v>
      </c>
      <c r="C222"/>
      <c r="D222" t="s">
        <v>85</v>
      </c>
      <c r="E222" t="s">
        <v>85</v>
      </c>
      <c r="F222">
        <v>154</v>
      </c>
      <c r="G222">
        <f t="shared" si="19"/>
        <v>50.993377483443716</v>
      </c>
      <c r="H222">
        <f t="shared" si="20"/>
        <v>50</v>
      </c>
      <c r="I222">
        <f t="shared" si="21"/>
        <v>0.9933774834437159</v>
      </c>
      <c r="J222" cm="1">
        <f t="array" ref="J222">INT(G222)+IF(100-SUM(INT(G$222:G$233))&gt;=RANK(I222,I$222:I$233)+COUNTIF(I$222:I222,I222)-1,1,0)</f>
        <v>51</v>
      </c>
      <c r="K222" t="str">
        <f>_xlfn.XLOOKUP(B222,BugList!A:A,BugList!H:H)</f>
        <v/>
      </c>
      <c r="L222" t="str">
        <f>IF(K222 = "","",_xlfn.XLOOKUP(B222, BugList!A:A,BugList!B:B,""))</f>
        <v/>
      </c>
      <c r="M222">
        <f>_xlfn.XLOOKUP(D222,BugList!C:C,BugList!N:N)</f>
        <v>4</v>
      </c>
      <c r="N222">
        <f>_xlfn.XLOOKUP(B222,BugList!A:A,BugList!R:R)</f>
        <v>4</v>
      </c>
      <c r="O222"/>
      <c r="P222"/>
      <c r="Q222" t="b">
        <f>SUMPRODUCT(COUNTIF(_xlfn.XLOOKUP(B222,BugList!A:A,BugList!V:V), "*cn*"))&gt;0</f>
        <v>0</v>
      </c>
      <c r="R222"/>
      <c r="S222" t="str">
        <f>_xlfn.XLOOKUP(B222,BugList!A:A,BugList!W:W)</f>
        <v/>
      </c>
      <c r="T222">
        <f t="shared" si="22"/>
        <v>204</v>
      </c>
      <c r="U222">
        <f t="shared" si="23"/>
        <v>204</v>
      </c>
    </row>
    <row r="223" spans="1:21" s="25" customFormat="1">
      <c r="A223" t="s">
        <v>145</v>
      </c>
      <c r="B223">
        <v>247</v>
      </c>
      <c r="C223"/>
      <c r="D223" t="s">
        <v>87</v>
      </c>
      <c r="E223" t="s">
        <v>87</v>
      </c>
      <c r="F223">
        <v>1</v>
      </c>
      <c r="G223">
        <f t="shared" si="19"/>
        <v>0.33112582781456956</v>
      </c>
      <c r="H223">
        <f t="shared" si="20"/>
        <v>0</v>
      </c>
      <c r="I223">
        <f t="shared" si="21"/>
        <v>0.33112582781456956</v>
      </c>
      <c r="J223" cm="1">
        <f t="array" ref="J223">INT(G223)+IF(100-SUM(INT(G$222:G$233))&gt;=RANK(I223,I$222:I$233)+COUNTIF(I$222:I223,I223)-1,1,0)</f>
        <v>1</v>
      </c>
      <c r="K223" t="str">
        <f>_xlfn.XLOOKUP(B223,BugList!A:A,BugList!H:H)</f>
        <v/>
      </c>
      <c r="L223" t="str">
        <f>IF(K223 = "","",_xlfn.XLOOKUP(B223, BugList!A:A,BugList!B:B,""))</f>
        <v/>
      </c>
      <c r="M223">
        <f>_xlfn.XLOOKUP(D223,BugList!C:C,BugList!N:N)</f>
        <v>4</v>
      </c>
      <c r="N223">
        <f>_xlfn.XLOOKUP(B223,BugList!A:A,BugList!R:R)</f>
        <v>4</v>
      </c>
      <c r="O223"/>
      <c r="P223"/>
      <c r="Q223" t="b">
        <f>SUMPRODUCT(COUNTIF(_xlfn.XLOOKUP(B223,BugList!A:A,BugList!V:V), "*cn*"))&gt;0</f>
        <v>0</v>
      </c>
      <c r="R223"/>
      <c r="S223" t="str">
        <f>_xlfn.XLOOKUP(B223,BugList!A:A,BugList!W:W)</f>
        <v/>
      </c>
      <c r="T223">
        <f t="shared" si="22"/>
        <v>4</v>
      </c>
      <c r="U223">
        <f t="shared" si="23"/>
        <v>4</v>
      </c>
    </row>
    <row r="224" spans="1:21" s="25" customFormat="1">
      <c r="A224" t="s">
        <v>145</v>
      </c>
      <c r="B224">
        <v>794</v>
      </c>
      <c r="C224"/>
      <c r="D224" t="s">
        <v>89</v>
      </c>
      <c r="E224" t="s">
        <v>89</v>
      </c>
      <c r="F224">
        <v>21</v>
      </c>
      <c r="G224">
        <f t="shared" si="19"/>
        <v>6.9536423841059598</v>
      </c>
      <c r="H224">
        <f t="shared" si="20"/>
        <v>6</v>
      </c>
      <c r="I224">
        <f t="shared" si="21"/>
        <v>0.95364238410595981</v>
      </c>
      <c r="J224" cm="1">
        <f t="array" ref="J224">INT(G224)+IF(100-SUM(INT(G$222:G$233))&gt;=RANK(I224,I$222:I$233)+COUNTIF(I$222:I224,I224)-1,1,0)</f>
        <v>7</v>
      </c>
      <c r="K224" t="str">
        <f>_xlfn.XLOOKUP(B224,BugList!A:A,BugList!H:H)</f>
        <v>*</v>
      </c>
      <c r="L224" t="str">
        <f>IF(K224 = "","",_xlfn.XLOOKUP(B224, BugList!A:A,BugList!B:B,""))</f>
        <v>Trichoptera</v>
      </c>
      <c r="M224">
        <f>_xlfn.XLOOKUP(D224,BugList!C:C,BugList!N:N)</f>
        <v>4</v>
      </c>
      <c r="N224">
        <f>_xlfn.XLOOKUP(B224,BugList!A:A,BugList!R:R)</f>
        <v>4</v>
      </c>
      <c r="O224"/>
      <c r="P224"/>
      <c r="Q224" t="b">
        <f>SUMPRODUCT(COUNTIF(_xlfn.XLOOKUP(B224,BugList!A:A,BugList!V:V), "*cn*"))&gt;0</f>
        <v>1</v>
      </c>
      <c r="R224"/>
      <c r="S224" t="str">
        <f>_xlfn.XLOOKUP(B224,BugList!A:A,BugList!W:W)</f>
        <v/>
      </c>
      <c r="T224">
        <f t="shared" si="22"/>
        <v>28</v>
      </c>
      <c r="U224">
        <f t="shared" si="23"/>
        <v>28</v>
      </c>
    </row>
    <row r="225" spans="1:21" s="25" customFormat="1">
      <c r="A225" t="s">
        <v>145</v>
      </c>
      <c r="B225">
        <v>801</v>
      </c>
      <c r="C225"/>
      <c r="D225" t="s">
        <v>146</v>
      </c>
      <c r="E225" t="s">
        <v>146</v>
      </c>
      <c r="F225">
        <v>5</v>
      </c>
      <c r="G225">
        <f t="shared" si="19"/>
        <v>1.6556291390728477</v>
      </c>
      <c r="H225">
        <f t="shared" si="20"/>
        <v>1</v>
      </c>
      <c r="I225">
        <f t="shared" si="21"/>
        <v>0.6556291390728477</v>
      </c>
      <c r="J225" cm="1">
        <f t="array" ref="J225">INT(G225)+IF(100-SUM(INT(G$222:G$233))&gt;=RANK(I225,I$222:I$233)+COUNTIF(I$222:I225,I225)-1,1,0)</f>
        <v>2</v>
      </c>
      <c r="K225" t="str">
        <f>_xlfn.XLOOKUP(B225,BugList!A:A,BugList!H:H)</f>
        <v>*</v>
      </c>
      <c r="L225" t="str">
        <f>IF(K225 = "","",_xlfn.XLOOKUP(B225, BugList!A:A,BugList!B:B,""))</f>
        <v>Trichoptera</v>
      </c>
      <c r="M225">
        <f>_xlfn.XLOOKUP(D225,BugList!C:C,BugList!N:N)</f>
        <v>4</v>
      </c>
      <c r="N225">
        <f>_xlfn.XLOOKUP(B225,BugList!A:A,BugList!R:R)</f>
        <v>4</v>
      </c>
      <c r="O225"/>
      <c r="P225"/>
      <c r="Q225" t="b">
        <f>SUMPRODUCT(COUNTIF(_xlfn.XLOOKUP(B225,BugList!A:A,BugList!V:V), "*cn*"))&gt;0</f>
        <v>1</v>
      </c>
      <c r="R225"/>
      <c r="S225" t="str">
        <f>_xlfn.XLOOKUP(B225,BugList!A:A,BugList!W:W)</f>
        <v/>
      </c>
      <c r="T225">
        <f t="shared" si="22"/>
        <v>8</v>
      </c>
      <c r="U225">
        <f t="shared" si="23"/>
        <v>8</v>
      </c>
    </row>
    <row r="226" spans="1:21" s="25" customFormat="1">
      <c r="A226" t="s">
        <v>145</v>
      </c>
      <c r="B226">
        <v>935</v>
      </c>
      <c r="C226"/>
      <c r="D226" t="s">
        <v>98</v>
      </c>
      <c r="E226" t="s">
        <v>98</v>
      </c>
      <c r="F226">
        <v>12</v>
      </c>
      <c r="G226">
        <f t="shared" si="19"/>
        <v>3.9735099337748347</v>
      </c>
      <c r="H226">
        <f t="shared" si="20"/>
        <v>3</v>
      </c>
      <c r="I226">
        <f t="shared" si="21"/>
        <v>0.97350993377483475</v>
      </c>
      <c r="J226" cm="1">
        <f t="array" ref="J226">INT(G226)+IF(100-SUM(INT(G$222:G$233))&gt;=RANK(I226,I$222:I$233)+COUNTIF(I$222:I226,I226)-1,1,0)</f>
        <v>4</v>
      </c>
      <c r="K226" t="str">
        <f>_xlfn.XLOOKUP(B226,BugList!A:A,BugList!H:H)</f>
        <v/>
      </c>
      <c r="L226" t="str">
        <f>IF(K226 = "","",_xlfn.XLOOKUP(B226, BugList!A:A,BugList!B:B,""))</f>
        <v/>
      </c>
      <c r="M226">
        <f>_xlfn.XLOOKUP(D226,BugList!C:C,BugList!N:N)</f>
        <v>4</v>
      </c>
      <c r="N226">
        <f>_xlfn.XLOOKUP(B226,BugList!A:A,BugList!R:R)</f>
        <v>4</v>
      </c>
      <c r="O226"/>
      <c r="P226"/>
      <c r="Q226" t="b">
        <f>SUMPRODUCT(COUNTIF(_xlfn.XLOOKUP(B226,BugList!A:A,BugList!V:V), "*cn*"))&gt;0</f>
        <v>1</v>
      </c>
      <c r="R226"/>
      <c r="S226" t="str">
        <f>_xlfn.XLOOKUP(B226,BugList!A:A,BugList!W:W)</f>
        <v/>
      </c>
      <c r="T226">
        <f t="shared" si="22"/>
        <v>16</v>
      </c>
      <c r="U226">
        <f t="shared" si="23"/>
        <v>16</v>
      </c>
    </row>
    <row r="227" spans="1:21" s="25" customFormat="1">
      <c r="A227" t="s">
        <v>145</v>
      </c>
      <c r="B227">
        <v>1089</v>
      </c>
      <c r="C227"/>
      <c r="D227" t="s">
        <v>126</v>
      </c>
      <c r="E227" t="s">
        <v>127</v>
      </c>
      <c r="F227">
        <v>75</v>
      </c>
      <c r="G227">
        <f t="shared" si="19"/>
        <v>24.834437086092713</v>
      </c>
      <c r="H227">
        <f t="shared" si="20"/>
        <v>24</v>
      </c>
      <c r="I227">
        <f t="shared" si="21"/>
        <v>0.83443708609271283</v>
      </c>
      <c r="J227" cm="1">
        <f t="array" ref="J227">INT(G227)+IF(100-SUM(INT(G$222:G$233))&gt;=RANK(I227,I$222:I$233)+COUNTIF(I$222:I227,I227)-1,1,0)</f>
        <v>25</v>
      </c>
      <c r="K227" t="str">
        <f>_xlfn.XLOOKUP(B227,BugList!A:A,BugList!H:H)</f>
        <v/>
      </c>
      <c r="L227" t="str">
        <f>IF(K227 = "","",_xlfn.XLOOKUP(B227, BugList!A:A,BugList!B:B,""))</f>
        <v/>
      </c>
      <c r="M227">
        <f>_xlfn.XLOOKUP(D227,BugList!C:C,BugList!N:N)</f>
        <v>8</v>
      </c>
      <c r="N227">
        <f>_xlfn.XLOOKUP(B227,BugList!A:A,BugList!R:R)</f>
        <v>10</v>
      </c>
      <c r="O227"/>
      <c r="P227"/>
      <c r="Q227" t="b">
        <f>SUMPRODUCT(COUNTIF(_xlfn.XLOOKUP(B227,BugList!A:A,BugList!V:V), "*cn*"))&gt;0</f>
        <v>0</v>
      </c>
      <c r="R227"/>
      <c r="S227" t="str">
        <f>_xlfn.XLOOKUP(B227,BugList!A:A,BugList!W:W)</f>
        <v/>
      </c>
      <c r="T227">
        <f t="shared" si="22"/>
        <v>200</v>
      </c>
      <c r="U227">
        <f t="shared" si="23"/>
        <v>250</v>
      </c>
    </row>
    <row r="228" spans="1:21" s="25" customFormat="1">
      <c r="A228" t="s">
        <v>145</v>
      </c>
      <c r="B228">
        <v>1641</v>
      </c>
      <c r="C228"/>
      <c r="D228" t="s">
        <v>136</v>
      </c>
      <c r="E228" t="s">
        <v>136</v>
      </c>
      <c r="F228">
        <v>1</v>
      </c>
      <c r="G228">
        <f t="shared" si="19"/>
        <v>0.33112582781456956</v>
      </c>
      <c r="H228">
        <f t="shared" si="20"/>
        <v>0</v>
      </c>
      <c r="I228">
        <f t="shared" si="21"/>
        <v>0.33112582781456956</v>
      </c>
      <c r="J228" cm="1">
        <f t="array" ref="J228">INT(G228)+IF(100-SUM(INT(G$222:G$233))&gt;=RANK(I228,I$222:I$233)+COUNTIF(I$222:I232,I228)-1,1,0)</f>
        <v>0</v>
      </c>
      <c r="K228" t="str">
        <f>_xlfn.XLOOKUP(B228,BugList!A:A,BugList!H:H)</f>
        <v/>
      </c>
      <c r="L228" t="str">
        <f>IF(K228 = "","",_xlfn.XLOOKUP(B228, BugList!A:A,BugList!B:B,""))</f>
        <v/>
      </c>
      <c r="M228">
        <f>_xlfn.XLOOKUP(D228,BugList!C:C,BugList!N:N)</f>
        <v>8</v>
      </c>
      <c r="N228">
        <f>_xlfn.XLOOKUP(B228,BugList!A:A,BugList!R:R)</f>
        <v>8</v>
      </c>
      <c r="O228"/>
      <c r="P228"/>
      <c r="Q228" t="b">
        <f>SUMPRODUCT(COUNTIF(_xlfn.XLOOKUP(B228,BugList!A:A,BugList!V:V), "*cn*"))&gt;0</f>
        <v>0</v>
      </c>
      <c r="R228"/>
      <c r="S228" t="str">
        <f>_xlfn.XLOOKUP(B228,BugList!A:A,BugList!W:W)</f>
        <v/>
      </c>
      <c r="T228">
        <f t="shared" si="22"/>
        <v>0</v>
      </c>
      <c r="U228">
        <f t="shared" si="23"/>
        <v>0</v>
      </c>
    </row>
    <row r="229" spans="1:21" s="25" customFormat="1">
      <c r="A229" t="s">
        <v>145</v>
      </c>
      <c r="B229">
        <v>1199</v>
      </c>
      <c r="C229"/>
      <c r="D229" t="s">
        <v>131</v>
      </c>
      <c r="E229" t="s">
        <v>131</v>
      </c>
      <c r="F229">
        <v>1</v>
      </c>
      <c r="G229">
        <f t="shared" si="19"/>
        <v>0.33112582781456956</v>
      </c>
      <c r="H229">
        <f t="shared" si="20"/>
        <v>0</v>
      </c>
      <c r="I229">
        <f t="shared" si="21"/>
        <v>0.33112582781456956</v>
      </c>
      <c r="J229" cm="1">
        <f t="array" ref="J229">INT(G229)+IF(100-SUM(INT(G$222:G$233))&gt;=RANK(I229,I$222:I$233)+COUNTIF(I$222:I229,I229)-1,1,0)</f>
        <v>0</v>
      </c>
      <c r="K229" t="str">
        <f>_xlfn.XLOOKUP(B229,BugList!A:A,BugList!H:H)</f>
        <v/>
      </c>
      <c r="L229" t="str">
        <f>IF(K229 = "","",_xlfn.XLOOKUP(B229, BugList!A:A,BugList!B:B,""))</f>
        <v/>
      </c>
      <c r="M229">
        <f>_xlfn.XLOOKUP(D229,BugList!C:C,BugList!N:N)</f>
        <v>6</v>
      </c>
      <c r="N229">
        <f>_xlfn.XLOOKUP(B229,BugList!A:A,BugList!R:R)</f>
        <v>6</v>
      </c>
      <c r="O229"/>
      <c r="P229"/>
      <c r="Q229" t="b">
        <f>SUMPRODUCT(COUNTIF(_xlfn.XLOOKUP(B229,BugList!A:A,BugList!V:V), "*cn*"))&gt;0</f>
        <v>0</v>
      </c>
      <c r="R229"/>
      <c r="S229" t="str">
        <f>_xlfn.XLOOKUP(B229,BugList!A:A,BugList!W:W)</f>
        <v/>
      </c>
      <c r="T229">
        <f t="shared" si="22"/>
        <v>0</v>
      </c>
      <c r="U229">
        <f t="shared" si="23"/>
        <v>0</v>
      </c>
    </row>
    <row r="230" spans="1:21" s="25" customFormat="1">
      <c r="A230" t="s">
        <v>145</v>
      </c>
      <c r="B230">
        <v>1497</v>
      </c>
      <c r="C230"/>
      <c r="D230" t="s">
        <v>108</v>
      </c>
      <c r="E230" t="s">
        <v>108</v>
      </c>
      <c r="F230">
        <v>1</v>
      </c>
      <c r="G230">
        <f t="shared" si="19"/>
        <v>0.33112582781456956</v>
      </c>
      <c r="H230">
        <f t="shared" si="20"/>
        <v>0</v>
      </c>
      <c r="I230">
        <f t="shared" si="21"/>
        <v>0.33112582781456956</v>
      </c>
      <c r="J230" cm="1">
        <f t="array" ref="J230">INT(G230)+IF(100-SUM(INT(G$222:G$233))&gt;=RANK(I230,I$222:I$233)+COUNTIF(I$222:I230,I230)-1,1,0)</f>
        <v>0</v>
      </c>
      <c r="K230" t="str">
        <f>_xlfn.XLOOKUP(B230,BugList!A:A,BugList!H:H)</f>
        <v/>
      </c>
      <c r="L230" t="str">
        <f>IF(K230 = "","",_xlfn.XLOOKUP(B230, BugList!A:A,BugList!B:B,""))</f>
        <v/>
      </c>
      <c r="M230">
        <f>_xlfn.XLOOKUP(D230,BugList!C:C,BugList!N:N)</f>
        <v>3</v>
      </c>
      <c r="N230">
        <f>_xlfn.XLOOKUP(B230,BugList!A:A,BugList!R:R)</f>
        <v>3</v>
      </c>
      <c r="O230"/>
      <c r="P230"/>
      <c r="Q230" t="b">
        <f>SUMPRODUCT(COUNTIF(_xlfn.XLOOKUP(B230,BugList!A:A,BugList!V:V), "*cn*"))&gt;0</f>
        <v>0</v>
      </c>
      <c r="R230"/>
      <c r="S230" t="str">
        <f>_xlfn.XLOOKUP(B230,BugList!A:A,BugList!W:W)</f>
        <v/>
      </c>
      <c r="T230">
        <f t="shared" si="22"/>
        <v>0</v>
      </c>
      <c r="U230">
        <f t="shared" si="23"/>
        <v>0</v>
      </c>
    </row>
    <row r="231" spans="1:21" s="25" customFormat="1">
      <c r="A231" t="s">
        <v>145</v>
      </c>
      <c r="B231">
        <v>1582</v>
      </c>
      <c r="C231"/>
      <c r="D231" t="s">
        <v>121</v>
      </c>
      <c r="E231" t="s">
        <v>121</v>
      </c>
      <c r="F231">
        <v>1</v>
      </c>
      <c r="G231">
        <f t="shared" si="19"/>
        <v>0.33112582781456956</v>
      </c>
      <c r="H231">
        <f t="shared" si="20"/>
        <v>0</v>
      </c>
      <c r="I231">
        <f t="shared" si="21"/>
        <v>0.33112582781456956</v>
      </c>
      <c r="J231" cm="1">
        <f t="array" ref="J231">INT(G231)+IF(100-SUM(INT(G$222:G$233))&gt;=RANK(I231,I$222:I$233)+COUNTIF(I$222:I231,I231)-1,1,0)</f>
        <v>0</v>
      </c>
      <c r="K231" t="str">
        <f>_xlfn.XLOOKUP(B231,BugList!A:A,BugList!H:H)</f>
        <v/>
      </c>
      <c r="L231" t="str">
        <f>IF(K231 = "","",_xlfn.XLOOKUP(B231, BugList!A:A,BugList!B:B,""))</f>
        <v/>
      </c>
      <c r="M231">
        <f>_xlfn.XLOOKUP(D231,BugList!C:C,BugList!N:N)</f>
        <v>6</v>
      </c>
      <c r="N231">
        <f>_xlfn.XLOOKUP(B231,BugList!A:A,BugList!R:R)</f>
        <v>6</v>
      </c>
      <c r="O231"/>
      <c r="P231"/>
      <c r="Q231" t="b">
        <f>SUMPRODUCT(COUNTIF(_xlfn.XLOOKUP(B231,BugList!A:A,BugList!V:V), "*cn*"))&gt;0</f>
        <v>0</v>
      </c>
      <c r="R231"/>
      <c r="S231" t="str">
        <f>_xlfn.XLOOKUP(B231,BugList!A:A,BugList!W:W)</f>
        <v/>
      </c>
      <c r="T231">
        <f t="shared" si="22"/>
        <v>0</v>
      </c>
      <c r="U231">
        <f t="shared" si="23"/>
        <v>0</v>
      </c>
    </row>
    <row r="232" spans="1:21" s="25" customFormat="1">
      <c r="A232" t="s">
        <v>145</v>
      </c>
      <c r="B232">
        <v>1629</v>
      </c>
      <c r="C232"/>
      <c r="D232" t="s">
        <v>93</v>
      </c>
      <c r="E232" t="s">
        <v>93</v>
      </c>
      <c r="F232">
        <v>25</v>
      </c>
      <c r="G232">
        <f t="shared" si="19"/>
        <v>8.2781456953642394</v>
      </c>
      <c r="H232">
        <f t="shared" si="20"/>
        <v>8</v>
      </c>
      <c r="I232">
        <f t="shared" si="21"/>
        <v>0.27814569536423939</v>
      </c>
      <c r="J232" cm="1">
        <f t="array" ref="J232">INT(G232)+IF(100-SUM(INT(G$222:G$233))&gt;=RANK(I232,I$222:I$233)+COUNTIF(I$222:I232,I232)-1,1,0)</f>
        <v>8</v>
      </c>
      <c r="K232" t="str">
        <f>_xlfn.XLOOKUP(B232,BugList!A:A,BugList!H:H)</f>
        <v/>
      </c>
      <c r="L232" t="str">
        <f>IF(K232 = "","",_xlfn.XLOOKUP(B232, BugList!A:A,BugList!B:B,""))</f>
        <v/>
      </c>
      <c r="M232">
        <f>_xlfn.XLOOKUP(D232,BugList!C:C,BugList!N:N)</f>
        <v>8</v>
      </c>
      <c r="N232">
        <f>_xlfn.XLOOKUP(B232,BugList!A:A,BugList!R:R)</f>
        <v>8</v>
      </c>
      <c r="O232"/>
      <c r="P232"/>
      <c r="Q232" t="b">
        <f>SUMPRODUCT(COUNTIF(_xlfn.XLOOKUP(B232,BugList!A:A,BugList!V:V), "*cn*"))&gt;0</f>
        <v>0</v>
      </c>
      <c r="R232"/>
      <c r="S232" t="str">
        <f>_xlfn.XLOOKUP(B232,BugList!A:A,BugList!W:W)</f>
        <v/>
      </c>
      <c r="T232">
        <f t="shared" si="22"/>
        <v>64</v>
      </c>
      <c r="U232">
        <f t="shared" si="23"/>
        <v>64</v>
      </c>
    </row>
    <row r="233" spans="1:21" s="25" customFormat="1">
      <c r="A233" t="s">
        <v>145</v>
      </c>
      <c r="B233">
        <v>1696</v>
      </c>
      <c r="C233"/>
      <c r="D233" t="s">
        <v>94</v>
      </c>
      <c r="E233" t="s">
        <v>94</v>
      </c>
      <c r="F233">
        <v>5</v>
      </c>
      <c r="G233">
        <f t="shared" ref="G233:G296" si="24">(F233/(SUMIFS(F:F,A:A,A233))*100)</f>
        <v>1.6556291390728477</v>
      </c>
      <c r="H233">
        <f t="shared" ref="H233:H296" si="25">INT(G233)</f>
        <v>1</v>
      </c>
      <c r="I233">
        <f t="shared" ref="I233:I296" si="26">G233-H233</f>
        <v>0.6556291390728477</v>
      </c>
      <c r="J233" cm="1">
        <f t="array" ref="J233">INT(G233)+IF(100-SUM(INT(G$222:G$233))&gt;=RANK(I233,I$222:I$233)+COUNTIF(I$222:I233,I233)-1,1,0)</f>
        <v>2</v>
      </c>
      <c r="K233" t="str">
        <f>_xlfn.XLOOKUP(B233,BugList!A:A,BugList!H:H)</f>
        <v/>
      </c>
      <c r="L233" t="str">
        <f>IF(K233 = "","",_xlfn.XLOOKUP(B233, BugList!A:A,BugList!B:B,""))</f>
        <v/>
      </c>
      <c r="M233">
        <f>_xlfn.XLOOKUP(D233,BugList!C:C,BugList!N:N)</f>
        <v>8</v>
      </c>
      <c r="N233">
        <f>_xlfn.XLOOKUP(B233,BugList!A:A,BugList!R:R)</f>
        <v>8</v>
      </c>
      <c r="O233"/>
      <c r="P233"/>
      <c r="Q233" t="b">
        <f>SUMPRODUCT(COUNTIF(_xlfn.XLOOKUP(B233,BugList!A:A,BugList!V:V), "*cn*"))&gt;0</f>
        <v>0</v>
      </c>
      <c r="R233"/>
      <c r="S233" t="str">
        <f>_xlfn.XLOOKUP(B233,BugList!A:A,BugList!W:W)</f>
        <v/>
      </c>
      <c r="T233">
        <f t="shared" si="22"/>
        <v>16</v>
      </c>
      <c r="U233">
        <f t="shared" si="23"/>
        <v>16</v>
      </c>
    </row>
    <row r="234" spans="1:21" s="19" customFormat="1">
      <c r="A234" t="s">
        <v>147</v>
      </c>
      <c r="B234">
        <v>88</v>
      </c>
      <c r="C234"/>
      <c r="D234" t="s">
        <v>85</v>
      </c>
      <c r="E234" t="s">
        <v>85</v>
      </c>
      <c r="F234">
        <v>526</v>
      </c>
      <c r="G234">
        <f t="shared" si="24"/>
        <v>96.336996336996336</v>
      </c>
      <c r="H234">
        <f t="shared" si="25"/>
        <v>96</v>
      </c>
      <c r="I234">
        <f t="shared" si="26"/>
        <v>0.3369963369963358</v>
      </c>
      <c r="J234" cm="1">
        <f t="array" ref="J234">INT(G234)+IF(100-SUM(INT(G$234:G$237))&gt;=RANK(I234,I$234:I$237)+COUNTIF(I$234:I234,I234)-1,1,0)</f>
        <v>96</v>
      </c>
      <c r="K234" t="str">
        <f>_xlfn.XLOOKUP(B234,BugList!A:A,BugList!H:H)</f>
        <v/>
      </c>
      <c r="L234" t="str">
        <f>IF(K234 = "","",_xlfn.XLOOKUP(B234, BugList!A:A,BugList!B:B,""))</f>
        <v/>
      </c>
      <c r="M234">
        <f>_xlfn.XLOOKUP(D234,BugList!C:C,BugList!N:N)</f>
        <v>4</v>
      </c>
      <c r="N234">
        <f>_xlfn.XLOOKUP(B234,BugList!A:A,BugList!R:R)</f>
        <v>4</v>
      </c>
      <c r="O234"/>
      <c r="P234"/>
      <c r="Q234" t="b">
        <f>SUMPRODUCT(COUNTIF(_xlfn.XLOOKUP(B234,BugList!A:A,BugList!V:V), "*cn*"))&gt;0</f>
        <v>0</v>
      </c>
      <c r="R234"/>
      <c r="S234" t="str">
        <f>_xlfn.XLOOKUP(B234,BugList!A:A,BugList!W:W)</f>
        <v/>
      </c>
      <c r="T234">
        <f t="shared" si="22"/>
        <v>384</v>
      </c>
      <c r="U234">
        <f t="shared" si="23"/>
        <v>384</v>
      </c>
    </row>
    <row r="235" spans="1:21" s="19" customFormat="1">
      <c r="A235" t="s">
        <v>147</v>
      </c>
      <c r="B235">
        <v>372</v>
      </c>
      <c r="C235"/>
      <c r="D235" t="s">
        <v>88</v>
      </c>
      <c r="E235" t="s">
        <v>88</v>
      </c>
      <c r="F235">
        <v>4</v>
      </c>
      <c r="G235">
        <f t="shared" si="24"/>
        <v>0.73260073260073255</v>
      </c>
      <c r="H235">
        <f t="shared" si="25"/>
        <v>0</v>
      </c>
      <c r="I235">
        <f t="shared" si="26"/>
        <v>0.73260073260073255</v>
      </c>
      <c r="J235" cm="1">
        <f t="array" ref="J235">INT(G235)+IF(100-SUM(INT(G$234:G$237))&gt;=RANK(I235,I$234:I$237)+COUNTIF(I$234:I235,I235)-1,1,0)</f>
        <v>1</v>
      </c>
      <c r="K235" t="str">
        <f>_xlfn.XLOOKUP(B235,BugList!A:A,BugList!H:H)</f>
        <v/>
      </c>
      <c r="L235" t="str">
        <f>IF(K235 = "","",_xlfn.XLOOKUP(B235, BugList!A:A,BugList!B:B,""))</f>
        <v/>
      </c>
      <c r="M235">
        <f>_xlfn.XLOOKUP(D235,BugList!C:C,BugList!N:N)</f>
        <v>8</v>
      </c>
      <c r="N235">
        <f>_xlfn.XLOOKUP(B235,BugList!A:A,BugList!R:R)</f>
        <v>8</v>
      </c>
      <c r="O235"/>
      <c r="P235"/>
      <c r="Q235" t="b">
        <f>SUMPRODUCT(COUNTIF(_xlfn.XLOOKUP(B235,BugList!A:A,BugList!V:V), "*cn*"))&gt;0</f>
        <v>0</v>
      </c>
      <c r="R235"/>
      <c r="S235" t="str">
        <f>_xlfn.XLOOKUP(B235,BugList!A:A,BugList!W:W)</f>
        <v/>
      </c>
      <c r="T235">
        <f t="shared" si="22"/>
        <v>8</v>
      </c>
      <c r="U235">
        <f t="shared" si="23"/>
        <v>8</v>
      </c>
    </row>
    <row r="236" spans="1:21" s="19" customFormat="1">
      <c r="A236" t="s">
        <v>147</v>
      </c>
      <c r="B236">
        <v>794</v>
      </c>
      <c r="C236"/>
      <c r="D236" t="s">
        <v>89</v>
      </c>
      <c r="E236" t="s">
        <v>89</v>
      </c>
      <c r="F236">
        <v>8</v>
      </c>
      <c r="G236">
        <f t="shared" si="24"/>
        <v>1.4652014652014651</v>
      </c>
      <c r="H236">
        <f t="shared" si="25"/>
        <v>1</v>
      </c>
      <c r="I236">
        <f t="shared" si="26"/>
        <v>0.4652014652014651</v>
      </c>
      <c r="J236" cm="1">
        <f t="array" ref="J236">INT(G236)+IF(100-SUM(INT(G$234:G$237))&gt;=RANK(I236,I$234:I$237)+COUNTIF(I$234:I236,I236)-1,1,0)</f>
        <v>2</v>
      </c>
      <c r="K236" t="str">
        <f>_xlfn.XLOOKUP(B236,BugList!A:A,BugList!H:H)</f>
        <v>*</v>
      </c>
      <c r="L236" t="str">
        <f>IF(K236 = "","",_xlfn.XLOOKUP(B236, BugList!A:A,BugList!B:B,""))</f>
        <v>Trichoptera</v>
      </c>
      <c r="M236">
        <f>_xlfn.XLOOKUP(D236,BugList!C:C,BugList!N:N)</f>
        <v>4</v>
      </c>
      <c r="N236">
        <f>_xlfn.XLOOKUP(B236,BugList!A:A,BugList!R:R)</f>
        <v>4</v>
      </c>
      <c r="O236"/>
      <c r="P236"/>
      <c r="Q236" t="b">
        <f>SUMPRODUCT(COUNTIF(_xlfn.XLOOKUP(B236,BugList!A:A,BugList!V:V), "*cn*"))&gt;0</f>
        <v>1</v>
      </c>
      <c r="R236"/>
      <c r="S236" t="str">
        <f>_xlfn.XLOOKUP(B236,BugList!A:A,BugList!W:W)</f>
        <v/>
      </c>
      <c r="T236">
        <f t="shared" si="22"/>
        <v>8</v>
      </c>
      <c r="U236">
        <f t="shared" si="23"/>
        <v>8</v>
      </c>
    </row>
    <row r="237" spans="1:21" s="19" customFormat="1">
      <c r="A237" t="s">
        <v>147</v>
      </c>
      <c r="B237">
        <v>1614</v>
      </c>
      <c r="C237"/>
      <c r="D237" t="s">
        <v>92</v>
      </c>
      <c r="E237" t="s">
        <v>92</v>
      </c>
      <c r="F237">
        <v>8</v>
      </c>
      <c r="G237">
        <f t="shared" si="24"/>
        <v>1.4652014652014651</v>
      </c>
      <c r="H237">
        <f t="shared" si="25"/>
        <v>1</v>
      </c>
      <c r="I237">
        <f t="shared" si="26"/>
        <v>0.4652014652014651</v>
      </c>
      <c r="J237" cm="1">
        <f t="array" ref="J237">INT(G237)+IF(100-SUM(INT(G$234:G$237))&gt;=RANK(I237,I$234:I$237)+COUNTIF(I$234:I237,I237)-1,1,0)</f>
        <v>1</v>
      </c>
      <c r="K237" t="str">
        <f>_xlfn.XLOOKUP(B237,BugList!A:A,BugList!H:H)</f>
        <v/>
      </c>
      <c r="L237" t="str">
        <f>IF(K237 = "","",_xlfn.XLOOKUP(B237, BugList!A:A,BugList!B:B,""))</f>
        <v/>
      </c>
      <c r="M237">
        <f>_xlfn.XLOOKUP(D237,BugList!C:C,BugList!N:N)</f>
        <v>8</v>
      </c>
      <c r="N237">
        <f>_xlfn.XLOOKUP(B237,BugList!A:A,BugList!R:R)</f>
        <v>8</v>
      </c>
      <c r="O237"/>
      <c r="P237"/>
      <c r="Q237" t="b">
        <f>SUMPRODUCT(COUNTIF(_xlfn.XLOOKUP(B237,BugList!A:A,BugList!V:V), "*cn*"))&gt;0</f>
        <v>0</v>
      </c>
      <c r="R237"/>
      <c r="S237" t="str">
        <f>_xlfn.XLOOKUP(B237,BugList!A:A,BugList!W:W)</f>
        <v/>
      </c>
      <c r="T237">
        <f t="shared" si="22"/>
        <v>8</v>
      </c>
      <c r="U237">
        <f t="shared" si="23"/>
        <v>8</v>
      </c>
    </row>
    <row r="238" spans="1:21" s="25" customFormat="1">
      <c r="A238" t="s">
        <v>148</v>
      </c>
      <c r="B238">
        <v>88</v>
      </c>
      <c r="C238"/>
      <c r="D238" t="s">
        <v>85</v>
      </c>
      <c r="E238" t="s">
        <v>85</v>
      </c>
      <c r="F238">
        <v>123</v>
      </c>
      <c r="G238">
        <f t="shared" si="24"/>
        <v>79.870129870129873</v>
      </c>
      <c r="H238">
        <f t="shared" si="25"/>
        <v>79</v>
      </c>
      <c r="I238">
        <f t="shared" si="26"/>
        <v>0.87012987012987253</v>
      </c>
      <c r="J238" cm="1">
        <f t="array" ref="J238">INT(G238)+IF(100-SUM(INT(G$238:G$244))&gt;=RANK(I238,I$238:I$244)+COUNTIF(I$238:I238,I238)-1,1,0)</f>
        <v>80</v>
      </c>
      <c r="K238" t="str">
        <f>_xlfn.XLOOKUP(B238,BugList!A:A,BugList!H:H)</f>
        <v/>
      </c>
      <c r="L238" t="str">
        <f>IF(K238 = "","",_xlfn.XLOOKUP(B238, BugList!A:A,BugList!B:B,""))</f>
        <v/>
      </c>
      <c r="M238">
        <f>_xlfn.XLOOKUP(D238,BugList!C:C,BugList!N:N)</f>
        <v>4</v>
      </c>
      <c r="N238">
        <f>_xlfn.XLOOKUP(B238,BugList!A:A,BugList!R:R)</f>
        <v>4</v>
      </c>
      <c r="O238"/>
      <c r="P238"/>
      <c r="Q238" t="b">
        <f>SUMPRODUCT(COUNTIF(_xlfn.XLOOKUP(B238,BugList!A:A,BugList!V:V), "*cn*"))&gt;0</f>
        <v>0</v>
      </c>
      <c r="R238"/>
      <c r="S238" t="str">
        <f>_xlfn.XLOOKUP(B238,BugList!A:A,BugList!W:W)</f>
        <v/>
      </c>
      <c r="T238">
        <f t="shared" si="22"/>
        <v>320</v>
      </c>
      <c r="U238">
        <f t="shared" si="23"/>
        <v>320</v>
      </c>
    </row>
    <row r="239" spans="1:21" s="25" customFormat="1">
      <c r="A239" t="s">
        <v>148</v>
      </c>
      <c r="B239">
        <v>372</v>
      </c>
      <c r="C239"/>
      <c r="D239" t="s">
        <v>88</v>
      </c>
      <c r="E239" t="s">
        <v>88</v>
      </c>
      <c r="F239">
        <v>6</v>
      </c>
      <c r="G239">
        <f t="shared" si="24"/>
        <v>3.8961038961038961</v>
      </c>
      <c r="H239">
        <f t="shared" si="25"/>
        <v>3</v>
      </c>
      <c r="I239">
        <f t="shared" si="26"/>
        <v>0.89610389610389607</v>
      </c>
      <c r="J239" cm="1">
        <f t="array" ref="J239">INT(G239)+IF(100-SUM(INT(G$238:G$244))&gt;=RANK(I239,I$238:I$244)+COUNTIF(I$238:I239,I239)-1,1,0)</f>
        <v>4</v>
      </c>
      <c r="K239" t="str">
        <f>_xlfn.XLOOKUP(B239,BugList!A:A,BugList!H:H)</f>
        <v/>
      </c>
      <c r="L239" t="str">
        <f>IF(K239 = "","",_xlfn.XLOOKUP(B239, BugList!A:A,BugList!B:B,""))</f>
        <v/>
      </c>
      <c r="M239">
        <f>_xlfn.XLOOKUP(D239,BugList!C:C,BugList!N:N)</f>
        <v>8</v>
      </c>
      <c r="N239">
        <f>_xlfn.XLOOKUP(B239,BugList!A:A,BugList!R:R)</f>
        <v>8</v>
      </c>
      <c r="O239"/>
      <c r="P239"/>
      <c r="Q239" t="b">
        <f>SUMPRODUCT(COUNTIF(_xlfn.XLOOKUP(B239,BugList!A:A,BugList!V:V), "*cn*"))&gt;0</f>
        <v>0</v>
      </c>
      <c r="R239"/>
      <c r="S239" t="str">
        <f>_xlfn.XLOOKUP(B239,BugList!A:A,BugList!W:W)</f>
        <v/>
      </c>
      <c r="T239">
        <f t="shared" si="22"/>
        <v>32</v>
      </c>
      <c r="U239">
        <f t="shared" si="23"/>
        <v>32</v>
      </c>
    </row>
    <row r="240" spans="1:21" s="25" customFormat="1">
      <c r="A240" t="s">
        <v>148</v>
      </c>
      <c r="B240">
        <v>777</v>
      </c>
      <c r="C240"/>
      <c r="D240" t="s">
        <v>149</v>
      </c>
      <c r="E240" t="s">
        <v>149</v>
      </c>
      <c r="F240">
        <v>1</v>
      </c>
      <c r="G240">
        <f t="shared" si="24"/>
        <v>0.64935064935064934</v>
      </c>
      <c r="H240">
        <f t="shared" si="25"/>
        <v>0</v>
      </c>
      <c r="I240">
        <f t="shared" si="26"/>
        <v>0.64935064935064934</v>
      </c>
      <c r="J240" cm="1">
        <f t="array" ref="J240">INT(G240)+IF(100-SUM(INT(G$238:G$244))&gt;=RANK(I240,I$238:I$244)+COUNTIF(I$238:I240,I240)-1,1,0)</f>
        <v>1</v>
      </c>
      <c r="K240" t="str">
        <f>_xlfn.XLOOKUP(B240,BugList!A:A,BugList!H:H)</f>
        <v>*</v>
      </c>
      <c r="L240" t="str">
        <f>IF(K240 = "","",_xlfn.XLOOKUP(B240, BugList!A:A,BugList!B:B,""))</f>
        <v>Trichoptera</v>
      </c>
      <c r="M240">
        <f>_xlfn.XLOOKUP(D240,BugList!C:C,BugList!N:N)</f>
        <v>3</v>
      </c>
      <c r="N240">
        <f>_xlfn.XLOOKUP(B240,BugList!A:A,BugList!R:R)</f>
        <v>3</v>
      </c>
      <c r="O240"/>
      <c r="P240"/>
      <c r="Q240" t="b">
        <f>SUMPRODUCT(COUNTIF(_xlfn.XLOOKUP(B240,BugList!A:A,BugList!V:V), "*cn*"))&gt;0</f>
        <v>0</v>
      </c>
      <c r="R240"/>
      <c r="S240" t="str">
        <f>_xlfn.XLOOKUP(B240,BugList!A:A,BugList!W:W)</f>
        <v/>
      </c>
      <c r="T240">
        <f t="shared" si="22"/>
        <v>3</v>
      </c>
      <c r="U240">
        <f t="shared" si="23"/>
        <v>3</v>
      </c>
    </row>
    <row r="241" spans="1:21" s="25" customFormat="1">
      <c r="A241" t="s">
        <v>148</v>
      </c>
      <c r="B241">
        <v>794</v>
      </c>
      <c r="C241"/>
      <c r="D241" t="s">
        <v>89</v>
      </c>
      <c r="E241" t="s">
        <v>89</v>
      </c>
      <c r="F241">
        <v>17</v>
      </c>
      <c r="G241">
        <f t="shared" si="24"/>
        <v>11.038961038961039</v>
      </c>
      <c r="H241">
        <f t="shared" si="25"/>
        <v>11</v>
      </c>
      <c r="I241">
        <f t="shared" si="26"/>
        <v>3.8961038961039307E-2</v>
      </c>
      <c r="J241" cm="1">
        <f t="array" ref="J241">INT(G241)+IF(100-SUM(INT(G$238:G$244))&gt;=RANK(I241,I$238:I$244)+COUNTIF(I$238:I241,I241)-1,1,0)</f>
        <v>11</v>
      </c>
      <c r="K241" t="str">
        <f>_xlfn.XLOOKUP(B241,BugList!A:A,BugList!H:H)</f>
        <v>*</v>
      </c>
      <c r="L241" t="str">
        <f>IF(K241 = "","",_xlfn.XLOOKUP(B241, BugList!A:A,BugList!B:B,""))</f>
        <v>Trichoptera</v>
      </c>
      <c r="M241">
        <f>_xlfn.XLOOKUP(D241,BugList!C:C,BugList!N:N)</f>
        <v>4</v>
      </c>
      <c r="N241">
        <f>_xlfn.XLOOKUP(B241,BugList!A:A,BugList!R:R)</f>
        <v>4</v>
      </c>
      <c r="O241"/>
      <c r="P241"/>
      <c r="Q241" t="b">
        <f>SUMPRODUCT(COUNTIF(_xlfn.XLOOKUP(B241,BugList!A:A,BugList!V:V), "*cn*"))&gt;0</f>
        <v>1</v>
      </c>
      <c r="R241"/>
      <c r="S241" t="str">
        <f>_xlfn.XLOOKUP(B241,BugList!A:A,BugList!W:W)</f>
        <v/>
      </c>
      <c r="T241">
        <f t="shared" si="22"/>
        <v>44</v>
      </c>
      <c r="U241">
        <f t="shared" si="23"/>
        <v>44</v>
      </c>
    </row>
    <row r="242" spans="1:21" s="25" customFormat="1">
      <c r="A242" t="s">
        <v>148</v>
      </c>
      <c r="B242">
        <v>837</v>
      </c>
      <c r="C242"/>
      <c r="D242" t="s">
        <v>107</v>
      </c>
      <c r="E242" t="s">
        <v>107</v>
      </c>
      <c r="F242">
        <v>1</v>
      </c>
      <c r="G242">
        <f t="shared" si="24"/>
        <v>0.64935064935064934</v>
      </c>
      <c r="H242">
        <f t="shared" si="25"/>
        <v>0</v>
      </c>
      <c r="I242">
        <f t="shared" si="26"/>
        <v>0.64935064935064934</v>
      </c>
      <c r="J242" cm="1">
        <f t="array" ref="J242">INT(G242)+IF(100-SUM(INT(G$238:G$244))&gt;=RANK(I242,I$238:I$244)+COUNTIF(I$238:I242,I242)-1,1,0)</f>
        <v>1</v>
      </c>
      <c r="K242" t="str">
        <f>_xlfn.XLOOKUP(B242,BugList!A:A,BugList!H:H)</f>
        <v>*</v>
      </c>
      <c r="L242" t="str">
        <f>IF(K242 = "","",_xlfn.XLOOKUP(B242, BugList!A:A,BugList!B:B,""))</f>
        <v>Trichoptera</v>
      </c>
      <c r="M242">
        <f>_xlfn.XLOOKUP(D242,BugList!C:C,BugList!N:N)</f>
        <v>3</v>
      </c>
      <c r="N242">
        <f>_xlfn.XLOOKUP(B242,BugList!A:A,BugList!R:R)</f>
        <v>3</v>
      </c>
      <c r="O242"/>
      <c r="P242"/>
      <c r="Q242" t="b">
        <f>SUMPRODUCT(COUNTIF(_xlfn.XLOOKUP(B242,BugList!A:A,BugList!V:V), "*cn*"))&gt;0</f>
        <v>1</v>
      </c>
      <c r="R242"/>
      <c r="S242" t="str">
        <f>_xlfn.XLOOKUP(B242,BugList!A:A,BugList!W:W)</f>
        <v/>
      </c>
      <c r="T242">
        <f t="shared" si="22"/>
        <v>3</v>
      </c>
      <c r="U242">
        <f t="shared" si="23"/>
        <v>3</v>
      </c>
    </row>
    <row r="243" spans="1:21" s="25" customFormat="1">
      <c r="A243" t="s">
        <v>148</v>
      </c>
      <c r="B243">
        <v>1088</v>
      </c>
      <c r="C243"/>
      <c r="D243" t="s">
        <v>90</v>
      </c>
      <c r="E243" t="s">
        <v>90</v>
      </c>
      <c r="F243">
        <v>2</v>
      </c>
      <c r="G243">
        <f t="shared" si="24"/>
        <v>1.2987012987012987</v>
      </c>
      <c r="H243">
        <f t="shared" si="25"/>
        <v>1</v>
      </c>
      <c r="I243">
        <f t="shared" si="26"/>
        <v>0.29870129870129869</v>
      </c>
      <c r="J243" cm="1">
        <f t="array" ref="J243">INT(G243)+IF(100-SUM(INT(G$238:G$244))&gt;=RANK(I243,I$238:I$244)+COUNTIF(I$238:I243,I243)-1,1,0)</f>
        <v>1</v>
      </c>
      <c r="K243" t="str">
        <f>_xlfn.XLOOKUP(B243,BugList!A:A,BugList!H:H)</f>
        <v/>
      </c>
      <c r="L243" t="str">
        <f>IF(K243 = "","",_xlfn.XLOOKUP(B243, BugList!A:A,BugList!B:B,""))</f>
        <v/>
      </c>
      <c r="M243">
        <f>_xlfn.XLOOKUP(D243,BugList!C:C,BugList!N:N)</f>
        <v>6</v>
      </c>
      <c r="N243">
        <f>_xlfn.XLOOKUP(B243,BugList!A:A,BugList!R:R)</f>
        <v>6</v>
      </c>
      <c r="O243"/>
      <c r="P243"/>
      <c r="Q243" t="b">
        <f>SUMPRODUCT(COUNTIF(_xlfn.XLOOKUP(B243,BugList!A:A,BugList!V:V), "*cn*"))&gt;0</f>
        <v>0</v>
      </c>
      <c r="R243"/>
      <c r="S243" t="str">
        <f>_xlfn.XLOOKUP(B243,BugList!A:A,BugList!W:W)</f>
        <v/>
      </c>
      <c r="T243">
        <f t="shared" si="22"/>
        <v>6</v>
      </c>
      <c r="U243">
        <f t="shared" si="23"/>
        <v>6</v>
      </c>
    </row>
    <row r="244" spans="1:21" s="25" customFormat="1">
      <c r="A244" t="s">
        <v>148</v>
      </c>
      <c r="B244">
        <v>1614</v>
      </c>
      <c r="C244"/>
      <c r="D244" t="s">
        <v>92</v>
      </c>
      <c r="E244" t="s">
        <v>92</v>
      </c>
      <c r="F244">
        <v>4</v>
      </c>
      <c r="G244">
        <f t="shared" si="24"/>
        <v>2.5974025974025974</v>
      </c>
      <c r="H244">
        <f t="shared" si="25"/>
        <v>2</v>
      </c>
      <c r="I244">
        <f t="shared" si="26"/>
        <v>0.59740259740259738</v>
      </c>
      <c r="J244" cm="1">
        <f t="array" ref="J244">INT(G244)+IF(100-SUM(INT(G$238:G$244))&gt;=RANK(I244,I$238:I$244)+COUNTIF(I$238:I244,I244)-1,1,0)</f>
        <v>2</v>
      </c>
      <c r="K244" t="str">
        <f>_xlfn.XLOOKUP(B244,BugList!A:A,BugList!H:H)</f>
        <v/>
      </c>
      <c r="L244" t="str">
        <f>IF(K244 = "","",_xlfn.XLOOKUP(B244, BugList!A:A,BugList!B:B,""))</f>
        <v/>
      </c>
      <c r="M244">
        <f>_xlfn.XLOOKUP(D244,BugList!C:C,BugList!N:N)</f>
        <v>8</v>
      </c>
      <c r="N244">
        <f>_xlfn.XLOOKUP(B244,BugList!A:A,BugList!R:R)</f>
        <v>8</v>
      </c>
      <c r="O244"/>
      <c r="P244"/>
      <c r="Q244" t="b">
        <f>SUMPRODUCT(COUNTIF(_xlfn.XLOOKUP(B244,BugList!A:A,BugList!V:V), "*cn*"))&gt;0</f>
        <v>0</v>
      </c>
      <c r="R244"/>
      <c r="S244" t="str">
        <f>_xlfn.XLOOKUP(B244,BugList!A:A,BugList!W:W)</f>
        <v/>
      </c>
      <c r="T244">
        <f t="shared" si="22"/>
        <v>16</v>
      </c>
      <c r="U244">
        <f t="shared" si="23"/>
        <v>16</v>
      </c>
    </row>
    <row r="245" spans="1:21">
      <c r="A245" t="s">
        <v>150</v>
      </c>
      <c r="B245">
        <v>88</v>
      </c>
      <c r="D245" t="s">
        <v>85</v>
      </c>
      <c r="E245" t="s">
        <v>85</v>
      </c>
      <c r="F245">
        <v>16</v>
      </c>
      <c r="G245">
        <f t="shared" si="24"/>
        <v>12.403100775193799</v>
      </c>
      <c r="H245">
        <f t="shared" si="25"/>
        <v>12</v>
      </c>
      <c r="I245">
        <f t="shared" si="26"/>
        <v>0.40310077519379917</v>
      </c>
      <c r="J245" cm="1">
        <f t="array" ref="J245">INT(G245)+IF(100-SUM(INT(G$245:G$257))&gt;=RANK(I245,I$245:I$257)+COUNTIF(I$245:I245,I245)-1,1,0)</f>
        <v>12</v>
      </c>
      <c r="K245" t="str">
        <f>_xlfn.XLOOKUP(B245,BugList!A:A,BugList!H:H)</f>
        <v/>
      </c>
      <c r="L245" t="str">
        <f>IF(K245 = "","",_xlfn.XLOOKUP(B245, BugList!A:A,BugList!B:B,""))</f>
        <v/>
      </c>
      <c r="M245">
        <f>_xlfn.XLOOKUP(D245,BugList!C:C,BugList!N:N)</f>
        <v>4</v>
      </c>
      <c r="N245">
        <f>_xlfn.XLOOKUP(B245,BugList!A:A,BugList!R:R)</f>
        <v>4</v>
      </c>
      <c r="O245" t="b">
        <f>_xlfn.XLOOKUP(B245,BugList!A:A,BugList!L:L)</f>
        <v>0</v>
      </c>
      <c r="P245" t="b">
        <f t="shared" ref="P245:P282" si="27">IF(K245="*",IF(D245="Hydropsychidae", IF(E245="Diplectrona",TRUE,FALSE),TRUE),FALSE)</f>
        <v>0</v>
      </c>
      <c r="R245" t="b">
        <f>SUMPRODUCT(COUNTIF(_xlfn.XLOOKUP(B245,BugList!A:A,BugList!P:P), "*SC*"))&gt;0</f>
        <v>0</v>
      </c>
      <c r="S245" t="str">
        <f>_xlfn.XLOOKUP(B245,BugList!A:A,BugList!W:W)</f>
        <v/>
      </c>
      <c r="T245">
        <f t="shared" si="22"/>
        <v>48</v>
      </c>
      <c r="U245">
        <f t="shared" si="23"/>
        <v>48</v>
      </c>
    </row>
    <row r="246" spans="1:21">
      <c r="A246" t="s">
        <v>150</v>
      </c>
      <c r="B246">
        <v>500</v>
      </c>
      <c r="D246" t="s">
        <v>151</v>
      </c>
      <c r="E246" t="s">
        <v>151</v>
      </c>
      <c r="F246">
        <v>1</v>
      </c>
      <c r="G246">
        <f t="shared" si="24"/>
        <v>0.77519379844961245</v>
      </c>
      <c r="H246">
        <f t="shared" si="25"/>
        <v>0</v>
      </c>
      <c r="I246">
        <f t="shared" si="26"/>
        <v>0.77519379844961245</v>
      </c>
      <c r="J246" cm="1">
        <f t="array" ref="J246">INT(G246)+IF(100-SUM(INT(G$245:G$257))&gt;=RANK(I246,I$245:I$257)+COUNTIF(I$245:I246,I246)-1,1,0)</f>
        <v>1</v>
      </c>
      <c r="K246" t="str">
        <f>_xlfn.XLOOKUP(B246,BugList!A:A,BugList!H:H)</f>
        <v>*</v>
      </c>
      <c r="L246" t="str">
        <f>IF(K246 = "","",_xlfn.XLOOKUP(B246, BugList!A:A,BugList!B:B,""))</f>
        <v>Ephemeroptera</v>
      </c>
      <c r="M246">
        <f>_xlfn.XLOOKUP(D246,BugList!C:C,BugList!N:N)</f>
        <v>1</v>
      </c>
      <c r="N246">
        <f>_xlfn.XLOOKUP(B246,BugList!A:A,BugList!R:R)</f>
        <v>1</v>
      </c>
      <c r="O246" t="b">
        <f>_xlfn.XLOOKUP(B246,BugList!A:A,BugList!L:L)</f>
        <v>1</v>
      </c>
      <c r="P246" t="b">
        <f t="shared" si="27"/>
        <v>1</v>
      </c>
      <c r="R246" t="b">
        <f>SUMPRODUCT(COUNTIF(_xlfn.XLOOKUP(B246,BugList!A:A,BugList!P:P), "*SC*"))&gt;0</f>
        <v>1</v>
      </c>
      <c r="S246" t="str">
        <f>_xlfn.XLOOKUP(B246,BugList!A:A,BugList!W:W)</f>
        <v/>
      </c>
      <c r="T246">
        <f t="shared" si="22"/>
        <v>1</v>
      </c>
      <c r="U246">
        <f t="shared" si="23"/>
        <v>1</v>
      </c>
    </row>
    <row r="247" spans="1:21">
      <c r="A247" t="s">
        <v>150</v>
      </c>
      <c r="B247">
        <v>513</v>
      </c>
      <c r="D247" t="s">
        <v>111</v>
      </c>
      <c r="E247" t="s">
        <v>111</v>
      </c>
      <c r="F247">
        <v>35</v>
      </c>
      <c r="G247">
        <f t="shared" si="24"/>
        <v>27.131782945736433</v>
      </c>
      <c r="H247">
        <f t="shared" si="25"/>
        <v>27</v>
      </c>
      <c r="I247">
        <f t="shared" si="26"/>
        <v>0.13178294573643257</v>
      </c>
      <c r="J247" cm="1">
        <f t="array" ref="J247">INT(G247)+IF(100-SUM(INT(G$245:G$257))&gt;=RANK(I247,I$245:I$257)+COUNTIF(I$245:I247,I247)-1,1,0)</f>
        <v>27</v>
      </c>
      <c r="K247" t="str">
        <f>_xlfn.XLOOKUP(B247,BugList!A:A,BugList!H:H)</f>
        <v>*</v>
      </c>
      <c r="L247" t="str">
        <f>IF(K247 = "","",_xlfn.XLOOKUP(B247, BugList!A:A,BugList!B:B,""))</f>
        <v>Ephemeroptera</v>
      </c>
      <c r="M247">
        <f>_xlfn.XLOOKUP(D247,BugList!C:C,BugList!N:N)</f>
        <v>4</v>
      </c>
      <c r="N247">
        <f>_xlfn.XLOOKUP(B247,BugList!A:A,BugList!R:R)</f>
        <v>4</v>
      </c>
      <c r="O247" t="b">
        <f>_xlfn.XLOOKUP(B247,BugList!A:A,BugList!L:L)</f>
        <v>1</v>
      </c>
      <c r="P247" t="b">
        <f t="shared" si="27"/>
        <v>1</v>
      </c>
      <c r="R247" t="b">
        <f>SUMPRODUCT(COUNTIF(_xlfn.XLOOKUP(B247,BugList!A:A,BugList!P:P), "*SC*"))&gt;0</f>
        <v>1</v>
      </c>
      <c r="S247" t="str">
        <f>_xlfn.XLOOKUP(B247,BugList!A:A,BugList!W:W)</f>
        <v/>
      </c>
      <c r="T247">
        <f t="shared" si="22"/>
        <v>108</v>
      </c>
      <c r="U247">
        <f t="shared" si="23"/>
        <v>108</v>
      </c>
    </row>
    <row r="248" spans="1:21">
      <c r="A248" t="s">
        <v>150</v>
      </c>
      <c r="B248">
        <v>602</v>
      </c>
      <c r="D248" t="s">
        <v>97</v>
      </c>
      <c r="E248" t="s">
        <v>97</v>
      </c>
      <c r="F248">
        <v>3</v>
      </c>
      <c r="G248">
        <f t="shared" si="24"/>
        <v>2.3255813953488373</v>
      </c>
      <c r="H248">
        <f t="shared" si="25"/>
        <v>2</v>
      </c>
      <c r="I248">
        <f t="shared" si="26"/>
        <v>0.32558139534883734</v>
      </c>
      <c r="J248" cm="1">
        <f t="array" ref="J248">INT(G248)+IF(100-SUM(INT(G$245:G$257))&gt;=RANK(I248,I$245:I$257)+COUNTIF(I$245:I248,I248)-1,1,0)</f>
        <v>2</v>
      </c>
      <c r="K248" t="str">
        <f>_xlfn.XLOOKUP(B248,BugList!A:A,BugList!H:H)</f>
        <v/>
      </c>
      <c r="L248" t="str">
        <f>IF(K248 = "","",_xlfn.XLOOKUP(B248, BugList!A:A,BugList!B:B,""))</f>
        <v/>
      </c>
      <c r="M248">
        <f>_xlfn.XLOOKUP(D248,BugList!C:C,BugList!N:N)</f>
        <v>9</v>
      </c>
      <c r="N248">
        <f>_xlfn.XLOOKUP(B248,BugList!A:A,BugList!R:R)</f>
        <v>9</v>
      </c>
      <c r="O248" t="b">
        <f>_xlfn.XLOOKUP(B248,BugList!A:A,BugList!L:L)</f>
        <v>1</v>
      </c>
      <c r="P248" t="b">
        <f t="shared" si="27"/>
        <v>0</v>
      </c>
      <c r="R248" t="b">
        <f>SUMPRODUCT(COUNTIF(_xlfn.XLOOKUP(B248,BugList!A:A,BugList!P:P), "*SC*"))&gt;0</f>
        <v>0</v>
      </c>
      <c r="S248" t="str">
        <f>_xlfn.XLOOKUP(B248,BugList!A:A,BugList!W:W)</f>
        <v/>
      </c>
      <c r="T248">
        <f t="shared" si="22"/>
        <v>18</v>
      </c>
      <c r="U248">
        <f t="shared" si="23"/>
        <v>18</v>
      </c>
    </row>
    <row r="249" spans="1:21">
      <c r="A249" t="s">
        <v>150</v>
      </c>
      <c r="B249">
        <v>794</v>
      </c>
      <c r="D249" t="s">
        <v>89</v>
      </c>
      <c r="E249" t="s">
        <v>89</v>
      </c>
      <c r="F249">
        <v>2</v>
      </c>
      <c r="G249">
        <f t="shared" si="24"/>
        <v>1.5503875968992249</v>
      </c>
      <c r="H249">
        <f t="shared" si="25"/>
        <v>1</v>
      </c>
      <c r="I249">
        <f t="shared" si="26"/>
        <v>0.5503875968992249</v>
      </c>
      <c r="J249" cm="1">
        <f t="array" ref="J249">INT(G249)+IF(100-SUM(INT(G$245:G$257))&gt;=RANK(I249,I$245:I$257)+COUNTIF(I$245:I249,I249)-1,1,0)</f>
        <v>2</v>
      </c>
      <c r="K249" t="str">
        <f>_xlfn.XLOOKUP(B249,BugList!A:A,BugList!H:H)</f>
        <v>*</v>
      </c>
      <c r="L249" t="str">
        <f>IF(K249 = "","",_xlfn.XLOOKUP(B249, BugList!A:A,BugList!B:B,""))</f>
        <v>Trichoptera</v>
      </c>
      <c r="M249">
        <f>_xlfn.XLOOKUP(D249,BugList!C:C,BugList!N:N)</f>
        <v>4</v>
      </c>
      <c r="N249">
        <f>_xlfn.XLOOKUP(B249,BugList!A:A,BugList!R:R)</f>
        <v>4</v>
      </c>
      <c r="O249" t="b">
        <f>_xlfn.XLOOKUP(B249,BugList!A:A,BugList!L:L)</f>
        <v>1</v>
      </c>
      <c r="P249" t="b">
        <f t="shared" si="27"/>
        <v>0</v>
      </c>
      <c r="R249" t="b">
        <f>SUMPRODUCT(COUNTIF(_xlfn.XLOOKUP(B249,BugList!A:A,BugList!P:P), "*SC*"))&gt;0</f>
        <v>0</v>
      </c>
      <c r="S249" t="str">
        <f>_xlfn.XLOOKUP(B249,BugList!A:A,BugList!W:W)</f>
        <v/>
      </c>
      <c r="T249">
        <f t="shared" si="22"/>
        <v>8</v>
      </c>
      <c r="U249">
        <f t="shared" si="23"/>
        <v>8</v>
      </c>
    </row>
    <row r="250" spans="1:21">
      <c r="A250" t="s">
        <v>150</v>
      </c>
      <c r="B250">
        <v>837</v>
      </c>
      <c r="D250" t="s">
        <v>107</v>
      </c>
      <c r="E250" t="s">
        <v>107</v>
      </c>
      <c r="F250">
        <v>5</v>
      </c>
      <c r="G250">
        <f t="shared" si="24"/>
        <v>3.8759689922480618</v>
      </c>
      <c r="H250">
        <f t="shared" si="25"/>
        <v>3</v>
      </c>
      <c r="I250">
        <f t="shared" si="26"/>
        <v>0.8759689922480618</v>
      </c>
      <c r="J250" cm="1">
        <f t="array" ref="J250">INT(G250)+IF(100-SUM(INT(G$245:G$257))&gt;=RANK(I250,I$245:I$257)+COUNTIF(I$245:I250,I250)-1,1,0)</f>
        <v>4</v>
      </c>
      <c r="K250" t="str">
        <f>_xlfn.XLOOKUP(B250,BugList!A:A,BugList!H:H)</f>
        <v>*</v>
      </c>
      <c r="L250" t="str">
        <f>IF(K250 = "","",_xlfn.XLOOKUP(B250, BugList!A:A,BugList!B:B,""))</f>
        <v>Trichoptera</v>
      </c>
      <c r="M250">
        <f>_xlfn.XLOOKUP(D250,BugList!C:C,BugList!N:N)</f>
        <v>3</v>
      </c>
      <c r="N250">
        <f>_xlfn.XLOOKUP(B250,BugList!A:A,BugList!R:R)</f>
        <v>3</v>
      </c>
      <c r="O250" t="b">
        <f>_xlfn.XLOOKUP(B250,BugList!A:A,BugList!L:L)</f>
        <v>1</v>
      </c>
      <c r="P250" t="b">
        <f t="shared" si="27"/>
        <v>1</v>
      </c>
      <c r="R250" t="b">
        <f>SUMPRODUCT(COUNTIF(_xlfn.XLOOKUP(B250,BugList!A:A,BugList!P:P), "*SC*"))&gt;0</f>
        <v>0</v>
      </c>
      <c r="S250" t="str">
        <f>_xlfn.XLOOKUP(B250,BugList!A:A,BugList!W:W)</f>
        <v/>
      </c>
      <c r="T250">
        <f t="shared" si="22"/>
        <v>12</v>
      </c>
      <c r="U250">
        <f t="shared" si="23"/>
        <v>12</v>
      </c>
    </row>
    <row r="251" spans="1:21">
      <c r="A251" t="s">
        <v>150</v>
      </c>
      <c r="B251">
        <v>935</v>
      </c>
      <c r="D251" t="s">
        <v>98</v>
      </c>
      <c r="E251" t="s">
        <v>98</v>
      </c>
      <c r="F251">
        <v>2</v>
      </c>
      <c r="G251">
        <f t="shared" si="24"/>
        <v>1.5503875968992249</v>
      </c>
      <c r="H251">
        <f t="shared" si="25"/>
        <v>1</v>
      </c>
      <c r="I251">
        <f t="shared" si="26"/>
        <v>0.5503875968992249</v>
      </c>
      <c r="J251" cm="1">
        <f t="array" ref="J251">INT(G251)+IF(100-SUM(INT(G$245:G$257))&gt;=RANK(I251,I$245:I$257)+COUNTIF(I$245:I251,I251)-1,1,0)</f>
        <v>2</v>
      </c>
      <c r="K251" t="str">
        <f>_xlfn.XLOOKUP(B251,BugList!A:A,BugList!H:H)</f>
        <v/>
      </c>
      <c r="L251" t="str">
        <f>IF(K251 = "","",_xlfn.XLOOKUP(B251, BugList!A:A,BugList!B:B,""))</f>
        <v/>
      </c>
      <c r="M251">
        <f>_xlfn.XLOOKUP(D251,BugList!C:C,BugList!N:N)</f>
        <v>4</v>
      </c>
      <c r="N251">
        <f>_xlfn.XLOOKUP(B251,BugList!A:A,BugList!R:R)</f>
        <v>4</v>
      </c>
      <c r="O251" t="b">
        <f>_xlfn.XLOOKUP(B251,BugList!A:A,BugList!L:L)</f>
        <v>1</v>
      </c>
      <c r="P251" t="b">
        <f t="shared" si="27"/>
        <v>0</v>
      </c>
      <c r="R251" t="b">
        <f>SUMPRODUCT(COUNTIF(_xlfn.XLOOKUP(B251,BugList!A:A,BugList!P:P), "*SC*"))&gt;0</f>
        <v>1</v>
      </c>
      <c r="S251" t="str">
        <f>_xlfn.XLOOKUP(B251,BugList!A:A,BugList!W:W)</f>
        <v/>
      </c>
      <c r="T251">
        <f t="shared" si="22"/>
        <v>8</v>
      </c>
      <c r="U251">
        <f t="shared" si="23"/>
        <v>8</v>
      </c>
    </row>
    <row r="252" spans="1:21">
      <c r="A252" t="s">
        <v>150</v>
      </c>
      <c r="B252">
        <v>1002</v>
      </c>
      <c r="D252" t="s">
        <v>100</v>
      </c>
      <c r="E252" t="s">
        <v>100</v>
      </c>
      <c r="F252">
        <v>3</v>
      </c>
      <c r="G252">
        <f t="shared" si="24"/>
        <v>2.3255813953488373</v>
      </c>
      <c r="H252">
        <f t="shared" si="25"/>
        <v>2</v>
      </c>
      <c r="I252">
        <f t="shared" si="26"/>
        <v>0.32558139534883734</v>
      </c>
      <c r="J252" cm="1">
        <f t="array" ref="J252">INT(G252)+IF(100-SUM(INT(G$245:G$257))&gt;=RANK(I252,I$245:I$257)+COUNTIF(I$245:I252,I252)-1,1,0)</f>
        <v>2</v>
      </c>
      <c r="K252" t="str">
        <f>_xlfn.XLOOKUP(B252,BugList!A:A,BugList!H:H)</f>
        <v/>
      </c>
      <c r="L252" t="str">
        <f>IF(K252 = "","",_xlfn.XLOOKUP(B252, BugList!A:A,BugList!B:B,""))</f>
        <v/>
      </c>
      <c r="M252">
        <f>_xlfn.XLOOKUP(D252,BugList!C:C,BugList!N:N)</f>
        <v>4</v>
      </c>
      <c r="N252">
        <f>_xlfn.XLOOKUP(B252,BugList!A:A,BugList!R:R)</f>
        <v>4</v>
      </c>
      <c r="O252" t="b">
        <f>_xlfn.XLOOKUP(B252,BugList!A:A,BugList!L:L)</f>
        <v>1</v>
      </c>
      <c r="P252" t="b">
        <f t="shared" si="27"/>
        <v>0</v>
      </c>
      <c r="R252" t="b">
        <f>SUMPRODUCT(COUNTIF(_xlfn.XLOOKUP(B252,BugList!A:A,BugList!P:P), "*SC*"))&gt;0</f>
        <v>1</v>
      </c>
      <c r="S252" t="str">
        <f>_xlfn.XLOOKUP(B252,BugList!A:A,BugList!W:W)</f>
        <v/>
      </c>
      <c r="T252">
        <f t="shared" si="22"/>
        <v>8</v>
      </c>
      <c r="U252">
        <f t="shared" si="23"/>
        <v>8</v>
      </c>
    </row>
    <row r="253" spans="1:21">
      <c r="A253" t="s">
        <v>150</v>
      </c>
      <c r="B253">
        <v>1088</v>
      </c>
      <c r="D253" t="s">
        <v>90</v>
      </c>
      <c r="E253" t="s">
        <v>90</v>
      </c>
      <c r="F253">
        <v>51</v>
      </c>
      <c r="G253">
        <f t="shared" si="24"/>
        <v>39.534883720930232</v>
      </c>
      <c r="H253">
        <f t="shared" si="25"/>
        <v>39</v>
      </c>
      <c r="I253">
        <f t="shared" si="26"/>
        <v>0.53488372093023173</v>
      </c>
      <c r="J253" cm="1">
        <f t="array" ref="J253">INT(G253)+IF(100-SUM(INT(G$245:G$257))&gt;=RANK(I253,I$245:I$257)+COUNTIF(I$245:I253,I253)-1,1,0)</f>
        <v>39</v>
      </c>
      <c r="K253" t="str">
        <f>_xlfn.XLOOKUP(B253,BugList!A:A,BugList!H:H)</f>
        <v/>
      </c>
      <c r="L253" t="str">
        <f>IF(K253 = "","",_xlfn.XLOOKUP(B253, BugList!A:A,BugList!B:B,""))</f>
        <v/>
      </c>
      <c r="M253">
        <f>_xlfn.XLOOKUP(D253,BugList!C:C,BugList!N:N)</f>
        <v>6</v>
      </c>
      <c r="N253">
        <f>_xlfn.XLOOKUP(B253,BugList!A:A,BugList!R:R)</f>
        <v>6</v>
      </c>
      <c r="O253" t="b">
        <f>_xlfn.XLOOKUP(B253,BugList!A:A,BugList!L:L)</f>
        <v>1</v>
      </c>
      <c r="P253" t="b">
        <f t="shared" si="27"/>
        <v>0</v>
      </c>
      <c r="R253" t="b">
        <f>SUMPRODUCT(COUNTIF(_xlfn.XLOOKUP(B253,BugList!A:A,BugList!P:P), "*SC*"))&gt;0</f>
        <v>0</v>
      </c>
      <c r="S253" t="str">
        <f>_xlfn.XLOOKUP(B253,BugList!A:A,BugList!W:W)</f>
        <v/>
      </c>
      <c r="T253">
        <f t="shared" si="22"/>
        <v>234</v>
      </c>
      <c r="U253">
        <f t="shared" si="23"/>
        <v>234</v>
      </c>
    </row>
    <row r="254" spans="1:21">
      <c r="A254" t="s">
        <v>150</v>
      </c>
      <c r="B254">
        <v>1089</v>
      </c>
      <c r="D254" t="s">
        <v>126</v>
      </c>
      <c r="E254" t="s">
        <v>127</v>
      </c>
      <c r="F254">
        <v>1</v>
      </c>
      <c r="G254">
        <f t="shared" si="24"/>
        <v>0.77519379844961245</v>
      </c>
      <c r="H254">
        <f t="shared" si="25"/>
        <v>0</v>
      </c>
      <c r="I254">
        <f t="shared" si="26"/>
        <v>0.77519379844961245</v>
      </c>
      <c r="J254" cm="1">
        <f t="array" ref="J254">INT(G254)+IF(100-SUM(INT(G$245:G$257))&gt;=RANK(I254,I$245:I$257)+COUNTIF(I$245:I254,I254)-1,1,0)</f>
        <v>1</v>
      </c>
      <c r="K254" t="str">
        <f>_xlfn.XLOOKUP(B254,BugList!A:A,BugList!H:H)</f>
        <v/>
      </c>
      <c r="L254" t="str">
        <f>IF(K254 = "","",_xlfn.XLOOKUP(B254, BugList!A:A,BugList!B:B,""))</f>
        <v/>
      </c>
      <c r="M254">
        <f>_xlfn.XLOOKUP(D254,BugList!C:C,BugList!N:N)</f>
        <v>8</v>
      </c>
      <c r="N254">
        <f>_xlfn.XLOOKUP(B254,BugList!A:A,BugList!R:R)</f>
        <v>10</v>
      </c>
      <c r="O254" t="b">
        <f>_xlfn.XLOOKUP(B254,BugList!A:A,BugList!L:L)</f>
        <v>1</v>
      </c>
      <c r="P254" t="b">
        <f t="shared" si="27"/>
        <v>0</v>
      </c>
      <c r="R254" t="b">
        <f>SUMPRODUCT(COUNTIF(_xlfn.XLOOKUP(B254,BugList!A:A,BugList!P:P), "*SC*"))&gt;0</f>
        <v>0</v>
      </c>
      <c r="S254" t="str">
        <f>_xlfn.XLOOKUP(B254,BugList!A:A,BugList!W:W)</f>
        <v/>
      </c>
      <c r="T254">
        <f t="shared" si="22"/>
        <v>8</v>
      </c>
      <c r="U254">
        <f t="shared" si="23"/>
        <v>10</v>
      </c>
    </row>
    <row r="255" spans="1:21">
      <c r="A255" t="s">
        <v>150</v>
      </c>
      <c r="B255">
        <v>1436</v>
      </c>
      <c r="D255" t="s">
        <v>101</v>
      </c>
      <c r="E255" t="s">
        <v>101</v>
      </c>
      <c r="F255">
        <v>1</v>
      </c>
      <c r="G255">
        <f t="shared" si="24"/>
        <v>0.77519379844961245</v>
      </c>
      <c r="H255">
        <f t="shared" si="25"/>
        <v>0</v>
      </c>
      <c r="I255">
        <f t="shared" si="26"/>
        <v>0.77519379844961245</v>
      </c>
      <c r="J255" cm="1">
        <f t="array" ref="J255">INT(G255)+IF(100-SUM(INT(G$245:G$257))&gt;=RANK(I255,I$245:I$257)+COUNTIF(I$245:I255,I255)-1,1,0)</f>
        <v>1</v>
      </c>
      <c r="K255" t="str">
        <f>_xlfn.XLOOKUP(B255,BugList!A:A,BugList!H:H)</f>
        <v/>
      </c>
      <c r="L255" t="str">
        <f>IF(K255 = "","",_xlfn.XLOOKUP(B255, BugList!A:A,BugList!B:B,""))</f>
        <v/>
      </c>
      <c r="M255">
        <f>_xlfn.XLOOKUP(D255,BugList!C:C,BugList!N:N)</f>
        <v>6</v>
      </c>
      <c r="N255">
        <f>_xlfn.XLOOKUP(B255,BugList!A:A,BugList!R:R)</f>
        <v>6</v>
      </c>
      <c r="O255" t="b">
        <f>_xlfn.XLOOKUP(B255,BugList!A:A,BugList!L:L)</f>
        <v>1</v>
      </c>
      <c r="P255" t="b">
        <f t="shared" si="27"/>
        <v>0</v>
      </c>
      <c r="R255" t="b">
        <f>SUMPRODUCT(COUNTIF(_xlfn.XLOOKUP(B255,BugList!A:A,BugList!P:P), "*SC*"))&gt;0</f>
        <v>0</v>
      </c>
      <c r="S255" t="str">
        <f>_xlfn.XLOOKUP(B255,BugList!A:A,BugList!W:W)</f>
        <v/>
      </c>
      <c r="T255">
        <f t="shared" si="22"/>
        <v>6</v>
      </c>
      <c r="U255">
        <f t="shared" si="23"/>
        <v>6</v>
      </c>
    </row>
    <row r="256" spans="1:21">
      <c r="A256" t="s">
        <v>150</v>
      </c>
      <c r="B256">
        <v>1696</v>
      </c>
      <c r="D256" t="s">
        <v>94</v>
      </c>
      <c r="E256" t="s">
        <v>94</v>
      </c>
      <c r="F256">
        <v>5</v>
      </c>
      <c r="G256">
        <f t="shared" si="24"/>
        <v>3.8759689922480618</v>
      </c>
      <c r="H256">
        <f t="shared" si="25"/>
        <v>3</v>
      </c>
      <c r="I256">
        <f t="shared" si="26"/>
        <v>0.8759689922480618</v>
      </c>
      <c r="J256" cm="1">
        <f t="array" ref="J256">INT(G256)+IF(100-SUM(INT(G$245:G$257))&gt;=RANK(I256,I$245:I$257)+COUNTIF(I$245:I256,I256)-1,1,0)</f>
        <v>4</v>
      </c>
      <c r="K256" t="str">
        <f>_xlfn.XLOOKUP(B256,BugList!A:A,BugList!H:H)</f>
        <v/>
      </c>
      <c r="L256" t="str">
        <f>IF(K256 = "","",_xlfn.XLOOKUP(B256, BugList!A:A,BugList!B:B,""))</f>
        <v/>
      </c>
      <c r="M256">
        <f>_xlfn.XLOOKUP(D256,BugList!C:C,BugList!N:N)</f>
        <v>8</v>
      </c>
      <c r="N256">
        <f>_xlfn.XLOOKUP(B256,BugList!A:A,BugList!R:R)</f>
        <v>8</v>
      </c>
      <c r="O256" t="b">
        <f>_xlfn.XLOOKUP(B256,BugList!A:A,BugList!L:L)</f>
        <v>0</v>
      </c>
      <c r="P256" t="b">
        <f t="shared" si="27"/>
        <v>0</v>
      </c>
      <c r="R256" t="b">
        <f>SUMPRODUCT(COUNTIF(_xlfn.XLOOKUP(B256,BugList!A:A,BugList!P:P), "*SC*"))&gt;0</f>
        <v>0</v>
      </c>
      <c r="S256" t="str">
        <f>_xlfn.XLOOKUP(B256,BugList!A:A,BugList!W:W)</f>
        <v/>
      </c>
      <c r="T256">
        <f t="shared" si="22"/>
        <v>32</v>
      </c>
      <c r="U256">
        <f t="shared" si="23"/>
        <v>32</v>
      </c>
    </row>
    <row r="257" spans="1:21">
      <c r="A257" t="s">
        <v>150</v>
      </c>
      <c r="B257">
        <v>2781</v>
      </c>
      <c r="D257" t="s">
        <v>109</v>
      </c>
      <c r="E257" t="s">
        <v>109</v>
      </c>
      <c r="F257">
        <v>4</v>
      </c>
      <c r="G257">
        <f t="shared" si="24"/>
        <v>3.1007751937984498</v>
      </c>
      <c r="H257">
        <f t="shared" si="25"/>
        <v>3</v>
      </c>
      <c r="I257">
        <f t="shared" si="26"/>
        <v>0.10077519379844979</v>
      </c>
      <c r="J257" cm="1">
        <f t="array" ref="J257">INT(G257)+IF(100-SUM(INT(G$245:G$257))&gt;=RANK(I257,I$245:I$257)+COUNTIF(I$245:I257,I257)-1,1,0)</f>
        <v>3</v>
      </c>
      <c r="K257" t="str">
        <f>_xlfn.XLOOKUP(B257,BugList!A:A,BugList!H:H)</f>
        <v/>
      </c>
      <c r="L257" t="str">
        <f>IF(K257 = "","",_xlfn.XLOOKUP(B257, BugList!A:A,BugList!B:B,""))</f>
        <v/>
      </c>
      <c r="M257">
        <f>_xlfn.XLOOKUP(D257,BugList!C:C,BugList!N:N)</f>
        <v>6</v>
      </c>
      <c r="N257">
        <f>_xlfn.XLOOKUP(B257,BugList!A:A,BugList!R:R)</f>
        <v>4</v>
      </c>
      <c r="O257" t="b">
        <f>_xlfn.XLOOKUP(B257,BugList!A:A,BugList!L:L)</f>
        <v>0</v>
      </c>
      <c r="P257" t="b">
        <f t="shared" si="27"/>
        <v>0</v>
      </c>
      <c r="R257" t="b">
        <f>SUMPRODUCT(COUNTIF(_xlfn.XLOOKUP(B257,BugList!A:A,BugList!P:P), "*SC*"))&gt;0</f>
        <v>0</v>
      </c>
      <c r="S257" t="str">
        <f>_xlfn.XLOOKUP(B257,BugList!A:A,BugList!W:W)</f>
        <v/>
      </c>
      <c r="T257">
        <f t="shared" si="22"/>
        <v>18</v>
      </c>
      <c r="U257">
        <f t="shared" si="23"/>
        <v>12</v>
      </c>
    </row>
    <row r="258" spans="1:21" s="25" customFormat="1">
      <c r="A258" t="s">
        <v>152</v>
      </c>
      <c r="B258">
        <v>88</v>
      </c>
      <c r="C258"/>
      <c r="D258" t="s">
        <v>85</v>
      </c>
      <c r="E258" t="s">
        <v>85</v>
      </c>
      <c r="F258">
        <v>2</v>
      </c>
      <c r="G258">
        <f t="shared" si="24"/>
        <v>1.4388489208633095</v>
      </c>
      <c r="H258">
        <f t="shared" si="25"/>
        <v>1</v>
      </c>
      <c r="I258">
        <f t="shared" si="26"/>
        <v>0.43884892086330951</v>
      </c>
      <c r="J258" cm="1">
        <f t="array" ref="J258">INT(G258)+IF(100-SUM(INT(G$258:G$271))&gt;=RANK(I258,I$258:I$271)+COUNTIF(I$258:I258,I258)-1,1,0)</f>
        <v>1</v>
      </c>
      <c r="K258" t="str">
        <f>_xlfn.XLOOKUP(B258,BugList!A:A,BugList!H:H)</f>
        <v/>
      </c>
      <c r="L258" t="str">
        <f>IF(K258 = "","",_xlfn.XLOOKUP(B258, BugList!A:A,BugList!B:B,""))</f>
        <v/>
      </c>
      <c r="M258">
        <f>_xlfn.XLOOKUP(D258,BugList!C:C,BugList!N:N)</f>
        <v>4</v>
      </c>
      <c r="N258">
        <f>_xlfn.XLOOKUP(B258,BugList!A:A,BugList!R:R)</f>
        <v>4</v>
      </c>
      <c r="O258" t="b">
        <f>_xlfn.XLOOKUP(B258,BugList!A:A,BugList!L:L)</f>
        <v>0</v>
      </c>
      <c r="P258" t="b">
        <f t="shared" si="27"/>
        <v>0</v>
      </c>
      <c r="Q258"/>
      <c r="R258" t="b">
        <f>SUMPRODUCT(COUNTIF(_xlfn.XLOOKUP(B258,BugList!A:A,BugList!P:P), "*SC*"))&gt;0</f>
        <v>0</v>
      </c>
      <c r="S258" t="str">
        <f>_xlfn.XLOOKUP(B258,BugList!A:A,BugList!W:W)</f>
        <v/>
      </c>
      <c r="T258">
        <f t="shared" ref="T258:T321" si="28">J258*M258</f>
        <v>4</v>
      </c>
      <c r="U258">
        <f t="shared" ref="U258:U321" si="29">J258*N258</f>
        <v>4</v>
      </c>
    </row>
    <row r="259" spans="1:21" s="25" customFormat="1">
      <c r="A259" t="s">
        <v>152</v>
      </c>
      <c r="B259">
        <v>247</v>
      </c>
      <c r="C259"/>
      <c r="D259" t="s">
        <v>87</v>
      </c>
      <c r="E259" t="s">
        <v>87</v>
      </c>
      <c r="F259">
        <v>1</v>
      </c>
      <c r="G259">
        <f t="shared" si="24"/>
        <v>0.71942446043165476</v>
      </c>
      <c r="H259">
        <f t="shared" si="25"/>
        <v>0</v>
      </c>
      <c r="I259">
        <f t="shared" si="26"/>
        <v>0.71942446043165476</v>
      </c>
      <c r="J259" cm="1">
        <f t="array" ref="J259">INT(G259)+IF(100-SUM(INT(G$258:G$271))&gt;=RANK(I259,I$258:I$271)+COUNTIF(I$258:I259,I259)-1,1,0)</f>
        <v>1</v>
      </c>
      <c r="K259" t="str">
        <f>_xlfn.XLOOKUP(B259,BugList!A:A,BugList!H:H)</f>
        <v/>
      </c>
      <c r="L259" t="str">
        <f>IF(K259 = "","",_xlfn.XLOOKUP(B259, BugList!A:A,BugList!B:B,""))</f>
        <v/>
      </c>
      <c r="M259">
        <f>_xlfn.XLOOKUP(D259,BugList!C:C,BugList!N:N)</f>
        <v>4</v>
      </c>
      <c r="N259">
        <f>_xlfn.XLOOKUP(B259,BugList!A:A,BugList!R:R)</f>
        <v>4</v>
      </c>
      <c r="O259" t="b">
        <f>_xlfn.XLOOKUP(B259,BugList!A:A,BugList!L:L)</f>
        <v>0</v>
      </c>
      <c r="P259" t="b">
        <f t="shared" si="27"/>
        <v>0</v>
      </c>
      <c r="Q259"/>
      <c r="R259" t="b">
        <f>SUMPRODUCT(COUNTIF(_xlfn.XLOOKUP(B259,BugList!A:A,BugList!P:P), "*SC*"))&gt;0</f>
        <v>0</v>
      </c>
      <c r="S259" t="str">
        <f>_xlfn.XLOOKUP(B259,BugList!A:A,BugList!W:W)</f>
        <v/>
      </c>
      <c r="T259">
        <f t="shared" si="28"/>
        <v>4</v>
      </c>
      <c r="U259">
        <f t="shared" si="29"/>
        <v>4</v>
      </c>
    </row>
    <row r="260" spans="1:21" s="25" customFormat="1">
      <c r="A260" t="s">
        <v>152</v>
      </c>
      <c r="B260">
        <v>425</v>
      </c>
      <c r="C260"/>
      <c r="D260" t="s">
        <v>153</v>
      </c>
      <c r="E260" t="s">
        <v>153</v>
      </c>
      <c r="F260">
        <v>2</v>
      </c>
      <c r="G260">
        <f t="shared" si="24"/>
        <v>1.4388489208633095</v>
      </c>
      <c r="H260">
        <f t="shared" si="25"/>
        <v>1</v>
      </c>
      <c r="I260">
        <f t="shared" si="26"/>
        <v>0.43884892086330951</v>
      </c>
      <c r="J260" cm="1">
        <f t="array" ref="J260">INT(G260)+IF(100-SUM(INT(G$258:G$271))&gt;=RANK(I260,I$258:I$271)+COUNTIF(I$258:I260,I260)-1,1,0)</f>
        <v>1</v>
      </c>
      <c r="K260" t="str">
        <f>_xlfn.XLOOKUP(B260,BugList!A:A,BugList!H:H)</f>
        <v>*</v>
      </c>
      <c r="L260" t="str">
        <f>IF(K260 = "","",_xlfn.XLOOKUP(B260, BugList!A:A,BugList!B:B,""))</f>
        <v>Plecoptera</v>
      </c>
      <c r="M260">
        <f>_xlfn.XLOOKUP(D260,BugList!C:C,BugList!N:N)</f>
        <v>2</v>
      </c>
      <c r="N260">
        <f>_xlfn.XLOOKUP(B260,BugList!A:A,BugList!R:R)</f>
        <v>2</v>
      </c>
      <c r="O260" t="b">
        <f>_xlfn.XLOOKUP(B260,BugList!A:A,BugList!L:L)</f>
        <v>1</v>
      </c>
      <c r="P260" t="b">
        <f t="shared" si="27"/>
        <v>1</v>
      </c>
      <c r="Q260"/>
      <c r="R260" t="b">
        <f>SUMPRODUCT(COUNTIF(_xlfn.XLOOKUP(B260,BugList!A:A,BugList!P:P), "*SC*"))&gt;0</f>
        <v>0</v>
      </c>
      <c r="S260" t="str">
        <f>_xlfn.XLOOKUP(B260,BugList!A:A,BugList!W:W)</f>
        <v>2</v>
      </c>
      <c r="T260">
        <f t="shared" si="28"/>
        <v>2</v>
      </c>
      <c r="U260">
        <f t="shared" si="29"/>
        <v>2</v>
      </c>
    </row>
    <row r="261" spans="1:21" s="25" customFormat="1">
      <c r="A261" t="s">
        <v>152</v>
      </c>
      <c r="B261">
        <v>469</v>
      </c>
      <c r="C261"/>
      <c r="D261" t="s">
        <v>154</v>
      </c>
      <c r="E261" t="s">
        <v>154</v>
      </c>
      <c r="F261">
        <v>6</v>
      </c>
      <c r="G261">
        <f t="shared" si="24"/>
        <v>4.3165467625899279</v>
      </c>
      <c r="H261">
        <f t="shared" si="25"/>
        <v>4</v>
      </c>
      <c r="I261">
        <f t="shared" si="26"/>
        <v>0.31654676258992787</v>
      </c>
      <c r="J261" cm="1">
        <f t="array" ref="J261">INT(G261)+IF(100-SUM(INT(G$258:G$271))&gt;=RANK(I261,I$258:I$271)+COUNTIF(I$258:I261,I261)-1,1,0)</f>
        <v>4</v>
      </c>
      <c r="K261" t="str">
        <f>_xlfn.XLOOKUP(B261,BugList!A:A,BugList!H:H)</f>
        <v>*</v>
      </c>
      <c r="L261" t="str">
        <f>IF(K261 = "","",_xlfn.XLOOKUP(B261, BugList!A:A,BugList!B:B,""))</f>
        <v>Ephemeroptera</v>
      </c>
      <c r="M261">
        <f>_xlfn.XLOOKUP(D261,BugList!C:C,BugList!N:N)</f>
        <v>7</v>
      </c>
      <c r="N261">
        <f>_xlfn.XLOOKUP(B261,BugList!A:A,BugList!R:R)</f>
        <v>7</v>
      </c>
      <c r="O261" t="b">
        <f>_xlfn.XLOOKUP(B261,BugList!A:A,BugList!L:L)</f>
        <v>1</v>
      </c>
      <c r="P261" t="b">
        <f t="shared" si="27"/>
        <v>1</v>
      </c>
      <c r="Q261"/>
      <c r="R261" t="b">
        <f>SUMPRODUCT(COUNTIF(_xlfn.XLOOKUP(B261,BugList!A:A,BugList!P:P), "*SC*"))&gt;0</f>
        <v>0</v>
      </c>
      <c r="S261" t="str">
        <f>_xlfn.XLOOKUP(B261,BugList!A:A,BugList!W:W)</f>
        <v/>
      </c>
      <c r="T261">
        <f t="shared" si="28"/>
        <v>28</v>
      </c>
      <c r="U261">
        <f t="shared" si="29"/>
        <v>28</v>
      </c>
    </row>
    <row r="262" spans="1:21" s="25" customFormat="1">
      <c r="A262" t="s">
        <v>152</v>
      </c>
      <c r="B262">
        <v>500</v>
      </c>
      <c r="C262"/>
      <c r="D262" t="s">
        <v>151</v>
      </c>
      <c r="E262" t="s">
        <v>151</v>
      </c>
      <c r="F262">
        <v>3</v>
      </c>
      <c r="G262">
        <f t="shared" si="24"/>
        <v>2.1582733812949639</v>
      </c>
      <c r="H262">
        <f t="shared" si="25"/>
        <v>2</v>
      </c>
      <c r="I262">
        <f t="shared" si="26"/>
        <v>0.15827338129496393</v>
      </c>
      <c r="J262" cm="1">
        <f t="array" ref="J262">INT(G262)+IF(100-SUM(INT(G$258:G$271))&gt;=RANK(I262,I$258:I$271)+COUNTIF(I$258:I262,I262)-1,1,0)</f>
        <v>2</v>
      </c>
      <c r="K262" t="str">
        <f>_xlfn.XLOOKUP(B262,BugList!A:A,BugList!H:H)</f>
        <v>*</v>
      </c>
      <c r="L262" t="str">
        <f>IF(K262 = "","",_xlfn.XLOOKUP(B262, BugList!A:A,BugList!B:B,""))</f>
        <v>Ephemeroptera</v>
      </c>
      <c r="M262">
        <f>_xlfn.XLOOKUP(D262,BugList!C:C,BugList!N:N)</f>
        <v>1</v>
      </c>
      <c r="N262">
        <f>_xlfn.XLOOKUP(B262,BugList!A:A,BugList!R:R)</f>
        <v>1</v>
      </c>
      <c r="O262" t="b">
        <f>_xlfn.XLOOKUP(B262,BugList!A:A,BugList!L:L)</f>
        <v>1</v>
      </c>
      <c r="P262" t="b">
        <f t="shared" si="27"/>
        <v>1</v>
      </c>
      <c r="Q262"/>
      <c r="R262" t="b">
        <f>SUMPRODUCT(COUNTIF(_xlfn.XLOOKUP(B262,BugList!A:A,BugList!P:P), "*SC*"))&gt;0</f>
        <v>1</v>
      </c>
      <c r="S262" t="str">
        <f>_xlfn.XLOOKUP(B262,BugList!A:A,BugList!W:W)</f>
        <v/>
      </c>
      <c r="T262">
        <f t="shared" si="28"/>
        <v>2</v>
      </c>
      <c r="U262">
        <f t="shared" si="29"/>
        <v>2</v>
      </c>
    </row>
    <row r="263" spans="1:21" s="25" customFormat="1">
      <c r="A263" t="s">
        <v>152</v>
      </c>
      <c r="B263">
        <v>513</v>
      </c>
      <c r="C263"/>
      <c r="D263" t="s">
        <v>111</v>
      </c>
      <c r="E263" t="s">
        <v>111</v>
      </c>
      <c r="F263">
        <v>12</v>
      </c>
      <c r="G263">
        <f t="shared" si="24"/>
        <v>8.6330935251798557</v>
      </c>
      <c r="H263">
        <f t="shared" si="25"/>
        <v>8</v>
      </c>
      <c r="I263">
        <f t="shared" si="26"/>
        <v>0.63309352517985573</v>
      </c>
      <c r="J263" cm="1">
        <f t="array" ref="J263">INT(G263)+IF(100-SUM(INT(G$258:G$271))&gt;=RANK(I263,I$258:I$271)+COUNTIF(I$258:I263,I263)-1,1,0)</f>
        <v>9</v>
      </c>
      <c r="K263" t="str">
        <f>_xlfn.XLOOKUP(B263,BugList!A:A,BugList!H:H)</f>
        <v>*</v>
      </c>
      <c r="L263" t="str">
        <f>IF(K263 = "","",_xlfn.XLOOKUP(B263, BugList!A:A,BugList!B:B,""))</f>
        <v>Ephemeroptera</v>
      </c>
      <c r="M263">
        <f>_xlfn.XLOOKUP(D263,BugList!C:C,BugList!N:N)</f>
        <v>4</v>
      </c>
      <c r="N263">
        <f>_xlfn.XLOOKUP(B263,BugList!A:A,BugList!R:R)</f>
        <v>4</v>
      </c>
      <c r="O263" t="b">
        <f>_xlfn.XLOOKUP(B263,BugList!A:A,BugList!L:L)</f>
        <v>1</v>
      </c>
      <c r="P263" t="b">
        <f t="shared" si="27"/>
        <v>1</v>
      </c>
      <c r="Q263"/>
      <c r="R263" t="b">
        <f>SUMPRODUCT(COUNTIF(_xlfn.XLOOKUP(B263,BugList!A:A,BugList!P:P), "*SC*"))&gt;0</f>
        <v>1</v>
      </c>
      <c r="S263" t="str">
        <f>_xlfn.XLOOKUP(B263,BugList!A:A,BugList!W:W)</f>
        <v/>
      </c>
      <c r="T263">
        <f t="shared" si="28"/>
        <v>36</v>
      </c>
      <c r="U263">
        <f t="shared" si="29"/>
        <v>36</v>
      </c>
    </row>
    <row r="264" spans="1:21" s="25" customFormat="1">
      <c r="A264" t="s">
        <v>152</v>
      </c>
      <c r="B264">
        <v>794</v>
      </c>
      <c r="C264"/>
      <c r="D264" t="s">
        <v>89</v>
      </c>
      <c r="E264" t="s">
        <v>89</v>
      </c>
      <c r="F264">
        <v>33</v>
      </c>
      <c r="G264">
        <f t="shared" si="24"/>
        <v>23.741007194244602</v>
      </c>
      <c r="H264">
        <f t="shared" si="25"/>
        <v>23</v>
      </c>
      <c r="I264">
        <f t="shared" si="26"/>
        <v>0.74100719424460237</v>
      </c>
      <c r="J264" cm="1">
        <f t="array" ref="J264">INT(G264)+IF(100-SUM(INT(G$258:G$271))&gt;=RANK(I264,I$258:I$271)+COUNTIF(I$258:I264,I264)-1,1,0)</f>
        <v>24</v>
      </c>
      <c r="K264" t="str">
        <f>_xlfn.XLOOKUP(B264,BugList!A:A,BugList!H:H)</f>
        <v>*</v>
      </c>
      <c r="L264" t="str">
        <f>IF(K264 = "","",_xlfn.XLOOKUP(B264, BugList!A:A,BugList!B:B,""))</f>
        <v>Trichoptera</v>
      </c>
      <c r="M264">
        <f>_xlfn.XLOOKUP(D264,BugList!C:C,BugList!N:N)</f>
        <v>4</v>
      </c>
      <c r="N264">
        <f>_xlfn.XLOOKUP(B264,BugList!A:A,BugList!R:R)</f>
        <v>4</v>
      </c>
      <c r="O264" t="b">
        <f>_xlfn.XLOOKUP(B264,BugList!A:A,BugList!L:L)</f>
        <v>1</v>
      </c>
      <c r="P264" t="b">
        <f t="shared" si="27"/>
        <v>0</v>
      </c>
      <c r="Q264"/>
      <c r="R264" t="b">
        <f>SUMPRODUCT(COUNTIF(_xlfn.XLOOKUP(B264,BugList!A:A,BugList!P:P), "*SC*"))&gt;0</f>
        <v>0</v>
      </c>
      <c r="S264" t="str">
        <f>_xlfn.XLOOKUP(B264,BugList!A:A,BugList!W:W)</f>
        <v/>
      </c>
      <c r="T264">
        <f t="shared" si="28"/>
        <v>96</v>
      </c>
      <c r="U264">
        <f t="shared" si="29"/>
        <v>96</v>
      </c>
    </row>
    <row r="265" spans="1:21" s="25" customFormat="1">
      <c r="A265" t="s">
        <v>152</v>
      </c>
      <c r="B265">
        <v>837</v>
      </c>
      <c r="C265"/>
      <c r="D265" t="s">
        <v>107</v>
      </c>
      <c r="E265" t="s">
        <v>107</v>
      </c>
      <c r="F265">
        <v>25</v>
      </c>
      <c r="G265">
        <f t="shared" si="24"/>
        <v>17.985611510791365</v>
      </c>
      <c r="H265">
        <f t="shared" si="25"/>
        <v>17</v>
      </c>
      <c r="I265">
        <f t="shared" si="26"/>
        <v>0.98561151079136522</v>
      </c>
      <c r="J265" cm="1">
        <f t="array" ref="J265">INT(G265)+IF(100-SUM(INT(G$258:G$271))&gt;=RANK(I265,I$258:I$271)+COUNTIF(I$258:I265,I265)-1,1,0)</f>
        <v>18</v>
      </c>
      <c r="K265" t="str">
        <f>_xlfn.XLOOKUP(B265,BugList!A:A,BugList!H:H)</f>
        <v>*</v>
      </c>
      <c r="L265" t="str">
        <f>IF(K265 = "","",_xlfn.XLOOKUP(B265, BugList!A:A,BugList!B:B,""))</f>
        <v>Trichoptera</v>
      </c>
      <c r="M265">
        <f>_xlfn.XLOOKUP(D265,BugList!C:C,BugList!N:N)</f>
        <v>3</v>
      </c>
      <c r="N265">
        <f>_xlfn.XLOOKUP(B265,BugList!A:A,BugList!R:R)</f>
        <v>3</v>
      </c>
      <c r="O265" t="b">
        <f>_xlfn.XLOOKUP(B265,BugList!A:A,BugList!L:L)</f>
        <v>1</v>
      </c>
      <c r="P265" t="b">
        <f t="shared" si="27"/>
        <v>1</v>
      </c>
      <c r="Q265"/>
      <c r="R265" t="b">
        <f>SUMPRODUCT(COUNTIF(_xlfn.XLOOKUP(B265,BugList!A:A,BugList!P:P), "*SC*"))&gt;0</f>
        <v>0</v>
      </c>
      <c r="S265" t="str">
        <f>_xlfn.XLOOKUP(B265,BugList!A:A,BugList!W:W)</f>
        <v/>
      </c>
      <c r="T265">
        <f t="shared" si="28"/>
        <v>54</v>
      </c>
      <c r="U265">
        <f t="shared" si="29"/>
        <v>54</v>
      </c>
    </row>
    <row r="266" spans="1:21" s="25" customFormat="1">
      <c r="A266" t="s">
        <v>152</v>
      </c>
      <c r="B266">
        <v>935</v>
      </c>
      <c r="C266"/>
      <c r="D266" t="s">
        <v>98</v>
      </c>
      <c r="E266" t="s">
        <v>98</v>
      </c>
      <c r="F266">
        <v>4</v>
      </c>
      <c r="G266">
        <f t="shared" si="24"/>
        <v>2.877697841726619</v>
      </c>
      <c r="H266">
        <f t="shared" si="25"/>
        <v>2</v>
      </c>
      <c r="I266">
        <f t="shared" si="26"/>
        <v>0.87769784172661902</v>
      </c>
      <c r="J266" cm="1">
        <f t="array" ref="J266">INT(G266)+IF(100-SUM(INT(G$258:G$271))&gt;=RANK(I266,I$258:I$271)+COUNTIF(I$258:I266,I266)-1,1,0)</f>
        <v>3</v>
      </c>
      <c r="K266" t="str">
        <f>_xlfn.XLOOKUP(B266,BugList!A:A,BugList!H:H)</f>
        <v/>
      </c>
      <c r="L266" t="str">
        <f>IF(K266 = "","",_xlfn.XLOOKUP(B266, BugList!A:A,BugList!B:B,""))</f>
        <v/>
      </c>
      <c r="M266">
        <f>_xlfn.XLOOKUP(D266,BugList!C:C,BugList!N:N)</f>
        <v>4</v>
      </c>
      <c r="N266">
        <f>_xlfn.XLOOKUP(B266,BugList!A:A,BugList!R:R)</f>
        <v>4</v>
      </c>
      <c r="O266" t="b">
        <f>_xlfn.XLOOKUP(B266,BugList!A:A,BugList!L:L)</f>
        <v>1</v>
      </c>
      <c r="P266" t="b">
        <f t="shared" si="27"/>
        <v>0</v>
      </c>
      <c r="Q266"/>
      <c r="R266" t="b">
        <f>SUMPRODUCT(COUNTIF(_xlfn.XLOOKUP(B266,BugList!A:A,BugList!P:P), "*SC*"))&gt;0</f>
        <v>1</v>
      </c>
      <c r="S266" t="str">
        <f>_xlfn.XLOOKUP(B266,BugList!A:A,BugList!W:W)</f>
        <v/>
      </c>
      <c r="T266">
        <f t="shared" si="28"/>
        <v>12</v>
      </c>
      <c r="U266">
        <f t="shared" si="29"/>
        <v>12</v>
      </c>
    </row>
    <row r="267" spans="1:21" s="25" customFormat="1">
      <c r="A267" t="s">
        <v>152</v>
      </c>
      <c r="B267">
        <v>1002</v>
      </c>
      <c r="C267"/>
      <c r="D267" t="s">
        <v>100</v>
      </c>
      <c r="E267" t="s">
        <v>100</v>
      </c>
      <c r="F267">
        <v>3</v>
      </c>
      <c r="G267">
        <f t="shared" si="24"/>
        <v>2.1582733812949639</v>
      </c>
      <c r="H267">
        <f t="shared" si="25"/>
        <v>2</v>
      </c>
      <c r="I267">
        <f t="shared" si="26"/>
        <v>0.15827338129496393</v>
      </c>
      <c r="J267" cm="1">
        <f t="array" ref="J267">INT(G267)+IF(100-SUM(INT(G$258:G$271))&gt;=RANK(I267,I$258:I$271)+COUNTIF(I$258:I267,I267)-1,1,0)</f>
        <v>2</v>
      </c>
      <c r="K267" t="str">
        <f>_xlfn.XLOOKUP(B267,BugList!A:A,BugList!H:H)</f>
        <v/>
      </c>
      <c r="L267" t="str">
        <f>IF(K267 = "","",_xlfn.XLOOKUP(B267, BugList!A:A,BugList!B:B,""))</f>
        <v/>
      </c>
      <c r="M267">
        <f>_xlfn.XLOOKUP(D267,BugList!C:C,BugList!N:N)</f>
        <v>4</v>
      </c>
      <c r="N267">
        <f>_xlfn.XLOOKUP(B267,BugList!A:A,BugList!R:R)</f>
        <v>4</v>
      </c>
      <c r="O267" t="b">
        <f>_xlfn.XLOOKUP(B267,BugList!A:A,BugList!L:L)</f>
        <v>1</v>
      </c>
      <c r="P267" t="b">
        <f t="shared" si="27"/>
        <v>0</v>
      </c>
      <c r="Q267"/>
      <c r="R267" t="b">
        <f>SUMPRODUCT(COUNTIF(_xlfn.XLOOKUP(B267,BugList!A:A,BugList!P:P), "*SC*"))&gt;0</f>
        <v>1</v>
      </c>
      <c r="S267" t="str">
        <f>_xlfn.XLOOKUP(B267,BugList!A:A,BugList!W:W)</f>
        <v/>
      </c>
      <c r="T267">
        <f t="shared" si="28"/>
        <v>8</v>
      </c>
      <c r="U267">
        <f t="shared" si="29"/>
        <v>8</v>
      </c>
    </row>
    <row r="268" spans="1:21" s="25" customFormat="1">
      <c r="A268" t="s">
        <v>152</v>
      </c>
      <c r="B268">
        <v>1088</v>
      </c>
      <c r="C268"/>
      <c r="D268" t="s">
        <v>90</v>
      </c>
      <c r="E268" t="s">
        <v>90</v>
      </c>
      <c r="F268">
        <v>40</v>
      </c>
      <c r="G268">
        <f t="shared" si="24"/>
        <v>28.776978417266186</v>
      </c>
      <c r="H268">
        <f t="shared" si="25"/>
        <v>28</v>
      </c>
      <c r="I268">
        <f t="shared" si="26"/>
        <v>0.77697841726618577</v>
      </c>
      <c r="J268" cm="1">
        <f t="array" ref="J268">INT(G268)+IF(100-SUM(INT(G$258:G$271))&gt;=RANK(I268,I$258:I$271)+COUNTIF(I$258:I268,I268)-1,1,0)</f>
        <v>29</v>
      </c>
      <c r="K268" t="str">
        <f>_xlfn.XLOOKUP(B268,BugList!A:A,BugList!H:H)</f>
        <v/>
      </c>
      <c r="L268" t="str">
        <f>IF(K268 = "","",_xlfn.XLOOKUP(B268, BugList!A:A,BugList!B:B,""))</f>
        <v/>
      </c>
      <c r="M268">
        <f>_xlfn.XLOOKUP(D268,BugList!C:C,BugList!N:N)</f>
        <v>6</v>
      </c>
      <c r="N268">
        <f>_xlfn.XLOOKUP(B268,BugList!A:A,BugList!R:R)</f>
        <v>6</v>
      </c>
      <c r="O268" t="b">
        <f>_xlfn.XLOOKUP(B268,BugList!A:A,BugList!L:L)</f>
        <v>1</v>
      </c>
      <c r="P268" t="b">
        <f t="shared" si="27"/>
        <v>0</v>
      </c>
      <c r="Q268"/>
      <c r="R268" t="b">
        <f>SUMPRODUCT(COUNTIF(_xlfn.XLOOKUP(B268,BugList!A:A,BugList!P:P), "*SC*"))&gt;0</f>
        <v>0</v>
      </c>
      <c r="S268" t="str">
        <f>_xlfn.XLOOKUP(B268,BugList!A:A,BugList!W:W)</f>
        <v/>
      </c>
      <c r="T268">
        <f t="shared" si="28"/>
        <v>174</v>
      </c>
      <c r="U268">
        <f t="shared" si="29"/>
        <v>174</v>
      </c>
    </row>
    <row r="269" spans="1:21" s="25" customFormat="1">
      <c r="A269" t="s">
        <v>152</v>
      </c>
      <c r="B269">
        <v>1089</v>
      </c>
      <c r="C269"/>
      <c r="D269" t="s">
        <v>126</v>
      </c>
      <c r="E269" t="s">
        <v>127</v>
      </c>
      <c r="F269">
        <v>6</v>
      </c>
      <c r="G269">
        <f t="shared" si="24"/>
        <v>4.3165467625899279</v>
      </c>
      <c r="H269">
        <f t="shared" si="25"/>
        <v>4</v>
      </c>
      <c r="I269">
        <f t="shared" si="26"/>
        <v>0.31654676258992787</v>
      </c>
      <c r="J269" cm="1">
        <f t="array" ref="J269">INT(G269)+IF(100-SUM(INT(G$258:G$271))&gt;=RANK(I269,I$258:I$271)+COUNTIF(I$258:I269,I269)-1,1,0)</f>
        <v>4</v>
      </c>
      <c r="K269" t="str">
        <f>_xlfn.XLOOKUP(B269,BugList!A:A,BugList!H:H)</f>
        <v/>
      </c>
      <c r="L269" t="str">
        <f>IF(K269 = "","",_xlfn.XLOOKUP(B269, BugList!A:A,BugList!B:B,""))</f>
        <v/>
      </c>
      <c r="M269">
        <f>_xlfn.XLOOKUP(D269,BugList!C:C,BugList!N:N)</f>
        <v>8</v>
      </c>
      <c r="N269">
        <f>_xlfn.XLOOKUP(B269,BugList!A:A,BugList!R:R)</f>
        <v>10</v>
      </c>
      <c r="O269" t="b">
        <f>_xlfn.XLOOKUP(B269,BugList!A:A,BugList!L:L)</f>
        <v>1</v>
      </c>
      <c r="P269" t="b">
        <f t="shared" si="27"/>
        <v>0</v>
      </c>
      <c r="Q269"/>
      <c r="R269" t="b">
        <f>SUMPRODUCT(COUNTIF(_xlfn.XLOOKUP(B269,BugList!A:A,BugList!P:P), "*SC*"))&gt;0</f>
        <v>0</v>
      </c>
      <c r="S269" t="str">
        <f>_xlfn.XLOOKUP(B269,BugList!A:A,BugList!W:W)</f>
        <v/>
      </c>
      <c r="T269">
        <f t="shared" si="28"/>
        <v>32</v>
      </c>
      <c r="U269">
        <f t="shared" si="29"/>
        <v>40</v>
      </c>
    </row>
    <row r="270" spans="1:21" s="25" customFormat="1">
      <c r="A270" t="s">
        <v>152</v>
      </c>
      <c r="B270">
        <v>1696</v>
      </c>
      <c r="C270"/>
      <c r="D270" t="s">
        <v>94</v>
      </c>
      <c r="E270" t="s">
        <v>94</v>
      </c>
      <c r="F270">
        <v>1</v>
      </c>
      <c r="G270">
        <f t="shared" si="24"/>
        <v>0.71942446043165476</v>
      </c>
      <c r="H270">
        <f t="shared" si="25"/>
        <v>0</v>
      </c>
      <c r="I270">
        <f t="shared" si="26"/>
        <v>0.71942446043165476</v>
      </c>
      <c r="J270" cm="1">
        <f t="array" ref="J270">INT(G270)+IF(100-SUM(INT(G$258:G$271))&gt;=RANK(I270,I$258:I$271)+COUNTIF(I$258:I270,I270)-1,1,0)</f>
        <v>1</v>
      </c>
      <c r="K270" t="str">
        <f>_xlfn.XLOOKUP(B270,BugList!A:A,BugList!H:H)</f>
        <v/>
      </c>
      <c r="L270" t="str">
        <f>IF(K270 = "","",_xlfn.XLOOKUP(B270, BugList!A:A,BugList!B:B,""))</f>
        <v/>
      </c>
      <c r="M270">
        <f>_xlfn.XLOOKUP(D270,BugList!C:C,BugList!N:N)</f>
        <v>8</v>
      </c>
      <c r="N270">
        <f>_xlfn.XLOOKUP(B270,BugList!A:A,BugList!R:R)</f>
        <v>8</v>
      </c>
      <c r="O270" t="b">
        <f>_xlfn.XLOOKUP(B270,BugList!A:A,BugList!L:L)</f>
        <v>0</v>
      </c>
      <c r="P270" t="b">
        <f t="shared" si="27"/>
        <v>0</v>
      </c>
      <c r="Q270"/>
      <c r="R270" t="b">
        <f>SUMPRODUCT(COUNTIF(_xlfn.XLOOKUP(B270,BugList!A:A,BugList!P:P), "*SC*"))&gt;0</f>
        <v>0</v>
      </c>
      <c r="S270" t="str">
        <f>_xlfn.XLOOKUP(B270,BugList!A:A,BugList!W:W)</f>
        <v/>
      </c>
      <c r="T270">
        <f t="shared" si="28"/>
        <v>8</v>
      </c>
      <c r="U270">
        <f t="shared" si="29"/>
        <v>8</v>
      </c>
    </row>
    <row r="271" spans="1:21" s="25" customFormat="1">
      <c r="A271" t="s">
        <v>152</v>
      </c>
      <c r="B271">
        <v>2781</v>
      </c>
      <c r="C271"/>
      <c r="D271" t="s">
        <v>109</v>
      </c>
      <c r="E271" t="s">
        <v>109</v>
      </c>
      <c r="F271">
        <v>1</v>
      </c>
      <c r="G271">
        <f t="shared" si="24"/>
        <v>0.71942446043165476</v>
      </c>
      <c r="H271">
        <f t="shared" si="25"/>
        <v>0</v>
      </c>
      <c r="I271">
        <f t="shared" si="26"/>
        <v>0.71942446043165476</v>
      </c>
      <c r="J271" cm="1">
        <f t="array" ref="J271">INT(G271)+IF(100-SUM(INT(G$258:G$271))&gt;=RANK(I271,I$258:I$271)+COUNTIF(I$258:I271,I271)-1,1,0)</f>
        <v>1</v>
      </c>
      <c r="K271" t="str">
        <f>_xlfn.XLOOKUP(B271,BugList!A:A,BugList!H:H)</f>
        <v/>
      </c>
      <c r="L271" t="str">
        <f>IF(K271 = "","",_xlfn.XLOOKUP(B271, BugList!A:A,BugList!B:B,""))</f>
        <v/>
      </c>
      <c r="M271">
        <f>_xlfn.XLOOKUP(D271,BugList!C:C,BugList!N:N)</f>
        <v>6</v>
      </c>
      <c r="N271">
        <f>_xlfn.XLOOKUP(B271,BugList!A:A,BugList!R:R)</f>
        <v>4</v>
      </c>
      <c r="O271" t="b">
        <f>_xlfn.XLOOKUP(B271,BugList!A:A,BugList!L:L)</f>
        <v>0</v>
      </c>
      <c r="P271" t="b">
        <f t="shared" si="27"/>
        <v>0</v>
      </c>
      <c r="Q271"/>
      <c r="R271" t="b">
        <f>SUMPRODUCT(COUNTIF(_xlfn.XLOOKUP(B271,BugList!A:A,BugList!P:P), "*SC*"))&gt;0</f>
        <v>0</v>
      </c>
      <c r="S271" t="str">
        <f>_xlfn.XLOOKUP(B271,BugList!A:A,BugList!W:W)</f>
        <v/>
      </c>
      <c r="T271">
        <f t="shared" si="28"/>
        <v>6</v>
      </c>
      <c r="U271">
        <f t="shared" si="29"/>
        <v>4</v>
      </c>
    </row>
    <row r="272" spans="1:21" s="19" customFormat="1">
      <c r="A272" t="s">
        <v>155</v>
      </c>
      <c r="B272">
        <v>88</v>
      </c>
      <c r="C272"/>
      <c r="D272" t="s">
        <v>85</v>
      </c>
      <c r="E272" t="s">
        <v>85</v>
      </c>
      <c r="F272">
        <v>4</v>
      </c>
      <c r="G272">
        <f t="shared" si="24"/>
        <v>3.5714285714285712</v>
      </c>
      <c r="H272">
        <f t="shared" si="25"/>
        <v>3</v>
      </c>
      <c r="I272">
        <f t="shared" si="26"/>
        <v>0.57142857142857117</v>
      </c>
      <c r="J272" cm="1">
        <f t="array" ref="J272">INT(G272)+IF(100-SUM(INT(G$272:G$282))&gt;=RANK(I272,I$272:I$282)+COUNTIF(I$272:I272,I272)-1,1,0)</f>
        <v>4</v>
      </c>
      <c r="K272"/>
      <c r="L272" t="str">
        <f>IF(K272 = "","",_xlfn.XLOOKUP(B272, BugList!A:A,BugList!B:B,""))</f>
        <v/>
      </c>
      <c r="M272">
        <f>_xlfn.XLOOKUP(D272,BugList!C:C,BugList!N:N)</f>
        <v>4</v>
      </c>
      <c r="N272">
        <f>_xlfn.XLOOKUP(B272,BugList!A:A,BugList!R:R)</f>
        <v>4</v>
      </c>
      <c r="O272" t="b">
        <f>_xlfn.XLOOKUP(B272,BugList!A:A,BugList!L:L)</f>
        <v>0</v>
      </c>
      <c r="P272" t="b">
        <f t="shared" si="27"/>
        <v>0</v>
      </c>
      <c r="Q272"/>
      <c r="R272" t="b">
        <f>SUMPRODUCT(COUNTIF(_xlfn.XLOOKUP(B272,BugList!A:A,BugList!P:P), "*SC*"))&gt;0</f>
        <v>0</v>
      </c>
      <c r="S272" t="str">
        <f>_xlfn.XLOOKUP(B272,BugList!A:A,BugList!W:W)</f>
        <v/>
      </c>
      <c r="T272">
        <f t="shared" si="28"/>
        <v>16</v>
      </c>
      <c r="U272">
        <f t="shared" si="29"/>
        <v>16</v>
      </c>
    </row>
    <row r="273" spans="1:21" s="19" customFormat="1">
      <c r="A273" t="s">
        <v>155</v>
      </c>
      <c r="B273">
        <v>469</v>
      </c>
      <c r="C273"/>
      <c r="D273" t="s">
        <v>154</v>
      </c>
      <c r="E273" t="s">
        <v>154</v>
      </c>
      <c r="F273">
        <v>2</v>
      </c>
      <c r="G273">
        <f t="shared" si="24"/>
        <v>1.7857142857142856</v>
      </c>
      <c r="H273">
        <f t="shared" si="25"/>
        <v>1</v>
      </c>
      <c r="I273">
        <f t="shared" si="26"/>
        <v>0.78571428571428559</v>
      </c>
      <c r="J273" cm="1">
        <f t="array" ref="J273">INT(G273)+IF(100-SUM(INT(G$272:G$282))&gt;=RANK(I273,I$272:I$282)+COUNTIF(I$272:I273,I273)-1,1,0)</f>
        <v>2</v>
      </c>
      <c r="K273" t="str">
        <f>_xlfn.XLOOKUP(B273,BugList!A:A,BugList!H:H)</f>
        <v>*</v>
      </c>
      <c r="L273" t="str">
        <f>IF(K273 = "","",_xlfn.XLOOKUP(B273, BugList!A:A,BugList!B:B,""))</f>
        <v>Ephemeroptera</v>
      </c>
      <c r="M273">
        <f>_xlfn.XLOOKUP(D273,BugList!C:C,BugList!N:N)</f>
        <v>7</v>
      </c>
      <c r="N273">
        <f>_xlfn.XLOOKUP(B273,BugList!A:A,BugList!R:R)</f>
        <v>7</v>
      </c>
      <c r="O273" t="b">
        <f>_xlfn.XLOOKUP(B273,BugList!A:A,BugList!L:L)</f>
        <v>1</v>
      </c>
      <c r="P273" t="b">
        <f t="shared" si="27"/>
        <v>1</v>
      </c>
      <c r="Q273"/>
      <c r="R273" t="b">
        <f>SUMPRODUCT(COUNTIF(_xlfn.XLOOKUP(B273,BugList!A:A,BugList!P:P), "*SC*"))&gt;0</f>
        <v>0</v>
      </c>
      <c r="S273" t="str">
        <f>_xlfn.XLOOKUP(B273,BugList!A:A,BugList!W:W)</f>
        <v/>
      </c>
      <c r="T273">
        <f t="shared" si="28"/>
        <v>14</v>
      </c>
      <c r="U273">
        <f t="shared" si="29"/>
        <v>14</v>
      </c>
    </row>
    <row r="274" spans="1:21" s="19" customFormat="1">
      <c r="A274" t="s">
        <v>155</v>
      </c>
      <c r="B274">
        <v>513</v>
      </c>
      <c r="C274"/>
      <c r="D274" t="s">
        <v>111</v>
      </c>
      <c r="E274" t="s">
        <v>111</v>
      </c>
      <c r="F274">
        <v>3</v>
      </c>
      <c r="G274">
        <f t="shared" si="24"/>
        <v>2.6785714285714284</v>
      </c>
      <c r="H274">
        <f t="shared" si="25"/>
        <v>2</v>
      </c>
      <c r="I274">
        <f t="shared" si="26"/>
        <v>0.67857142857142838</v>
      </c>
      <c r="J274" cm="1">
        <f t="array" ref="J274">INT(G274)+IF(100-SUM(INT(G$272:G$282))&gt;=RANK(I274,I$272:I$282)+COUNTIF(I$272:I274,I274)-1,1,0)</f>
        <v>3</v>
      </c>
      <c r="K274" t="str">
        <f>_xlfn.XLOOKUP(B274,BugList!A:A,BugList!H:H)</f>
        <v>*</v>
      </c>
      <c r="L274" t="str">
        <f>IF(K274 = "","",_xlfn.XLOOKUP(B274, BugList!A:A,BugList!B:B,""))</f>
        <v>Ephemeroptera</v>
      </c>
      <c r="M274">
        <f>_xlfn.XLOOKUP(D274,BugList!C:C,BugList!N:N)</f>
        <v>4</v>
      </c>
      <c r="N274">
        <f>_xlfn.XLOOKUP(B274,BugList!A:A,BugList!R:R)</f>
        <v>4</v>
      </c>
      <c r="O274" t="b">
        <f>_xlfn.XLOOKUP(B274,BugList!A:A,BugList!L:L)</f>
        <v>1</v>
      </c>
      <c r="P274" t="b">
        <f t="shared" si="27"/>
        <v>1</v>
      </c>
      <c r="Q274"/>
      <c r="R274" t="b">
        <f>SUMPRODUCT(COUNTIF(_xlfn.XLOOKUP(B274,BugList!A:A,BugList!P:P), "*SC*"))&gt;0</f>
        <v>1</v>
      </c>
      <c r="S274" t="str">
        <f>_xlfn.XLOOKUP(B274,BugList!A:A,BugList!W:W)</f>
        <v/>
      </c>
      <c r="T274">
        <f t="shared" si="28"/>
        <v>12</v>
      </c>
      <c r="U274">
        <f t="shared" si="29"/>
        <v>12</v>
      </c>
    </row>
    <row r="275" spans="1:21" s="19" customFormat="1">
      <c r="A275" t="s">
        <v>155</v>
      </c>
      <c r="B275">
        <v>602</v>
      </c>
      <c r="C275"/>
      <c r="D275" t="s">
        <v>97</v>
      </c>
      <c r="E275" t="s">
        <v>97</v>
      </c>
      <c r="F275">
        <v>2</v>
      </c>
      <c r="G275">
        <f t="shared" si="24"/>
        <v>1.7857142857142856</v>
      </c>
      <c r="H275">
        <f t="shared" si="25"/>
        <v>1</v>
      </c>
      <c r="I275">
        <f t="shared" si="26"/>
        <v>0.78571428571428559</v>
      </c>
      <c r="J275" cm="1">
        <f t="array" ref="J275">INT(G275)+IF(100-SUM(INT(G$272:G$282))&gt;=RANK(I275,I$272:I$282)+COUNTIF(I$272:I275,I275)-1,1,0)</f>
        <v>2</v>
      </c>
      <c r="K275" t="str">
        <f>_xlfn.XLOOKUP(B275,BugList!A:A,BugList!H:H)</f>
        <v/>
      </c>
      <c r="L275" t="str">
        <f>IF(K275 = "","",_xlfn.XLOOKUP(B275, BugList!A:A,BugList!B:B,""))</f>
        <v/>
      </c>
      <c r="M275">
        <f>_xlfn.XLOOKUP(D275,BugList!C:C,BugList!N:N)</f>
        <v>9</v>
      </c>
      <c r="N275">
        <f>_xlfn.XLOOKUP(B275,BugList!A:A,BugList!R:R)</f>
        <v>9</v>
      </c>
      <c r="O275" t="b">
        <f>_xlfn.XLOOKUP(B275,BugList!A:A,BugList!L:L)</f>
        <v>1</v>
      </c>
      <c r="P275" t="b">
        <f t="shared" si="27"/>
        <v>0</v>
      </c>
      <c r="Q275"/>
      <c r="R275" t="b">
        <f>SUMPRODUCT(COUNTIF(_xlfn.XLOOKUP(B275,BugList!A:A,BugList!P:P), "*SC*"))&gt;0</f>
        <v>0</v>
      </c>
      <c r="S275" t="str">
        <f>_xlfn.XLOOKUP(B275,BugList!A:A,BugList!W:W)</f>
        <v/>
      </c>
      <c r="T275">
        <f t="shared" si="28"/>
        <v>18</v>
      </c>
      <c r="U275">
        <f t="shared" si="29"/>
        <v>18</v>
      </c>
    </row>
    <row r="276" spans="1:21" s="19" customFormat="1">
      <c r="A276" t="s">
        <v>155</v>
      </c>
      <c r="B276">
        <v>794</v>
      </c>
      <c r="C276"/>
      <c r="D276" t="s">
        <v>89</v>
      </c>
      <c r="E276" t="s">
        <v>89</v>
      </c>
      <c r="F276">
        <v>4</v>
      </c>
      <c r="G276">
        <f t="shared" si="24"/>
        <v>3.5714285714285712</v>
      </c>
      <c r="H276">
        <f t="shared" si="25"/>
        <v>3</v>
      </c>
      <c r="I276">
        <f t="shared" si="26"/>
        <v>0.57142857142857117</v>
      </c>
      <c r="J276" cm="1">
        <f t="array" ref="J276">INT(G276)+IF(100-SUM(INT(G$272:G$282))&gt;=RANK(I276,I$272:I$282)+COUNTIF(I$272:I276,I276)-1,1,0)</f>
        <v>3</v>
      </c>
      <c r="K276" t="str">
        <f>_xlfn.XLOOKUP(B276,BugList!A:A,BugList!H:H)</f>
        <v>*</v>
      </c>
      <c r="L276" t="str">
        <f>IF(K276 = "","",_xlfn.XLOOKUP(B276, BugList!A:A,BugList!B:B,""))</f>
        <v>Trichoptera</v>
      </c>
      <c r="M276">
        <f>_xlfn.XLOOKUP(D276,BugList!C:C,BugList!N:N)</f>
        <v>4</v>
      </c>
      <c r="N276">
        <f>_xlfn.XLOOKUP(B276,BugList!A:A,BugList!R:R)</f>
        <v>4</v>
      </c>
      <c r="O276" t="b">
        <f>_xlfn.XLOOKUP(B276,BugList!A:A,BugList!L:L)</f>
        <v>1</v>
      </c>
      <c r="P276" t="b">
        <f t="shared" si="27"/>
        <v>0</v>
      </c>
      <c r="Q276"/>
      <c r="R276" t="b">
        <f>SUMPRODUCT(COUNTIF(_xlfn.XLOOKUP(B276,BugList!A:A,BugList!P:P), "*SC*"))&gt;0</f>
        <v>0</v>
      </c>
      <c r="S276" t="str">
        <f>_xlfn.XLOOKUP(B276,BugList!A:A,BugList!W:W)</f>
        <v/>
      </c>
      <c r="T276">
        <f t="shared" si="28"/>
        <v>12</v>
      </c>
      <c r="U276">
        <f t="shared" si="29"/>
        <v>12</v>
      </c>
    </row>
    <row r="277" spans="1:21" s="19" customFormat="1">
      <c r="A277" t="s">
        <v>155</v>
      </c>
      <c r="B277">
        <v>837</v>
      </c>
      <c r="C277"/>
      <c r="D277" t="s">
        <v>107</v>
      </c>
      <c r="E277" t="s">
        <v>107</v>
      </c>
      <c r="F277">
        <v>9</v>
      </c>
      <c r="G277">
        <f t="shared" si="24"/>
        <v>8.0357142857142865</v>
      </c>
      <c r="H277">
        <f t="shared" si="25"/>
        <v>8</v>
      </c>
      <c r="I277">
        <f t="shared" si="26"/>
        <v>3.5714285714286476E-2</v>
      </c>
      <c r="J277" cm="1">
        <f t="array" ref="J277">INT(G277)+IF(100-SUM(INT(G$272:G$282))&gt;=RANK(I277,I$272:I$282)+COUNTIF(I$272:I277,I277)-1,1,0)</f>
        <v>8</v>
      </c>
      <c r="K277" t="str">
        <f>_xlfn.XLOOKUP(B277,BugList!A:A,BugList!H:H)</f>
        <v>*</v>
      </c>
      <c r="L277" t="str">
        <f>IF(K277 = "","",_xlfn.XLOOKUP(B277, BugList!A:A,BugList!B:B,""))</f>
        <v>Trichoptera</v>
      </c>
      <c r="M277">
        <f>_xlfn.XLOOKUP(D277,BugList!C:C,BugList!N:N)</f>
        <v>3</v>
      </c>
      <c r="N277">
        <f>_xlfn.XLOOKUP(B277,BugList!A:A,BugList!R:R)</f>
        <v>3</v>
      </c>
      <c r="O277" t="b">
        <f>_xlfn.XLOOKUP(B277,BugList!A:A,BugList!L:L)</f>
        <v>1</v>
      </c>
      <c r="P277" t="b">
        <f t="shared" si="27"/>
        <v>1</v>
      </c>
      <c r="Q277"/>
      <c r="R277" t="b">
        <f>SUMPRODUCT(COUNTIF(_xlfn.XLOOKUP(B277,BugList!A:A,BugList!P:P), "*SC*"))&gt;0</f>
        <v>0</v>
      </c>
      <c r="S277" t="str">
        <f>_xlfn.XLOOKUP(B277,BugList!A:A,BugList!W:W)</f>
        <v/>
      </c>
      <c r="T277">
        <f t="shared" si="28"/>
        <v>24</v>
      </c>
      <c r="U277">
        <f t="shared" si="29"/>
        <v>24</v>
      </c>
    </row>
    <row r="278" spans="1:21" s="19" customFormat="1">
      <c r="A278" t="s">
        <v>155</v>
      </c>
      <c r="B278">
        <v>863</v>
      </c>
      <c r="C278"/>
      <c r="D278" t="s">
        <v>156</v>
      </c>
      <c r="E278" t="s">
        <v>156</v>
      </c>
      <c r="F278">
        <v>1</v>
      </c>
      <c r="G278">
        <f t="shared" si="24"/>
        <v>0.89285714285714279</v>
      </c>
      <c r="H278">
        <f t="shared" si="25"/>
        <v>0</v>
      </c>
      <c r="I278">
        <f t="shared" si="26"/>
        <v>0.89285714285714279</v>
      </c>
      <c r="J278" cm="1">
        <f t="array" ref="J278">INT(G278)+IF(100-SUM(INT(G$272:G$282))&gt;=RANK(I278,I$272:I$282)+COUNTIF(I$272:I278,I278)-1,1,0)</f>
        <v>1</v>
      </c>
      <c r="K278" t="str">
        <f>_xlfn.XLOOKUP(B278,BugList!A:A,BugList!H:H)</f>
        <v>*</v>
      </c>
      <c r="L278" t="str">
        <f>IF(K278 = "","",_xlfn.XLOOKUP(B278, BugList!A:A,BugList!B:B,""))</f>
        <v>Trichoptera</v>
      </c>
      <c r="M278">
        <f>_xlfn.XLOOKUP(D278,BugList!C:C,BugList!N:N)</f>
        <v>0</v>
      </c>
      <c r="N278">
        <f>_xlfn.XLOOKUP(B278,BugList!A:A,BugList!R:R)</f>
        <v>0</v>
      </c>
      <c r="O278" t="b">
        <f>_xlfn.XLOOKUP(B278,BugList!A:A,BugList!L:L)</f>
        <v>1</v>
      </c>
      <c r="P278" t="b">
        <f t="shared" si="27"/>
        <v>1</v>
      </c>
      <c r="Q278"/>
      <c r="R278" t="b">
        <f>SUMPRODUCT(COUNTIF(_xlfn.XLOOKUP(B278,BugList!A:A,BugList!P:P), "*SC*"))&gt;0</f>
        <v>0</v>
      </c>
      <c r="S278" t="str">
        <f>_xlfn.XLOOKUP(B278,BugList!A:A,BugList!W:W)</f>
        <v/>
      </c>
      <c r="T278">
        <f t="shared" si="28"/>
        <v>0</v>
      </c>
      <c r="U278">
        <f t="shared" si="29"/>
        <v>0</v>
      </c>
    </row>
    <row r="279" spans="1:21" s="19" customFormat="1">
      <c r="A279" t="s">
        <v>155</v>
      </c>
      <c r="B279">
        <v>935</v>
      </c>
      <c r="C279"/>
      <c r="D279" t="s">
        <v>98</v>
      </c>
      <c r="E279" t="s">
        <v>98</v>
      </c>
      <c r="F279">
        <v>3</v>
      </c>
      <c r="G279">
        <f t="shared" si="24"/>
        <v>2.6785714285714284</v>
      </c>
      <c r="H279">
        <f t="shared" si="25"/>
        <v>2</v>
      </c>
      <c r="I279">
        <f t="shared" si="26"/>
        <v>0.67857142857142838</v>
      </c>
      <c r="J279" cm="1">
        <f t="array" ref="J279">INT(G279)+IF(100-SUM(INT(G$272:G$282))&gt;=RANK(I279,I$272:I$282)+COUNTIF(I$272:I279,I279)-1,1,0)</f>
        <v>3</v>
      </c>
      <c r="K279" t="str">
        <f>_xlfn.XLOOKUP(B279,BugList!A:A,BugList!H:H)</f>
        <v/>
      </c>
      <c r="L279" t="str">
        <f>IF(K279 = "","",_xlfn.XLOOKUP(B279, BugList!A:A,BugList!B:B,""))</f>
        <v/>
      </c>
      <c r="M279">
        <f>_xlfn.XLOOKUP(D279,BugList!C:C,BugList!N:N)</f>
        <v>4</v>
      </c>
      <c r="N279">
        <f>_xlfn.XLOOKUP(B279,BugList!A:A,BugList!R:R)</f>
        <v>4</v>
      </c>
      <c r="O279" t="b">
        <f>_xlfn.XLOOKUP(B279,BugList!A:A,BugList!L:L)</f>
        <v>1</v>
      </c>
      <c r="P279" t="b">
        <f t="shared" si="27"/>
        <v>0</v>
      </c>
      <c r="Q279"/>
      <c r="R279" t="b">
        <f>SUMPRODUCT(COUNTIF(_xlfn.XLOOKUP(B279,BugList!A:A,BugList!P:P), "*SC*"))&gt;0</f>
        <v>1</v>
      </c>
      <c r="S279" t="str">
        <f>_xlfn.XLOOKUP(B279,BugList!A:A,BugList!W:W)</f>
        <v/>
      </c>
      <c r="T279">
        <f t="shared" si="28"/>
        <v>12</v>
      </c>
      <c r="U279">
        <f t="shared" si="29"/>
        <v>12</v>
      </c>
    </row>
    <row r="280" spans="1:21" s="19" customFormat="1">
      <c r="A280" t="s">
        <v>155</v>
      </c>
      <c r="B280">
        <v>1002</v>
      </c>
      <c r="C280"/>
      <c r="D280" t="s">
        <v>100</v>
      </c>
      <c r="E280" t="s">
        <v>100</v>
      </c>
      <c r="F280">
        <v>4</v>
      </c>
      <c r="G280">
        <f t="shared" si="24"/>
        <v>3.5714285714285712</v>
      </c>
      <c r="H280">
        <f t="shared" si="25"/>
        <v>3</v>
      </c>
      <c r="I280">
        <f t="shared" si="26"/>
        <v>0.57142857142857117</v>
      </c>
      <c r="J280" cm="1">
        <f t="array" ref="J280">INT(G280)+IF(100-SUM(INT(G$272:G$282))&gt;=RANK(I280,I$272:I$282)+COUNTIF(I$272:I280,I280)-1,1,0)</f>
        <v>3</v>
      </c>
      <c r="K280" t="str">
        <f>_xlfn.XLOOKUP(B280,BugList!A:A,BugList!H:H)</f>
        <v/>
      </c>
      <c r="L280" t="str">
        <f>IF(K280 = "","",_xlfn.XLOOKUP(B280, BugList!A:A,BugList!B:B,""))</f>
        <v/>
      </c>
      <c r="M280">
        <f>_xlfn.XLOOKUP(D280,BugList!C:C,BugList!N:N)</f>
        <v>4</v>
      </c>
      <c r="N280">
        <f>_xlfn.XLOOKUP(B280,BugList!A:A,BugList!R:R)</f>
        <v>4</v>
      </c>
      <c r="O280" t="b">
        <f>_xlfn.XLOOKUP(B280,BugList!A:A,BugList!L:L)</f>
        <v>1</v>
      </c>
      <c r="P280" t="b">
        <f t="shared" si="27"/>
        <v>0</v>
      </c>
      <c r="Q280"/>
      <c r="R280" t="b">
        <f>SUMPRODUCT(COUNTIF(_xlfn.XLOOKUP(B280,BugList!A:A,BugList!P:P), "*SC*"))&gt;0</f>
        <v>1</v>
      </c>
      <c r="S280" t="str">
        <f>_xlfn.XLOOKUP(B280,BugList!A:A,BugList!W:W)</f>
        <v/>
      </c>
      <c r="T280">
        <f t="shared" si="28"/>
        <v>12</v>
      </c>
      <c r="U280">
        <f t="shared" si="29"/>
        <v>12</v>
      </c>
    </row>
    <row r="281" spans="1:21" s="19" customFormat="1">
      <c r="A281" t="s">
        <v>155</v>
      </c>
      <c r="B281">
        <v>1088</v>
      </c>
      <c r="C281"/>
      <c r="D281" t="s">
        <v>90</v>
      </c>
      <c r="E281" t="s">
        <v>90</v>
      </c>
      <c r="F281">
        <v>79</v>
      </c>
      <c r="G281">
        <f t="shared" si="24"/>
        <v>70.535714285714292</v>
      </c>
      <c r="H281">
        <f t="shared" si="25"/>
        <v>70</v>
      </c>
      <c r="I281">
        <f t="shared" si="26"/>
        <v>0.5357142857142918</v>
      </c>
      <c r="J281" cm="1">
        <f t="array" ref="J281">INT(G281)+IF(100-SUM(INT(G$272:G$282))&gt;=RANK(I281,I$272:I$282)+COUNTIF(I$272:I281,I281)-1,1,0)</f>
        <v>70</v>
      </c>
      <c r="K281" t="str">
        <f>_xlfn.XLOOKUP(B281,BugList!A:A,BugList!H:H)</f>
        <v/>
      </c>
      <c r="L281" t="str">
        <f>IF(K281 = "","",_xlfn.XLOOKUP(B281, BugList!A:A,BugList!B:B,""))</f>
        <v/>
      </c>
      <c r="M281">
        <f>_xlfn.XLOOKUP(D281,BugList!C:C,BugList!N:N)</f>
        <v>6</v>
      </c>
      <c r="N281">
        <f>_xlfn.XLOOKUP(B281,BugList!A:A,BugList!R:R)</f>
        <v>6</v>
      </c>
      <c r="O281" t="b">
        <f>_xlfn.XLOOKUP(B281,BugList!A:A,BugList!L:L)</f>
        <v>1</v>
      </c>
      <c r="P281" t="b">
        <f t="shared" si="27"/>
        <v>0</v>
      </c>
      <c r="Q281"/>
      <c r="R281" t="b">
        <f>SUMPRODUCT(COUNTIF(_xlfn.XLOOKUP(B281,BugList!A:A,BugList!P:P), "*SC*"))&gt;0</f>
        <v>0</v>
      </c>
      <c r="S281" t="str">
        <f>_xlfn.XLOOKUP(B281,BugList!A:A,BugList!W:W)</f>
        <v/>
      </c>
      <c r="T281">
        <f t="shared" si="28"/>
        <v>420</v>
      </c>
      <c r="U281">
        <f t="shared" si="29"/>
        <v>420</v>
      </c>
    </row>
    <row r="282" spans="1:21" s="19" customFormat="1">
      <c r="A282" t="s">
        <v>155</v>
      </c>
      <c r="B282">
        <v>1555</v>
      </c>
      <c r="C282"/>
      <c r="D282" t="s">
        <v>120</v>
      </c>
      <c r="E282" t="s">
        <v>120</v>
      </c>
      <c r="F282">
        <v>1</v>
      </c>
      <c r="G282">
        <f t="shared" si="24"/>
        <v>0.89285714285714279</v>
      </c>
      <c r="H282">
        <f t="shared" si="25"/>
        <v>0</v>
      </c>
      <c r="I282">
        <f t="shared" si="26"/>
        <v>0.89285714285714279</v>
      </c>
      <c r="J282" cm="1">
        <f t="array" ref="J282">INT(G282)+IF(100-SUM(INT(G$272:G$282))&gt;=RANK(I282,I$272:I$282)+COUNTIF(I$272:I282,I282)-1,1,0)</f>
        <v>1</v>
      </c>
      <c r="K282" t="str">
        <f>_xlfn.XLOOKUP(B282,BugList!A:A,BugList!H:H)</f>
        <v/>
      </c>
      <c r="L282" t="str">
        <f>IF(K282 = "","",_xlfn.XLOOKUP(B282, BugList!A:A,BugList!B:B,""))</f>
        <v/>
      </c>
      <c r="M282">
        <f>_xlfn.XLOOKUP(D282,BugList!C:C,BugList!N:N)</f>
        <v>8</v>
      </c>
      <c r="N282">
        <f>_xlfn.XLOOKUP(B282,BugList!A:A,BugList!R:R)</f>
        <v>8</v>
      </c>
      <c r="O282" t="b">
        <f>_xlfn.XLOOKUP(B282,BugList!A:A,BugList!L:L)</f>
        <v>0</v>
      </c>
      <c r="P282" t="b">
        <f t="shared" si="27"/>
        <v>0</v>
      </c>
      <c r="Q282"/>
      <c r="R282" t="b">
        <f>SUMPRODUCT(COUNTIF(_xlfn.XLOOKUP(B282,BugList!A:A,BugList!P:P), "*SC*"))&gt;0</f>
        <v>1</v>
      </c>
      <c r="S282" t="str">
        <f>_xlfn.XLOOKUP(B282,BugList!A:A,BugList!W:W)</f>
        <v/>
      </c>
      <c r="T282">
        <f t="shared" si="28"/>
        <v>8</v>
      </c>
      <c r="U282">
        <f t="shared" si="29"/>
        <v>8</v>
      </c>
    </row>
    <row r="283" spans="1:21" s="25" customFormat="1">
      <c r="A283" t="s">
        <v>157</v>
      </c>
      <c r="B283">
        <v>88</v>
      </c>
      <c r="C283"/>
      <c r="D283" t="s">
        <v>85</v>
      </c>
      <c r="E283" t="s">
        <v>85</v>
      </c>
      <c r="F283">
        <v>41</v>
      </c>
      <c r="G283">
        <f t="shared" si="24"/>
        <v>33.884297520661157</v>
      </c>
      <c r="H283">
        <f t="shared" si="25"/>
        <v>33</v>
      </c>
      <c r="I283">
        <f t="shared" si="26"/>
        <v>0.88429752066115697</v>
      </c>
      <c r="J283" cm="1">
        <f t="array" ref="J283">INT(G283)+IF(100-SUM(INT(G$283:G$294))&gt;=RANK(I283,I$283:I$294)+COUNTIF(I$283:I283,I283)-1,1,0)</f>
        <v>34</v>
      </c>
      <c r="K283"/>
      <c r="L283" t="str">
        <f>IF(K283 = "","",_xlfn.XLOOKUP(B283, BugList!A:A,BugList!B:B,""))</f>
        <v/>
      </c>
      <c r="M283">
        <f>_xlfn.XLOOKUP(D283,BugList!C:C,BugList!N:N)</f>
        <v>4</v>
      </c>
      <c r="N283">
        <f>_xlfn.XLOOKUP(B283,BugList!A:A,BugList!R:R)</f>
        <v>4</v>
      </c>
      <c r="O283"/>
      <c r="P283"/>
      <c r="Q283" t="b">
        <f>SUMPRODUCT(COUNTIF(_xlfn.XLOOKUP(B283,BugList!A:A,BugList!V:V), "*cn*"))&gt;0</f>
        <v>0</v>
      </c>
      <c r="R283"/>
      <c r="S283" t="str">
        <f>_xlfn.XLOOKUP(B283,BugList!A:A,BugList!W:W)</f>
        <v/>
      </c>
      <c r="T283">
        <f t="shared" si="28"/>
        <v>136</v>
      </c>
      <c r="U283">
        <f t="shared" si="29"/>
        <v>136</v>
      </c>
    </row>
    <row r="284" spans="1:21" s="25" customFormat="1">
      <c r="A284" t="s">
        <v>157</v>
      </c>
      <c r="B284">
        <v>245</v>
      </c>
      <c r="C284"/>
      <c r="D284" t="s">
        <v>87</v>
      </c>
      <c r="E284" t="s">
        <v>119</v>
      </c>
      <c r="F284">
        <v>8</v>
      </c>
      <c r="G284">
        <f t="shared" si="24"/>
        <v>6.6115702479338845</v>
      </c>
      <c r="H284">
        <f t="shared" si="25"/>
        <v>6</v>
      </c>
      <c r="I284">
        <f t="shared" si="26"/>
        <v>0.61157024793388448</v>
      </c>
      <c r="J284" cm="1">
        <f t="array" ref="J284">INT(G284)+IF(100-SUM(INT(G$283:G$294))&gt;=RANK(I284,I$283:I$294)+COUNTIF(I$283:I284,I284)-1,1,0)</f>
        <v>7</v>
      </c>
      <c r="K284" t="str">
        <f>_xlfn.XLOOKUP(B284,BugList!A:A,BugList!H:H)</f>
        <v/>
      </c>
      <c r="L284" t="str">
        <f>IF(K284 = "","",_xlfn.XLOOKUP(B284, BugList!A:A,BugList!B:B,""))</f>
        <v/>
      </c>
      <c r="M284">
        <f>_xlfn.XLOOKUP(D284,BugList!C:C,BugList!N:N)</f>
        <v>4</v>
      </c>
      <c r="N284">
        <f>_xlfn.XLOOKUP(B284,BugList!A:A,BugList!R:R)</f>
        <v>4</v>
      </c>
      <c r="O284"/>
      <c r="P284"/>
      <c r="Q284" t="b">
        <f>SUMPRODUCT(COUNTIF(_xlfn.XLOOKUP(B284,BugList!A:A,BugList!V:V), "*cn*"))&gt;0</f>
        <v>0</v>
      </c>
      <c r="R284"/>
      <c r="S284" t="str">
        <f>_xlfn.XLOOKUP(B284,BugList!A:A,BugList!W:W)</f>
        <v/>
      </c>
      <c r="T284">
        <f t="shared" si="28"/>
        <v>28</v>
      </c>
      <c r="U284">
        <f t="shared" si="29"/>
        <v>28</v>
      </c>
    </row>
    <row r="285" spans="1:21" s="25" customFormat="1">
      <c r="A285" t="s">
        <v>157</v>
      </c>
      <c r="B285">
        <v>602</v>
      </c>
      <c r="C285"/>
      <c r="D285" t="s">
        <v>97</v>
      </c>
      <c r="E285" t="s">
        <v>97</v>
      </c>
      <c r="F285">
        <v>11</v>
      </c>
      <c r="G285">
        <f t="shared" si="24"/>
        <v>9.0909090909090917</v>
      </c>
      <c r="H285">
        <f t="shared" si="25"/>
        <v>9</v>
      </c>
      <c r="I285">
        <f t="shared" si="26"/>
        <v>9.0909090909091717E-2</v>
      </c>
      <c r="J285" cm="1">
        <f t="array" ref="J285">INT(G285)+IF(100-SUM(INT(G$283:G$294))&gt;=RANK(I285,I$283:I$294)+COUNTIF(I$283:I285,I285)-1,1,0)</f>
        <v>9</v>
      </c>
      <c r="K285" t="str">
        <f>_xlfn.XLOOKUP(B285,BugList!A:A,BugList!H:H)</f>
        <v/>
      </c>
      <c r="L285" t="str">
        <f>IF(K285 = "","",_xlfn.XLOOKUP(B285, BugList!A:A,BugList!B:B,""))</f>
        <v/>
      </c>
      <c r="M285">
        <f>_xlfn.XLOOKUP(D285,BugList!C:C,BugList!N:N)</f>
        <v>9</v>
      </c>
      <c r="N285">
        <f>_xlfn.XLOOKUP(B285,BugList!A:A,BugList!R:R)</f>
        <v>9</v>
      </c>
      <c r="O285"/>
      <c r="P285"/>
      <c r="Q285" t="b">
        <f>SUMPRODUCT(COUNTIF(_xlfn.XLOOKUP(B285,BugList!A:A,BugList!V:V), "*cn*"))&gt;0</f>
        <v>0</v>
      </c>
      <c r="R285"/>
      <c r="S285" t="str">
        <f>_xlfn.XLOOKUP(B285,BugList!A:A,BugList!W:W)</f>
        <v/>
      </c>
      <c r="T285">
        <f t="shared" si="28"/>
        <v>81</v>
      </c>
      <c r="U285">
        <f t="shared" si="29"/>
        <v>81</v>
      </c>
    </row>
    <row r="286" spans="1:21" s="25" customFormat="1">
      <c r="A286" t="s">
        <v>157</v>
      </c>
      <c r="B286">
        <v>794</v>
      </c>
      <c r="C286"/>
      <c r="D286" t="s">
        <v>89</v>
      </c>
      <c r="E286" t="s">
        <v>89</v>
      </c>
      <c r="F286">
        <v>7</v>
      </c>
      <c r="G286">
        <f t="shared" si="24"/>
        <v>5.785123966942149</v>
      </c>
      <c r="H286">
        <f t="shared" si="25"/>
        <v>5</v>
      </c>
      <c r="I286">
        <f t="shared" si="26"/>
        <v>0.78512396694214903</v>
      </c>
      <c r="J286" cm="1">
        <f t="array" ref="J286">INT(G286)+IF(100-SUM(INT(G$283:G$294))&gt;=RANK(I286,I$283:I$294)+COUNTIF(I$283:I286,I286)-1,1,0)</f>
        <v>6</v>
      </c>
      <c r="K286" t="str">
        <f>_xlfn.XLOOKUP(B286,BugList!A:A,BugList!H:H)</f>
        <v>*</v>
      </c>
      <c r="L286" t="str">
        <f>IF(K286 = "","",_xlfn.XLOOKUP(B286, BugList!A:A,BugList!B:B,""))</f>
        <v>Trichoptera</v>
      </c>
      <c r="M286">
        <f>_xlfn.XLOOKUP(D286,BugList!C:C,BugList!N:N)</f>
        <v>4</v>
      </c>
      <c r="N286">
        <f>_xlfn.XLOOKUP(B286,BugList!A:A,BugList!R:R)</f>
        <v>4</v>
      </c>
      <c r="O286"/>
      <c r="P286"/>
      <c r="Q286" t="b">
        <f>SUMPRODUCT(COUNTIF(_xlfn.XLOOKUP(B286,BugList!A:A,BugList!V:V), "*cn*"))&gt;0</f>
        <v>1</v>
      </c>
      <c r="R286"/>
      <c r="S286" t="str">
        <f>_xlfn.XLOOKUP(B286,BugList!A:A,BugList!W:W)</f>
        <v/>
      </c>
      <c r="T286">
        <f t="shared" si="28"/>
        <v>24</v>
      </c>
      <c r="U286">
        <f t="shared" si="29"/>
        <v>24</v>
      </c>
    </row>
    <row r="287" spans="1:21" s="25" customFormat="1">
      <c r="A287" t="s">
        <v>157</v>
      </c>
      <c r="B287">
        <v>1083</v>
      </c>
      <c r="C287"/>
      <c r="D287" t="s">
        <v>124</v>
      </c>
      <c r="E287" t="s">
        <v>124</v>
      </c>
      <c r="F287">
        <v>1</v>
      </c>
      <c r="G287">
        <f t="shared" si="24"/>
        <v>0.82644628099173556</v>
      </c>
      <c r="H287">
        <f t="shared" si="25"/>
        <v>0</v>
      </c>
      <c r="I287">
        <f t="shared" si="26"/>
        <v>0.82644628099173556</v>
      </c>
      <c r="J287" cm="1">
        <f t="array" ref="J287">INT(G287)+IF(100-SUM(INT(G$283:G$294))&gt;=RANK(I287,I$283:I$294)+COUNTIF(I$283:I287,I287)-1,1,0)</f>
        <v>1</v>
      </c>
      <c r="K287" t="str">
        <f>_xlfn.XLOOKUP(B287,BugList!A:A,BugList!H:H)</f>
        <v/>
      </c>
      <c r="L287" t="str">
        <f>IF(K287 = "","",_xlfn.XLOOKUP(B287, BugList!A:A,BugList!B:B,""))</f>
        <v/>
      </c>
      <c r="M287">
        <f>_xlfn.XLOOKUP(D287,BugList!C:C,BugList!N:N)</f>
        <v>6</v>
      </c>
      <c r="N287">
        <f>_xlfn.XLOOKUP(B287,BugList!A:A,BugList!R:R)</f>
        <v>6</v>
      </c>
      <c r="O287"/>
      <c r="P287"/>
      <c r="Q287" t="b">
        <f>SUMPRODUCT(COUNTIF(_xlfn.XLOOKUP(B287,BugList!A:A,BugList!V:V), "*cn*"))&gt;0</f>
        <v>0</v>
      </c>
      <c r="R287"/>
      <c r="S287" t="str">
        <f>_xlfn.XLOOKUP(B287,BugList!A:A,BugList!W:W)</f>
        <v/>
      </c>
      <c r="T287">
        <f t="shared" si="28"/>
        <v>6</v>
      </c>
      <c r="U287">
        <f t="shared" si="29"/>
        <v>6</v>
      </c>
    </row>
    <row r="288" spans="1:21" s="25" customFormat="1">
      <c r="A288" t="s">
        <v>157</v>
      </c>
      <c r="B288">
        <v>1088</v>
      </c>
      <c r="C288"/>
      <c r="D288" t="s">
        <v>90</v>
      </c>
      <c r="E288" t="s">
        <v>90</v>
      </c>
      <c r="F288">
        <v>10</v>
      </c>
      <c r="G288">
        <f t="shared" si="24"/>
        <v>8.2644628099173563</v>
      </c>
      <c r="H288">
        <f t="shared" si="25"/>
        <v>8</v>
      </c>
      <c r="I288">
        <f t="shared" si="26"/>
        <v>0.26446280991735627</v>
      </c>
      <c r="J288" cm="1">
        <f t="array" ref="J288">INT(G288)+IF(100-SUM(INT(G$283:G$294))&gt;=RANK(I288,I$283:I$294)+COUNTIF(I$283:I288,I288)-1,1,0)</f>
        <v>8</v>
      </c>
      <c r="K288" t="str">
        <f>_xlfn.XLOOKUP(B288,BugList!A:A,BugList!H:H)</f>
        <v/>
      </c>
      <c r="L288" t="str">
        <f>IF(K288 = "","",_xlfn.XLOOKUP(B288, BugList!A:A,BugList!B:B,""))</f>
        <v/>
      </c>
      <c r="M288">
        <f>_xlfn.XLOOKUP(D288,BugList!C:C,BugList!N:N)</f>
        <v>6</v>
      </c>
      <c r="N288">
        <f>_xlfn.XLOOKUP(B288,BugList!A:A,BugList!R:R)</f>
        <v>6</v>
      </c>
      <c r="O288"/>
      <c r="P288"/>
      <c r="Q288" t="b">
        <f>SUMPRODUCT(COUNTIF(_xlfn.XLOOKUP(B288,BugList!A:A,BugList!V:V), "*cn*"))&gt;0</f>
        <v>0</v>
      </c>
      <c r="R288"/>
      <c r="S288" t="str">
        <f>_xlfn.XLOOKUP(B288,BugList!A:A,BugList!W:W)</f>
        <v/>
      </c>
      <c r="T288">
        <f t="shared" si="28"/>
        <v>48</v>
      </c>
      <c r="U288">
        <f t="shared" si="29"/>
        <v>48</v>
      </c>
    </row>
    <row r="289" spans="1:21" s="25" customFormat="1">
      <c r="A289" t="s">
        <v>157</v>
      </c>
      <c r="B289">
        <v>1089</v>
      </c>
      <c r="C289"/>
      <c r="D289" t="s">
        <v>126</v>
      </c>
      <c r="E289" t="s">
        <v>127</v>
      </c>
      <c r="F289">
        <v>12</v>
      </c>
      <c r="G289">
        <f t="shared" si="24"/>
        <v>9.9173553719008272</v>
      </c>
      <c r="H289">
        <f t="shared" si="25"/>
        <v>9</v>
      </c>
      <c r="I289">
        <f t="shared" si="26"/>
        <v>0.91735537190082717</v>
      </c>
      <c r="J289" cm="1">
        <f t="array" ref="J289">INT(G289)+IF(100-SUM(INT(G$283:G$294))&gt;=RANK(I289,I$283:I$294)+COUNTIF(I$283:I289,I289)-1,1,0)</f>
        <v>10</v>
      </c>
      <c r="K289" t="str">
        <f>_xlfn.XLOOKUP(B289,BugList!A:A,BugList!H:H)</f>
        <v/>
      </c>
      <c r="L289" t="str">
        <f>IF(K289 = "","",_xlfn.XLOOKUP(B289, BugList!A:A,BugList!B:B,""))</f>
        <v/>
      </c>
      <c r="M289">
        <f>_xlfn.XLOOKUP(D289,BugList!C:C,BugList!N:N)</f>
        <v>8</v>
      </c>
      <c r="N289">
        <f>_xlfn.XLOOKUP(B289,BugList!A:A,BugList!R:R)</f>
        <v>10</v>
      </c>
      <c r="O289"/>
      <c r="P289"/>
      <c r="Q289" t="b">
        <f>SUMPRODUCT(COUNTIF(_xlfn.XLOOKUP(B289,BugList!A:A,BugList!V:V), "*cn*"))&gt;0</f>
        <v>0</v>
      </c>
      <c r="R289"/>
      <c r="S289" t="str">
        <f>_xlfn.XLOOKUP(B289,BugList!A:A,BugList!W:W)</f>
        <v/>
      </c>
      <c r="T289">
        <f t="shared" si="28"/>
        <v>80</v>
      </c>
      <c r="U289">
        <f t="shared" si="29"/>
        <v>100</v>
      </c>
    </row>
    <row r="290" spans="1:21" s="25" customFormat="1">
      <c r="A290" t="s">
        <v>157</v>
      </c>
      <c r="B290">
        <v>1555</v>
      </c>
      <c r="C290"/>
      <c r="D290" t="s">
        <v>120</v>
      </c>
      <c r="E290" t="s">
        <v>120</v>
      </c>
      <c r="F290">
        <v>3</v>
      </c>
      <c r="G290">
        <f t="shared" si="24"/>
        <v>2.4793388429752068</v>
      </c>
      <c r="H290">
        <f t="shared" si="25"/>
        <v>2</v>
      </c>
      <c r="I290">
        <f t="shared" si="26"/>
        <v>0.47933884297520679</v>
      </c>
      <c r="J290" cm="1">
        <f t="array" ref="J290">INT(G290)+IF(100-SUM(INT(G$283:G$294))&gt;=RANK(I290,I$283:I$294)+COUNTIF(I$283:I290,I290)-1,1,0)</f>
        <v>2</v>
      </c>
      <c r="K290" t="str">
        <f>_xlfn.XLOOKUP(B290,BugList!A:A,BugList!H:H)</f>
        <v/>
      </c>
      <c r="L290" t="str">
        <f>IF(K290 = "","",_xlfn.XLOOKUP(B290, BugList!A:A,BugList!B:B,""))</f>
        <v/>
      </c>
      <c r="M290">
        <f>_xlfn.XLOOKUP(D290,BugList!C:C,BugList!N:N)</f>
        <v>8</v>
      </c>
      <c r="N290">
        <f>_xlfn.XLOOKUP(B290,BugList!A:A,BugList!R:R)</f>
        <v>8</v>
      </c>
      <c r="O290"/>
      <c r="P290"/>
      <c r="Q290" t="b">
        <f>SUMPRODUCT(COUNTIF(_xlfn.XLOOKUP(B290,BugList!A:A,BugList!V:V), "*cn*"))&gt;0</f>
        <v>0</v>
      </c>
      <c r="R290"/>
      <c r="S290" t="str">
        <f>_xlfn.XLOOKUP(B290,BugList!A:A,BugList!W:W)</f>
        <v/>
      </c>
      <c r="T290">
        <f t="shared" si="28"/>
        <v>16</v>
      </c>
      <c r="U290">
        <f t="shared" si="29"/>
        <v>16</v>
      </c>
    </row>
    <row r="291" spans="1:21" s="25" customFormat="1">
      <c r="A291" t="s">
        <v>157</v>
      </c>
      <c r="B291">
        <v>1587</v>
      </c>
      <c r="C291"/>
      <c r="D291" t="s">
        <v>91</v>
      </c>
      <c r="E291" t="s">
        <v>91</v>
      </c>
      <c r="F291">
        <v>2</v>
      </c>
      <c r="G291">
        <f t="shared" si="24"/>
        <v>1.6528925619834711</v>
      </c>
      <c r="H291">
        <f t="shared" si="25"/>
        <v>1</v>
      </c>
      <c r="I291">
        <f t="shared" si="26"/>
        <v>0.65289256198347112</v>
      </c>
      <c r="J291" cm="1">
        <f t="array" ref="J291">INT(G291)+IF(100-SUM(INT(G$283:G$294))&gt;=RANK(I291,I$283:I$294)+COUNTIF(I$283:I291,I291)-1,1,0)</f>
        <v>2</v>
      </c>
      <c r="K291" t="str">
        <f>_xlfn.XLOOKUP(B291,BugList!A:A,BugList!H:H)</f>
        <v/>
      </c>
      <c r="L291" t="str">
        <f>IF(K291 = "","",_xlfn.XLOOKUP(B291, BugList!A:A,BugList!B:B,""))</f>
        <v/>
      </c>
      <c r="M291">
        <f>_xlfn.XLOOKUP(D291,BugList!C:C,BugList!N:N)</f>
        <v>6</v>
      </c>
      <c r="N291">
        <f>_xlfn.XLOOKUP(B291,BugList!A:A,BugList!R:R)</f>
        <v>6</v>
      </c>
      <c r="O291"/>
      <c r="P291"/>
      <c r="Q291" t="b">
        <f>SUMPRODUCT(COUNTIF(_xlfn.XLOOKUP(B291,BugList!A:A,BugList!V:V), "*cn*"))&gt;0</f>
        <v>0</v>
      </c>
      <c r="R291"/>
      <c r="S291" t="str">
        <f>_xlfn.XLOOKUP(B291,BugList!A:A,BugList!W:W)</f>
        <v/>
      </c>
      <c r="T291">
        <f t="shared" si="28"/>
        <v>12</v>
      </c>
      <c r="U291">
        <f t="shared" si="29"/>
        <v>12</v>
      </c>
    </row>
    <row r="292" spans="1:21" s="25" customFormat="1">
      <c r="A292" t="s">
        <v>157</v>
      </c>
      <c r="B292">
        <v>1614</v>
      </c>
      <c r="C292"/>
      <c r="D292" t="s">
        <v>92</v>
      </c>
      <c r="E292" t="s">
        <v>92</v>
      </c>
      <c r="F292">
        <v>3</v>
      </c>
      <c r="G292">
        <f t="shared" si="24"/>
        <v>2.4793388429752068</v>
      </c>
      <c r="H292">
        <f t="shared" si="25"/>
        <v>2</v>
      </c>
      <c r="I292">
        <f t="shared" si="26"/>
        <v>0.47933884297520679</v>
      </c>
      <c r="J292" cm="1">
        <f t="array" ref="J292">INT(G292)+IF(100-SUM(INT(G$283:G$294))&gt;=RANK(I292,I$283:I$294)+COUNTIF(I$283:I292,I292)-1,1,0)</f>
        <v>2</v>
      </c>
      <c r="K292" t="str">
        <f>_xlfn.XLOOKUP(B292,BugList!A:A,BugList!H:H)</f>
        <v/>
      </c>
      <c r="L292" t="str">
        <f>IF(K292 = "","",_xlfn.XLOOKUP(B292, BugList!A:A,BugList!B:B,""))</f>
        <v/>
      </c>
      <c r="M292">
        <f>_xlfn.XLOOKUP(D292,BugList!C:C,BugList!N:N)</f>
        <v>8</v>
      </c>
      <c r="N292">
        <f>_xlfn.XLOOKUP(B292,BugList!A:A,BugList!R:R)</f>
        <v>8</v>
      </c>
      <c r="O292"/>
      <c r="P292"/>
      <c r="Q292" t="b">
        <f>SUMPRODUCT(COUNTIF(_xlfn.XLOOKUP(B292,BugList!A:A,BugList!V:V), "*cn*"))&gt;0</f>
        <v>0</v>
      </c>
      <c r="R292"/>
      <c r="S292" t="str">
        <f>_xlfn.XLOOKUP(B292,BugList!A:A,BugList!W:W)</f>
        <v/>
      </c>
      <c r="T292">
        <f t="shared" si="28"/>
        <v>16</v>
      </c>
      <c r="U292">
        <f t="shared" si="29"/>
        <v>16</v>
      </c>
    </row>
    <row r="293" spans="1:21" s="25" customFormat="1">
      <c r="A293" t="s">
        <v>157</v>
      </c>
      <c r="B293">
        <v>1629</v>
      </c>
      <c r="C293"/>
      <c r="D293" t="s">
        <v>93</v>
      </c>
      <c r="E293" t="s">
        <v>93</v>
      </c>
      <c r="F293">
        <v>9</v>
      </c>
      <c r="G293">
        <f t="shared" si="24"/>
        <v>7.4380165289256199</v>
      </c>
      <c r="H293">
        <f t="shared" si="25"/>
        <v>7</v>
      </c>
      <c r="I293">
        <f t="shared" si="26"/>
        <v>0.43801652892561993</v>
      </c>
      <c r="J293" cm="1">
        <f t="array" ref="J293">INT(G293)+IF(100-SUM(INT(G$283:G$294))&gt;=RANK(I293,I$283:I$294)+COUNTIF(I$283:I293,I293)-1,1,0)</f>
        <v>7</v>
      </c>
      <c r="K293" t="str">
        <f>_xlfn.XLOOKUP(B293,BugList!A:A,BugList!H:H)</f>
        <v/>
      </c>
      <c r="L293" t="str">
        <f>IF(K293 = "","",_xlfn.XLOOKUP(B293, BugList!A:A,BugList!B:B,""))</f>
        <v/>
      </c>
      <c r="M293">
        <f>_xlfn.XLOOKUP(D293,BugList!C:C,BugList!N:N)</f>
        <v>8</v>
      </c>
      <c r="N293">
        <f>_xlfn.XLOOKUP(B293,BugList!A:A,BugList!R:R)</f>
        <v>8</v>
      </c>
      <c r="O293"/>
      <c r="P293"/>
      <c r="Q293" t="b">
        <f>SUMPRODUCT(COUNTIF(_xlfn.XLOOKUP(B293,BugList!A:A,BugList!V:V), "*cn*"))&gt;0</f>
        <v>0</v>
      </c>
      <c r="R293"/>
      <c r="S293" t="str">
        <f>_xlfn.XLOOKUP(B293,BugList!A:A,BugList!W:W)</f>
        <v/>
      </c>
      <c r="T293">
        <f t="shared" si="28"/>
        <v>56</v>
      </c>
      <c r="U293">
        <f t="shared" si="29"/>
        <v>56</v>
      </c>
    </row>
    <row r="294" spans="1:21" s="25" customFormat="1">
      <c r="A294" t="s">
        <v>157</v>
      </c>
      <c r="B294">
        <v>1696</v>
      </c>
      <c r="C294"/>
      <c r="D294" t="s">
        <v>94</v>
      </c>
      <c r="E294" t="s">
        <v>94</v>
      </c>
      <c r="F294">
        <v>14</v>
      </c>
      <c r="G294">
        <f t="shared" si="24"/>
        <v>11.570247933884298</v>
      </c>
      <c r="H294">
        <f t="shared" si="25"/>
        <v>11</v>
      </c>
      <c r="I294">
        <f t="shared" si="26"/>
        <v>0.57024793388429806</v>
      </c>
      <c r="J294" cm="1">
        <f t="array" ref="J294">INT(G294)+IF(100-SUM(INT(G$283:G$294))&gt;=RANK(I294,I$283:I$294)+COUNTIF(I$283:I294,I294)-1,1,0)</f>
        <v>12</v>
      </c>
      <c r="K294" t="str">
        <f>_xlfn.XLOOKUP(B294,BugList!A:A,BugList!H:H)</f>
        <v/>
      </c>
      <c r="L294" t="str">
        <f>IF(K294 = "","",_xlfn.XLOOKUP(B294, BugList!A:A,BugList!B:B,""))</f>
        <v/>
      </c>
      <c r="M294">
        <f>_xlfn.XLOOKUP(D294,BugList!C:C,BugList!N:N)</f>
        <v>8</v>
      </c>
      <c r="N294">
        <f>_xlfn.XLOOKUP(B294,BugList!A:A,BugList!R:R)</f>
        <v>8</v>
      </c>
      <c r="O294"/>
      <c r="P294"/>
      <c r="Q294" t="b">
        <f>SUMPRODUCT(COUNTIF(_xlfn.XLOOKUP(B294,BugList!A:A,BugList!V:V), "*cn*"))&gt;0</f>
        <v>0</v>
      </c>
      <c r="R294"/>
      <c r="S294" t="str">
        <f>_xlfn.XLOOKUP(B294,BugList!A:A,BugList!W:W)</f>
        <v/>
      </c>
      <c r="T294">
        <f t="shared" si="28"/>
        <v>96</v>
      </c>
      <c r="U294">
        <f t="shared" si="29"/>
        <v>96</v>
      </c>
    </row>
    <row r="295" spans="1:21">
      <c r="A295" t="s">
        <v>158</v>
      </c>
      <c r="B295">
        <v>63</v>
      </c>
      <c r="D295" t="s">
        <v>84</v>
      </c>
      <c r="E295" t="s">
        <v>84</v>
      </c>
      <c r="F295">
        <v>2</v>
      </c>
      <c r="G295">
        <f t="shared" si="24"/>
        <v>2</v>
      </c>
      <c r="H295">
        <f t="shared" si="25"/>
        <v>2</v>
      </c>
      <c r="I295">
        <f t="shared" si="26"/>
        <v>0</v>
      </c>
      <c r="J295" cm="1">
        <f t="array" ref="J295">INT(G295)+IF(100-SUM(INT(G$295:G$300))&gt;=RANK(I295,I$295:I$300)+COUNTIF(I$295:I295,I295)-1,1,0)</f>
        <v>2</v>
      </c>
      <c r="K295" t="str">
        <f>_xlfn.XLOOKUP(B295,BugList!A:A,BugList!H:H)</f>
        <v/>
      </c>
      <c r="L295" t="str">
        <f>IF(K295 = "","",_xlfn.XLOOKUP(B295, BugList!A:A,BugList!B:B,""))</f>
        <v/>
      </c>
      <c r="M295">
        <f>_xlfn.XLOOKUP(D295,BugList!C:C,BugList!N:N)</f>
        <v>8</v>
      </c>
      <c r="N295">
        <f>_xlfn.XLOOKUP(B295,BugList!A:A,BugList!R:R)</f>
        <v>8</v>
      </c>
      <c r="Q295" t="b">
        <f>SUMPRODUCT(COUNTIF(_xlfn.XLOOKUP(B295,BugList!A:A,BugList!V:V), "*cn*"))&gt;0</f>
        <v>0</v>
      </c>
      <c r="S295" t="str">
        <f>_xlfn.XLOOKUP(B295,BugList!A:A,BugList!W:W)</f>
        <v/>
      </c>
      <c r="T295">
        <f t="shared" si="28"/>
        <v>16</v>
      </c>
      <c r="U295">
        <f t="shared" si="29"/>
        <v>16</v>
      </c>
    </row>
    <row r="296" spans="1:21">
      <c r="A296" t="s">
        <v>158</v>
      </c>
      <c r="B296">
        <v>88</v>
      </c>
      <c r="D296" t="s">
        <v>85</v>
      </c>
      <c r="E296" t="s">
        <v>85</v>
      </c>
      <c r="F296">
        <v>71</v>
      </c>
      <c r="G296">
        <f t="shared" si="24"/>
        <v>71</v>
      </c>
      <c r="H296">
        <f t="shared" si="25"/>
        <v>71</v>
      </c>
      <c r="I296">
        <f t="shared" si="26"/>
        <v>0</v>
      </c>
      <c r="J296" cm="1">
        <f t="array" ref="J296">INT(G296)+IF(100-SUM(INT(G$295:G$300))&gt;=RANK(I296,I$295:I$300)+COUNTIF(I$295:I296,I296)-1,1,0)</f>
        <v>71</v>
      </c>
      <c r="K296" t="str">
        <f>_xlfn.XLOOKUP(B296,BugList!A:A,BugList!H:H)</f>
        <v/>
      </c>
      <c r="L296" t="str">
        <f>IF(K296 = "","",_xlfn.XLOOKUP(B296, BugList!A:A,BugList!B:B,""))</f>
        <v/>
      </c>
      <c r="M296">
        <f>_xlfn.XLOOKUP(D296,BugList!C:C,BugList!N:N)</f>
        <v>4</v>
      </c>
      <c r="N296">
        <f>_xlfn.XLOOKUP(B296,BugList!A:A,BugList!R:R)</f>
        <v>4</v>
      </c>
      <c r="Q296" t="b">
        <f>SUMPRODUCT(COUNTIF(_xlfn.XLOOKUP(B296,BugList!A:A,BugList!V:V), "*cn*"))&gt;0</f>
        <v>0</v>
      </c>
      <c r="S296" t="str">
        <f>_xlfn.XLOOKUP(B296,BugList!A:A,BugList!W:W)</f>
        <v/>
      </c>
      <c r="T296">
        <f t="shared" si="28"/>
        <v>284</v>
      </c>
      <c r="U296">
        <f t="shared" si="29"/>
        <v>284</v>
      </c>
    </row>
    <row r="297" spans="1:21">
      <c r="A297" t="s">
        <v>158</v>
      </c>
      <c r="B297">
        <v>715</v>
      </c>
      <c r="D297" t="s">
        <v>159</v>
      </c>
      <c r="E297" t="s">
        <v>159</v>
      </c>
      <c r="F297">
        <v>1</v>
      </c>
      <c r="G297">
        <f t="shared" ref="G297:G360" si="30">(F297/(SUMIFS(F:F,A:A,A297))*100)</f>
        <v>1</v>
      </c>
      <c r="H297">
        <f t="shared" ref="H297:H360" si="31">INT(G297)</f>
        <v>1</v>
      </c>
      <c r="I297">
        <f t="shared" ref="I297:I360" si="32">G297-H297</f>
        <v>0</v>
      </c>
      <c r="J297" cm="1">
        <f t="array" ref="J297">INT(G297)+IF(100-SUM(INT(G$295:G$300))&gt;=RANK(I297,I$295:I$300)+COUNTIF(I$295:I297,I297)-1,1,0)</f>
        <v>1</v>
      </c>
      <c r="K297" t="str">
        <f>_xlfn.XLOOKUP(B297,BugList!A:A,BugList!H:H)</f>
        <v/>
      </c>
      <c r="L297" t="str">
        <f>IF(K297 = "","",_xlfn.XLOOKUP(B297, BugList!A:A,BugList!B:B,""))</f>
        <v/>
      </c>
      <c r="M297">
        <f>_xlfn.XLOOKUP(D297,BugList!C:C,BugList!N:N)</f>
        <v>9</v>
      </c>
      <c r="N297">
        <f>_xlfn.XLOOKUP(B297,BugList!A:A,BugList!R:R)</f>
        <v>9</v>
      </c>
      <c r="Q297" t="b">
        <f>SUMPRODUCT(COUNTIF(_xlfn.XLOOKUP(B297,BugList!A:A,BugList!V:V), "*cn*"))&gt;0</f>
        <v>0</v>
      </c>
      <c r="S297" t="str">
        <f>_xlfn.XLOOKUP(B297,BugList!A:A,BugList!W:W)</f>
        <v/>
      </c>
      <c r="T297">
        <f t="shared" si="28"/>
        <v>9</v>
      </c>
      <c r="U297">
        <f t="shared" si="29"/>
        <v>9</v>
      </c>
    </row>
    <row r="298" spans="1:21">
      <c r="A298" t="s">
        <v>158</v>
      </c>
      <c r="B298">
        <v>794</v>
      </c>
      <c r="D298" t="s">
        <v>89</v>
      </c>
      <c r="E298" t="s">
        <v>89</v>
      </c>
      <c r="F298">
        <v>19</v>
      </c>
      <c r="G298">
        <f t="shared" si="30"/>
        <v>19</v>
      </c>
      <c r="H298">
        <f t="shared" si="31"/>
        <v>19</v>
      </c>
      <c r="I298">
        <f t="shared" si="32"/>
        <v>0</v>
      </c>
      <c r="J298" cm="1">
        <f t="array" ref="J298">INT(G298)+IF(100-SUM(INT(G$295:G$300))&gt;=RANK(I298,I$295:I$300)+COUNTIF(I$295:I298,I298)-1,1,0)</f>
        <v>19</v>
      </c>
      <c r="K298" t="str">
        <f>_xlfn.XLOOKUP(B298,BugList!A:A,BugList!H:H)</f>
        <v>*</v>
      </c>
      <c r="L298" t="str">
        <f>IF(K298 = "","",_xlfn.XLOOKUP(B298, BugList!A:A,BugList!B:B,""))</f>
        <v>Trichoptera</v>
      </c>
      <c r="M298">
        <f>_xlfn.XLOOKUP(D298,BugList!C:C,BugList!N:N)</f>
        <v>4</v>
      </c>
      <c r="N298">
        <f>_xlfn.XLOOKUP(B298,BugList!A:A,BugList!R:R)</f>
        <v>4</v>
      </c>
      <c r="Q298" t="b">
        <f>SUMPRODUCT(COUNTIF(_xlfn.XLOOKUP(B298,BugList!A:A,BugList!V:V), "*cn*"))&gt;0</f>
        <v>1</v>
      </c>
      <c r="S298" t="str">
        <f>_xlfn.XLOOKUP(B298,BugList!A:A,BugList!W:W)</f>
        <v/>
      </c>
      <c r="T298">
        <f t="shared" si="28"/>
        <v>76</v>
      </c>
      <c r="U298">
        <f t="shared" si="29"/>
        <v>76</v>
      </c>
    </row>
    <row r="299" spans="1:21">
      <c r="A299" t="s">
        <v>158</v>
      </c>
      <c r="B299">
        <v>935</v>
      </c>
      <c r="D299" t="s">
        <v>98</v>
      </c>
      <c r="E299" t="s">
        <v>98</v>
      </c>
      <c r="F299">
        <v>1</v>
      </c>
      <c r="G299">
        <f t="shared" si="30"/>
        <v>1</v>
      </c>
      <c r="H299">
        <f t="shared" si="31"/>
        <v>1</v>
      </c>
      <c r="I299">
        <f t="shared" si="32"/>
        <v>0</v>
      </c>
      <c r="J299" cm="1">
        <f t="array" ref="J299">INT(G299)+IF(100-SUM(INT(G$295:G$300))&gt;=RANK(I299,I$295:I$300)+COUNTIF(I$295:I299,I299)-1,1,0)</f>
        <v>1</v>
      </c>
      <c r="K299" t="str">
        <f>_xlfn.XLOOKUP(B299,BugList!A:A,BugList!H:H)</f>
        <v/>
      </c>
      <c r="L299" t="str">
        <f>IF(K299 = "","",_xlfn.XLOOKUP(B299, BugList!A:A,BugList!B:B,""))</f>
        <v/>
      </c>
      <c r="M299">
        <f>_xlfn.XLOOKUP(D299,BugList!C:C,BugList!N:N)</f>
        <v>4</v>
      </c>
      <c r="N299">
        <f>_xlfn.XLOOKUP(B299,BugList!A:A,BugList!R:R)</f>
        <v>4</v>
      </c>
      <c r="Q299" t="b">
        <f>SUMPRODUCT(COUNTIF(_xlfn.XLOOKUP(B299,BugList!A:A,BugList!V:V), "*cn*"))&gt;0</f>
        <v>1</v>
      </c>
      <c r="S299" t="str">
        <f>_xlfn.XLOOKUP(B299,BugList!A:A,BugList!W:W)</f>
        <v/>
      </c>
      <c r="T299">
        <f t="shared" si="28"/>
        <v>4</v>
      </c>
      <c r="U299">
        <f t="shared" si="29"/>
        <v>4</v>
      </c>
    </row>
    <row r="300" spans="1:21">
      <c r="A300" t="s">
        <v>158</v>
      </c>
      <c r="B300">
        <v>1614</v>
      </c>
      <c r="D300" t="s">
        <v>92</v>
      </c>
      <c r="E300" t="s">
        <v>92</v>
      </c>
      <c r="F300">
        <v>6</v>
      </c>
      <c r="G300">
        <f t="shared" si="30"/>
        <v>6</v>
      </c>
      <c r="H300">
        <f t="shared" si="31"/>
        <v>6</v>
      </c>
      <c r="I300">
        <f t="shared" si="32"/>
        <v>0</v>
      </c>
      <c r="J300" cm="1">
        <f t="array" ref="J300">INT(G300)+IF(100-SUM(INT(G$295:G$300))&gt;=RANK(I300,I$295:I$300)+COUNTIF(I$295:I300,I300)-1,1,0)</f>
        <v>6</v>
      </c>
      <c r="K300" t="str">
        <f>_xlfn.XLOOKUP(B300,BugList!A:A,BugList!H:H)</f>
        <v/>
      </c>
      <c r="L300" t="str">
        <f>IF(K300 = "","",_xlfn.XLOOKUP(B300, BugList!A:A,BugList!B:B,""))</f>
        <v/>
      </c>
      <c r="M300">
        <f>_xlfn.XLOOKUP(D300,BugList!C:C,BugList!N:N)</f>
        <v>8</v>
      </c>
      <c r="N300">
        <f>_xlfn.XLOOKUP(B300,BugList!A:A,BugList!R:R)</f>
        <v>8</v>
      </c>
      <c r="Q300" t="b">
        <f>SUMPRODUCT(COUNTIF(_xlfn.XLOOKUP(B300,BugList!A:A,BugList!V:V), "*cn*"))&gt;0</f>
        <v>0</v>
      </c>
      <c r="S300" t="str">
        <f>_xlfn.XLOOKUP(B300,BugList!A:A,BugList!W:W)</f>
        <v/>
      </c>
      <c r="T300">
        <f t="shared" si="28"/>
        <v>48</v>
      </c>
      <c r="U300">
        <f t="shared" si="29"/>
        <v>48</v>
      </c>
    </row>
    <row r="301" spans="1:21">
      <c r="A301" t="s">
        <v>161</v>
      </c>
      <c r="B301">
        <v>88</v>
      </c>
      <c r="D301" t="s">
        <v>85</v>
      </c>
      <c r="E301" t="s">
        <v>85</v>
      </c>
      <c r="F301">
        <v>1</v>
      </c>
      <c r="G301">
        <f t="shared" si="30"/>
        <v>0.94339622641509435</v>
      </c>
      <c r="H301">
        <f t="shared" si="31"/>
        <v>0</v>
      </c>
      <c r="I301">
        <f t="shared" si="32"/>
        <v>0.94339622641509435</v>
      </c>
      <c r="J301" cm="1">
        <f t="array" ref="J301">INT(G301)+IF(100-SUM(INT(G$301:G$313))&gt;=RANK(I301,I$301:I$313)+COUNTIF(I$301:I301,I301)-1,1,0)</f>
        <v>1</v>
      </c>
      <c r="K301" t="str">
        <f>_xlfn.XLOOKUP(B301,BugList!A:A,BugList!H:H)</f>
        <v/>
      </c>
      <c r="L301" t="str">
        <f>IF(K301 = "","",_xlfn.XLOOKUP(B301, BugList!A:A,BugList!B:B,""))</f>
        <v/>
      </c>
      <c r="M301">
        <f>_xlfn.XLOOKUP(D301,BugList!C:C,BugList!N:N)</f>
        <v>4</v>
      </c>
      <c r="N301">
        <f>_xlfn.XLOOKUP(B301,BugList!A:A,BugList!R:R)</f>
        <v>4</v>
      </c>
      <c r="O301" t="b">
        <f>_xlfn.XLOOKUP(B301,BugList!A:A,BugList!L:L)</f>
        <v>0</v>
      </c>
      <c r="P301" t="b">
        <f t="shared" ref="P301:P364" si="33">IF(K301="*",IF(D301="Hydropsychidae", IF(E301="Diplectrona",TRUE,FALSE),TRUE),FALSE)</f>
        <v>0</v>
      </c>
      <c r="R301" t="b">
        <f>SUMPRODUCT(COUNTIF(_xlfn.XLOOKUP(B301,BugList!A:A,BugList!P:P), "*SC*"))&gt;0</f>
        <v>0</v>
      </c>
      <c r="S301" t="str">
        <f>_xlfn.XLOOKUP(B301,BugList!A:A,BugList!W:W)</f>
        <v/>
      </c>
      <c r="T301">
        <f t="shared" si="28"/>
        <v>4</v>
      </c>
      <c r="U301">
        <f t="shared" si="29"/>
        <v>4</v>
      </c>
    </row>
    <row r="302" spans="1:21">
      <c r="A302" t="s">
        <v>161</v>
      </c>
      <c r="B302">
        <v>247</v>
      </c>
      <c r="D302" t="s">
        <v>87</v>
      </c>
      <c r="E302" t="s">
        <v>87</v>
      </c>
      <c r="F302">
        <v>4</v>
      </c>
      <c r="G302">
        <f t="shared" si="30"/>
        <v>3.7735849056603774</v>
      </c>
      <c r="H302">
        <f t="shared" si="31"/>
        <v>3</v>
      </c>
      <c r="I302">
        <f t="shared" si="32"/>
        <v>0.77358490566037741</v>
      </c>
      <c r="J302" cm="1">
        <f t="array" ref="J302">INT(G302)+IF(100-SUM(INT(G$301:G$313))&gt;=RANK(I302,I$301:I$313)+COUNTIF(I$301:I302,I302)-1,1,0)</f>
        <v>4</v>
      </c>
      <c r="K302" t="str">
        <f>_xlfn.XLOOKUP(B302,BugList!A:A,BugList!H:H)</f>
        <v/>
      </c>
      <c r="L302" t="str">
        <f>IF(K302 = "","",_xlfn.XLOOKUP(B302, BugList!A:A,BugList!B:B,""))</f>
        <v/>
      </c>
      <c r="M302">
        <f>_xlfn.XLOOKUP(D302,BugList!C:C,BugList!N:N)</f>
        <v>4</v>
      </c>
      <c r="N302">
        <f>_xlfn.XLOOKUP(B302,BugList!A:A,BugList!R:R)</f>
        <v>4</v>
      </c>
      <c r="O302" t="b">
        <f>_xlfn.XLOOKUP(B302,BugList!A:A,BugList!L:L)</f>
        <v>0</v>
      </c>
      <c r="P302" t="b">
        <f t="shared" si="33"/>
        <v>0</v>
      </c>
      <c r="R302" t="b">
        <f>SUMPRODUCT(COUNTIF(_xlfn.XLOOKUP(B302,BugList!A:A,BugList!P:P), "*SC*"))&gt;0</f>
        <v>0</v>
      </c>
      <c r="S302" t="str">
        <f>_xlfn.XLOOKUP(B302,BugList!A:A,BugList!W:W)</f>
        <v/>
      </c>
      <c r="T302">
        <f t="shared" si="28"/>
        <v>16</v>
      </c>
      <c r="U302">
        <f t="shared" si="29"/>
        <v>16</v>
      </c>
    </row>
    <row r="303" spans="1:21">
      <c r="A303" t="s">
        <v>161</v>
      </c>
      <c r="B303">
        <v>421</v>
      </c>
      <c r="D303" t="s">
        <v>105</v>
      </c>
      <c r="E303" t="s">
        <v>105</v>
      </c>
      <c r="F303">
        <v>1</v>
      </c>
      <c r="G303">
        <f t="shared" si="30"/>
        <v>0.94339622641509435</v>
      </c>
      <c r="H303">
        <f t="shared" si="31"/>
        <v>0</v>
      </c>
      <c r="I303">
        <f t="shared" si="32"/>
        <v>0.94339622641509435</v>
      </c>
      <c r="J303" cm="1">
        <f t="array" ref="J303">INT(G303)+IF(100-SUM(INT(G$301:G$313))&gt;=RANK(I303,I$301:I$313)+COUNTIF(I$301:I303,I303)-1,1,0)</f>
        <v>1</v>
      </c>
      <c r="K303" t="str">
        <f>_xlfn.XLOOKUP(B303,BugList!A:A,BugList!H:H)</f>
        <v>*</v>
      </c>
      <c r="L303" t="str">
        <f>IF(K303 = "","",_xlfn.XLOOKUP(B303, BugList!A:A,BugList!B:B,""))</f>
        <v>Plecoptera</v>
      </c>
      <c r="M303">
        <f>_xlfn.XLOOKUP(D303,BugList!C:C,BugList!N:N)</f>
        <v>1</v>
      </c>
      <c r="N303">
        <f>_xlfn.XLOOKUP(B303,BugList!A:A,BugList!R:R)</f>
        <v>1</v>
      </c>
      <c r="O303" t="b">
        <f>_xlfn.XLOOKUP(B303,BugList!A:A,BugList!L:L)</f>
        <v>1</v>
      </c>
      <c r="P303" t="b">
        <f t="shared" si="33"/>
        <v>1</v>
      </c>
      <c r="R303" t="b">
        <f>SUMPRODUCT(COUNTIF(_xlfn.XLOOKUP(B303,BugList!A:A,BugList!P:P), "*SC*"))&gt;0</f>
        <v>0</v>
      </c>
      <c r="S303" t="str">
        <f>_xlfn.XLOOKUP(B303,BugList!A:A,BugList!W:W)</f>
        <v/>
      </c>
      <c r="T303">
        <f t="shared" si="28"/>
        <v>1</v>
      </c>
      <c r="U303">
        <f t="shared" si="29"/>
        <v>1</v>
      </c>
    </row>
    <row r="304" spans="1:21">
      <c r="A304" t="s">
        <v>161</v>
      </c>
      <c r="B304">
        <v>513</v>
      </c>
      <c r="D304" t="s">
        <v>111</v>
      </c>
      <c r="E304" t="s">
        <v>111</v>
      </c>
      <c r="F304">
        <v>6</v>
      </c>
      <c r="G304">
        <f t="shared" si="30"/>
        <v>5.6603773584905666</v>
      </c>
      <c r="H304">
        <f t="shared" si="31"/>
        <v>5</v>
      </c>
      <c r="I304">
        <f t="shared" si="32"/>
        <v>0.66037735849056656</v>
      </c>
      <c r="J304" cm="1">
        <f t="array" ref="J304">INT(G304)+IF(100-SUM(INT(G$301:G$313))&gt;=RANK(I304,I$301:I$313)+COUNTIF(I$301:I304,I304)-1,1,0)</f>
        <v>6</v>
      </c>
      <c r="K304" t="str">
        <f>_xlfn.XLOOKUP(B304,BugList!A:A,BugList!H:H)</f>
        <v>*</v>
      </c>
      <c r="L304" t="str">
        <f>IF(K304 = "","",_xlfn.XLOOKUP(B304, BugList!A:A,BugList!B:B,""))</f>
        <v>Ephemeroptera</v>
      </c>
      <c r="M304">
        <f>_xlfn.XLOOKUP(D304,BugList!C:C,BugList!N:N)</f>
        <v>4</v>
      </c>
      <c r="N304">
        <f>_xlfn.XLOOKUP(B304,BugList!A:A,BugList!R:R)</f>
        <v>4</v>
      </c>
      <c r="O304" t="b">
        <f>_xlfn.XLOOKUP(B304,BugList!A:A,BugList!L:L)</f>
        <v>1</v>
      </c>
      <c r="P304" t="b">
        <f t="shared" si="33"/>
        <v>1</v>
      </c>
      <c r="R304" t="b">
        <f>SUMPRODUCT(COUNTIF(_xlfn.XLOOKUP(B304,BugList!A:A,BugList!P:P), "*SC*"))&gt;0</f>
        <v>1</v>
      </c>
      <c r="S304" t="str">
        <f>_xlfn.XLOOKUP(B304,BugList!A:A,BugList!W:W)</f>
        <v/>
      </c>
      <c r="T304">
        <f t="shared" si="28"/>
        <v>24</v>
      </c>
      <c r="U304">
        <f t="shared" si="29"/>
        <v>24</v>
      </c>
    </row>
    <row r="305" spans="1:21">
      <c r="A305" t="s">
        <v>161</v>
      </c>
      <c r="B305">
        <v>583</v>
      </c>
      <c r="D305" t="s">
        <v>162</v>
      </c>
      <c r="E305" t="s">
        <v>162</v>
      </c>
      <c r="F305">
        <v>1</v>
      </c>
      <c r="G305">
        <f t="shared" si="30"/>
        <v>0.94339622641509435</v>
      </c>
      <c r="H305">
        <f t="shared" si="31"/>
        <v>0</v>
      </c>
      <c r="I305">
        <f t="shared" si="32"/>
        <v>0.94339622641509435</v>
      </c>
      <c r="J305" cm="1">
        <f t="array" ref="J305">INT(G305)+IF(100-SUM(INT(G$301:G$313))&gt;=RANK(I305,I$301:I$313)+COUNTIF(I$301:I305,I305)-1,1,0)</f>
        <v>1</v>
      </c>
      <c r="K305" t="str">
        <f>_xlfn.XLOOKUP(B305,BugList!A:A,BugList!H:H)</f>
        <v/>
      </c>
      <c r="L305" t="str">
        <f>IF(K305 = "","",_xlfn.XLOOKUP(B305, BugList!A:A,BugList!B:B,""))</f>
        <v/>
      </c>
      <c r="M305">
        <f>_xlfn.XLOOKUP(D305,BugList!C:C,BugList!N:N)</f>
        <v>3</v>
      </c>
      <c r="N305">
        <f>_xlfn.XLOOKUP(B305,BugList!A:A,BugList!R:R)</f>
        <v>3</v>
      </c>
      <c r="O305" t="b">
        <f>_xlfn.XLOOKUP(B305,BugList!A:A,BugList!L:L)</f>
        <v>1</v>
      </c>
      <c r="P305" t="b">
        <f t="shared" si="33"/>
        <v>0</v>
      </c>
      <c r="R305" t="b">
        <f>SUMPRODUCT(COUNTIF(_xlfn.XLOOKUP(B305,BugList!A:A,BugList!P:P), "*SC*"))&gt;0</f>
        <v>0</v>
      </c>
      <c r="S305" t="str">
        <f>_xlfn.XLOOKUP(B305,BugList!A:A,BugList!W:W)</f>
        <v/>
      </c>
      <c r="T305">
        <f t="shared" si="28"/>
        <v>3</v>
      </c>
      <c r="U305">
        <f t="shared" si="29"/>
        <v>3</v>
      </c>
    </row>
    <row r="306" spans="1:21">
      <c r="A306" t="s">
        <v>161</v>
      </c>
      <c r="B306">
        <v>794</v>
      </c>
      <c r="D306" t="s">
        <v>89</v>
      </c>
      <c r="E306" t="s">
        <v>89</v>
      </c>
      <c r="F306">
        <v>9</v>
      </c>
      <c r="G306">
        <f t="shared" si="30"/>
        <v>8.4905660377358494</v>
      </c>
      <c r="H306">
        <f t="shared" si="31"/>
        <v>8</v>
      </c>
      <c r="I306">
        <f t="shared" si="32"/>
        <v>0.49056603773584939</v>
      </c>
      <c r="J306" cm="1">
        <f t="array" ref="J306">INT(G306)+IF(100-SUM(INT(G$301:G$313))&gt;=RANK(I306,I$301:I$313)+COUNTIF(I$301:I306,I306)-1,1,0)</f>
        <v>8</v>
      </c>
      <c r="K306" t="str">
        <f>_xlfn.XLOOKUP(B306,BugList!A:A,BugList!H:H)</f>
        <v>*</v>
      </c>
      <c r="L306" t="str">
        <f>IF(K306 = "","",_xlfn.XLOOKUP(B306, BugList!A:A,BugList!B:B,""))</f>
        <v>Trichoptera</v>
      </c>
      <c r="M306">
        <f>_xlfn.XLOOKUP(D306,BugList!C:C,BugList!N:N)</f>
        <v>4</v>
      </c>
      <c r="N306">
        <f>_xlfn.XLOOKUP(B306,BugList!A:A,BugList!R:R)</f>
        <v>4</v>
      </c>
      <c r="O306" t="b">
        <f>_xlfn.XLOOKUP(B306,BugList!A:A,BugList!L:L)</f>
        <v>1</v>
      </c>
      <c r="P306" t="b">
        <f t="shared" si="33"/>
        <v>0</v>
      </c>
      <c r="R306" t="b">
        <f>SUMPRODUCT(COUNTIF(_xlfn.XLOOKUP(B306,BugList!A:A,BugList!P:P), "*SC*"))&gt;0</f>
        <v>0</v>
      </c>
      <c r="S306" t="str">
        <f>_xlfn.XLOOKUP(B306,BugList!A:A,BugList!W:W)</f>
        <v/>
      </c>
      <c r="T306">
        <f t="shared" si="28"/>
        <v>32</v>
      </c>
      <c r="U306">
        <f t="shared" si="29"/>
        <v>32</v>
      </c>
    </row>
    <row r="307" spans="1:21">
      <c r="A307" t="s">
        <v>161</v>
      </c>
      <c r="B307">
        <v>837</v>
      </c>
      <c r="D307" t="s">
        <v>107</v>
      </c>
      <c r="E307" t="s">
        <v>107</v>
      </c>
      <c r="F307">
        <v>60</v>
      </c>
      <c r="G307">
        <f t="shared" si="30"/>
        <v>56.60377358490566</v>
      </c>
      <c r="H307">
        <f t="shared" si="31"/>
        <v>56</v>
      </c>
      <c r="I307">
        <f t="shared" si="32"/>
        <v>0.60377358490566024</v>
      </c>
      <c r="J307" cm="1">
        <f t="array" ref="J307">INT(G307)+IF(100-SUM(INT(G$301:G$313))&gt;=RANK(I307,I$301:I$313)+COUNTIF(I$301:I307,I307)-1,1,0)</f>
        <v>56</v>
      </c>
      <c r="K307" t="str">
        <f>_xlfn.XLOOKUP(B307,BugList!A:A,BugList!H:H)</f>
        <v>*</v>
      </c>
      <c r="L307" t="str">
        <f>IF(K307 = "","",_xlfn.XLOOKUP(B307, BugList!A:A,BugList!B:B,""))</f>
        <v>Trichoptera</v>
      </c>
      <c r="M307">
        <f>_xlfn.XLOOKUP(D307,BugList!C:C,BugList!N:N)</f>
        <v>3</v>
      </c>
      <c r="N307">
        <f>_xlfn.XLOOKUP(B307,BugList!A:A,BugList!R:R)</f>
        <v>3</v>
      </c>
      <c r="O307" t="b">
        <f>_xlfn.XLOOKUP(B307,BugList!A:A,BugList!L:L)</f>
        <v>1</v>
      </c>
      <c r="P307" t="b">
        <f t="shared" si="33"/>
        <v>1</v>
      </c>
      <c r="R307" t="b">
        <f>SUMPRODUCT(COUNTIF(_xlfn.XLOOKUP(B307,BugList!A:A,BugList!P:P), "*SC*"))&gt;0</f>
        <v>0</v>
      </c>
      <c r="S307" t="str">
        <f>_xlfn.XLOOKUP(B307,BugList!A:A,BugList!W:W)</f>
        <v/>
      </c>
      <c r="T307">
        <f t="shared" si="28"/>
        <v>168</v>
      </c>
      <c r="U307">
        <f t="shared" si="29"/>
        <v>168</v>
      </c>
    </row>
    <row r="308" spans="1:21">
      <c r="A308" t="s">
        <v>161</v>
      </c>
      <c r="B308">
        <v>842</v>
      </c>
      <c r="D308" t="s">
        <v>163</v>
      </c>
      <c r="E308" t="s">
        <v>163</v>
      </c>
      <c r="F308">
        <v>1</v>
      </c>
      <c r="G308">
        <f t="shared" si="30"/>
        <v>0.94339622641509435</v>
      </c>
      <c r="H308">
        <f t="shared" si="31"/>
        <v>0</v>
      </c>
      <c r="I308">
        <f t="shared" si="32"/>
        <v>0.94339622641509435</v>
      </c>
      <c r="J308" cm="1">
        <f t="array" ref="J308">INT(G308)+IF(100-SUM(INT(G$301:G$313))&gt;=RANK(I308,I$301:I$313)+COUNTIF(I$301:I308,I308)-1,1,0)</f>
        <v>1</v>
      </c>
      <c r="K308" t="str">
        <f>_xlfn.XLOOKUP(B308,BugList!A:A,BugList!H:H)</f>
        <v>*</v>
      </c>
      <c r="L308" t="str">
        <f>IF(K308 = "","",_xlfn.XLOOKUP(B308, BugList!A:A,BugList!B:B,""))</f>
        <v>Trichoptera</v>
      </c>
      <c r="M308">
        <f>_xlfn.XLOOKUP(D308,BugList!C:C,BugList!N:N)</f>
        <v>6</v>
      </c>
      <c r="N308">
        <f>_xlfn.XLOOKUP(B308,BugList!A:A,BugList!R:R)</f>
        <v>6</v>
      </c>
      <c r="O308" t="b">
        <f>_xlfn.XLOOKUP(B308,BugList!A:A,BugList!L:L)</f>
        <v>1</v>
      </c>
      <c r="P308" t="b">
        <f t="shared" si="33"/>
        <v>1</v>
      </c>
      <c r="R308" t="b">
        <f>SUMPRODUCT(COUNTIF(_xlfn.XLOOKUP(B308,BugList!A:A,BugList!P:P), "*SC*"))&gt;0</f>
        <v>0</v>
      </c>
      <c r="S308" t="str">
        <f>_xlfn.XLOOKUP(B308,BugList!A:A,BugList!W:W)</f>
        <v/>
      </c>
      <c r="T308">
        <f t="shared" si="28"/>
        <v>6</v>
      </c>
      <c r="U308">
        <f t="shared" si="29"/>
        <v>6</v>
      </c>
    </row>
    <row r="309" spans="1:21">
      <c r="A309" t="s">
        <v>161</v>
      </c>
      <c r="B309">
        <v>935</v>
      </c>
      <c r="D309" t="s">
        <v>98</v>
      </c>
      <c r="E309" t="s">
        <v>98</v>
      </c>
      <c r="F309">
        <v>1</v>
      </c>
      <c r="G309">
        <f t="shared" si="30"/>
        <v>0.94339622641509435</v>
      </c>
      <c r="H309">
        <f t="shared" si="31"/>
        <v>0</v>
      </c>
      <c r="I309">
        <f t="shared" si="32"/>
        <v>0.94339622641509435</v>
      </c>
      <c r="J309" cm="1">
        <f t="array" ref="J309">INT(G309)+IF(100-SUM(INT(G$301:G$313))&gt;=RANK(I309,I$301:I$313)+COUNTIF(I$301:I309,I309)-1,1,0)</f>
        <v>1</v>
      </c>
      <c r="K309" t="str">
        <f>_xlfn.XLOOKUP(B309,BugList!A:A,BugList!H:H)</f>
        <v/>
      </c>
      <c r="L309" t="str">
        <f>IF(K309 = "","",_xlfn.XLOOKUP(B309, BugList!A:A,BugList!B:B,""))</f>
        <v/>
      </c>
      <c r="M309">
        <f>_xlfn.XLOOKUP(D309,BugList!C:C,BugList!N:N)</f>
        <v>4</v>
      </c>
      <c r="N309">
        <f>_xlfn.XLOOKUP(B309,BugList!A:A,BugList!R:R)</f>
        <v>4</v>
      </c>
      <c r="O309" t="b">
        <f>_xlfn.XLOOKUP(B309,BugList!A:A,BugList!L:L)</f>
        <v>1</v>
      </c>
      <c r="P309" t="b">
        <f t="shared" si="33"/>
        <v>0</v>
      </c>
      <c r="R309" t="b">
        <f>SUMPRODUCT(COUNTIF(_xlfn.XLOOKUP(B309,BugList!A:A,BugList!P:P), "*SC*"))&gt;0</f>
        <v>1</v>
      </c>
      <c r="S309" t="str">
        <f>_xlfn.XLOOKUP(B309,BugList!A:A,BugList!W:W)</f>
        <v/>
      </c>
      <c r="T309">
        <f t="shared" si="28"/>
        <v>4</v>
      </c>
      <c r="U309">
        <f t="shared" si="29"/>
        <v>4</v>
      </c>
    </row>
    <row r="310" spans="1:21">
      <c r="A310" t="s">
        <v>161</v>
      </c>
      <c r="B310">
        <v>1002</v>
      </c>
      <c r="D310" t="s">
        <v>100</v>
      </c>
      <c r="E310" t="s">
        <v>100</v>
      </c>
      <c r="F310">
        <v>13</v>
      </c>
      <c r="G310">
        <f t="shared" si="30"/>
        <v>12.264150943396226</v>
      </c>
      <c r="H310">
        <f t="shared" si="31"/>
        <v>12</v>
      </c>
      <c r="I310">
        <f t="shared" si="32"/>
        <v>0.26415094339622591</v>
      </c>
      <c r="J310" cm="1">
        <f t="array" ref="J310">INT(G310)+IF(100-SUM(INT(G$301:G$313))&gt;=RANK(I310,I$301:I$313)+COUNTIF(I$301:I310,I310)-1,1,0)</f>
        <v>12</v>
      </c>
      <c r="K310" t="str">
        <f>_xlfn.XLOOKUP(B310,BugList!A:A,BugList!H:H)</f>
        <v/>
      </c>
      <c r="L310" t="str">
        <f>IF(K310 = "","",_xlfn.XLOOKUP(B310, BugList!A:A,BugList!B:B,""))</f>
        <v/>
      </c>
      <c r="M310">
        <f>_xlfn.XLOOKUP(D310,BugList!C:C,BugList!N:N)</f>
        <v>4</v>
      </c>
      <c r="N310">
        <f>_xlfn.XLOOKUP(B310,BugList!A:A,BugList!R:R)</f>
        <v>4</v>
      </c>
      <c r="O310" t="b">
        <f>_xlfn.XLOOKUP(B310,BugList!A:A,BugList!L:L)</f>
        <v>1</v>
      </c>
      <c r="P310" t="b">
        <f t="shared" si="33"/>
        <v>0</v>
      </c>
      <c r="R310" t="b">
        <f>SUMPRODUCT(COUNTIF(_xlfn.XLOOKUP(B310,BugList!A:A,BugList!P:P), "*SC*"))&gt;0</f>
        <v>1</v>
      </c>
      <c r="S310" t="str">
        <f>_xlfn.XLOOKUP(B310,BugList!A:A,BugList!W:W)</f>
        <v/>
      </c>
      <c r="T310">
        <f t="shared" si="28"/>
        <v>48</v>
      </c>
      <c r="U310">
        <f t="shared" si="29"/>
        <v>48</v>
      </c>
    </row>
    <row r="311" spans="1:21">
      <c r="A311" t="s">
        <v>161</v>
      </c>
      <c r="B311">
        <v>1088</v>
      </c>
      <c r="D311" t="s">
        <v>90</v>
      </c>
      <c r="E311" t="s">
        <v>90</v>
      </c>
      <c r="F311">
        <v>1</v>
      </c>
      <c r="G311">
        <f t="shared" si="30"/>
        <v>0.94339622641509435</v>
      </c>
      <c r="H311">
        <f t="shared" si="31"/>
        <v>0</v>
      </c>
      <c r="I311">
        <f t="shared" si="32"/>
        <v>0.94339622641509435</v>
      </c>
      <c r="J311" cm="1">
        <f t="array" ref="J311">INT(G311)+IF(100-SUM(INT(G$301:G$313))&gt;=RANK(I311,I$301:I$313)+COUNTIF(I$301:I311,I311)-1,1,0)</f>
        <v>1</v>
      </c>
      <c r="K311" t="str">
        <f>_xlfn.XLOOKUP(B311,BugList!A:A,BugList!H:H)</f>
        <v/>
      </c>
      <c r="L311" t="str">
        <f>IF(K311 = "","",_xlfn.XLOOKUP(B311, BugList!A:A,BugList!B:B,""))</f>
        <v/>
      </c>
      <c r="M311">
        <f>_xlfn.XLOOKUP(D311,BugList!C:C,BugList!N:N)</f>
        <v>6</v>
      </c>
      <c r="N311">
        <f>_xlfn.XLOOKUP(B311,BugList!A:A,BugList!R:R)</f>
        <v>6</v>
      </c>
      <c r="O311" t="b">
        <f>_xlfn.XLOOKUP(B311,BugList!A:A,BugList!L:L)</f>
        <v>1</v>
      </c>
      <c r="P311" t="b">
        <f t="shared" si="33"/>
        <v>0</v>
      </c>
      <c r="R311" t="b">
        <f>SUMPRODUCT(COUNTIF(_xlfn.XLOOKUP(B311,BugList!A:A,BugList!P:P), "*SC*"))&gt;0</f>
        <v>0</v>
      </c>
      <c r="S311" t="str">
        <f>_xlfn.XLOOKUP(B311,BugList!A:A,BugList!W:W)</f>
        <v/>
      </c>
      <c r="T311">
        <f t="shared" si="28"/>
        <v>6</v>
      </c>
      <c r="U311">
        <f t="shared" si="29"/>
        <v>6</v>
      </c>
    </row>
    <row r="312" spans="1:21">
      <c r="A312" t="s">
        <v>161</v>
      </c>
      <c r="B312">
        <v>1497</v>
      </c>
      <c r="D312" t="s">
        <v>108</v>
      </c>
      <c r="E312" t="s">
        <v>108</v>
      </c>
      <c r="F312">
        <v>5</v>
      </c>
      <c r="G312">
        <f t="shared" si="30"/>
        <v>4.716981132075472</v>
      </c>
      <c r="H312">
        <f t="shared" si="31"/>
        <v>4</v>
      </c>
      <c r="I312">
        <f t="shared" si="32"/>
        <v>0.71698113207547198</v>
      </c>
      <c r="J312" cm="1">
        <f t="array" ref="J312">INT(G312)+IF(100-SUM(INT(G$301:G$313))&gt;=RANK(I312,I$301:I$313)+COUNTIF(I$301:I312,I312)-1,1,0)</f>
        <v>5</v>
      </c>
      <c r="K312" t="str">
        <f>_xlfn.XLOOKUP(B312,BugList!A:A,BugList!H:H)</f>
        <v/>
      </c>
      <c r="L312" t="str">
        <f>IF(K312 = "","",_xlfn.XLOOKUP(B312, BugList!A:A,BugList!B:B,""))</f>
        <v/>
      </c>
      <c r="M312">
        <f>_xlfn.XLOOKUP(D312,BugList!C:C,BugList!N:N)</f>
        <v>3</v>
      </c>
      <c r="N312">
        <f>_xlfn.XLOOKUP(B312,BugList!A:A,BugList!R:R)</f>
        <v>3</v>
      </c>
      <c r="O312" t="b">
        <f>_xlfn.XLOOKUP(B312,BugList!A:A,BugList!L:L)</f>
        <v>1</v>
      </c>
      <c r="P312" t="b">
        <f t="shared" si="33"/>
        <v>0</v>
      </c>
      <c r="R312" t="b">
        <f>SUMPRODUCT(COUNTIF(_xlfn.XLOOKUP(B312,BugList!A:A,BugList!P:P), "*SC*"))&gt;0</f>
        <v>0</v>
      </c>
      <c r="S312" t="str">
        <f>_xlfn.XLOOKUP(B312,BugList!A:A,BugList!W:W)</f>
        <v/>
      </c>
      <c r="T312">
        <f t="shared" si="28"/>
        <v>15</v>
      </c>
      <c r="U312">
        <f t="shared" si="29"/>
        <v>15</v>
      </c>
    </row>
    <row r="313" spans="1:21">
      <c r="A313" t="s">
        <v>161</v>
      </c>
      <c r="B313">
        <v>1696</v>
      </c>
      <c r="D313" t="s">
        <v>94</v>
      </c>
      <c r="E313" t="s">
        <v>94</v>
      </c>
      <c r="F313">
        <v>3</v>
      </c>
      <c r="G313">
        <f t="shared" si="30"/>
        <v>2.8301886792452833</v>
      </c>
      <c r="H313">
        <f t="shared" si="31"/>
        <v>2</v>
      </c>
      <c r="I313">
        <f t="shared" si="32"/>
        <v>0.83018867924528328</v>
      </c>
      <c r="J313" cm="1">
        <f t="array" ref="J313">INT(G313)+IF(100-SUM(INT(G$301:G$313))&gt;=RANK(I313,I$301:I$313)+COUNTIF(I$301:I313,I313)-1,1,0)</f>
        <v>3</v>
      </c>
      <c r="K313" t="str">
        <f>_xlfn.XLOOKUP(B313,BugList!A:A,BugList!H:H)</f>
        <v/>
      </c>
      <c r="L313" t="str">
        <f>IF(K313 = "","",_xlfn.XLOOKUP(B313, BugList!A:A,BugList!B:B,""))</f>
        <v/>
      </c>
      <c r="M313">
        <f>_xlfn.XLOOKUP(D313,BugList!C:C,BugList!N:N)</f>
        <v>8</v>
      </c>
      <c r="N313">
        <f>_xlfn.XLOOKUP(B313,BugList!A:A,BugList!R:R)</f>
        <v>8</v>
      </c>
      <c r="O313" t="b">
        <f>_xlfn.XLOOKUP(B313,BugList!A:A,BugList!L:L)</f>
        <v>0</v>
      </c>
      <c r="P313" t="b">
        <f t="shared" si="33"/>
        <v>0</v>
      </c>
      <c r="R313" t="b">
        <f>SUMPRODUCT(COUNTIF(_xlfn.XLOOKUP(B313,BugList!A:A,BugList!P:P), "*SC*"))&gt;0</f>
        <v>0</v>
      </c>
      <c r="S313" t="str">
        <f>_xlfn.XLOOKUP(B313,BugList!A:A,BugList!W:W)</f>
        <v/>
      </c>
      <c r="T313">
        <f t="shared" si="28"/>
        <v>24</v>
      </c>
      <c r="U313">
        <f t="shared" si="29"/>
        <v>24</v>
      </c>
    </row>
    <row r="314" spans="1:21">
      <c r="A314" t="s">
        <v>164</v>
      </c>
      <c r="B314">
        <v>63</v>
      </c>
      <c r="D314" t="s">
        <v>84</v>
      </c>
      <c r="E314" t="s">
        <v>84</v>
      </c>
      <c r="F314">
        <v>12</v>
      </c>
      <c r="G314">
        <f t="shared" si="30"/>
        <v>11.009174311926607</v>
      </c>
      <c r="H314">
        <f t="shared" si="31"/>
        <v>11</v>
      </c>
      <c r="I314">
        <f t="shared" si="32"/>
        <v>9.1743119266070039E-3</v>
      </c>
      <c r="J314" cm="1">
        <f t="array" ref="J314">INT(G314)+IF(100-SUM(INT(G$314:G$329))&gt;=RANK(I314,I$314:I$329)+COUNTIF(I$314:I314,I314)-1,1,0)</f>
        <v>11</v>
      </c>
      <c r="K314" t="str">
        <f>_xlfn.XLOOKUP(B314,BugList!A:A,BugList!H:H)</f>
        <v/>
      </c>
      <c r="L314" t="str">
        <f>IF(K314 = "","",_xlfn.XLOOKUP(B314, BugList!A:A,BugList!B:B,""))</f>
        <v/>
      </c>
      <c r="M314">
        <f>_xlfn.XLOOKUP(E314,BugList!C:C,BugList!N:N)</f>
        <v>8</v>
      </c>
      <c r="N314">
        <f>_xlfn.XLOOKUP(B314,BugList!A:A,BugList!R:R)</f>
        <v>8</v>
      </c>
      <c r="O314" t="b">
        <f>_xlfn.XLOOKUP(B314,BugList!A:A,BugList!L:L)</f>
        <v>0</v>
      </c>
      <c r="P314" t="b">
        <f t="shared" si="33"/>
        <v>0</v>
      </c>
      <c r="R314" t="b">
        <f>SUMPRODUCT(COUNTIF(_xlfn.XLOOKUP(B314,BugList!A:A,BugList!P:P), "*SC*"))&gt;0</f>
        <v>0</v>
      </c>
      <c r="S314" t="str">
        <f>_xlfn.XLOOKUP(B314,BugList!A:A,BugList!W:W)</f>
        <v/>
      </c>
      <c r="T314">
        <f t="shared" si="28"/>
        <v>88</v>
      </c>
      <c r="U314">
        <f t="shared" si="29"/>
        <v>88</v>
      </c>
    </row>
    <row r="315" spans="1:21">
      <c r="A315" t="s">
        <v>164</v>
      </c>
      <c r="B315">
        <v>88</v>
      </c>
      <c r="D315" t="s">
        <v>85</v>
      </c>
      <c r="E315" t="s">
        <v>85</v>
      </c>
      <c r="F315">
        <v>52</v>
      </c>
      <c r="G315">
        <f t="shared" si="30"/>
        <v>47.706422018348626</v>
      </c>
      <c r="H315">
        <f t="shared" si="31"/>
        <v>47</v>
      </c>
      <c r="I315">
        <f t="shared" si="32"/>
        <v>0.70642201834862561</v>
      </c>
      <c r="J315" cm="1">
        <f t="array" ref="J315">INT(G315)+IF(100-SUM(INT(G$314:G$329))&gt;=RANK(I315,I$314:I$329)+COUNTIF(I$314:I315,I315)-1,1,0)</f>
        <v>48</v>
      </c>
      <c r="K315" t="str">
        <f>_xlfn.XLOOKUP(B315,BugList!A:A,BugList!H:H)</f>
        <v/>
      </c>
      <c r="L315" t="str">
        <f>IF(K315 = "","",_xlfn.XLOOKUP(B315, BugList!A:A,BugList!B:B,""))</f>
        <v/>
      </c>
      <c r="M315">
        <f>_xlfn.XLOOKUP(E315,BugList!C:C,BugList!N:N)</f>
        <v>4</v>
      </c>
      <c r="N315">
        <f>_xlfn.XLOOKUP(B315,BugList!A:A,BugList!R:R)</f>
        <v>4</v>
      </c>
      <c r="O315" t="b">
        <f>_xlfn.XLOOKUP(B315,BugList!A:A,BugList!L:L)</f>
        <v>0</v>
      </c>
      <c r="P315" t="b">
        <f t="shared" si="33"/>
        <v>0</v>
      </c>
      <c r="R315" t="b">
        <f>SUMPRODUCT(COUNTIF(_xlfn.XLOOKUP(B315,BugList!A:A,BugList!P:P), "*SC*"))&gt;0</f>
        <v>0</v>
      </c>
      <c r="S315" t="str">
        <f>_xlfn.XLOOKUP(B315,BugList!A:A,BugList!W:W)</f>
        <v/>
      </c>
      <c r="T315">
        <f t="shared" si="28"/>
        <v>192</v>
      </c>
      <c r="U315">
        <f t="shared" si="29"/>
        <v>192</v>
      </c>
    </row>
    <row r="316" spans="1:21">
      <c r="A316" t="s">
        <v>164</v>
      </c>
      <c r="B316">
        <v>247</v>
      </c>
      <c r="D316" t="s">
        <v>87</v>
      </c>
      <c r="E316" t="s">
        <v>87</v>
      </c>
      <c r="F316">
        <v>1</v>
      </c>
      <c r="G316">
        <f t="shared" si="30"/>
        <v>0.91743119266055051</v>
      </c>
      <c r="H316">
        <f t="shared" si="31"/>
        <v>0</v>
      </c>
      <c r="I316">
        <f t="shared" si="32"/>
        <v>0.91743119266055051</v>
      </c>
      <c r="J316" cm="1">
        <f t="array" ref="J316">INT(G316)+IF(100-SUM(INT(G$314:G$329))&gt;=RANK(I316,I$314:I$329)+COUNTIF(I$314:I316,I316)-1,1,0)</f>
        <v>1</v>
      </c>
      <c r="K316" t="str">
        <f>_xlfn.XLOOKUP(B316,BugList!A:A,BugList!H:H)</f>
        <v/>
      </c>
      <c r="L316" t="str">
        <f>IF(K316 = "","",_xlfn.XLOOKUP(B316, BugList!A:A,BugList!B:B,""))</f>
        <v/>
      </c>
      <c r="M316">
        <f>_xlfn.XLOOKUP(E316,BugList!C:C,BugList!N:N)</f>
        <v>4</v>
      </c>
      <c r="N316">
        <f>_xlfn.XLOOKUP(B316,BugList!A:A,BugList!R:R)</f>
        <v>4</v>
      </c>
      <c r="O316" t="b">
        <f>_xlfn.XLOOKUP(B316,BugList!A:A,BugList!L:L)</f>
        <v>0</v>
      </c>
      <c r="P316" t="b">
        <f t="shared" si="33"/>
        <v>0</v>
      </c>
      <c r="R316" t="b">
        <f>SUMPRODUCT(COUNTIF(_xlfn.XLOOKUP(B316,BugList!A:A,BugList!P:P), "*SC*"))&gt;0</f>
        <v>0</v>
      </c>
      <c r="S316" t="str">
        <f>_xlfn.XLOOKUP(B316,BugList!A:A,BugList!W:W)</f>
        <v/>
      </c>
      <c r="T316">
        <f t="shared" si="28"/>
        <v>4</v>
      </c>
      <c r="U316">
        <f t="shared" si="29"/>
        <v>4</v>
      </c>
    </row>
    <row r="317" spans="1:21">
      <c r="A317" t="s">
        <v>164</v>
      </c>
      <c r="B317">
        <v>380</v>
      </c>
      <c r="D317" t="s">
        <v>88</v>
      </c>
      <c r="E317" t="s">
        <v>88</v>
      </c>
      <c r="F317">
        <v>6</v>
      </c>
      <c r="G317">
        <f t="shared" si="30"/>
        <v>5.5045871559633035</v>
      </c>
      <c r="H317">
        <f t="shared" si="31"/>
        <v>5</v>
      </c>
      <c r="I317">
        <f t="shared" si="32"/>
        <v>0.5045871559633035</v>
      </c>
      <c r="J317" cm="1">
        <f t="array" ref="J317">INT(G317)+IF(100-SUM(INT(G$314:G$329))&gt;=RANK(I317,I$314:I$329)+COUNTIF(I$314:I317,I317)-1,1,0)</f>
        <v>5</v>
      </c>
      <c r="K317" t="str">
        <f>_xlfn.XLOOKUP(B317,BugList!A:A,BugList!H:H)</f>
        <v/>
      </c>
      <c r="L317" t="str">
        <f>IF(K317 = "","",_xlfn.XLOOKUP(B317, BugList!A:A,BugList!B:B,""))</f>
        <v/>
      </c>
      <c r="M317">
        <f>_xlfn.XLOOKUP(E317,BugList!C:C,BugList!N:N)</f>
        <v>8</v>
      </c>
      <c r="N317">
        <f>_xlfn.XLOOKUP(B317,BugList!A:A,BugList!R:R)</f>
        <v>6</v>
      </c>
      <c r="O317" t="b">
        <f>_xlfn.XLOOKUP(B317,BugList!A:A,BugList!L:L)</f>
        <v>0</v>
      </c>
      <c r="P317" t="b">
        <f t="shared" si="33"/>
        <v>0</v>
      </c>
      <c r="R317" t="b">
        <f>SUMPRODUCT(COUNTIF(_xlfn.XLOOKUP(B317,BugList!A:A,BugList!P:P), "*SC*"))&gt;0</f>
        <v>0</v>
      </c>
      <c r="S317" t="str">
        <f>_xlfn.XLOOKUP(B317,BugList!A:A,BugList!W:W)</f>
        <v/>
      </c>
      <c r="T317">
        <f t="shared" si="28"/>
        <v>40</v>
      </c>
      <c r="U317">
        <f t="shared" si="29"/>
        <v>30</v>
      </c>
    </row>
    <row r="318" spans="1:21">
      <c r="A318" t="s">
        <v>164</v>
      </c>
      <c r="B318">
        <v>425</v>
      </c>
      <c r="D318" t="s">
        <v>153</v>
      </c>
      <c r="E318" t="s">
        <v>153</v>
      </c>
      <c r="F318">
        <v>1</v>
      </c>
      <c r="G318">
        <f t="shared" si="30"/>
        <v>0.91743119266055051</v>
      </c>
      <c r="H318">
        <f t="shared" si="31"/>
        <v>0</v>
      </c>
      <c r="I318">
        <f t="shared" si="32"/>
        <v>0.91743119266055051</v>
      </c>
      <c r="J318" cm="1">
        <f t="array" ref="J318">INT(G318)+IF(100-SUM(INT(G$314:G$329))&gt;=RANK(I318,I$314:I$329)+COUNTIF(I$314:I318,I318)-1,1,0)</f>
        <v>1</v>
      </c>
      <c r="K318" t="str">
        <f>_xlfn.XLOOKUP(B318,BugList!A:A,BugList!H:H)</f>
        <v>*</v>
      </c>
      <c r="L318" t="str">
        <f>IF(K318 = "","",_xlfn.XLOOKUP(B318, BugList!A:A,BugList!B:B,""))</f>
        <v>Plecoptera</v>
      </c>
      <c r="M318">
        <f>_xlfn.XLOOKUP(E318,BugList!C:C,BugList!N:N)</f>
        <v>2</v>
      </c>
      <c r="N318">
        <f>_xlfn.XLOOKUP(B318,BugList!A:A,BugList!R:R)</f>
        <v>2</v>
      </c>
      <c r="O318" t="b">
        <f>_xlfn.XLOOKUP(B318,BugList!A:A,BugList!L:L)</f>
        <v>1</v>
      </c>
      <c r="P318" t="b">
        <f t="shared" si="33"/>
        <v>1</v>
      </c>
      <c r="R318" t="b">
        <f>SUMPRODUCT(COUNTIF(_xlfn.XLOOKUP(B318,BugList!A:A,BugList!P:P), "*SC*"))&gt;0</f>
        <v>0</v>
      </c>
      <c r="S318" t="str">
        <f>_xlfn.XLOOKUP(B318,BugList!A:A,BugList!W:W)</f>
        <v>2</v>
      </c>
      <c r="T318">
        <f t="shared" si="28"/>
        <v>2</v>
      </c>
      <c r="U318">
        <f t="shared" si="29"/>
        <v>2</v>
      </c>
    </row>
    <row r="319" spans="1:21">
      <c r="A319" t="s">
        <v>164</v>
      </c>
      <c r="B319">
        <v>513</v>
      </c>
      <c r="D319" t="s">
        <v>111</v>
      </c>
      <c r="E319" t="s">
        <v>111</v>
      </c>
      <c r="F319">
        <v>5</v>
      </c>
      <c r="G319">
        <f t="shared" si="30"/>
        <v>4.5871559633027523</v>
      </c>
      <c r="H319">
        <f t="shared" si="31"/>
        <v>4</v>
      </c>
      <c r="I319">
        <f t="shared" si="32"/>
        <v>0.58715596330275233</v>
      </c>
      <c r="J319" cm="1">
        <f t="array" ref="J319">INT(G319)+IF(100-SUM(INT(G$314:G$329))&gt;=RANK(I319,I$314:I$329)+COUNTIF(I$314:I319,I319)-1,1,0)</f>
        <v>4</v>
      </c>
      <c r="K319" t="str">
        <f>_xlfn.XLOOKUP(B319,BugList!A:A,BugList!H:H)</f>
        <v>*</v>
      </c>
      <c r="L319" t="str">
        <f>IF(K319 = "","",_xlfn.XLOOKUP(B319, BugList!A:A,BugList!B:B,""))</f>
        <v>Ephemeroptera</v>
      </c>
      <c r="M319">
        <f>_xlfn.XLOOKUP(E319,BugList!C:C,BugList!N:N)</f>
        <v>4</v>
      </c>
      <c r="N319">
        <f>_xlfn.XLOOKUP(B319,BugList!A:A,BugList!R:R)</f>
        <v>4</v>
      </c>
      <c r="O319" t="b">
        <f>_xlfn.XLOOKUP(B319,BugList!A:A,BugList!L:L)</f>
        <v>1</v>
      </c>
      <c r="P319" t="b">
        <f t="shared" si="33"/>
        <v>1</v>
      </c>
      <c r="R319" t="b">
        <f>SUMPRODUCT(COUNTIF(_xlfn.XLOOKUP(B319,BugList!A:A,BugList!P:P), "*SC*"))&gt;0</f>
        <v>1</v>
      </c>
      <c r="S319" t="str">
        <f>_xlfn.XLOOKUP(B319,BugList!A:A,BugList!W:W)</f>
        <v/>
      </c>
      <c r="T319">
        <f t="shared" si="28"/>
        <v>16</v>
      </c>
      <c r="U319">
        <f t="shared" si="29"/>
        <v>16</v>
      </c>
    </row>
    <row r="320" spans="1:21">
      <c r="A320" t="s">
        <v>164</v>
      </c>
      <c r="B320">
        <v>602</v>
      </c>
      <c r="D320" t="s">
        <v>97</v>
      </c>
      <c r="E320" t="s">
        <v>97</v>
      </c>
      <c r="F320">
        <v>2</v>
      </c>
      <c r="G320">
        <f t="shared" si="30"/>
        <v>1.834862385321101</v>
      </c>
      <c r="H320">
        <f t="shared" si="31"/>
        <v>1</v>
      </c>
      <c r="I320">
        <f t="shared" si="32"/>
        <v>0.83486238532110102</v>
      </c>
      <c r="J320" cm="1">
        <f t="array" ref="J320">INT(G320)+IF(100-SUM(INT(G$314:G$329))&gt;=RANK(I320,I$314:I$329)+COUNTIF(I$314:I320,I320)-1,1,0)</f>
        <v>2</v>
      </c>
      <c r="K320" t="str">
        <f>_xlfn.XLOOKUP(B320,BugList!A:A,BugList!H:H)</f>
        <v/>
      </c>
      <c r="L320" t="str">
        <f>IF(K320 = "","",_xlfn.XLOOKUP(B320, BugList!A:A,BugList!B:B,""))</f>
        <v/>
      </c>
      <c r="M320">
        <f>_xlfn.XLOOKUP(E320,BugList!C:C,BugList!N:N)</f>
        <v>9</v>
      </c>
      <c r="N320">
        <f>_xlfn.XLOOKUP(B320,BugList!A:A,BugList!R:R)</f>
        <v>9</v>
      </c>
      <c r="O320" t="b">
        <f>_xlfn.XLOOKUP(B320,BugList!A:A,BugList!L:L)</f>
        <v>1</v>
      </c>
      <c r="P320" t="b">
        <f t="shared" si="33"/>
        <v>0</v>
      </c>
      <c r="R320" t="b">
        <f>SUMPRODUCT(COUNTIF(_xlfn.XLOOKUP(B320,BugList!A:A,BugList!P:P), "*SC*"))&gt;0</f>
        <v>0</v>
      </c>
      <c r="S320" t="str">
        <f>_xlfn.XLOOKUP(B320,BugList!A:A,BugList!W:W)</f>
        <v/>
      </c>
      <c r="T320">
        <f t="shared" si="28"/>
        <v>18</v>
      </c>
      <c r="U320">
        <f t="shared" si="29"/>
        <v>18</v>
      </c>
    </row>
    <row r="321" spans="1:21">
      <c r="A321" t="s">
        <v>164</v>
      </c>
      <c r="B321">
        <v>794</v>
      </c>
      <c r="D321" t="s">
        <v>89</v>
      </c>
      <c r="E321" t="s">
        <v>89</v>
      </c>
      <c r="F321">
        <v>2</v>
      </c>
      <c r="G321">
        <f t="shared" si="30"/>
        <v>1.834862385321101</v>
      </c>
      <c r="H321">
        <f t="shared" si="31"/>
        <v>1</v>
      </c>
      <c r="I321">
        <f t="shared" si="32"/>
        <v>0.83486238532110102</v>
      </c>
      <c r="J321" cm="1">
        <f t="array" ref="J321">INT(G321)+IF(100-SUM(INT(G$314:G$329))&gt;=RANK(I321,I$314:I$329)+COUNTIF(I$314:I321,I321)-1,1,0)</f>
        <v>2</v>
      </c>
      <c r="K321" t="str">
        <f>_xlfn.XLOOKUP(B321,BugList!A:A,BugList!H:H)</f>
        <v>*</v>
      </c>
      <c r="L321" t="str">
        <f>IF(K321 = "","",_xlfn.XLOOKUP(B321, BugList!A:A,BugList!B:B,""))</f>
        <v>Trichoptera</v>
      </c>
      <c r="M321">
        <f>_xlfn.XLOOKUP(E321,BugList!C:C,BugList!N:N)</f>
        <v>4</v>
      </c>
      <c r="N321">
        <f>_xlfn.XLOOKUP(B321,BugList!A:A,BugList!R:R)</f>
        <v>4</v>
      </c>
      <c r="O321" t="b">
        <f>_xlfn.XLOOKUP(B321,BugList!A:A,BugList!L:L)</f>
        <v>1</v>
      </c>
      <c r="P321" t="b">
        <f t="shared" si="33"/>
        <v>0</v>
      </c>
      <c r="R321" t="b">
        <f>SUMPRODUCT(COUNTIF(_xlfn.XLOOKUP(B321,BugList!A:A,BugList!P:P), "*SC*"))&gt;0</f>
        <v>0</v>
      </c>
      <c r="S321" t="str">
        <f>_xlfn.XLOOKUP(B321,BugList!A:A,BugList!W:W)</f>
        <v/>
      </c>
      <c r="T321">
        <f t="shared" si="28"/>
        <v>8</v>
      </c>
      <c r="U321">
        <f t="shared" si="29"/>
        <v>8</v>
      </c>
    </row>
    <row r="322" spans="1:21">
      <c r="A322" t="s">
        <v>164</v>
      </c>
      <c r="B322">
        <v>935</v>
      </c>
      <c r="D322" t="s">
        <v>98</v>
      </c>
      <c r="E322" t="s">
        <v>98</v>
      </c>
      <c r="F322">
        <v>1</v>
      </c>
      <c r="G322">
        <f t="shared" si="30"/>
        <v>0.91743119266055051</v>
      </c>
      <c r="H322">
        <f t="shared" si="31"/>
        <v>0</v>
      </c>
      <c r="I322">
        <f t="shared" si="32"/>
        <v>0.91743119266055051</v>
      </c>
      <c r="J322" cm="1">
        <f t="array" ref="J322">INT(G322)+IF(100-SUM(INT(G$314:G$329))&gt;=RANK(I322,I$314:I$329)+COUNTIF(I$314:I322,I322)-1,1,0)</f>
        <v>1</v>
      </c>
      <c r="K322" t="str">
        <f>_xlfn.XLOOKUP(B322,BugList!A:A,BugList!H:H)</f>
        <v/>
      </c>
      <c r="L322" t="str">
        <f>IF(K322 = "","",_xlfn.XLOOKUP(B322, BugList!A:A,BugList!B:B,""))</f>
        <v/>
      </c>
      <c r="M322">
        <f>_xlfn.XLOOKUP(E322,BugList!C:C,BugList!N:N)</f>
        <v>4</v>
      </c>
      <c r="N322">
        <f>_xlfn.XLOOKUP(B322,BugList!A:A,BugList!R:R)</f>
        <v>4</v>
      </c>
      <c r="O322" t="b">
        <f>_xlfn.XLOOKUP(B322,BugList!A:A,BugList!L:L)</f>
        <v>1</v>
      </c>
      <c r="P322" t="b">
        <f t="shared" si="33"/>
        <v>0</v>
      </c>
      <c r="R322" t="b">
        <f>SUMPRODUCT(COUNTIF(_xlfn.XLOOKUP(B322,BugList!A:A,BugList!P:P), "*SC*"))&gt;0</f>
        <v>1</v>
      </c>
      <c r="S322" t="str">
        <f>_xlfn.XLOOKUP(B322,BugList!A:A,BugList!W:W)</f>
        <v/>
      </c>
      <c r="T322">
        <f t="shared" ref="T322:T385" si="34">J322*M322</f>
        <v>4</v>
      </c>
      <c r="U322">
        <f t="shared" ref="U322:U385" si="35">J322*N322</f>
        <v>4</v>
      </c>
    </row>
    <row r="323" spans="1:21">
      <c r="A323" t="s">
        <v>164</v>
      </c>
      <c r="B323">
        <v>1002</v>
      </c>
      <c r="D323" t="s">
        <v>100</v>
      </c>
      <c r="E323" t="s">
        <v>100</v>
      </c>
      <c r="F323">
        <v>11</v>
      </c>
      <c r="G323">
        <f t="shared" si="30"/>
        <v>10.091743119266056</v>
      </c>
      <c r="H323">
        <f t="shared" si="31"/>
        <v>10</v>
      </c>
      <c r="I323">
        <f t="shared" si="32"/>
        <v>9.1743119266055828E-2</v>
      </c>
      <c r="J323" cm="1">
        <f t="array" ref="J323">INT(G323)+IF(100-SUM(INT(G$314:G$329))&gt;=RANK(I323,I$314:I$329)+COUNTIF(I$314:I323,I323)-1,1,0)</f>
        <v>10</v>
      </c>
      <c r="K323" t="str">
        <f>_xlfn.XLOOKUP(B323,BugList!A:A,BugList!H:H)</f>
        <v/>
      </c>
      <c r="L323" t="str">
        <f>IF(K323 = "","",_xlfn.XLOOKUP(B323, BugList!A:A,BugList!B:B,""))</f>
        <v/>
      </c>
      <c r="M323">
        <f>_xlfn.XLOOKUP(E323,BugList!C:C,BugList!N:N)</f>
        <v>4</v>
      </c>
      <c r="N323">
        <f>_xlfn.XLOOKUP(B323,BugList!A:A,BugList!R:R)</f>
        <v>4</v>
      </c>
      <c r="O323" t="b">
        <f>_xlfn.XLOOKUP(B323,BugList!A:A,BugList!L:L)</f>
        <v>1</v>
      </c>
      <c r="P323" t="b">
        <f t="shared" si="33"/>
        <v>0</v>
      </c>
      <c r="R323" t="b">
        <f>SUMPRODUCT(COUNTIF(_xlfn.XLOOKUP(B323,BugList!A:A,BugList!P:P), "*SC*"))&gt;0</f>
        <v>1</v>
      </c>
      <c r="S323" t="str">
        <f>_xlfn.XLOOKUP(B323,BugList!A:A,BugList!W:W)</f>
        <v/>
      </c>
      <c r="T323">
        <f t="shared" si="34"/>
        <v>40</v>
      </c>
      <c r="U323">
        <f t="shared" si="35"/>
        <v>40</v>
      </c>
    </row>
    <row r="324" spans="1:21">
      <c r="A324" t="s">
        <v>164</v>
      </c>
      <c r="B324">
        <v>1088</v>
      </c>
      <c r="D324" t="s">
        <v>90</v>
      </c>
      <c r="E324" t="s">
        <v>90</v>
      </c>
      <c r="F324">
        <v>7</v>
      </c>
      <c r="G324">
        <f t="shared" si="30"/>
        <v>6.4220183486238538</v>
      </c>
      <c r="H324">
        <f t="shared" si="31"/>
        <v>6</v>
      </c>
      <c r="I324">
        <f t="shared" si="32"/>
        <v>0.42201834862385379</v>
      </c>
      <c r="J324" cm="1">
        <f t="array" ref="J324">INT(G324)+IF(100-SUM(INT(G$314:G$329))&gt;=RANK(I324,I$314:I$329)+COUNTIF(I$314:I324,I324)-1,1,0)</f>
        <v>6</v>
      </c>
      <c r="K324" t="str">
        <f>_xlfn.XLOOKUP(B324,BugList!A:A,BugList!H:H)</f>
        <v/>
      </c>
      <c r="L324" t="str">
        <f>IF(K324 = "","",_xlfn.XLOOKUP(B324, BugList!A:A,BugList!B:B,""))</f>
        <v/>
      </c>
      <c r="M324">
        <f>_xlfn.XLOOKUP(E324,BugList!C:C,BugList!N:N)</f>
        <v>6</v>
      </c>
      <c r="N324">
        <f>_xlfn.XLOOKUP(B324,BugList!A:A,BugList!R:R)</f>
        <v>6</v>
      </c>
      <c r="O324" t="b">
        <f>_xlfn.XLOOKUP(B324,BugList!A:A,BugList!L:L)</f>
        <v>1</v>
      </c>
      <c r="P324" t="b">
        <f t="shared" si="33"/>
        <v>0</v>
      </c>
      <c r="R324" t="b">
        <f>SUMPRODUCT(COUNTIF(_xlfn.XLOOKUP(B324,BugList!A:A,BugList!P:P), "*SC*"))&gt;0</f>
        <v>0</v>
      </c>
      <c r="S324" t="str">
        <f>_xlfn.XLOOKUP(B324,BugList!A:A,BugList!W:W)</f>
        <v/>
      </c>
      <c r="T324">
        <f t="shared" si="34"/>
        <v>36</v>
      </c>
      <c r="U324">
        <f t="shared" si="35"/>
        <v>36</v>
      </c>
    </row>
    <row r="325" spans="1:21">
      <c r="A325" t="s">
        <v>164</v>
      </c>
      <c r="B325">
        <v>1436</v>
      </c>
      <c r="D325" t="s">
        <v>101</v>
      </c>
      <c r="E325" t="s">
        <v>101</v>
      </c>
      <c r="F325">
        <v>1</v>
      </c>
      <c r="G325">
        <f t="shared" si="30"/>
        <v>0.91743119266055051</v>
      </c>
      <c r="H325">
        <f t="shared" si="31"/>
        <v>0</v>
      </c>
      <c r="I325">
        <f t="shared" si="32"/>
        <v>0.91743119266055051</v>
      </c>
      <c r="J325" cm="1">
        <f t="array" ref="J325">INT(G325)+IF(100-SUM(INT(G$314:G$329))&gt;=RANK(I325,I$314:I$329)+COUNTIF(I$314:I325,I325)-1,1,0)</f>
        <v>1</v>
      </c>
      <c r="K325" t="str">
        <f>_xlfn.XLOOKUP(B325,BugList!A:A,BugList!H:H)</f>
        <v/>
      </c>
      <c r="L325" t="str">
        <f>IF(K325 = "","",_xlfn.XLOOKUP(B325, BugList!A:A,BugList!B:B,""))</f>
        <v/>
      </c>
      <c r="M325">
        <f>_xlfn.XLOOKUP(E325,BugList!C:C,BugList!N:N)</f>
        <v>6</v>
      </c>
      <c r="N325">
        <f>_xlfn.XLOOKUP(B325,BugList!A:A,BugList!R:R)</f>
        <v>6</v>
      </c>
      <c r="O325" t="b">
        <f>_xlfn.XLOOKUP(B325,BugList!A:A,BugList!L:L)</f>
        <v>1</v>
      </c>
      <c r="P325" t="b">
        <f t="shared" si="33"/>
        <v>0</v>
      </c>
      <c r="R325" t="b">
        <f>SUMPRODUCT(COUNTIF(_xlfn.XLOOKUP(B325,BugList!A:A,BugList!P:P), "*SC*"))&gt;0</f>
        <v>0</v>
      </c>
      <c r="S325" t="str">
        <f>_xlfn.XLOOKUP(B325,BugList!A:A,BugList!W:W)</f>
        <v/>
      </c>
      <c r="T325">
        <f t="shared" si="34"/>
        <v>6</v>
      </c>
      <c r="U325">
        <f t="shared" si="35"/>
        <v>6</v>
      </c>
    </row>
    <row r="326" spans="1:21">
      <c r="A326" t="s">
        <v>164</v>
      </c>
      <c r="B326">
        <v>1497</v>
      </c>
      <c r="D326" t="s">
        <v>108</v>
      </c>
      <c r="E326" t="s">
        <v>108</v>
      </c>
      <c r="F326">
        <v>2</v>
      </c>
      <c r="G326">
        <f t="shared" si="30"/>
        <v>1.834862385321101</v>
      </c>
      <c r="H326">
        <f t="shared" si="31"/>
        <v>1</v>
      </c>
      <c r="I326">
        <f t="shared" si="32"/>
        <v>0.83486238532110102</v>
      </c>
      <c r="J326" cm="1">
        <f t="array" ref="J326">INT(G326)+IF(100-SUM(INT(G$314:G$329))&gt;=RANK(I326,I$314:I$329)+COUNTIF(I$314:I326,I326)-1,1,0)</f>
        <v>2</v>
      </c>
      <c r="K326" t="str">
        <f>_xlfn.XLOOKUP(B326,BugList!A:A,BugList!H:H)</f>
        <v/>
      </c>
      <c r="L326" t="str">
        <f>IF(K326 = "","",_xlfn.XLOOKUP(B326, BugList!A:A,BugList!B:B,""))</f>
        <v/>
      </c>
      <c r="M326">
        <f>_xlfn.XLOOKUP(E326,BugList!C:C,BugList!N:N)</f>
        <v>3</v>
      </c>
      <c r="N326">
        <f>_xlfn.XLOOKUP(B326,BugList!A:A,BugList!R:R)</f>
        <v>3</v>
      </c>
      <c r="O326" t="b">
        <f>_xlfn.XLOOKUP(B326,BugList!A:A,BugList!L:L)</f>
        <v>1</v>
      </c>
      <c r="P326" t="b">
        <f t="shared" si="33"/>
        <v>0</v>
      </c>
      <c r="R326" t="b">
        <f>SUMPRODUCT(COUNTIF(_xlfn.XLOOKUP(B326,BugList!A:A,BugList!P:P), "*SC*"))&gt;0</f>
        <v>0</v>
      </c>
      <c r="S326" t="str">
        <f>_xlfn.XLOOKUP(B326,BugList!A:A,BugList!W:W)</f>
        <v/>
      </c>
      <c r="T326">
        <f t="shared" si="34"/>
        <v>6</v>
      </c>
      <c r="U326">
        <f t="shared" si="35"/>
        <v>6</v>
      </c>
    </row>
    <row r="327" spans="1:21">
      <c r="A327" t="s">
        <v>164</v>
      </c>
      <c r="B327">
        <v>1587</v>
      </c>
      <c r="D327" t="s">
        <v>91</v>
      </c>
      <c r="E327" t="s">
        <v>91</v>
      </c>
      <c r="F327">
        <v>1</v>
      </c>
      <c r="G327">
        <f t="shared" si="30"/>
        <v>0.91743119266055051</v>
      </c>
      <c r="H327">
        <f t="shared" si="31"/>
        <v>0</v>
      </c>
      <c r="I327">
        <f t="shared" si="32"/>
        <v>0.91743119266055051</v>
      </c>
      <c r="J327" cm="1">
        <f t="array" ref="J327">INT(G327)+IF(100-SUM(INT(G$314:G$329))&gt;=RANK(I327,I$314:I$329)+COUNTIF(I$314:I327,I327)-1,1,0)</f>
        <v>1</v>
      </c>
      <c r="K327" t="str">
        <f>_xlfn.XLOOKUP(B327,BugList!A:A,BugList!H:H)</f>
        <v/>
      </c>
      <c r="L327" t="str">
        <f>IF(K327 = "","",_xlfn.XLOOKUP(B327, BugList!A:A,BugList!B:B,""))</f>
        <v/>
      </c>
      <c r="M327">
        <f>_xlfn.XLOOKUP(E327,BugList!C:C,BugList!N:N)</f>
        <v>6</v>
      </c>
      <c r="N327">
        <f>_xlfn.XLOOKUP(B327,BugList!A:A,BugList!R:R)</f>
        <v>6</v>
      </c>
      <c r="O327" t="b">
        <f>_xlfn.XLOOKUP(B327,BugList!A:A,BugList!L:L)</f>
        <v>0</v>
      </c>
      <c r="P327" t="b">
        <f t="shared" si="33"/>
        <v>0</v>
      </c>
      <c r="R327" t="b">
        <f>SUMPRODUCT(COUNTIF(_xlfn.XLOOKUP(B327,BugList!A:A,BugList!P:P), "*SC*"))&gt;0</f>
        <v>0</v>
      </c>
      <c r="S327" t="str">
        <f>_xlfn.XLOOKUP(B327,BugList!A:A,BugList!W:W)</f>
        <v/>
      </c>
      <c r="T327">
        <f t="shared" si="34"/>
        <v>6</v>
      </c>
      <c r="U327">
        <f t="shared" si="35"/>
        <v>6</v>
      </c>
    </row>
    <row r="328" spans="1:21">
      <c r="A328" t="s">
        <v>164</v>
      </c>
      <c r="B328">
        <v>1629</v>
      </c>
      <c r="D328" t="s">
        <v>93</v>
      </c>
      <c r="E328" t="s">
        <v>93</v>
      </c>
      <c r="F328">
        <v>3</v>
      </c>
      <c r="G328">
        <f t="shared" si="30"/>
        <v>2.7522935779816518</v>
      </c>
      <c r="H328">
        <f t="shared" si="31"/>
        <v>2</v>
      </c>
      <c r="I328">
        <f t="shared" si="32"/>
        <v>0.75229357798165175</v>
      </c>
      <c r="J328" cm="1">
        <f t="array" ref="J328">INT(G328)+IF(100-SUM(INT(G$314:G$329))&gt;=RANK(I328,I$314:I$329)+COUNTIF(I$314:I328,I328)-1,1,0)</f>
        <v>3</v>
      </c>
      <c r="K328" t="str">
        <f>_xlfn.XLOOKUP(B328,BugList!A:A,BugList!H:H)</f>
        <v/>
      </c>
      <c r="L328" t="str">
        <f>IF(K328 = "","",_xlfn.XLOOKUP(B328, BugList!A:A,BugList!B:B,""))</f>
        <v/>
      </c>
      <c r="M328">
        <f>_xlfn.XLOOKUP(E328,BugList!C:C,BugList!N:N)</f>
        <v>8</v>
      </c>
      <c r="N328">
        <f>_xlfn.XLOOKUP(B328,BugList!A:A,BugList!R:R)</f>
        <v>8</v>
      </c>
      <c r="O328" t="b">
        <f>_xlfn.XLOOKUP(B328,BugList!A:A,BugList!L:L)</f>
        <v>0</v>
      </c>
      <c r="P328" t="b">
        <f t="shared" si="33"/>
        <v>0</v>
      </c>
      <c r="R328" t="b">
        <f>SUMPRODUCT(COUNTIF(_xlfn.XLOOKUP(B328,BugList!A:A,BugList!P:P), "*SC*"))&gt;0</f>
        <v>0</v>
      </c>
      <c r="S328" t="str">
        <f>_xlfn.XLOOKUP(B328,BugList!A:A,BugList!W:W)</f>
        <v/>
      </c>
      <c r="T328">
        <f t="shared" si="34"/>
        <v>24</v>
      </c>
      <c r="U328">
        <f t="shared" si="35"/>
        <v>24</v>
      </c>
    </row>
    <row r="329" spans="1:21">
      <c r="A329" t="s">
        <v>164</v>
      </c>
      <c r="B329">
        <v>1696</v>
      </c>
      <c r="D329" t="s">
        <v>94</v>
      </c>
      <c r="E329" t="s">
        <v>94</v>
      </c>
      <c r="F329">
        <v>2</v>
      </c>
      <c r="G329">
        <f t="shared" si="30"/>
        <v>1.834862385321101</v>
      </c>
      <c r="H329">
        <f t="shared" si="31"/>
        <v>1</v>
      </c>
      <c r="I329">
        <f t="shared" si="32"/>
        <v>0.83486238532110102</v>
      </c>
      <c r="J329" cm="1">
        <f t="array" ref="J329">INT(G329)+IF(100-SUM(INT(G$314:G$329))&gt;=RANK(I329,I$314:I$329)+COUNTIF(I$314:I329,I329)-1,1,0)</f>
        <v>2</v>
      </c>
      <c r="K329" t="str">
        <f>_xlfn.XLOOKUP(B329,BugList!A:A,BugList!H:H)</f>
        <v/>
      </c>
      <c r="L329" t="str">
        <f>IF(K329 = "","",_xlfn.XLOOKUP(B329, BugList!A:A,BugList!B:B,""))</f>
        <v/>
      </c>
      <c r="M329">
        <f>_xlfn.XLOOKUP(E329,BugList!C:C,BugList!N:N)</f>
        <v>8</v>
      </c>
      <c r="N329">
        <f>_xlfn.XLOOKUP(B329,BugList!A:A,BugList!R:R)</f>
        <v>8</v>
      </c>
      <c r="O329" t="b">
        <f>_xlfn.XLOOKUP(B329,BugList!A:A,BugList!L:L)</f>
        <v>0</v>
      </c>
      <c r="P329" t="b">
        <f t="shared" si="33"/>
        <v>0</v>
      </c>
      <c r="R329" t="b">
        <f>SUMPRODUCT(COUNTIF(_xlfn.XLOOKUP(B329,BugList!A:A,BugList!P:P), "*SC*"))&gt;0</f>
        <v>0</v>
      </c>
      <c r="S329" t="str">
        <f>_xlfn.XLOOKUP(B329,BugList!A:A,BugList!W:W)</f>
        <v/>
      </c>
      <c r="T329">
        <f t="shared" si="34"/>
        <v>16</v>
      </c>
      <c r="U329">
        <f t="shared" si="35"/>
        <v>16</v>
      </c>
    </row>
    <row r="330" spans="1:21">
      <c r="A330" t="s">
        <v>165</v>
      </c>
      <c r="B330">
        <v>63</v>
      </c>
      <c r="D330" t="s">
        <v>84</v>
      </c>
      <c r="E330" t="s">
        <v>84</v>
      </c>
      <c r="F330">
        <v>1</v>
      </c>
      <c r="G330">
        <f t="shared" si="30"/>
        <v>0.94339622641509435</v>
      </c>
      <c r="H330">
        <f t="shared" si="31"/>
        <v>0</v>
      </c>
      <c r="I330">
        <f t="shared" si="32"/>
        <v>0.94339622641509435</v>
      </c>
      <c r="J330" cm="1">
        <f t="array" ref="J330">INT(G330)+IF(100-SUM(INT(G$330:G$342))&gt;=RANK(I330,I$330:I$342)+COUNTIF(I$330:I330,I330)-1,1,0)</f>
        <v>1</v>
      </c>
      <c r="K330" t="str">
        <f>_xlfn.XLOOKUP(B330,BugList!A:A,BugList!H:H)</f>
        <v/>
      </c>
      <c r="L330" t="str">
        <f>IF(K330 = "","",_xlfn.XLOOKUP(B330, BugList!A:A,BugList!B:B,""))</f>
        <v/>
      </c>
      <c r="M330">
        <f>_xlfn.XLOOKUP(E330,BugList!C:C,BugList!N:N)</f>
        <v>8</v>
      </c>
      <c r="N330">
        <f>_xlfn.XLOOKUP(B330,BugList!A:A,BugList!R:R)</f>
        <v>8</v>
      </c>
      <c r="O330" t="b">
        <f>_xlfn.XLOOKUP(B330,BugList!A:A,BugList!L:L)</f>
        <v>0</v>
      </c>
      <c r="P330" t="b">
        <f t="shared" si="33"/>
        <v>0</v>
      </c>
      <c r="R330" t="b">
        <f>SUMPRODUCT(COUNTIF(_xlfn.XLOOKUP(B330,BugList!A:A,BugList!P:P), "*SC*"))&gt;0</f>
        <v>0</v>
      </c>
      <c r="S330" t="str">
        <f>_xlfn.XLOOKUP(B330,BugList!A:A,BugList!W:W)</f>
        <v/>
      </c>
      <c r="T330">
        <f t="shared" si="34"/>
        <v>8</v>
      </c>
      <c r="U330">
        <f t="shared" si="35"/>
        <v>8</v>
      </c>
    </row>
    <row r="331" spans="1:21">
      <c r="A331" t="s">
        <v>165</v>
      </c>
      <c r="B331">
        <v>88</v>
      </c>
      <c r="D331" t="s">
        <v>85</v>
      </c>
      <c r="E331" t="s">
        <v>85</v>
      </c>
      <c r="F331">
        <v>11</v>
      </c>
      <c r="G331">
        <f t="shared" si="30"/>
        <v>10.377358490566039</v>
      </c>
      <c r="H331">
        <f t="shared" si="31"/>
        <v>10</v>
      </c>
      <c r="I331">
        <f t="shared" si="32"/>
        <v>0.37735849056603854</v>
      </c>
      <c r="J331" cm="1">
        <f t="array" ref="J331">INT(G331)+IF(100-SUM(INT(G$330:G$342))&gt;=RANK(I331,I$330:I$342)+COUNTIF(I$330:I331,I331)-1,1,0)</f>
        <v>10</v>
      </c>
      <c r="K331" t="str">
        <f>_xlfn.XLOOKUP(B331,BugList!A:A,BugList!H:H)</f>
        <v/>
      </c>
      <c r="L331" t="str">
        <f>IF(K331 = "","",_xlfn.XLOOKUP(B331, BugList!A:A,BugList!B:B,""))</f>
        <v/>
      </c>
      <c r="M331">
        <f>_xlfn.XLOOKUP(E331,BugList!C:C,BugList!N:N)</f>
        <v>4</v>
      </c>
      <c r="N331">
        <f>_xlfn.XLOOKUP(B331,BugList!A:A,BugList!R:R)</f>
        <v>4</v>
      </c>
      <c r="O331" t="b">
        <f>_xlfn.XLOOKUP(B331,BugList!A:A,BugList!L:L)</f>
        <v>0</v>
      </c>
      <c r="P331" t="b">
        <f t="shared" si="33"/>
        <v>0</v>
      </c>
      <c r="R331" t="b">
        <f>SUMPRODUCT(COUNTIF(_xlfn.XLOOKUP(B331,BugList!A:A,BugList!P:P), "*SC*"))&gt;0</f>
        <v>0</v>
      </c>
      <c r="S331" t="str">
        <f>_xlfn.XLOOKUP(B331,BugList!A:A,BugList!W:W)</f>
        <v/>
      </c>
      <c r="T331">
        <f t="shared" si="34"/>
        <v>40</v>
      </c>
      <c r="U331">
        <f t="shared" si="35"/>
        <v>40</v>
      </c>
    </row>
    <row r="332" spans="1:21">
      <c r="A332" t="s">
        <v>165</v>
      </c>
      <c r="B332">
        <v>380</v>
      </c>
      <c r="D332" t="s">
        <v>88</v>
      </c>
      <c r="E332" t="s">
        <v>88</v>
      </c>
      <c r="F332">
        <v>11</v>
      </c>
      <c r="G332">
        <f t="shared" si="30"/>
        <v>10.377358490566039</v>
      </c>
      <c r="H332">
        <f t="shared" si="31"/>
        <v>10</v>
      </c>
      <c r="I332">
        <f t="shared" si="32"/>
        <v>0.37735849056603854</v>
      </c>
      <c r="J332" cm="1">
        <f t="array" ref="J332">INT(G332)+IF(100-SUM(INT(G$330:G$342))&gt;=RANK(I332,I$330:I$342)+COUNTIF(I$330:I332,I332)-1,1,0)</f>
        <v>10</v>
      </c>
      <c r="K332" t="str">
        <f>_xlfn.XLOOKUP(B332,BugList!A:A,BugList!H:H)</f>
        <v/>
      </c>
      <c r="L332" t="str">
        <f>IF(K332 = "","",_xlfn.XLOOKUP(B332, BugList!A:A,BugList!B:B,""))</f>
        <v/>
      </c>
      <c r="M332">
        <f>_xlfn.XLOOKUP(E332,BugList!C:C,BugList!N:N)</f>
        <v>8</v>
      </c>
      <c r="N332">
        <f>_xlfn.XLOOKUP(B332,BugList!A:A,BugList!R:R)</f>
        <v>6</v>
      </c>
      <c r="O332" t="b">
        <f>_xlfn.XLOOKUP(B332,BugList!A:A,BugList!L:L)</f>
        <v>0</v>
      </c>
      <c r="P332" t="b">
        <f t="shared" si="33"/>
        <v>0</v>
      </c>
      <c r="R332" t="b">
        <f>SUMPRODUCT(COUNTIF(_xlfn.XLOOKUP(B332,BugList!A:A,BugList!P:P), "*SC*"))&gt;0</f>
        <v>0</v>
      </c>
      <c r="S332" t="str">
        <f>_xlfn.XLOOKUP(B332,BugList!A:A,BugList!W:W)</f>
        <v/>
      </c>
      <c r="T332">
        <f t="shared" si="34"/>
        <v>80</v>
      </c>
      <c r="U332">
        <f t="shared" si="35"/>
        <v>60</v>
      </c>
    </row>
    <row r="333" spans="1:21">
      <c r="A333" t="s">
        <v>165</v>
      </c>
      <c r="B333">
        <v>513</v>
      </c>
      <c r="D333" t="s">
        <v>111</v>
      </c>
      <c r="E333" t="s">
        <v>111</v>
      </c>
      <c r="F333">
        <v>6</v>
      </c>
      <c r="G333">
        <f t="shared" si="30"/>
        <v>5.6603773584905666</v>
      </c>
      <c r="H333">
        <f t="shared" si="31"/>
        <v>5</v>
      </c>
      <c r="I333">
        <f t="shared" si="32"/>
        <v>0.66037735849056656</v>
      </c>
      <c r="J333" cm="1">
        <f t="array" ref="J333">INT(G333)+IF(100-SUM(INT(G$330:G$342))&gt;=RANK(I333,I$330:I$342)+COUNTIF(I$330:I333,I333)-1,1,0)</f>
        <v>6</v>
      </c>
      <c r="K333" t="str">
        <f>_xlfn.XLOOKUP(B333,BugList!A:A,BugList!H:H)</f>
        <v>*</v>
      </c>
      <c r="L333" t="str">
        <f>IF(K333 = "","",_xlfn.XLOOKUP(B333, BugList!A:A,BugList!B:B,""))</f>
        <v>Ephemeroptera</v>
      </c>
      <c r="M333">
        <f>_xlfn.XLOOKUP(E333,BugList!C:C,BugList!N:N)</f>
        <v>4</v>
      </c>
      <c r="N333">
        <f>_xlfn.XLOOKUP(B333,BugList!A:A,BugList!R:R)</f>
        <v>4</v>
      </c>
      <c r="O333" t="b">
        <f>_xlfn.XLOOKUP(B333,BugList!A:A,BugList!L:L)</f>
        <v>1</v>
      </c>
      <c r="P333" t="b">
        <f t="shared" si="33"/>
        <v>1</v>
      </c>
      <c r="R333" t="b">
        <f>SUMPRODUCT(COUNTIF(_xlfn.XLOOKUP(B333,BugList!A:A,BugList!P:P), "*SC*"))&gt;0</f>
        <v>1</v>
      </c>
      <c r="S333" t="str">
        <f>_xlfn.XLOOKUP(B333,BugList!A:A,BugList!W:W)</f>
        <v/>
      </c>
      <c r="T333">
        <f t="shared" si="34"/>
        <v>24</v>
      </c>
      <c r="U333">
        <f t="shared" si="35"/>
        <v>24</v>
      </c>
    </row>
    <row r="334" spans="1:21">
      <c r="A334" t="s">
        <v>165</v>
      </c>
      <c r="B334">
        <v>602</v>
      </c>
      <c r="D334" t="s">
        <v>97</v>
      </c>
      <c r="E334" t="s">
        <v>97</v>
      </c>
      <c r="F334">
        <v>9</v>
      </c>
      <c r="G334">
        <f t="shared" si="30"/>
        <v>8.4905660377358494</v>
      </c>
      <c r="H334">
        <f t="shared" si="31"/>
        <v>8</v>
      </c>
      <c r="I334">
        <f t="shared" si="32"/>
        <v>0.49056603773584939</v>
      </c>
      <c r="J334" cm="1">
        <f t="array" ref="J334">INT(G334)+IF(100-SUM(INT(G$330:G$342))&gt;=RANK(I334,I$330:I$342)+COUNTIF(I$330:I334,I334)-1,1,0)</f>
        <v>8</v>
      </c>
      <c r="K334" t="str">
        <f>_xlfn.XLOOKUP(B334,BugList!A:A,BugList!H:H)</f>
        <v/>
      </c>
      <c r="L334" t="str">
        <f>IF(K334 = "","",_xlfn.XLOOKUP(B334, BugList!A:A,BugList!B:B,""))</f>
        <v/>
      </c>
      <c r="M334">
        <f>_xlfn.XLOOKUP(E334,BugList!C:C,BugList!N:N)</f>
        <v>9</v>
      </c>
      <c r="N334">
        <f>_xlfn.XLOOKUP(B334,BugList!A:A,BugList!R:R)</f>
        <v>9</v>
      </c>
      <c r="O334" t="b">
        <f>_xlfn.XLOOKUP(B334,BugList!A:A,BugList!L:L)</f>
        <v>1</v>
      </c>
      <c r="P334" t="b">
        <f t="shared" si="33"/>
        <v>0</v>
      </c>
      <c r="R334" t="b">
        <f>SUMPRODUCT(COUNTIF(_xlfn.XLOOKUP(B334,BugList!A:A,BugList!P:P), "*SC*"))&gt;0</f>
        <v>0</v>
      </c>
      <c r="S334" t="str">
        <f>_xlfn.XLOOKUP(B334,BugList!A:A,BugList!W:W)</f>
        <v/>
      </c>
      <c r="T334">
        <f t="shared" si="34"/>
        <v>72</v>
      </c>
      <c r="U334">
        <f t="shared" si="35"/>
        <v>72</v>
      </c>
    </row>
    <row r="335" spans="1:21">
      <c r="A335" t="s">
        <v>165</v>
      </c>
      <c r="B335">
        <v>794</v>
      </c>
      <c r="D335" t="s">
        <v>89</v>
      </c>
      <c r="E335" t="s">
        <v>89</v>
      </c>
      <c r="F335">
        <v>4</v>
      </c>
      <c r="G335">
        <f t="shared" si="30"/>
        <v>3.7735849056603774</v>
      </c>
      <c r="H335">
        <f t="shared" si="31"/>
        <v>3</v>
      </c>
      <c r="I335">
        <f t="shared" si="32"/>
        <v>0.77358490566037741</v>
      </c>
      <c r="J335" cm="1">
        <f t="array" ref="J335">INT(G335)+IF(100-SUM(INT(G$330:G$342))&gt;=RANK(I335,I$330:I$342)+COUNTIF(I$330:I335,I335)-1,1,0)</f>
        <v>4</v>
      </c>
      <c r="K335" t="str">
        <f>_xlfn.XLOOKUP(B335,BugList!A:A,BugList!H:H)</f>
        <v>*</v>
      </c>
      <c r="L335" t="str">
        <f>IF(K335 = "","",_xlfn.XLOOKUP(B335, BugList!A:A,BugList!B:B,""))</f>
        <v>Trichoptera</v>
      </c>
      <c r="M335">
        <f>_xlfn.XLOOKUP(E335,BugList!C:C,BugList!N:N)</f>
        <v>4</v>
      </c>
      <c r="N335">
        <f>_xlfn.XLOOKUP(B335,BugList!A:A,BugList!R:R)</f>
        <v>4</v>
      </c>
      <c r="O335" t="b">
        <f>_xlfn.XLOOKUP(B335,BugList!A:A,BugList!L:L)</f>
        <v>1</v>
      </c>
      <c r="P335" t="b">
        <f t="shared" si="33"/>
        <v>0</v>
      </c>
      <c r="R335" t="b">
        <f>SUMPRODUCT(COUNTIF(_xlfn.XLOOKUP(B335,BugList!A:A,BugList!P:P), "*SC*"))&gt;0</f>
        <v>0</v>
      </c>
      <c r="S335" t="str">
        <f>_xlfn.XLOOKUP(B335,BugList!A:A,BugList!W:W)</f>
        <v/>
      </c>
      <c r="T335">
        <f t="shared" si="34"/>
        <v>16</v>
      </c>
      <c r="U335">
        <f t="shared" si="35"/>
        <v>16</v>
      </c>
    </row>
    <row r="336" spans="1:21">
      <c r="A336" t="s">
        <v>165</v>
      </c>
      <c r="B336">
        <v>837</v>
      </c>
      <c r="D336" t="s">
        <v>107</v>
      </c>
      <c r="E336" t="s">
        <v>107</v>
      </c>
      <c r="F336">
        <v>9</v>
      </c>
      <c r="G336">
        <f t="shared" si="30"/>
        <v>8.4905660377358494</v>
      </c>
      <c r="H336">
        <f t="shared" si="31"/>
        <v>8</v>
      </c>
      <c r="I336">
        <f t="shared" si="32"/>
        <v>0.49056603773584939</v>
      </c>
      <c r="J336" cm="1">
        <f t="array" ref="J336">INT(G336)+IF(100-SUM(INT(G$330:G$342))&gt;=RANK(I336,I$330:I$342)+COUNTIF(I$330:I336,I336)-1,1,0)</f>
        <v>8</v>
      </c>
      <c r="K336" t="str">
        <f>_xlfn.XLOOKUP(B336,BugList!A:A,BugList!H:H)</f>
        <v>*</v>
      </c>
      <c r="L336" t="str">
        <f>IF(K336 = "","",_xlfn.XLOOKUP(B336, BugList!A:A,BugList!B:B,""))</f>
        <v>Trichoptera</v>
      </c>
      <c r="M336">
        <f>_xlfn.XLOOKUP(E336,BugList!C:C,BugList!N:N)</f>
        <v>3</v>
      </c>
      <c r="N336">
        <f>_xlfn.XLOOKUP(B336,BugList!A:A,BugList!R:R)</f>
        <v>3</v>
      </c>
      <c r="O336" t="b">
        <f>_xlfn.XLOOKUP(B336,BugList!A:A,BugList!L:L)</f>
        <v>1</v>
      </c>
      <c r="P336" t="b">
        <f t="shared" si="33"/>
        <v>1</v>
      </c>
      <c r="R336" t="b">
        <f>SUMPRODUCT(COUNTIF(_xlfn.XLOOKUP(B336,BugList!A:A,BugList!P:P), "*SC*"))&gt;0</f>
        <v>0</v>
      </c>
      <c r="S336" t="str">
        <f>_xlfn.XLOOKUP(B336,BugList!A:A,BugList!W:W)</f>
        <v/>
      </c>
      <c r="T336">
        <f t="shared" si="34"/>
        <v>24</v>
      </c>
      <c r="U336">
        <f t="shared" si="35"/>
        <v>24</v>
      </c>
    </row>
    <row r="337" spans="1:21">
      <c r="A337" t="s">
        <v>165</v>
      </c>
      <c r="B337">
        <v>1002</v>
      </c>
      <c r="D337" t="s">
        <v>100</v>
      </c>
      <c r="E337" t="s">
        <v>100</v>
      </c>
      <c r="F337">
        <v>40</v>
      </c>
      <c r="G337">
        <f t="shared" si="30"/>
        <v>37.735849056603776</v>
      </c>
      <c r="H337">
        <f t="shared" si="31"/>
        <v>37</v>
      </c>
      <c r="I337">
        <f t="shared" si="32"/>
        <v>0.73584905660377586</v>
      </c>
      <c r="J337" cm="1">
        <f t="array" ref="J337">INT(G337)+IF(100-SUM(INT(G$330:G$342))&gt;=RANK(I337,I$330:I$342)+COUNTIF(I$330:I337,I337)-1,1,0)</f>
        <v>38</v>
      </c>
      <c r="K337" t="str">
        <f>_xlfn.XLOOKUP(B337,BugList!A:A,BugList!H:H)</f>
        <v/>
      </c>
      <c r="L337" t="str">
        <f>IF(K337 = "","",_xlfn.XLOOKUP(B337, BugList!A:A,BugList!B:B,""))</f>
        <v/>
      </c>
      <c r="M337">
        <f>_xlfn.XLOOKUP(E337,BugList!C:C,BugList!N:N)</f>
        <v>4</v>
      </c>
      <c r="N337">
        <f>_xlfn.XLOOKUP(B337,BugList!A:A,BugList!R:R)</f>
        <v>4</v>
      </c>
      <c r="O337" t="b">
        <f>_xlfn.XLOOKUP(B337,BugList!A:A,BugList!L:L)</f>
        <v>1</v>
      </c>
      <c r="P337" t="b">
        <f t="shared" si="33"/>
        <v>0</v>
      </c>
      <c r="R337" t="b">
        <f>SUMPRODUCT(COUNTIF(_xlfn.XLOOKUP(B337,BugList!A:A,BugList!P:P), "*SC*"))&gt;0</f>
        <v>1</v>
      </c>
      <c r="S337" t="str">
        <f>_xlfn.XLOOKUP(B337,BugList!A:A,BugList!W:W)</f>
        <v/>
      </c>
      <c r="T337">
        <f t="shared" si="34"/>
        <v>152</v>
      </c>
      <c r="U337">
        <f t="shared" si="35"/>
        <v>152</v>
      </c>
    </row>
    <row r="338" spans="1:21">
      <c r="A338" t="s">
        <v>165</v>
      </c>
      <c r="B338">
        <v>1436</v>
      </c>
      <c r="D338" t="s">
        <v>101</v>
      </c>
      <c r="E338" t="s">
        <v>101</v>
      </c>
      <c r="F338">
        <v>3</v>
      </c>
      <c r="G338">
        <f t="shared" si="30"/>
        <v>2.8301886792452833</v>
      </c>
      <c r="H338">
        <f t="shared" si="31"/>
        <v>2</v>
      </c>
      <c r="I338">
        <f t="shared" si="32"/>
        <v>0.83018867924528328</v>
      </c>
      <c r="J338" cm="1">
        <f t="array" ref="J338">INT(G338)+IF(100-SUM(INT(G$330:G$342))&gt;=RANK(I338,I$330:I$342)+COUNTIF(I$330:I338,I338)-1,1,0)</f>
        <v>3</v>
      </c>
      <c r="K338" t="str">
        <f>_xlfn.XLOOKUP(B338,BugList!A:A,BugList!H:H)</f>
        <v/>
      </c>
      <c r="L338" t="str">
        <f>IF(K338 = "","",_xlfn.XLOOKUP(B338, BugList!A:A,BugList!B:B,""))</f>
        <v/>
      </c>
      <c r="M338">
        <f>_xlfn.XLOOKUP(E338,BugList!C:C,BugList!N:N)</f>
        <v>6</v>
      </c>
      <c r="N338">
        <f>_xlfn.XLOOKUP(B338,BugList!A:A,BugList!R:R)</f>
        <v>6</v>
      </c>
      <c r="O338" t="b">
        <f>_xlfn.XLOOKUP(B338,BugList!A:A,BugList!L:L)</f>
        <v>1</v>
      </c>
      <c r="P338" t="b">
        <f t="shared" si="33"/>
        <v>0</v>
      </c>
      <c r="R338" t="b">
        <f>SUMPRODUCT(COUNTIF(_xlfn.XLOOKUP(B338,BugList!A:A,BugList!P:P), "*SC*"))&gt;0</f>
        <v>0</v>
      </c>
      <c r="S338" t="str">
        <f>_xlfn.XLOOKUP(B338,BugList!A:A,BugList!W:W)</f>
        <v/>
      </c>
      <c r="T338">
        <f t="shared" si="34"/>
        <v>18</v>
      </c>
      <c r="U338">
        <f t="shared" si="35"/>
        <v>18</v>
      </c>
    </row>
    <row r="339" spans="1:21">
      <c r="A339" t="s">
        <v>165</v>
      </c>
      <c r="B339">
        <v>1614</v>
      </c>
      <c r="D339" t="s">
        <v>92</v>
      </c>
      <c r="E339" t="s">
        <v>92</v>
      </c>
      <c r="F339">
        <v>4</v>
      </c>
      <c r="G339">
        <f t="shared" si="30"/>
        <v>3.7735849056603774</v>
      </c>
      <c r="H339">
        <f t="shared" si="31"/>
        <v>3</v>
      </c>
      <c r="I339">
        <f t="shared" si="32"/>
        <v>0.77358490566037741</v>
      </c>
      <c r="J339" cm="1">
        <f t="array" ref="J339">INT(G339)+IF(100-SUM(INT(G$330:G$342))&gt;=RANK(I339,I$330:I$342)+COUNTIF(I$330:I339,I339)-1,1,0)</f>
        <v>4</v>
      </c>
      <c r="K339" t="str">
        <f>_xlfn.XLOOKUP(B339,BugList!A:A,BugList!H:H)</f>
        <v/>
      </c>
      <c r="L339" t="str">
        <f>IF(K339 = "","",_xlfn.XLOOKUP(B339, BugList!A:A,BugList!B:B,""))</f>
        <v/>
      </c>
      <c r="M339">
        <f>_xlfn.XLOOKUP(E339,BugList!C:C,BugList!N:N)</f>
        <v>8</v>
      </c>
      <c r="N339">
        <f>_xlfn.XLOOKUP(B339,BugList!A:A,BugList!R:R)</f>
        <v>8</v>
      </c>
      <c r="O339" t="b">
        <f>_xlfn.XLOOKUP(B339,BugList!A:A,BugList!L:L)</f>
        <v>0</v>
      </c>
      <c r="P339" t="b">
        <f t="shared" si="33"/>
        <v>0</v>
      </c>
      <c r="R339" t="b">
        <f>SUMPRODUCT(COUNTIF(_xlfn.XLOOKUP(B339,BugList!A:A,BugList!P:P), "*SC*"))&gt;0</f>
        <v>0</v>
      </c>
      <c r="S339" t="str">
        <f>_xlfn.XLOOKUP(B339,BugList!A:A,BugList!W:W)</f>
        <v/>
      </c>
      <c r="T339">
        <f t="shared" si="34"/>
        <v>32</v>
      </c>
      <c r="U339">
        <f t="shared" si="35"/>
        <v>32</v>
      </c>
    </row>
    <row r="340" spans="1:21">
      <c r="A340" t="s">
        <v>165</v>
      </c>
      <c r="B340">
        <v>1678</v>
      </c>
      <c r="D340" t="s">
        <v>166</v>
      </c>
      <c r="E340" t="s">
        <v>166</v>
      </c>
      <c r="F340">
        <v>1</v>
      </c>
      <c r="G340">
        <f t="shared" si="30"/>
        <v>0.94339622641509435</v>
      </c>
      <c r="H340">
        <f t="shared" si="31"/>
        <v>0</v>
      </c>
      <c r="I340">
        <f t="shared" si="32"/>
        <v>0.94339622641509435</v>
      </c>
      <c r="J340" cm="1">
        <f t="array" ref="J340">INT(G340)+IF(100-SUM(INT(G$330:G$342))&gt;=RANK(I340,I$330:I$342)+COUNTIF(I$330:I340,I340)-1,1,0)</f>
        <v>1</v>
      </c>
      <c r="K340" t="str">
        <f>_xlfn.XLOOKUP(B340,BugList!A:A,BugList!H:H)</f>
        <v/>
      </c>
      <c r="L340" t="str">
        <f>IF(K340 = "","",_xlfn.XLOOKUP(B340, BugList!A:A,BugList!B:B,""))</f>
        <v/>
      </c>
      <c r="M340">
        <f>_xlfn.XLOOKUP(E340,BugList!C:C,BugList!N:N)</f>
        <v>6</v>
      </c>
      <c r="N340">
        <f>_xlfn.XLOOKUP(B340,BugList!A:A,BugList!R:R)</f>
        <v>6</v>
      </c>
      <c r="O340" t="b">
        <f>_xlfn.XLOOKUP(B340,BugList!A:A,BugList!L:L)</f>
        <v>0</v>
      </c>
      <c r="P340" t="b">
        <f t="shared" si="33"/>
        <v>0</v>
      </c>
      <c r="R340" t="b">
        <f>SUMPRODUCT(COUNTIF(_xlfn.XLOOKUP(B340,BugList!A:A,BugList!P:P), "*SC*"))&gt;0</f>
        <v>1</v>
      </c>
      <c r="S340" t="str">
        <f>_xlfn.XLOOKUP(B340,BugList!A:A,BugList!W:W)</f>
        <v/>
      </c>
      <c r="T340">
        <f t="shared" si="34"/>
        <v>6</v>
      </c>
      <c r="U340">
        <f t="shared" si="35"/>
        <v>6</v>
      </c>
    </row>
    <row r="341" spans="1:21">
      <c r="A341" t="s">
        <v>165</v>
      </c>
      <c r="B341">
        <v>1696</v>
      </c>
      <c r="D341" t="s">
        <v>94</v>
      </c>
      <c r="E341" t="s">
        <v>94</v>
      </c>
      <c r="F341">
        <v>2</v>
      </c>
      <c r="G341">
        <f t="shared" si="30"/>
        <v>1.8867924528301887</v>
      </c>
      <c r="H341">
        <f t="shared" si="31"/>
        <v>1</v>
      </c>
      <c r="I341">
        <f t="shared" si="32"/>
        <v>0.8867924528301887</v>
      </c>
      <c r="J341" cm="1">
        <f t="array" ref="J341">INT(G341)+IF(100-SUM(INT(G$330:G$342))&gt;=RANK(I341,I$330:I$342)+COUNTIF(I$330:I341,I341)-1,1,0)</f>
        <v>2</v>
      </c>
      <c r="K341" t="str">
        <f>_xlfn.XLOOKUP(B341,BugList!A:A,BugList!H:H)</f>
        <v/>
      </c>
      <c r="L341" t="str">
        <f>IF(K341 = "","",_xlfn.XLOOKUP(B341, BugList!A:A,BugList!B:B,""))</f>
        <v/>
      </c>
      <c r="M341">
        <f>_xlfn.XLOOKUP(E341,BugList!C:C,BugList!N:N)</f>
        <v>8</v>
      </c>
      <c r="N341">
        <f>_xlfn.XLOOKUP(B341,BugList!A:A,BugList!R:R)</f>
        <v>8</v>
      </c>
      <c r="O341" t="b">
        <f>_xlfn.XLOOKUP(B341,BugList!A:A,BugList!L:L)</f>
        <v>0</v>
      </c>
      <c r="P341" t="b">
        <f t="shared" si="33"/>
        <v>0</v>
      </c>
      <c r="R341" t="b">
        <f>SUMPRODUCT(COUNTIF(_xlfn.XLOOKUP(B341,BugList!A:A,BugList!P:P), "*SC*"))&gt;0</f>
        <v>0</v>
      </c>
      <c r="S341" t="str">
        <f>_xlfn.XLOOKUP(B341,BugList!A:A,BugList!W:W)</f>
        <v/>
      </c>
      <c r="T341">
        <f t="shared" si="34"/>
        <v>16</v>
      </c>
      <c r="U341">
        <f t="shared" si="35"/>
        <v>16</v>
      </c>
    </row>
    <row r="342" spans="1:21">
      <c r="A342" t="s">
        <v>165</v>
      </c>
      <c r="B342">
        <v>2781</v>
      </c>
      <c r="D342" t="s">
        <v>109</v>
      </c>
      <c r="E342" t="s">
        <v>109</v>
      </c>
      <c r="F342">
        <v>5</v>
      </c>
      <c r="G342">
        <f t="shared" si="30"/>
        <v>4.716981132075472</v>
      </c>
      <c r="H342">
        <f t="shared" si="31"/>
        <v>4</v>
      </c>
      <c r="I342">
        <f t="shared" si="32"/>
        <v>0.71698113207547198</v>
      </c>
      <c r="J342" cm="1">
        <f t="array" ref="J342">INT(G342)+IF(100-SUM(INT(G$330:G$342))&gt;=RANK(I342,I$330:I$342)+COUNTIF(I$330:I342,I342)-1,1,0)</f>
        <v>5</v>
      </c>
      <c r="K342" t="str">
        <f>_xlfn.XLOOKUP(B342,BugList!A:A,BugList!H:H)</f>
        <v/>
      </c>
      <c r="L342" t="str">
        <f>IF(K342 = "","",_xlfn.XLOOKUP(B342, BugList!A:A,BugList!B:B,""))</f>
        <v/>
      </c>
      <c r="M342">
        <f>_xlfn.XLOOKUP(E342,BugList!C:C,BugList!N:N)</f>
        <v>6</v>
      </c>
      <c r="N342">
        <f>_xlfn.XLOOKUP(B342,BugList!A:A,BugList!R:R)</f>
        <v>4</v>
      </c>
      <c r="O342" t="b">
        <f>_xlfn.XLOOKUP(B342,BugList!A:A,BugList!L:L)</f>
        <v>0</v>
      </c>
      <c r="P342" t="b">
        <f t="shared" si="33"/>
        <v>0</v>
      </c>
      <c r="R342" t="b">
        <f>SUMPRODUCT(COUNTIF(_xlfn.XLOOKUP(B342,BugList!A:A,BugList!P:P), "*SC*"))&gt;0</f>
        <v>0</v>
      </c>
      <c r="S342" t="str">
        <f>_xlfn.XLOOKUP(B342,BugList!A:A,BugList!W:W)</f>
        <v/>
      </c>
      <c r="T342">
        <f t="shared" si="34"/>
        <v>30</v>
      </c>
      <c r="U342">
        <f t="shared" si="35"/>
        <v>20</v>
      </c>
    </row>
    <row r="343" spans="1:21">
      <c r="A343" t="s">
        <v>167</v>
      </c>
      <c r="B343">
        <v>88</v>
      </c>
      <c r="D343" t="s">
        <v>85</v>
      </c>
      <c r="E343" t="s">
        <v>85</v>
      </c>
      <c r="F343">
        <v>69</v>
      </c>
      <c r="G343">
        <f t="shared" si="30"/>
        <v>40.828402366863905</v>
      </c>
      <c r="H343">
        <f t="shared" si="31"/>
        <v>40</v>
      </c>
      <c r="I343">
        <f t="shared" si="32"/>
        <v>0.82840236686390512</v>
      </c>
      <c r="J343" cm="1">
        <f t="array" ref="J343">INT(G343)+IF(100-SUM(INT(G$343:G$353))&gt;=RANK(I343,I$343:I$353)+COUNTIF(I$343:I343,I343)-1,1,0)</f>
        <v>41</v>
      </c>
      <c r="K343" t="str">
        <f>_xlfn.XLOOKUP(B343,BugList!A:A,BugList!H:H)</f>
        <v/>
      </c>
      <c r="L343" t="str">
        <f>IF(K343 = "","",_xlfn.XLOOKUP(B343, BugList!A:A,BugList!B:B,""))</f>
        <v/>
      </c>
      <c r="M343">
        <f>_xlfn.XLOOKUP(E343,BugList!C:C,BugList!N:N)</f>
        <v>4</v>
      </c>
      <c r="N343">
        <f>_xlfn.XLOOKUP(B343,BugList!A:A,BugList!R:R)</f>
        <v>4</v>
      </c>
      <c r="O343" t="b">
        <f>_xlfn.XLOOKUP(B343,BugList!A:A,BugList!L:L)</f>
        <v>0</v>
      </c>
      <c r="P343" t="b">
        <f t="shared" si="33"/>
        <v>0</v>
      </c>
      <c r="R343" t="b">
        <f>SUMPRODUCT(COUNTIF(_xlfn.XLOOKUP(B343,BugList!A:A,BugList!P:P), "*SC*"))&gt;0</f>
        <v>0</v>
      </c>
      <c r="S343" t="str">
        <f>_xlfn.XLOOKUP(B343,BugList!A:A,BugList!W:W)</f>
        <v/>
      </c>
      <c r="T343">
        <f t="shared" si="34"/>
        <v>164</v>
      </c>
      <c r="U343">
        <f t="shared" si="35"/>
        <v>164</v>
      </c>
    </row>
    <row r="344" spans="1:21">
      <c r="A344" t="s">
        <v>167</v>
      </c>
      <c r="B344">
        <v>247</v>
      </c>
      <c r="D344" t="s">
        <v>87</v>
      </c>
      <c r="E344" t="s">
        <v>87</v>
      </c>
      <c r="F344">
        <v>3</v>
      </c>
      <c r="G344">
        <f t="shared" si="30"/>
        <v>1.7751479289940828</v>
      </c>
      <c r="H344">
        <f t="shared" si="31"/>
        <v>1</v>
      </c>
      <c r="I344">
        <f t="shared" si="32"/>
        <v>0.7751479289940828</v>
      </c>
      <c r="J344" cm="1">
        <f t="array" ref="J344">INT(G344)+IF(100-SUM(INT(G$343:G$353))&gt;=RANK(I344,I$343:I$353)+COUNTIF(I$343:I344,I344)-1,1,0)</f>
        <v>2</v>
      </c>
      <c r="K344" t="str">
        <f>_xlfn.XLOOKUP(B344,BugList!A:A,BugList!H:H)</f>
        <v/>
      </c>
      <c r="L344" t="str">
        <f>IF(K344 = "","",_xlfn.XLOOKUP(B344, BugList!A:A,BugList!B:B,""))</f>
        <v/>
      </c>
      <c r="M344">
        <f>_xlfn.XLOOKUP(E344,BugList!C:C,BugList!N:N)</f>
        <v>4</v>
      </c>
      <c r="N344">
        <f>_xlfn.XLOOKUP(B344,BugList!A:A,BugList!R:R)</f>
        <v>4</v>
      </c>
      <c r="O344" t="b">
        <f>_xlfn.XLOOKUP(B344,BugList!A:A,BugList!L:L)</f>
        <v>0</v>
      </c>
      <c r="P344" t="b">
        <f t="shared" si="33"/>
        <v>0</v>
      </c>
      <c r="R344" t="b">
        <f>SUMPRODUCT(COUNTIF(_xlfn.XLOOKUP(B344,BugList!A:A,BugList!P:P), "*SC*"))&gt;0</f>
        <v>0</v>
      </c>
      <c r="S344" t="str">
        <f>_xlfn.XLOOKUP(B344,BugList!A:A,BugList!W:W)</f>
        <v/>
      </c>
      <c r="T344">
        <f t="shared" si="34"/>
        <v>8</v>
      </c>
      <c r="U344">
        <f t="shared" si="35"/>
        <v>8</v>
      </c>
    </row>
    <row r="345" spans="1:21">
      <c r="A345" t="s">
        <v>167</v>
      </c>
      <c r="B345">
        <v>380</v>
      </c>
      <c r="D345" t="s">
        <v>88</v>
      </c>
      <c r="E345" t="s">
        <v>88</v>
      </c>
      <c r="F345">
        <v>3</v>
      </c>
      <c r="G345">
        <f t="shared" si="30"/>
        <v>1.7751479289940828</v>
      </c>
      <c r="H345">
        <f t="shared" si="31"/>
        <v>1</v>
      </c>
      <c r="I345">
        <f t="shared" si="32"/>
        <v>0.7751479289940828</v>
      </c>
      <c r="J345" cm="1">
        <f t="array" ref="J345">INT(G345)+IF(100-SUM(INT(G$343:G$353))&gt;=RANK(I345,I$343:I$353)+COUNTIF(I$343:I345,I345)-1,1,0)</f>
        <v>2</v>
      </c>
      <c r="K345" t="str">
        <f>_xlfn.XLOOKUP(B345,BugList!A:A,BugList!H:H)</f>
        <v/>
      </c>
      <c r="L345" t="str">
        <f>IF(K345 = "","",_xlfn.XLOOKUP(B345, BugList!A:A,BugList!B:B,""))</f>
        <v/>
      </c>
      <c r="M345">
        <f>_xlfn.XLOOKUP(E345,BugList!C:C,BugList!N:N)</f>
        <v>8</v>
      </c>
      <c r="N345">
        <f>_xlfn.XLOOKUP(B345,BugList!A:A,BugList!R:R)</f>
        <v>6</v>
      </c>
      <c r="O345" t="b">
        <f>_xlfn.XLOOKUP(B345,BugList!A:A,BugList!L:L)</f>
        <v>0</v>
      </c>
      <c r="P345" t="b">
        <f t="shared" si="33"/>
        <v>0</v>
      </c>
      <c r="R345" t="b">
        <f>SUMPRODUCT(COUNTIF(_xlfn.XLOOKUP(B345,BugList!A:A,BugList!P:P), "*SC*"))&gt;0</f>
        <v>0</v>
      </c>
      <c r="S345" t="str">
        <f>_xlfn.XLOOKUP(B345,BugList!A:A,BugList!W:W)</f>
        <v/>
      </c>
      <c r="T345">
        <f t="shared" si="34"/>
        <v>16</v>
      </c>
      <c r="U345">
        <f t="shared" si="35"/>
        <v>12</v>
      </c>
    </row>
    <row r="346" spans="1:21">
      <c r="A346" t="s">
        <v>167</v>
      </c>
      <c r="B346">
        <v>513</v>
      </c>
      <c r="D346" t="s">
        <v>111</v>
      </c>
      <c r="E346" t="s">
        <v>111</v>
      </c>
      <c r="F346">
        <v>4</v>
      </c>
      <c r="G346">
        <f t="shared" si="30"/>
        <v>2.3668639053254439</v>
      </c>
      <c r="H346">
        <f t="shared" si="31"/>
        <v>2</v>
      </c>
      <c r="I346">
        <f t="shared" si="32"/>
        <v>0.36686390532544388</v>
      </c>
      <c r="J346" cm="1">
        <f t="array" ref="J346">INT(G346)+IF(100-SUM(INT(G$343:G$353))&gt;=RANK(I346,I$343:I$353)+COUNTIF(I$343:I346,I346)-1,1,0)</f>
        <v>2</v>
      </c>
      <c r="K346" t="str">
        <f>_xlfn.XLOOKUP(B346,BugList!A:A,BugList!H:H)</f>
        <v>*</v>
      </c>
      <c r="L346" t="str">
        <f>IF(K346 = "","",_xlfn.XLOOKUP(B346, BugList!A:A,BugList!B:B,""))</f>
        <v>Ephemeroptera</v>
      </c>
      <c r="M346">
        <f>_xlfn.XLOOKUP(E346,BugList!C:C,BugList!N:N)</f>
        <v>4</v>
      </c>
      <c r="N346">
        <f>_xlfn.XLOOKUP(B346,BugList!A:A,BugList!R:R)</f>
        <v>4</v>
      </c>
      <c r="O346" t="b">
        <f>_xlfn.XLOOKUP(B346,BugList!A:A,BugList!L:L)</f>
        <v>1</v>
      </c>
      <c r="P346" t="b">
        <f t="shared" si="33"/>
        <v>1</v>
      </c>
      <c r="R346" t="b">
        <f>SUMPRODUCT(COUNTIF(_xlfn.XLOOKUP(B346,BugList!A:A,BugList!P:P), "*SC*"))&gt;0</f>
        <v>1</v>
      </c>
      <c r="S346" t="str">
        <f>_xlfn.XLOOKUP(B346,BugList!A:A,BugList!W:W)</f>
        <v/>
      </c>
      <c r="T346">
        <f t="shared" si="34"/>
        <v>8</v>
      </c>
      <c r="U346">
        <f t="shared" si="35"/>
        <v>8</v>
      </c>
    </row>
    <row r="347" spans="1:21">
      <c r="A347" t="s">
        <v>167</v>
      </c>
      <c r="B347">
        <v>602</v>
      </c>
      <c r="D347" t="s">
        <v>97</v>
      </c>
      <c r="E347" t="s">
        <v>97</v>
      </c>
      <c r="F347">
        <v>1</v>
      </c>
      <c r="G347">
        <f t="shared" si="30"/>
        <v>0.59171597633136097</v>
      </c>
      <c r="H347">
        <f t="shared" si="31"/>
        <v>0</v>
      </c>
      <c r="I347">
        <f t="shared" si="32"/>
        <v>0.59171597633136097</v>
      </c>
      <c r="J347" cm="1">
        <f t="array" ref="J347">INT(G347)+IF(100-SUM(INT(G$343:G$353))&gt;=RANK(I347,I$343:I$353)+COUNTIF(I$343:I347,I347)-1,1,0)</f>
        <v>1</v>
      </c>
      <c r="K347" t="str">
        <f>_xlfn.XLOOKUP(B347,BugList!A:A,BugList!H:H)</f>
        <v/>
      </c>
      <c r="L347" t="str">
        <f>IF(K347 = "","",_xlfn.XLOOKUP(B347, BugList!A:A,BugList!B:B,""))</f>
        <v/>
      </c>
      <c r="M347">
        <f>_xlfn.XLOOKUP(E347,BugList!C:C,BugList!N:N)</f>
        <v>9</v>
      </c>
      <c r="N347">
        <f>_xlfn.XLOOKUP(B347,BugList!A:A,BugList!R:R)</f>
        <v>9</v>
      </c>
      <c r="O347" t="b">
        <f>_xlfn.XLOOKUP(B347,BugList!A:A,BugList!L:L)</f>
        <v>1</v>
      </c>
      <c r="P347" t="b">
        <f t="shared" si="33"/>
        <v>0</v>
      </c>
      <c r="R347" t="b">
        <f>SUMPRODUCT(COUNTIF(_xlfn.XLOOKUP(B347,BugList!A:A,BugList!P:P), "*SC*"))&gt;0</f>
        <v>0</v>
      </c>
      <c r="S347" t="str">
        <f>_xlfn.XLOOKUP(B347,BugList!A:A,BugList!W:W)</f>
        <v/>
      </c>
      <c r="T347">
        <f t="shared" si="34"/>
        <v>9</v>
      </c>
      <c r="U347">
        <f t="shared" si="35"/>
        <v>9</v>
      </c>
    </row>
    <row r="348" spans="1:21">
      <c r="A348" t="s">
        <v>167</v>
      </c>
      <c r="B348">
        <v>935</v>
      </c>
      <c r="D348" t="s">
        <v>98</v>
      </c>
      <c r="E348" t="s">
        <v>98</v>
      </c>
      <c r="F348">
        <v>4</v>
      </c>
      <c r="G348">
        <f t="shared" si="30"/>
        <v>2.3668639053254439</v>
      </c>
      <c r="H348">
        <f t="shared" si="31"/>
        <v>2</v>
      </c>
      <c r="I348">
        <f t="shared" si="32"/>
        <v>0.36686390532544388</v>
      </c>
      <c r="J348" cm="1">
        <f t="array" ref="J348">INT(G348)+IF(100-SUM(INT(G$343:G$353))&gt;=RANK(I348,I$343:I$353)+COUNTIF(I$343:I348,I348)-1,1,0)</f>
        <v>2</v>
      </c>
      <c r="K348" t="str">
        <f>_xlfn.XLOOKUP(B348,BugList!A:A,BugList!H:H)</f>
        <v/>
      </c>
      <c r="L348" t="str">
        <f>IF(K348 = "","",_xlfn.XLOOKUP(B348, BugList!A:A,BugList!B:B,""))</f>
        <v/>
      </c>
      <c r="M348">
        <f>_xlfn.XLOOKUP(E348,BugList!C:C,BugList!N:N)</f>
        <v>4</v>
      </c>
      <c r="N348">
        <f>_xlfn.XLOOKUP(B348,BugList!A:A,BugList!R:R)</f>
        <v>4</v>
      </c>
      <c r="O348" t="b">
        <f>_xlfn.XLOOKUP(B348,BugList!A:A,BugList!L:L)</f>
        <v>1</v>
      </c>
      <c r="P348" t="b">
        <f t="shared" si="33"/>
        <v>0</v>
      </c>
      <c r="R348" t="b">
        <f>SUMPRODUCT(COUNTIF(_xlfn.XLOOKUP(B348,BugList!A:A,BugList!P:P), "*SC*"))&gt;0</f>
        <v>1</v>
      </c>
      <c r="S348" t="str">
        <f>_xlfn.XLOOKUP(B348,BugList!A:A,BugList!W:W)</f>
        <v/>
      </c>
      <c r="T348">
        <f t="shared" si="34"/>
        <v>8</v>
      </c>
      <c r="U348">
        <f t="shared" si="35"/>
        <v>8</v>
      </c>
    </row>
    <row r="349" spans="1:21">
      <c r="A349" t="s">
        <v>167</v>
      </c>
      <c r="B349">
        <v>1002</v>
      </c>
      <c r="D349" t="s">
        <v>100</v>
      </c>
      <c r="E349" t="s">
        <v>100</v>
      </c>
      <c r="F349">
        <v>4</v>
      </c>
      <c r="G349">
        <f t="shared" si="30"/>
        <v>2.3668639053254439</v>
      </c>
      <c r="H349">
        <f t="shared" si="31"/>
        <v>2</v>
      </c>
      <c r="I349">
        <f t="shared" si="32"/>
        <v>0.36686390532544388</v>
      </c>
      <c r="J349" cm="1">
        <f t="array" ref="J349">INT(G349)+IF(100-SUM(INT(G$343:G$353))&gt;=RANK(I349,I$343:I$353)+COUNTIF(I$343:I349,I349)-1,1,0)</f>
        <v>2</v>
      </c>
      <c r="K349" t="str">
        <f>_xlfn.XLOOKUP(B349,BugList!A:A,BugList!H:H)</f>
        <v/>
      </c>
      <c r="L349" t="str">
        <f>IF(K349 = "","",_xlfn.XLOOKUP(B349, BugList!A:A,BugList!B:B,""))</f>
        <v/>
      </c>
      <c r="M349">
        <f>_xlfn.XLOOKUP(E349,BugList!C:C,BugList!N:N)</f>
        <v>4</v>
      </c>
      <c r="N349">
        <f>_xlfn.XLOOKUP(B349,BugList!A:A,BugList!R:R)</f>
        <v>4</v>
      </c>
      <c r="O349" t="b">
        <f>_xlfn.XLOOKUP(B349,BugList!A:A,BugList!L:L)</f>
        <v>1</v>
      </c>
      <c r="P349" t="b">
        <f t="shared" si="33"/>
        <v>0</v>
      </c>
      <c r="R349" t="b">
        <f>SUMPRODUCT(COUNTIF(_xlfn.XLOOKUP(B349,BugList!A:A,BugList!P:P), "*SC*"))&gt;0</f>
        <v>1</v>
      </c>
      <c r="S349" t="str">
        <f>_xlfn.XLOOKUP(B349,BugList!A:A,BugList!W:W)</f>
        <v/>
      </c>
      <c r="T349">
        <f t="shared" si="34"/>
        <v>8</v>
      </c>
      <c r="U349">
        <f t="shared" si="35"/>
        <v>8</v>
      </c>
    </row>
    <row r="350" spans="1:21">
      <c r="A350" t="s">
        <v>167</v>
      </c>
      <c r="B350">
        <v>1088</v>
      </c>
      <c r="D350" t="s">
        <v>90</v>
      </c>
      <c r="E350" t="s">
        <v>90</v>
      </c>
      <c r="F350">
        <v>59</v>
      </c>
      <c r="G350">
        <f t="shared" si="30"/>
        <v>34.911242603550299</v>
      </c>
      <c r="H350">
        <f t="shared" si="31"/>
        <v>34</v>
      </c>
      <c r="I350">
        <f t="shared" si="32"/>
        <v>0.91124260355029918</v>
      </c>
      <c r="J350" cm="1">
        <f t="array" ref="J350">INT(G350)+IF(100-SUM(INT(G$343:G$353))&gt;=RANK(I350,I$343:I$353)+COUNTIF(I$343:I350,I350)-1,1,0)</f>
        <v>35</v>
      </c>
      <c r="K350" t="str">
        <f>_xlfn.XLOOKUP(B350,BugList!A:A,BugList!H:H)</f>
        <v/>
      </c>
      <c r="L350" t="str">
        <f>IF(K350 = "","",_xlfn.XLOOKUP(B350, BugList!A:A,BugList!B:B,""))</f>
        <v/>
      </c>
      <c r="M350">
        <f>_xlfn.XLOOKUP(E350,BugList!C:C,BugList!N:N)</f>
        <v>6</v>
      </c>
      <c r="N350">
        <f>_xlfn.XLOOKUP(B350,BugList!A:A,BugList!R:R)</f>
        <v>6</v>
      </c>
      <c r="O350" t="b">
        <f>_xlfn.XLOOKUP(B350,BugList!A:A,BugList!L:L)</f>
        <v>1</v>
      </c>
      <c r="P350" t="b">
        <f t="shared" si="33"/>
        <v>0</v>
      </c>
      <c r="R350" t="b">
        <f>SUMPRODUCT(COUNTIF(_xlfn.XLOOKUP(B350,BugList!A:A,BugList!P:P), "*SC*"))&gt;0</f>
        <v>0</v>
      </c>
      <c r="S350" t="str">
        <f>_xlfn.XLOOKUP(B350,BugList!A:A,BugList!W:W)</f>
        <v/>
      </c>
      <c r="T350">
        <f t="shared" si="34"/>
        <v>210</v>
      </c>
      <c r="U350">
        <f t="shared" si="35"/>
        <v>210</v>
      </c>
    </row>
    <row r="351" spans="1:21">
      <c r="A351" t="s">
        <v>167</v>
      </c>
      <c r="B351">
        <v>1614</v>
      </c>
      <c r="D351" t="s">
        <v>92</v>
      </c>
      <c r="E351" t="s">
        <v>92</v>
      </c>
      <c r="F351">
        <v>11</v>
      </c>
      <c r="G351">
        <f t="shared" si="30"/>
        <v>6.5088757396449708</v>
      </c>
      <c r="H351">
        <f t="shared" si="31"/>
        <v>6</v>
      </c>
      <c r="I351">
        <f t="shared" si="32"/>
        <v>0.50887573964497079</v>
      </c>
      <c r="J351" cm="1">
        <f t="array" ref="J351">INT(G351)+IF(100-SUM(INT(G$343:G$353))&gt;=RANK(I351,I$343:I$353)+COUNTIF(I$343:I351,I351)-1,1,0)</f>
        <v>6</v>
      </c>
      <c r="K351" t="str">
        <f>_xlfn.XLOOKUP(B351,BugList!A:A,BugList!H:H)</f>
        <v/>
      </c>
      <c r="L351" t="str">
        <f>IF(K351 = "","",_xlfn.XLOOKUP(B351, BugList!A:A,BugList!B:B,""))</f>
        <v/>
      </c>
      <c r="M351">
        <f>_xlfn.XLOOKUP(E351,BugList!C:C,BugList!N:N)</f>
        <v>8</v>
      </c>
      <c r="N351">
        <f>_xlfn.XLOOKUP(B351,BugList!A:A,BugList!R:R)</f>
        <v>8</v>
      </c>
      <c r="O351" t="b">
        <f>_xlfn.XLOOKUP(B351,BugList!A:A,BugList!L:L)</f>
        <v>0</v>
      </c>
      <c r="P351" t="b">
        <f t="shared" si="33"/>
        <v>0</v>
      </c>
      <c r="R351" t="b">
        <f>SUMPRODUCT(COUNTIF(_xlfn.XLOOKUP(B351,BugList!A:A,BugList!P:P), "*SC*"))&gt;0</f>
        <v>0</v>
      </c>
      <c r="S351" t="str">
        <f>_xlfn.XLOOKUP(B351,BugList!A:A,BugList!W:W)</f>
        <v/>
      </c>
      <c r="T351">
        <f t="shared" si="34"/>
        <v>48</v>
      </c>
      <c r="U351">
        <f t="shared" si="35"/>
        <v>48</v>
      </c>
    </row>
    <row r="352" spans="1:21">
      <c r="A352" t="s">
        <v>167</v>
      </c>
      <c r="B352">
        <v>1696</v>
      </c>
      <c r="D352" t="s">
        <v>94</v>
      </c>
      <c r="E352" t="s">
        <v>94</v>
      </c>
      <c r="F352">
        <v>10</v>
      </c>
      <c r="G352">
        <f t="shared" si="30"/>
        <v>5.9171597633136095</v>
      </c>
      <c r="H352">
        <f t="shared" si="31"/>
        <v>5</v>
      </c>
      <c r="I352">
        <f t="shared" si="32"/>
        <v>0.91715976331360949</v>
      </c>
      <c r="J352" cm="1">
        <f t="array" ref="J352">INT(G352)+IF(100-SUM(INT(G$343:G$353))&gt;=RANK(I352,I$343:I$353)+COUNTIF(I$343:I352,I352)-1,1,0)</f>
        <v>6</v>
      </c>
      <c r="K352" t="str">
        <f>_xlfn.XLOOKUP(B352,BugList!A:A,BugList!H:H)</f>
        <v/>
      </c>
      <c r="L352" t="str">
        <f>IF(K352 = "","",_xlfn.XLOOKUP(B352, BugList!A:A,BugList!B:B,""))</f>
        <v/>
      </c>
      <c r="M352">
        <f>_xlfn.XLOOKUP(E352,BugList!C:C,BugList!N:N)</f>
        <v>8</v>
      </c>
      <c r="N352">
        <f>_xlfn.XLOOKUP(B352,BugList!A:A,BugList!R:R)</f>
        <v>8</v>
      </c>
      <c r="O352" t="b">
        <f>_xlfn.XLOOKUP(B352,BugList!A:A,BugList!L:L)</f>
        <v>0</v>
      </c>
      <c r="P352" t="b">
        <f t="shared" si="33"/>
        <v>0</v>
      </c>
      <c r="R352" t="b">
        <f>SUMPRODUCT(COUNTIF(_xlfn.XLOOKUP(B352,BugList!A:A,BugList!P:P), "*SC*"))&gt;0</f>
        <v>0</v>
      </c>
      <c r="S352" t="str">
        <f>_xlfn.XLOOKUP(B352,BugList!A:A,BugList!W:W)</f>
        <v/>
      </c>
      <c r="T352">
        <f t="shared" si="34"/>
        <v>48</v>
      </c>
      <c r="U352">
        <f t="shared" si="35"/>
        <v>48</v>
      </c>
    </row>
    <row r="353" spans="1:21">
      <c r="A353" t="s">
        <v>167</v>
      </c>
      <c r="B353">
        <v>2781</v>
      </c>
      <c r="D353" t="s">
        <v>109</v>
      </c>
      <c r="E353" t="s">
        <v>109</v>
      </c>
      <c r="F353">
        <v>1</v>
      </c>
      <c r="G353">
        <f t="shared" si="30"/>
        <v>0.59171597633136097</v>
      </c>
      <c r="H353">
        <f t="shared" si="31"/>
        <v>0</v>
      </c>
      <c r="I353">
        <f t="shared" si="32"/>
        <v>0.59171597633136097</v>
      </c>
      <c r="J353" cm="1">
        <f t="array" ref="J353">INT(G353)+IF(100-SUM(INT(G$343:G$353))&gt;=RANK(I353,I$343:I$353)+COUNTIF(I$343:I353,I353)-1,1,0)</f>
        <v>1</v>
      </c>
      <c r="K353" t="str">
        <f>_xlfn.XLOOKUP(B353,BugList!A:A,BugList!H:H)</f>
        <v/>
      </c>
      <c r="L353" t="str">
        <f>IF(K353 = "","",_xlfn.XLOOKUP(B353, BugList!A:A,BugList!B:B,""))</f>
        <v/>
      </c>
      <c r="M353">
        <f>_xlfn.XLOOKUP(E353,BugList!C:C,BugList!N:N)</f>
        <v>6</v>
      </c>
      <c r="N353">
        <f>_xlfn.XLOOKUP(B353,BugList!A:A,BugList!R:R)</f>
        <v>4</v>
      </c>
      <c r="O353" t="b">
        <f>_xlfn.XLOOKUP(B353,BugList!A:A,BugList!L:L)</f>
        <v>0</v>
      </c>
      <c r="P353" t="b">
        <f t="shared" si="33"/>
        <v>0</v>
      </c>
      <c r="R353" t="b">
        <f>SUMPRODUCT(COUNTIF(_xlfn.XLOOKUP(B353,BugList!A:A,BugList!P:P), "*SC*"))&gt;0</f>
        <v>0</v>
      </c>
      <c r="S353" t="str">
        <f>_xlfn.XLOOKUP(B353,BugList!A:A,BugList!W:W)</f>
        <v/>
      </c>
      <c r="T353">
        <f t="shared" si="34"/>
        <v>6</v>
      </c>
      <c r="U353">
        <f t="shared" si="35"/>
        <v>4</v>
      </c>
    </row>
    <row r="354" spans="1:21">
      <c r="A354" t="s">
        <v>168</v>
      </c>
      <c r="B354">
        <v>63</v>
      </c>
      <c r="D354" t="s">
        <v>84</v>
      </c>
      <c r="E354" t="s">
        <v>84</v>
      </c>
      <c r="F354">
        <v>3</v>
      </c>
      <c r="G354">
        <f t="shared" si="30"/>
        <v>2.7777777777777777</v>
      </c>
      <c r="H354">
        <f t="shared" si="31"/>
        <v>2</v>
      </c>
      <c r="I354">
        <f t="shared" si="32"/>
        <v>0.77777777777777768</v>
      </c>
      <c r="J354" cm="1">
        <f t="array" ref="J354">INT(G354)+IF(100-SUM(INT(G$354:G$364))&gt;=RANK(I354,I$354:I$364)+COUNTIF(I$354:I354,I354)-1,1,0)</f>
        <v>3</v>
      </c>
      <c r="K354" t="str">
        <f>_xlfn.XLOOKUP(B354,BugList!A:A,BugList!H:H)</f>
        <v/>
      </c>
      <c r="L354" t="str">
        <f>IF(K354 = "","",_xlfn.XLOOKUP(B354, BugList!A:A,BugList!B:B,""))</f>
        <v/>
      </c>
      <c r="M354">
        <f>_xlfn.XLOOKUP(E354,BugList!C:C,BugList!N:N)</f>
        <v>8</v>
      </c>
      <c r="N354">
        <f>_xlfn.XLOOKUP(B354,BugList!A:A,BugList!R:R)</f>
        <v>8</v>
      </c>
      <c r="O354" t="b">
        <f>_xlfn.XLOOKUP(B354,BugList!A:A,BugList!L:L)</f>
        <v>0</v>
      </c>
      <c r="P354" t="b">
        <f t="shared" si="33"/>
        <v>0</v>
      </c>
      <c r="R354" t="b">
        <f>SUMPRODUCT(COUNTIF(_xlfn.XLOOKUP(B354,BugList!A:A,BugList!P:P), "*SC*"))&gt;0</f>
        <v>0</v>
      </c>
      <c r="S354" t="str">
        <f>_xlfn.XLOOKUP(B354,BugList!A:A,BugList!W:W)</f>
        <v/>
      </c>
      <c r="T354">
        <f t="shared" si="34"/>
        <v>24</v>
      </c>
      <c r="U354">
        <f t="shared" si="35"/>
        <v>24</v>
      </c>
    </row>
    <row r="355" spans="1:21">
      <c r="A355" t="s">
        <v>168</v>
      </c>
      <c r="B355">
        <v>88</v>
      </c>
      <c r="D355" t="s">
        <v>85</v>
      </c>
      <c r="E355" t="s">
        <v>85</v>
      </c>
      <c r="F355">
        <v>84</v>
      </c>
      <c r="G355">
        <f t="shared" si="30"/>
        <v>77.777777777777786</v>
      </c>
      <c r="H355">
        <f t="shared" si="31"/>
        <v>77</v>
      </c>
      <c r="I355">
        <f t="shared" si="32"/>
        <v>0.77777777777778567</v>
      </c>
      <c r="J355" cm="1">
        <f t="array" ref="J355">INT(G355)+IF(100-SUM(INT(G$354:G$364))&gt;=RANK(I355,I$354:I$364)+COUNTIF(I$354:I355,I355)-1,1,0)</f>
        <v>78</v>
      </c>
      <c r="K355" t="str">
        <f>_xlfn.XLOOKUP(B355,BugList!A:A,BugList!H:H)</f>
        <v/>
      </c>
      <c r="L355" t="str">
        <f>IF(K355 = "","",_xlfn.XLOOKUP(B355, BugList!A:A,BugList!B:B,""))</f>
        <v/>
      </c>
      <c r="M355">
        <f>_xlfn.XLOOKUP(E355,BugList!C:C,BugList!N:N)</f>
        <v>4</v>
      </c>
      <c r="N355">
        <f>_xlfn.XLOOKUP(B355,BugList!A:A,BugList!R:R)</f>
        <v>4</v>
      </c>
      <c r="O355" t="b">
        <f>_xlfn.XLOOKUP(B355,BugList!A:A,BugList!L:L)</f>
        <v>0</v>
      </c>
      <c r="P355" t="b">
        <f t="shared" si="33"/>
        <v>0</v>
      </c>
      <c r="R355" t="b">
        <f>SUMPRODUCT(COUNTIF(_xlfn.XLOOKUP(B355,BugList!A:A,BugList!P:P), "*SC*"))&gt;0</f>
        <v>0</v>
      </c>
      <c r="S355" t="str">
        <f>_xlfn.XLOOKUP(B355,BugList!A:A,BugList!W:W)</f>
        <v/>
      </c>
      <c r="T355">
        <f t="shared" si="34"/>
        <v>312</v>
      </c>
      <c r="U355">
        <f t="shared" si="35"/>
        <v>312</v>
      </c>
    </row>
    <row r="356" spans="1:21">
      <c r="A356" t="s">
        <v>168</v>
      </c>
      <c r="B356">
        <v>99</v>
      </c>
      <c r="D356" t="s">
        <v>169</v>
      </c>
      <c r="E356" t="s">
        <v>169</v>
      </c>
      <c r="F356">
        <v>2</v>
      </c>
      <c r="G356">
        <f t="shared" si="30"/>
        <v>1.8518518518518516</v>
      </c>
      <c r="H356">
        <f t="shared" si="31"/>
        <v>1</v>
      </c>
      <c r="I356">
        <f t="shared" si="32"/>
        <v>0.85185185185185164</v>
      </c>
      <c r="J356" cm="1">
        <f t="array" ref="J356">INT(G356)+IF(100-SUM(INT(G$354:G$364))&gt;=RANK(I356,I$354:I$364)+COUNTIF(I$354:I356,I356)-1,1,0)</f>
        <v>2</v>
      </c>
      <c r="K356" t="str">
        <f>_xlfn.XLOOKUP(B356,BugList!A:A,BugList!H:H)</f>
        <v/>
      </c>
      <c r="L356" t="str">
        <f>IF(K356 = "","",_xlfn.XLOOKUP(B356, BugList!A:A,BugList!B:B,""))</f>
        <v/>
      </c>
      <c r="M356">
        <f>_xlfn.XLOOKUP(E356,BugList!C:C,BugList!N:N)</f>
        <v>5</v>
      </c>
      <c r="N356">
        <f>_xlfn.XLOOKUP(B356,BugList!A:A,BugList!R:R)</f>
        <v>5</v>
      </c>
      <c r="O356" t="b">
        <f>_xlfn.XLOOKUP(B356,BugList!A:A,BugList!L:L)</f>
        <v>0</v>
      </c>
      <c r="P356" t="b">
        <f t="shared" si="33"/>
        <v>0</v>
      </c>
      <c r="R356" t="b">
        <f>SUMPRODUCT(COUNTIF(_xlfn.XLOOKUP(B356,BugList!A:A,BugList!P:P), "*SC*"))&gt;0</f>
        <v>0</v>
      </c>
      <c r="S356" t="str">
        <f>_xlfn.XLOOKUP(B356,BugList!A:A,BugList!W:W)</f>
        <v/>
      </c>
      <c r="T356">
        <f t="shared" si="34"/>
        <v>10</v>
      </c>
      <c r="U356">
        <f t="shared" si="35"/>
        <v>10</v>
      </c>
    </row>
    <row r="357" spans="1:21">
      <c r="A357" t="s">
        <v>168</v>
      </c>
      <c r="B357">
        <v>188</v>
      </c>
      <c r="D357" t="s">
        <v>170</v>
      </c>
      <c r="E357" t="s">
        <v>170</v>
      </c>
      <c r="F357">
        <v>1</v>
      </c>
      <c r="G357">
        <f t="shared" si="30"/>
        <v>0.92592592592592582</v>
      </c>
      <c r="H357">
        <f t="shared" si="31"/>
        <v>0</v>
      </c>
      <c r="I357">
        <f t="shared" si="32"/>
        <v>0.92592592592592582</v>
      </c>
      <c r="J357" cm="1">
        <f t="array" ref="J357">INT(G357)+IF(100-SUM(INT(G$354:G$364))&gt;=RANK(I357,I$354:I$364)+COUNTIF(I$354:I357,I357)-1,1,0)</f>
        <v>1</v>
      </c>
      <c r="K357" t="str">
        <f>_xlfn.XLOOKUP(B357,BugList!A:A,BugList!H:H)</f>
        <v>*</v>
      </c>
      <c r="L357" t="str">
        <f>IF(K357 = "","",_xlfn.XLOOKUP(B357, BugList!A:A,BugList!B:B,""))</f>
        <v>Plecoptera</v>
      </c>
      <c r="M357">
        <f>_xlfn.XLOOKUP(E357,BugList!C:C,BugList!N:N)</f>
        <v>1</v>
      </c>
      <c r="N357">
        <f>_xlfn.XLOOKUP(B357,BugList!A:A,BugList!R:R)</f>
        <v>1</v>
      </c>
      <c r="O357" t="b">
        <f>_xlfn.XLOOKUP(B357,BugList!A:A,BugList!L:L)</f>
        <v>1</v>
      </c>
      <c r="P357" t="b">
        <f t="shared" si="33"/>
        <v>1</v>
      </c>
      <c r="R357" t="b">
        <f>SUMPRODUCT(COUNTIF(_xlfn.XLOOKUP(B357,BugList!A:A,BugList!P:P), "*SC*"))&gt;0</f>
        <v>0</v>
      </c>
      <c r="S357" t="str">
        <f>_xlfn.XLOOKUP(B357,BugList!A:A,BugList!W:W)</f>
        <v>2</v>
      </c>
      <c r="T357">
        <f t="shared" si="34"/>
        <v>1</v>
      </c>
      <c r="U357">
        <f t="shared" si="35"/>
        <v>1</v>
      </c>
    </row>
    <row r="358" spans="1:21">
      <c r="A358" t="s">
        <v>168</v>
      </c>
      <c r="B358">
        <v>380</v>
      </c>
      <c r="D358" t="s">
        <v>88</v>
      </c>
      <c r="E358" t="s">
        <v>88</v>
      </c>
      <c r="F358">
        <v>1</v>
      </c>
      <c r="G358">
        <f t="shared" si="30"/>
        <v>0.92592592592592582</v>
      </c>
      <c r="H358">
        <f t="shared" si="31"/>
        <v>0</v>
      </c>
      <c r="I358">
        <f t="shared" si="32"/>
        <v>0.92592592592592582</v>
      </c>
      <c r="J358" cm="1">
        <f t="array" ref="J358">INT(G358)+IF(100-SUM(INT(G$354:G$364))&gt;=RANK(I358,I$354:I$364)+COUNTIF(I$354:I358,I358)-1,1,0)</f>
        <v>1</v>
      </c>
      <c r="K358" t="str">
        <f>_xlfn.XLOOKUP(B358,BugList!A:A,BugList!H:H)</f>
        <v/>
      </c>
      <c r="L358" t="str">
        <f>IF(K358 = "","",_xlfn.XLOOKUP(B358, BugList!A:A,BugList!B:B,""))</f>
        <v/>
      </c>
      <c r="M358">
        <f>_xlfn.XLOOKUP(E358,BugList!C:C,BugList!N:N)</f>
        <v>8</v>
      </c>
      <c r="N358">
        <f>_xlfn.XLOOKUP(B358,BugList!A:A,BugList!R:R)</f>
        <v>6</v>
      </c>
      <c r="O358" t="b">
        <f>_xlfn.XLOOKUP(B358,BugList!A:A,BugList!L:L)</f>
        <v>0</v>
      </c>
      <c r="P358" t="b">
        <f t="shared" si="33"/>
        <v>0</v>
      </c>
      <c r="R358" t="b">
        <f>SUMPRODUCT(COUNTIF(_xlfn.XLOOKUP(B358,BugList!A:A,BugList!P:P), "*SC*"))&gt;0</f>
        <v>0</v>
      </c>
      <c r="S358" t="str">
        <f>_xlfn.XLOOKUP(B358,BugList!A:A,BugList!W:W)</f>
        <v/>
      </c>
      <c r="T358">
        <f t="shared" si="34"/>
        <v>8</v>
      </c>
      <c r="U358">
        <f t="shared" si="35"/>
        <v>6</v>
      </c>
    </row>
    <row r="359" spans="1:21">
      <c r="A359" t="s">
        <v>168</v>
      </c>
      <c r="B359">
        <v>513</v>
      </c>
      <c r="D359" t="s">
        <v>111</v>
      </c>
      <c r="E359" t="s">
        <v>111</v>
      </c>
      <c r="F359">
        <v>5</v>
      </c>
      <c r="G359">
        <f t="shared" si="30"/>
        <v>4.6296296296296298</v>
      </c>
      <c r="H359">
        <f t="shared" si="31"/>
        <v>4</v>
      </c>
      <c r="I359">
        <f t="shared" si="32"/>
        <v>0.62962962962962976</v>
      </c>
      <c r="J359" cm="1">
        <f t="array" ref="J359">INT(G359)+IF(100-SUM(INT(G$354:G$364))&gt;=RANK(I359,I$354:I$364)+COUNTIF(I$354:I359,I359)-1,1,0)</f>
        <v>4</v>
      </c>
      <c r="K359" t="str">
        <f>_xlfn.XLOOKUP(B359,BugList!A:A,BugList!H:H)</f>
        <v>*</v>
      </c>
      <c r="L359" t="str">
        <f>IF(K359 = "","",_xlfn.XLOOKUP(B359, BugList!A:A,BugList!B:B,""))</f>
        <v>Ephemeroptera</v>
      </c>
      <c r="M359">
        <f>_xlfn.XLOOKUP(E359,BugList!C:C,BugList!N:N)</f>
        <v>4</v>
      </c>
      <c r="N359">
        <f>_xlfn.XLOOKUP(B359,BugList!A:A,BugList!R:R)</f>
        <v>4</v>
      </c>
      <c r="O359" t="b">
        <f>_xlfn.XLOOKUP(B359,BugList!A:A,BugList!L:L)</f>
        <v>1</v>
      </c>
      <c r="P359" t="b">
        <f t="shared" si="33"/>
        <v>1</v>
      </c>
      <c r="R359" t="b">
        <f>SUMPRODUCT(COUNTIF(_xlfn.XLOOKUP(B359,BugList!A:A,BugList!P:P), "*SC*"))&gt;0</f>
        <v>1</v>
      </c>
      <c r="S359" t="str">
        <f>_xlfn.XLOOKUP(B359,BugList!A:A,BugList!W:W)</f>
        <v/>
      </c>
      <c r="T359">
        <f t="shared" si="34"/>
        <v>16</v>
      </c>
      <c r="U359">
        <f t="shared" si="35"/>
        <v>16</v>
      </c>
    </row>
    <row r="360" spans="1:21">
      <c r="A360" t="s">
        <v>168</v>
      </c>
      <c r="B360">
        <v>794</v>
      </c>
      <c r="D360" t="s">
        <v>89</v>
      </c>
      <c r="E360" t="s">
        <v>89</v>
      </c>
      <c r="F360">
        <v>1</v>
      </c>
      <c r="G360">
        <f t="shared" si="30"/>
        <v>0.92592592592592582</v>
      </c>
      <c r="H360">
        <f t="shared" si="31"/>
        <v>0</v>
      </c>
      <c r="I360">
        <f t="shared" si="32"/>
        <v>0.92592592592592582</v>
      </c>
      <c r="J360" cm="1">
        <f t="array" ref="J360">INT(G360)+IF(100-SUM(INT(G$354:G$364))&gt;=RANK(I360,I$354:I$364)+COUNTIF(I$354:I360,I360)-1,1,0)</f>
        <v>1</v>
      </c>
      <c r="K360" t="str">
        <f>_xlfn.XLOOKUP(B360,BugList!A:A,BugList!H:H)</f>
        <v>*</v>
      </c>
      <c r="L360" t="str">
        <f>IF(K360 = "","",_xlfn.XLOOKUP(B360, BugList!A:A,BugList!B:B,""))</f>
        <v>Trichoptera</v>
      </c>
      <c r="M360">
        <f>_xlfn.XLOOKUP(E360,BugList!C:C,BugList!N:N)</f>
        <v>4</v>
      </c>
      <c r="N360">
        <f>_xlfn.XLOOKUP(B360,BugList!A:A,BugList!R:R)</f>
        <v>4</v>
      </c>
      <c r="O360" t="b">
        <f>_xlfn.XLOOKUP(B360,BugList!A:A,BugList!L:L)</f>
        <v>1</v>
      </c>
      <c r="P360" t="b">
        <f t="shared" si="33"/>
        <v>0</v>
      </c>
      <c r="R360" t="b">
        <f>SUMPRODUCT(COUNTIF(_xlfn.XLOOKUP(B360,BugList!A:A,BugList!P:P), "*SC*"))&gt;0</f>
        <v>0</v>
      </c>
      <c r="S360" t="str">
        <f>_xlfn.XLOOKUP(B360,BugList!A:A,BugList!W:W)</f>
        <v/>
      </c>
      <c r="T360">
        <f t="shared" si="34"/>
        <v>4</v>
      </c>
      <c r="U360">
        <f t="shared" si="35"/>
        <v>4</v>
      </c>
    </row>
    <row r="361" spans="1:21">
      <c r="A361" t="s">
        <v>168</v>
      </c>
      <c r="B361">
        <v>1002</v>
      </c>
      <c r="D361" t="s">
        <v>100</v>
      </c>
      <c r="E361" t="s">
        <v>100</v>
      </c>
      <c r="F361">
        <v>5</v>
      </c>
      <c r="G361">
        <f t="shared" ref="G361:G424" si="36">(F361/(SUMIFS(F:F,A:A,A361))*100)</f>
        <v>4.6296296296296298</v>
      </c>
      <c r="H361">
        <f t="shared" ref="H361:H424" si="37">INT(G361)</f>
        <v>4</v>
      </c>
      <c r="I361">
        <f t="shared" ref="I361:I424" si="38">G361-H361</f>
        <v>0.62962962962962976</v>
      </c>
      <c r="J361" cm="1">
        <f t="array" ref="J361">INT(G361)+IF(100-SUM(INT(G$354:G$364))&gt;=RANK(I361,I$354:I$364)+COUNTIF(I$354:I361,I361)-1,1,0)</f>
        <v>4</v>
      </c>
      <c r="K361" t="str">
        <f>_xlfn.XLOOKUP(B361,BugList!A:A,BugList!H:H)</f>
        <v/>
      </c>
      <c r="L361" t="str">
        <f>IF(K361 = "","",_xlfn.XLOOKUP(B361, BugList!A:A,BugList!B:B,""))</f>
        <v/>
      </c>
      <c r="M361">
        <f>_xlfn.XLOOKUP(E361,BugList!C:C,BugList!N:N)</f>
        <v>4</v>
      </c>
      <c r="N361">
        <f>_xlfn.XLOOKUP(B361,BugList!A:A,BugList!R:R)</f>
        <v>4</v>
      </c>
      <c r="O361" t="b">
        <f>_xlfn.XLOOKUP(B361,BugList!A:A,BugList!L:L)</f>
        <v>1</v>
      </c>
      <c r="P361" t="b">
        <f t="shared" si="33"/>
        <v>0</v>
      </c>
      <c r="R361" t="b">
        <f>SUMPRODUCT(COUNTIF(_xlfn.XLOOKUP(B361,BugList!A:A,BugList!P:P), "*SC*"))&gt;0</f>
        <v>1</v>
      </c>
      <c r="S361" t="str">
        <f>_xlfn.XLOOKUP(B361,BugList!A:A,BugList!W:W)</f>
        <v/>
      </c>
      <c r="T361">
        <f t="shared" si="34"/>
        <v>16</v>
      </c>
      <c r="U361">
        <f t="shared" si="35"/>
        <v>16</v>
      </c>
    </row>
    <row r="362" spans="1:21">
      <c r="A362" t="s">
        <v>168</v>
      </c>
      <c r="B362">
        <v>1088</v>
      </c>
      <c r="D362" t="s">
        <v>90</v>
      </c>
      <c r="E362" t="s">
        <v>90</v>
      </c>
      <c r="F362">
        <v>4</v>
      </c>
      <c r="G362">
        <f t="shared" si="36"/>
        <v>3.7037037037037033</v>
      </c>
      <c r="H362">
        <f t="shared" si="37"/>
        <v>3</v>
      </c>
      <c r="I362">
        <f t="shared" si="38"/>
        <v>0.70370370370370328</v>
      </c>
      <c r="J362" cm="1">
        <f t="array" ref="J362">INT(G362)+IF(100-SUM(INT(G$354:G$364))&gt;=RANK(I362,I$354:I$364)+COUNTIF(I$354:I362,I362)-1,1,0)</f>
        <v>4</v>
      </c>
      <c r="K362" t="str">
        <f>_xlfn.XLOOKUP(B362,BugList!A:A,BugList!H:H)</f>
        <v/>
      </c>
      <c r="L362" t="str">
        <f>IF(K362 = "","",_xlfn.XLOOKUP(B362, BugList!A:A,BugList!B:B,""))</f>
        <v/>
      </c>
      <c r="M362">
        <f>_xlfn.XLOOKUP(E362,BugList!C:C,BugList!N:N)</f>
        <v>6</v>
      </c>
      <c r="N362">
        <f>_xlfn.XLOOKUP(B362,BugList!A:A,BugList!R:R)</f>
        <v>6</v>
      </c>
      <c r="O362" t="b">
        <f>_xlfn.XLOOKUP(B362,BugList!A:A,BugList!L:L)</f>
        <v>1</v>
      </c>
      <c r="P362" t="b">
        <f t="shared" si="33"/>
        <v>0</v>
      </c>
      <c r="R362" t="b">
        <f>SUMPRODUCT(COUNTIF(_xlfn.XLOOKUP(B362,BugList!A:A,BugList!P:P), "*SC*"))&gt;0</f>
        <v>0</v>
      </c>
      <c r="S362" t="str">
        <f>_xlfn.XLOOKUP(B362,BugList!A:A,BugList!W:W)</f>
        <v/>
      </c>
      <c r="T362">
        <f t="shared" si="34"/>
        <v>24</v>
      </c>
      <c r="U362">
        <f t="shared" si="35"/>
        <v>24</v>
      </c>
    </row>
    <row r="363" spans="1:21">
      <c r="A363" t="s">
        <v>168</v>
      </c>
      <c r="B363">
        <v>1497</v>
      </c>
      <c r="D363" t="s">
        <v>108</v>
      </c>
      <c r="E363" t="s">
        <v>108</v>
      </c>
      <c r="F363">
        <v>1</v>
      </c>
      <c r="G363">
        <f t="shared" si="36"/>
        <v>0.92592592592592582</v>
      </c>
      <c r="H363">
        <f t="shared" si="37"/>
        <v>0</v>
      </c>
      <c r="I363">
        <f t="shared" si="38"/>
        <v>0.92592592592592582</v>
      </c>
      <c r="J363" cm="1">
        <f t="array" ref="J363">INT(G363)+IF(100-SUM(INT(G$354:G$364))&gt;=RANK(I363,I$354:I$364)+COUNTIF(I$354:I363,I363)-1,1,0)</f>
        <v>1</v>
      </c>
      <c r="K363" t="str">
        <f>_xlfn.XLOOKUP(B363,BugList!A:A,BugList!H:H)</f>
        <v/>
      </c>
      <c r="L363" t="str">
        <f>IF(K363 = "","",_xlfn.XLOOKUP(B363, BugList!A:A,BugList!B:B,""))</f>
        <v/>
      </c>
      <c r="M363">
        <f>_xlfn.XLOOKUP(E363,BugList!C:C,BugList!N:N)</f>
        <v>3</v>
      </c>
      <c r="N363">
        <f>_xlfn.XLOOKUP(B363,BugList!A:A,BugList!R:R)</f>
        <v>3</v>
      </c>
      <c r="O363" t="b">
        <f>_xlfn.XLOOKUP(B363,BugList!A:A,BugList!L:L)</f>
        <v>1</v>
      </c>
      <c r="P363" t="b">
        <f t="shared" si="33"/>
        <v>0</v>
      </c>
      <c r="R363" t="b">
        <f>SUMPRODUCT(COUNTIF(_xlfn.XLOOKUP(B363,BugList!A:A,BugList!P:P), "*SC*"))&gt;0</f>
        <v>0</v>
      </c>
      <c r="S363" t="str">
        <f>_xlfn.XLOOKUP(B363,BugList!A:A,BugList!W:W)</f>
        <v/>
      </c>
      <c r="T363">
        <f t="shared" si="34"/>
        <v>3</v>
      </c>
      <c r="U363">
        <f t="shared" si="35"/>
        <v>3</v>
      </c>
    </row>
    <row r="364" spans="1:21">
      <c r="A364" t="s">
        <v>168</v>
      </c>
      <c r="B364">
        <v>1696</v>
      </c>
      <c r="D364" t="s">
        <v>94</v>
      </c>
      <c r="E364" t="s">
        <v>94</v>
      </c>
      <c r="F364">
        <v>1</v>
      </c>
      <c r="G364">
        <f t="shared" si="36"/>
        <v>0.92592592592592582</v>
      </c>
      <c r="H364">
        <f t="shared" si="37"/>
        <v>0</v>
      </c>
      <c r="I364">
        <f t="shared" si="38"/>
        <v>0.92592592592592582</v>
      </c>
      <c r="J364" cm="1">
        <f t="array" ref="J364">INT(G364)+IF(100-SUM(INT(G$354:G$364))&gt;=RANK(I364,I$354:I$364)+COUNTIF(I$354:I364,I364)-1,1,0)</f>
        <v>1</v>
      </c>
      <c r="K364" t="str">
        <f>_xlfn.XLOOKUP(B364,BugList!A:A,BugList!H:H)</f>
        <v/>
      </c>
      <c r="L364" t="str">
        <f>IF(K364 = "","",_xlfn.XLOOKUP(B364, BugList!A:A,BugList!B:B,""))</f>
        <v/>
      </c>
      <c r="M364">
        <f>_xlfn.XLOOKUP(E364,BugList!C:C,BugList!N:N)</f>
        <v>8</v>
      </c>
      <c r="N364">
        <f>_xlfn.XLOOKUP(B364,BugList!A:A,BugList!R:R)</f>
        <v>8</v>
      </c>
      <c r="O364" t="b">
        <f>_xlfn.XLOOKUP(B364,BugList!A:A,BugList!L:L)</f>
        <v>0</v>
      </c>
      <c r="P364" t="b">
        <f t="shared" si="33"/>
        <v>0</v>
      </c>
      <c r="R364" t="b">
        <f>SUMPRODUCT(COUNTIF(_xlfn.XLOOKUP(B364,BugList!A:A,BugList!P:P), "*SC*"))&gt;0</f>
        <v>0</v>
      </c>
      <c r="S364" t="str">
        <f>_xlfn.XLOOKUP(B364,BugList!A:A,BugList!W:W)</f>
        <v/>
      </c>
      <c r="T364">
        <f t="shared" si="34"/>
        <v>8</v>
      </c>
      <c r="U364">
        <f t="shared" si="35"/>
        <v>8</v>
      </c>
    </row>
    <row r="365" spans="1:21">
      <c r="A365" t="s">
        <v>171</v>
      </c>
      <c r="B365">
        <v>63</v>
      </c>
      <c r="D365" t="s">
        <v>84</v>
      </c>
      <c r="E365" t="s">
        <v>84</v>
      </c>
      <c r="F365">
        <v>5</v>
      </c>
      <c r="G365">
        <f t="shared" si="36"/>
        <v>4</v>
      </c>
      <c r="H365">
        <f t="shared" si="37"/>
        <v>4</v>
      </c>
      <c r="I365">
        <f t="shared" si="38"/>
        <v>0</v>
      </c>
      <c r="J365" cm="1">
        <f t="array" ref="J365">INT(G365)+IF(100-SUM(INT(G$365:G$379))&gt;=RANK(I365,I$365:I$379)+COUNTIF(I$365:I365,I365)-1,1,0)</f>
        <v>4</v>
      </c>
      <c r="K365" t="str">
        <f>_xlfn.XLOOKUP(B365,BugList!A:A,BugList!H:H)</f>
        <v/>
      </c>
      <c r="L365" t="str">
        <f>IF(K365 = "","",_xlfn.XLOOKUP(B365, BugList!A:A,BugList!B:B,""))</f>
        <v/>
      </c>
      <c r="M365">
        <f>_xlfn.XLOOKUP(E365,BugList!C:C,BugList!N:N)</f>
        <v>8</v>
      </c>
      <c r="N365">
        <f>_xlfn.XLOOKUP(B365,BugList!A:A,BugList!R:R)</f>
        <v>8</v>
      </c>
      <c r="O365" t="b">
        <f>_xlfn.XLOOKUP(B365,BugList!A:A,BugList!L:L)</f>
        <v>0</v>
      </c>
      <c r="P365" t="b">
        <f t="shared" ref="P365:P428" si="39">IF(K365="*",IF(D365="Hydropsychidae", IF(E365="Diplectrona",TRUE,FALSE),TRUE),FALSE)</f>
        <v>0</v>
      </c>
      <c r="R365" t="b">
        <f>SUMPRODUCT(COUNTIF(_xlfn.XLOOKUP(B365,BugList!A:A,BugList!P:P), "*SC*"))&gt;0</f>
        <v>0</v>
      </c>
      <c r="S365" t="str">
        <f>_xlfn.XLOOKUP(B365,BugList!A:A,BugList!W:W)</f>
        <v/>
      </c>
      <c r="T365">
        <f t="shared" si="34"/>
        <v>32</v>
      </c>
      <c r="U365">
        <f t="shared" si="35"/>
        <v>32</v>
      </c>
    </row>
    <row r="366" spans="1:21">
      <c r="A366" t="s">
        <v>171</v>
      </c>
      <c r="B366">
        <v>88</v>
      </c>
      <c r="D366" t="s">
        <v>85</v>
      </c>
      <c r="E366" t="s">
        <v>85</v>
      </c>
      <c r="F366">
        <v>26</v>
      </c>
      <c r="G366">
        <f t="shared" si="36"/>
        <v>20.8</v>
      </c>
      <c r="H366">
        <f t="shared" si="37"/>
        <v>20</v>
      </c>
      <c r="I366">
        <f t="shared" si="38"/>
        <v>0.80000000000000071</v>
      </c>
      <c r="J366" cm="1">
        <f t="array" ref="J366">INT(G366)+IF(100-SUM(INT(G$365:G$379))&gt;=RANK(I366,I$365:I$379)+COUNTIF(I$365:I366,I366)-1,1,0)</f>
        <v>21</v>
      </c>
      <c r="K366" t="str">
        <f>_xlfn.XLOOKUP(B366,BugList!A:A,BugList!H:H)</f>
        <v/>
      </c>
      <c r="L366" t="str">
        <f>IF(K366 = "","",_xlfn.XLOOKUP(B366, BugList!A:A,BugList!B:B,""))</f>
        <v/>
      </c>
      <c r="M366">
        <f>_xlfn.XLOOKUP(E366,BugList!C:C,BugList!N:N)</f>
        <v>4</v>
      </c>
      <c r="N366">
        <f>_xlfn.XLOOKUP(B366,BugList!A:A,BugList!R:R)</f>
        <v>4</v>
      </c>
      <c r="O366" t="b">
        <f>_xlfn.XLOOKUP(B366,BugList!A:A,BugList!L:L)</f>
        <v>0</v>
      </c>
      <c r="P366" t="b">
        <f t="shared" si="39"/>
        <v>0</v>
      </c>
      <c r="R366" t="b">
        <f>SUMPRODUCT(COUNTIF(_xlfn.XLOOKUP(B366,BugList!A:A,BugList!P:P), "*SC*"))&gt;0</f>
        <v>0</v>
      </c>
      <c r="S366" t="str">
        <f>_xlfn.XLOOKUP(B366,BugList!A:A,BugList!W:W)</f>
        <v/>
      </c>
      <c r="T366">
        <f t="shared" si="34"/>
        <v>84</v>
      </c>
      <c r="U366">
        <f t="shared" si="35"/>
        <v>84</v>
      </c>
    </row>
    <row r="367" spans="1:21">
      <c r="A367" t="s">
        <v>171</v>
      </c>
      <c r="B367">
        <v>380</v>
      </c>
      <c r="D367" t="s">
        <v>88</v>
      </c>
      <c r="E367" t="s">
        <v>88</v>
      </c>
      <c r="F367">
        <v>1</v>
      </c>
      <c r="G367">
        <f t="shared" si="36"/>
        <v>0.8</v>
      </c>
      <c r="H367">
        <f t="shared" si="37"/>
        <v>0</v>
      </c>
      <c r="I367">
        <f t="shared" si="38"/>
        <v>0.8</v>
      </c>
      <c r="J367" cm="1">
        <f t="array" ref="J367">INT(G367)+IF(100-SUM(INT(G$365:G$379))&gt;=RANK(I367,I$365:I$379)+COUNTIF(I$365:I367,I367)-1,1,0)</f>
        <v>1</v>
      </c>
      <c r="K367" t="str">
        <f>_xlfn.XLOOKUP(B367,BugList!A:A,BugList!H:H)</f>
        <v/>
      </c>
      <c r="L367" t="str">
        <f>IF(K367 = "","",_xlfn.XLOOKUP(B367, BugList!A:A,BugList!B:B,""))</f>
        <v/>
      </c>
      <c r="M367">
        <f>_xlfn.XLOOKUP(E367,BugList!C:C,BugList!N:N)</f>
        <v>8</v>
      </c>
      <c r="N367">
        <f>_xlfn.XLOOKUP(B367,BugList!A:A,BugList!R:R)</f>
        <v>6</v>
      </c>
      <c r="O367" t="b">
        <f>_xlfn.XLOOKUP(B367,BugList!A:A,BugList!L:L)</f>
        <v>0</v>
      </c>
      <c r="P367" t="b">
        <f t="shared" si="39"/>
        <v>0</v>
      </c>
      <c r="R367" t="b">
        <f>SUMPRODUCT(COUNTIF(_xlfn.XLOOKUP(B367,BugList!A:A,BugList!P:P), "*SC*"))&gt;0</f>
        <v>0</v>
      </c>
      <c r="S367" t="str">
        <f>_xlfn.XLOOKUP(B367,BugList!A:A,BugList!W:W)</f>
        <v/>
      </c>
      <c r="T367">
        <f t="shared" si="34"/>
        <v>8</v>
      </c>
      <c r="U367">
        <f t="shared" si="35"/>
        <v>6</v>
      </c>
    </row>
    <row r="368" spans="1:21">
      <c r="A368" t="s">
        <v>171</v>
      </c>
      <c r="B368">
        <v>425</v>
      </c>
      <c r="D368" t="s">
        <v>153</v>
      </c>
      <c r="E368" t="s">
        <v>153</v>
      </c>
      <c r="F368">
        <v>2</v>
      </c>
      <c r="G368">
        <f t="shared" si="36"/>
        <v>1.6</v>
      </c>
      <c r="H368">
        <f t="shared" si="37"/>
        <v>1</v>
      </c>
      <c r="I368">
        <f t="shared" si="38"/>
        <v>0.60000000000000009</v>
      </c>
      <c r="J368" cm="1">
        <f t="array" ref="J368">INT(G368)+IF(100-SUM(INT(G$365:G$379))&gt;=RANK(I368,I$365:I$379)+COUNTIF(I$365:I368,I368)-1,1,0)</f>
        <v>2</v>
      </c>
      <c r="K368" t="str">
        <f>_xlfn.XLOOKUP(B368,BugList!A:A,BugList!H:H)</f>
        <v>*</v>
      </c>
      <c r="L368" t="str">
        <f>IF(K368 = "","",_xlfn.XLOOKUP(B368, BugList!A:A,BugList!B:B,""))</f>
        <v>Plecoptera</v>
      </c>
      <c r="M368">
        <f>_xlfn.XLOOKUP(E368,BugList!C:C,BugList!N:N)</f>
        <v>2</v>
      </c>
      <c r="N368">
        <f>_xlfn.XLOOKUP(B368,BugList!A:A,BugList!R:R)</f>
        <v>2</v>
      </c>
      <c r="O368" t="b">
        <f>_xlfn.XLOOKUP(B368,BugList!A:A,BugList!L:L)</f>
        <v>1</v>
      </c>
      <c r="P368" t="b">
        <f t="shared" si="39"/>
        <v>1</v>
      </c>
      <c r="R368" t="b">
        <f>SUMPRODUCT(COUNTIF(_xlfn.XLOOKUP(B368,BugList!A:A,BugList!P:P), "*SC*"))&gt;0</f>
        <v>0</v>
      </c>
      <c r="S368" t="str">
        <f>_xlfn.XLOOKUP(B368,BugList!A:A,BugList!W:W)</f>
        <v>2</v>
      </c>
      <c r="T368">
        <f t="shared" si="34"/>
        <v>4</v>
      </c>
      <c r="U368">
        <f t="shared" si="35"/>
        <v>4</v>
      </c>
    </row>
    <row r="369" spans="1:21">
      <c r="A369" t="s">
        <v>171</v>
      </c>
      <c r="B369">
        <v>513</v>
      </c>
      <c r="D369" t="s">
        <v>111</v>
      </c>
      <c r="E369" t="s">
        <v>111</v>
      </c>
      <c r="F369">
        <v>4</v>
      </c>
      <c r="G369">
        <f t="shared" si="36"/>
        <v>3.2</v>
      </c>
      <c r="H369">
        <f t="shared" si="37"/>
        <v>3</v>
      </c>
      <c r="I369">
        <f t="shared" si="38"/>
        <v>0.20000000000000018</v>
      </c>
      <c r="J369" cm="1">
        <f t="array" ref="J369">INT(G369)+IF(100-SUM(INT(G$365:G$379))&gt;=RANK(I369,I$365:I$379)+COUNTIF(I$365:I369,I369)-1,1,0)</f>
        <v>3</v>
      </c>
      <c r="K369" t="str">
        <f>_xlfn.XLOOKUP(B369,BugList!A:A,BugList!H:H)</f>
        <v>*</v>
      </c>
      <c r="L369" t="str">
        <f>IF(K369 = "","",_xlfn.XLOOKUP(B369, BugList!A:A,BugList!B:B,""))</f>
        <v>Ephemeroptera</v>
      </c>
      <c r="M369">
        <f>_xlfn.XLOOKUP(E369,BugList!C:C,BugList!N:N)</f>
        <v>4</v>
      </c>
      <c r="N369">
        <f>_xlfn.XLOOKUP(B369,BugList!A:A,BugList!R:R)</f>
        <v>4</v>
      </c>
      <c r="O369" t="b">
        <f>_xlfn.XLOOKUP(B369,BugList!A:A,BugList!L:L)</f>
        <v>1</v>
      </c>
      <c r="P369" t="b">
        <f t="shared" si="39"/>
        <v>1</v>
      </c>
      <c r="R369" t="b">
        <f>SUMPRODUCT(COUNTIF(_xlfn.XLOOKUP(B369,BugList!A:A,BugList!P:P), "*SC*"))&gt;0</f>
        <v>1</v>
      </c>
      <c r="S369" t="str">
        <f>_xlfn.XLOOKUP(B369,BugList!A:A,BugList!W:W)</f>
        <v/>
      </c>
      <c r="T369">
        <f t="shared" si="34"/>
        <v>12</v>
      </c>
      <c r="U369">
        <f t="shared" si="35"/>
        <v>12</v>
      </c>
    </row>
    <row r="370" spans="1:21">
      <c r="A370" t="s">
        <v>171</v>
      </c>
      <c r="B370">
        <v>602</v>
      </c>
      <c r="D370" t="s">
        <v>97</v>
      </c>
      <c r="E370" t="s">
        <v>97</v>
      </c>
      <c r="F370">
        <v>1</v>
      </c>
      <c r="G370">
        <f t="shared" si="36"/>
        <v>0.8</v>
      </c>
      <c r="H370">
        <f t="shared" si="37"/>
        <v>0</v>
      </c>
      <c r="I370">
        <f t="shared" si="38"/>
        <v>0.8</v>
      </c>
      <c r="J370" cm="1">
        <f t="array" ref="J370">INT(G370)+IF(100-SUM(INT(G$365:G$379))&gt;=RANK(I370,I$365:I$379)+COUNTIF(I$365:I370,I370)-1,1,0)</f>
        <v>1</v>
      </c>
      <c r="K370" t="str">
        <f>_xlfn.XLOOKUP(B370,BugList!A:A,BugList!H:H)</f>
        <v/>
      </c>
      <c r="L370" t="str">
        <f>IF(K370 = "","",_xlfn.XLOOKUP(B370, BugList!A:A,BugList!B:B,""))</f>
        <v/>
      </c>
      <c r="M370">
        <f>_xlfn.XLOOKUP(E370,BugList!C:C,BugList!N:N)</f>
        <v>9</v>
      </c>
      <c r="N370">
        <f>_xlfn.XLOOKUP(B370,BugList!A:A,BugList!R:R)</f>
        <v>9</v>
      </c>
      <c r="O370" t="b">
        <f>_xlfn.XLOOKUP(B370,BugList!A:A,BugList!L:L)</f>
        <v>1</v>
      </c>
      <c r="P370" t="b">
        <f t="shared" si="39"/>
        <v>0</v>
      </c>
      <c r="R370" t="b">
        <f>SUMPRODUCT(COUNTIF(_xlfn.XLOOKUP(B370,BugList!A:A,BugList!P:P), "*SC*"))&gt;0</f>
        <v>0</v>
      </c>
      <c r="S370" t="str">
        <f>_xlfn.XLOOKUP(B370,BugList!A:A,BugList!W:W)</f>
        <v/>
      </c>
      <c r="T370">
        <f t="shared" si="34"/>
        <v>9</v>
      </c>
      <c r="U370">
        <f t="shared" si="35"/>
        <v>9</v>
      </c>
    </row>
    <row r="371" spans="1:21">
      <c r="A371" t="s">
        <v>171</v>
      </c>
      <c r="B371">
        <v>620</v>
      </c>
      <c r="D371" t="s">
        <v>113</v>
      </c>
      <c r="E371" t="s">
        <v>113</v>
      </c>
      <c r="F371">
        <v>1</v>
      </c>
      <c r="G371">
        <f t="shared" si="36"/>
        <v>0.8</v>
      </c>
      <c r="H371">
        <f t="shared" si="37"/>
        <v>0</v>
      </c>
      <c r="I371">
        <f t="shared" si="38"/>
        <v>0.8</v>
      </c>
      <c r="J371" cm="1">
        <f t="array" ref="J371">INT(G371)+IF(100-SUM(INT(G$365:G$379))&gt;=RANK(I371,I$365:I$379)+COUNTIF(I$365:I371,I371)-1,1,0)</f>
        <v>1</v>
      </c>
      <c r="K371" t="str">
        <f>_xlfn.XLOOKUP(B371,BugList!A:A,BugList!H:H)</f>
        <v/>
      </c>
      <c r="L371" t="str">
        <f>IF(K371 = "","",_xlfn.XLOOKUP(B371, BugList!A:A,BugList!B:B,""))</f>
        <v/>
      </c>
      <c r="M371">
        <f>_xlfn.XLOOKUP(E371,BugList!C:C,BugList!N:N)</f>
        <v>1</v>
      </c>
      <c r="N371">
        <f>_xlfn.XLOOKUP(B371,BugList!A:A,BugList!R:R)</f>
        <v>1</v>
      </c>
      <c r="O371" t="b">
        <f>_xlfn.XLOOKUP(B371,BugList!A:A,BugList!L:L)</f>
        <v>1</v>
      </c>
      <c r="P371" t="b">
        <f t="shared" si="39"/>
        <v>0</v>
      </c>
      <c r="R371" t="b">
        <f>SUMPRODUCT(COUNTIF(_xlfn.XLOOKUP(B371,BugList!A:A,BugList!P:P), "*SC*"))&gt;0</f>
        <v>0</v>
      </c>
      <c r="S371" t="str">
        <f>_xlfn.XLOOKUP(B371,BugList!A:A,BugList!W:W)</f>
        <v>3</v>
      </c>
      <c r="T371">
        <f t="shared" si="34"/>
        <v>1</v>
      </c>
      <c r="U371">
        <f t="shared" si="35"/>
        <v>1</v>
      </c>
    </row>
    <row r="372" spans="1:21">
      <c r="A372" t="s">
        <v>171</v>
      </c>
      <c r="B372">
        <v>794</v>
      </c>
      <c r="D372" t="s">
        <v>89</v>
      </c>
      <c r="E372" t="s">
        <v>89</v>
      </c>
      <c r="F372">
        <v>5</v>
      </c>
      <c r="G372">
        <f t="shared" si="36"/>
        <v>4</v>
      </c>
      <c r="H372">
        <f t="shared" si="37"/>
        <v>4</v>
      </c>
      <c r="I372">
        <f t="shared" si="38"/>
        <v>0</v>
      </c>
      <c r="J372" cm="1">
        <f t="array" ref="J372">INT(G372)+IF(100-SUM(INT(G$365:G$379))&gt;=RANK(I372,I$365:I$379)+COUNTIF(I$365:I372,I372)-1,1,0)</f>
        <v>4</v>
      </c>
      <c r="K372" t="str">
        <f>_xlfn.XLOOKUP(B372,BugList!A:A,BugList!H:H)</f>
        <v>*</v>
      </c>
      <c r="L372" t="str">
        <f>IF(K372 = "","",_xlfn.XLOOKUP(B372, BugList!A:A,BugList!B:B,""))</f>
        <v>Trichoptera</v>
      </c>
      <c r="M372">
        <f>_xlfn.XLOOKUP(E372,BugList!C:C,BugList!N:N)</f>
        <v>4</v>
      </c>
      <c r="N372">
        <f>_xlfn.XLOOKUP(B372,BugList!A:A,BugList!R:R)</f>
        <v>4</v>
      </c>
      <c r="O372" t="b">
        <f>_xlfn.XLOOKUP(B372,BugList!A:A,BugList!L:L)</f>
        <v>1</v>
      </c>
      <c r="P372" t="b">
        <f t="shared" si="39"/>
        <v>0</v>
      </c>
      <c r="R372" t="b">
        <f>SUMPRODUCT(COUNTIF(_xlfn.XLOOKUP(B372,BugList!A:A,BugList!P:P), "*SC*"))&gt;0</f>
        <v>0</v>
      </c>
      <c r="S372" t="str">
        <f>_xlfn.XLOOKUP(B372,BugList!A:A,BugList!W:W)</f>
        <v/>
      </c>
      <c r="T372">
        <f t="shared" si="34"/>
        <v>16</v>
      </c>
      <c r="U372">
        <f t="shared" si="35"/>
        <v>16</v>
      </c>
    </row>
    <row r="373" spans="1:21">
      <c r="A373" t="s">
        <v>171</v>
      </c>
      <c r="B373">
        <v>842</v>
      </c>
      <c r="D373" t="s">
        <v>163</v>
      </c>
      <c r="E373" t="s">
        <v>163</v>
      </c>
      <c r="F373">
        <v>1</v>
      </c>
      <c r="G373">
        <f t="shared" si="36"/>
        <v>0.8</v>
      </c>
      <c r="H373">
        <f t="shared" si="37"/>
        <v>0</v>
      </c>
      <c r="I373">
        <f t="shared" si="38"/>
        <v>0.8</v>
      </c>
      <c r="J373" cm="1">
        <f t="array" ref="J373">INT(G373)+IF(100-SUM(INT(G$365:G$379))&gt;=RANK(I373,I$365:I$379)+COUNTIF(I$365:I373,I373)-1,1,0)</f>
        <v>1</v>
      </c>
      <c r="K373" t="str">
        <f>_xlfn.XLOOKUP(B373,BugList!A:A,BugList!H:H)</f>
        <v>*</v>
      </c>
      <c r="L373" t="str">
        <f>IF(K373 = "","",_xlfn.XLOOKUP(B373, BugList!A:A,BugList!B:B,""))</f>
        <v>Trichoptera</v>
      </c>
      <c r="M373">
        <f>_xlfn.XLOOKUP(E373,BugList!C:C,BugList!N:N)</f>
        <v>6</v>
      </c>
      <c r="N373">
        <f>_xlfn.XLOOKUP(B373,BugList!A:A,BugList!R:R)</f>
        <v>6</v>
      </c>
      <c r="O373" t="b">
        <f>_xlfn.XLOOKUP(B373,BugList!A:A,BugList!L:L)</f>
        <v>1</v>
      </c>
      <c r="P373" t="b">
        <f t="shared" si="39"/>
        <v>1</v>
      </c>
      <c r="R373" t="b">
        <f>SUMPRODUCT(COUNTIF(_xlfn.XLOOKUP(B373,BugList!A:A,BugList!P:P), "*SC*"))&gt;0</f>
        <v>0</v>
      </c>
      <c r="S373" t="str">
        <f>_xlfn.XLOOKUP(B373,BugList!A:A,BugList!W:W)</f>
        <v/>
      </c>
      <c r="T373">
        <f t="shared" si="34"/>
        <v>6</v>
      </c>
      <c r="U373">
        <f t="shared" si="35"/>
        <v>6</v>
      </c>
    </row>
    <row r="374" spans="1:21">
      <c r="A374" t="s">
        <v>171</v>
      </c>
      <c r="B374">
        <v>935</v>
      </c>
      <c r="D374" t="s">
        <v>98</v>
      </c>
      <c r="E374" t="s">
        <v>98</v>
      </c>
      <c r="F374">
        <v>2</v>
      </c>
      <c r="G374">
        <f t="shared" si="36"/>
        <v>1.6</v>
      </c>
      <c r="H374">
        <f t="shared" si="37"/>
        <v>1</v>
      </c>
      <c r="I374">
        <f t="shared" si="38"/>
        <v>0.60000000000000009</v>
      </c>
      <c r="J374" cm="1">
        <f t="array" ref="J374">INT(G374)+IF(100-SUM(INT(G$365:G$379))&gt;=RANK(I374,I$365:I$379)+COUNTIF(I$365:I374,I374)-1,1,0)</f>
        <v>1</v>
      </c>
      <c r="K374" t="str">
        <f>_xlfn.XLOOKUP(B374,BugList!A:A,BugList!H:H)</f>
        <v/>
      </c>
      <c r="L374" t="str">
        <f>IF(K374 = "","",_xlfn.XLOOKUP(B374, BugList!A:A,BugList!B:B,""))</f>
        <v/>
      </c>
      <c r="M374">
        <f>_xlfn.XLOOKUP(E374,BugList!C:C,BugList!N:N)</f>
        <v>4</v>
      </c>
      <c r="N374">
        <f>_xlfn.XLOOKUP(B374,BugList!A:A,BugList!R:R)</f>
        <v>4</v>
      </c>
      <c r="O374" t="b">
        <f>_xlfn.XLOOKUP(B374,BugList!A:A,BugList!L:L)</f>
        <v>1</v>
      </c>
      <c r="P374" t="b">
        <f t="shared" si="39"/>
        <v>0</v>
      </c>
      <c r="R374" t="b">
        <f>SUMPRODUCT(COUNTIF(_xlfn.XLOOKUP(B374,BugList!A:A,BugList!P:P), "*SC*"))&gt;0</f>
        <v>1</v>
      </c>
      <c r="S374" t="str">
        <f>_xlfn.XLOOKUP(B374,BugList!A:A,BugList!W:W)</f>
        <v/>
      </c>
      <c r="T374">
        <f t="shared" si="34"/>
        <v>4</v>
      </c>
      <c r="U374">
        <f t="shared" si="35"/>
        <v>4</v>
      </c>
    </row>
    <row r="375" spans="1:21">
      <c r="A375" t="s">
        <v>171</v>
      </c>
      <c r="B375">
        <v>1002</v>
      </c>
      <c r="D375" t="s">
        <v>100</v>
      </c>
      <c r="E375" t="s">
        <v>100</v>
      </c>
      <c r="F375">
        <v>6</v>
      </c>
      <c r="G375">
        <f t="shared" si="36"/>
        <v>4.8</v>
      </c>
      <c r="H375">
        <f t="shared" si="37"/>
        <v>4</v>
      </c>
      <c r="I375">
        <f t="shared" si="38"/>
        <v>0.79999999999999982</v>
      </c>
      <c r="J375">
        <v>5</v>
      </c>
      <c r="K375" t="str">
        <f>_xlfn.XLOOKUP(B375,BugList!A:A,BugList!H:H)</f>
        <v/>
      </c>
      <c r="L375" t="str">
        <f>IF(K375 = "","",_xlfn.XLOOKUP(B375, BugList!A:A,BugList!B:B,""))</f>
        <v/>
      </c>
      <c r="M375">
        <f>_xlfn.XLOOKUP(E375,BugList!C:C,BugList!N:N)</f>
        <v>4</v>
      </c>
      <c r="N375">
        <f>_xlfn.XLOOKUP(B375,BugList!A:A,BugList!R:R)</f>
        <v>4</v>
      </c>
      <c r="O375" t="b">
        <f>_xlfn.XLOOKUP(B375,BugList!A:A,BugList!L:L)</f>
        <v>1</v>
      </c>
      <c r="P375" t="b">
        <f t="shared" si="39"/>
        <v>0</v>
      </c>
      <c r="R375" t="b">
        <f>SUMPRODUCT(COUNTIF(_xlfn.XLOOKUP(B375,BugList!A:A,BugList!P:P), "*SC*"))&gt;0</f>
        <v>1</v>
      </c>
      <c r="S375" t="str">
        <f>_xlfn.XLOOKUP(B375,BugList!A:A,BugList!W:W)</f>
        <v/>
      </c>
      <c r="T375">
        <f t="shared" si="34"/>
        <v>20</v>
      </c>
      <c r="U375">
        <f t="shared" si="35"/>
        <v>20</v>
      </c>
    </row>
    <row r="376" spans="1:21">
      <c r="A376" t="s">
        <v>171</v>
      </c>
      <c r="B376">
        <v>1088</v>
      </c>
      <c r="D376" t="s">
        <v>90</v>
      </c>
      <c r="E376" t="s">
        <v>90</v>
      </c>
      <c r="F376">
        <v>40</v>
      </c>
      <c r="G376">
        <f t="shared" si="36"/>
        <v>32</v>
      </c>
      <c r="H376">
        <f t="shared" si="37"/>
        <v>32</v>
      </c>
      <c r="I376">
        <f t="shared" si="38"/>
        <v>0</v>
      </c>
      <c r="J376" cm="1">
        <f t="array" ref="J376">INT(G376)+IF(100-SUM(INT(G$365:G$379))&gt;=RANK(I376,I$365:I$379)+COUNTIF(I$365:I376,I376)-1,1,0)</f>
        <v>32</v>
      </c>
      <c r="K376" t="str">
        <f>_xlfn.XLOOKUP(B376,BugList!A:A,BugList!H:H)</f>
        <v/>
      </c>
      <c r="L376" t="str">
        <f>IF(K376 = "","",_xlfn.XLOOKUP(B376, BugList!A:A,BugList!B:B,""))</f>
        <v/>
      </c>
      <c r="M376">
        <f>_xlfn.XLOOKUP(E376,BugList!C:C,BugList!N:N)</f>
        <v>6</v>
      </c>
      <c r="N376">
        <f>_xlfn.XLOOKUP(B376,BugList!A:A,BugList!R:R)</f>
        <v>6</v>
      </c>
      <c r="O376" t="b">
        <f>_xlfn.XLOOKUP(B376,BugList!A:A,BugList!L:L)</f>
        <v>1</v>
      </c>
      <c r="P376" t="b">
        <f t="shared" si="39"/>
        <v>0</v>
      </c>
      <c r="R376" t="b">
        <f>SUMPRODUCT(COUNTIF(_xlfn.XLOOKUP(B376,BugList!A:A,BugList!P:P), "*SC*"))&gt;0</f>
        <v>0</v>
      </c>
      <c r="S376" t="str">
        <f>_xlfn.XLOOKUP(B376,BugList!A:A,BugList!W:W)</f>
        <v/>
      </c>
      <c r="T376">
        <f t="shared" si="34"/>
        <v>192</v>
      </c>
      <c r="U376">
        <f t="shared" si="35"/>
        <v>192</v>
      </c>
    </row>
    <row r="377" spans="1:21">
      <c r="A377" t="s">
        <v>171</v>
      </c>
      <c r="B377">
        <v>1497</v>
      </c>
      <c r="D377" t="s">
        <v>108</v>
      </c>
      <c r="E377" t="s">
        <v>108</v>
      </c>
      <c r="F377">
        <v>2</v>
      </c>
      <c r="G377">
        <f t="shared" si="36"/>
        <v>1.6</v>
      </c>
      <c r="H377">
        <f t="shared" si="37"/>
        <v>1</v>
      </c>
      <c r="I377">
        <f t="shared" si="38"/>
        <v>0.60000000000000009</v>
      </c>
      <c r="J377" cm="1">
        <f t="array" ref="J377">INT(G377)+IF(100-SUM(INT(G$365:G$379))&gt;=RANK(I377,I$365:I$379)+COUNTIF(I$365:I377,I377)-1,1,0)</f>
        <v>1</v>
      </c>
      <c r="K377" t="str">
        <f>_xlfn.XLOOKUP(B377,BugList!A:A,BugList!H:H)</f>
        <v/>
      </c>
      <c r="L377" t="str">
        <f>IF(K377 = "","",_xlfn.XLOOKUP(B377, BugList!A:A,BugList!B:B,""))</f>
        <v/>
      </c>
      <c r="M377">
        <f>_xlfn.XLOOKUP(E377,BugList!C:C,BugList!N:N)</f>
        <v>3</v>
      </c>
      <c r="N377">
        <f>_xlfn.XLOOKUP(B377,BugList!A:A,BugList!R:R)</f>
        <v>3</v>
      </c>
      <c r="O377" t="b">
        <f>_xlfn.XLOOKUP(B377,BugList!A:A,BugList!L:L)</f>
        <v>1</v>
      </c>
      <c r="P377" t="b">
        <f t="shared" si="39"/>
        <v>0</v>
      </c>
      <c r="R377" t="b">
        <f>SUMPRODUCT(COUNTIF(_xlfn.XLOOKUP(B377,BugList!A:A,BugList!P:P), "*SC*"))&gt;0</f>
        <v>0</v>
      </c>
      <c r="S377" t="str">
        <f>_xlfn.XLOOKUP(B377,BugList!A:A,BugList!W:W)</f>
        <v/>
      </c>
      <c r="T377">
        <f t="shared" si="34"/>
        <v>3</v>
      </c>
      <c r="U377">
        <f t="shared" si="35"/>
        <v>3</v>
      </c>
    </row>
    <row r="378" spans="1:21">
      <c r="A378" t="s">
        <v>171</v>
      </c>
      <c r="B378">
        <v>1614</v>
      </c>
      <c r="D378" t="s">
        <v>92</v>
      </c>
      <c r="E378" t="s">
        <v>92</v>
      </c>
      <c r="F378">
        <v>8</v>
      </c>
      <c r="G378">
        <f t="shared" si="36"/>
        <v>6.4</v>
      </c>
      <c r="H378">
        <f t="shared" si="37"/>
        <v>6</v>
      </c>
      <c r="I378">
        <f t="shared" si="38"/>
        <v>0.40000000000000036</v>
      </c>
      <c r="J378" cm="1">
        <f t="array" ref="J378">INT(G378)+IF(100-SUM(INT(G$365:G$379))&gt;=RANK(I378,I$365:I$379)+COUNTIF(I$365:I378,I378)-1,1,0)</f>
        <v>6</v>
      </c>
      <c r="K378" t="str">
        <f>_xlfn.XLOOKUP(B378,BugList!A:A,BugList!H:H)</f>
        <v/>
      </c>
      <c r="L378" t="str">
        <f>IF(K378 = "","",_xlfn.XLOOKUP(B378, BugList!A:A,BugList!B:B,""))</f>
        <v/>
      </c>
      <c r="M378">
        <f>_xlfn.XLOOKUP(E378,BugList!C:C,BugList!N:N)</f>
        <v>8</v>
      </c>
      <c r="N378">
        <f>_xlfn.XLOOKUP(B378,BugList!A:A,BugList!R:R)</f>
        <v>8</v>
      </c>
      <c r="O378" t="b">
        <f>_xlfn.XLOOKUP(B378,BugList!A:A,BugList!L:L)</f>
        <v>0</v>
      </c>
      <c r="P378" t="b">
        <f t="shared" si="39"/>
        <v>0</v>
      </c>
      <c r="R378" t="b">
        <f>SUMPRODUCT(COUNTIF(_xlfn.XLOOKUP(B378,BugList!A:A,BugList!P:P), "*SC*"))&gt;0</f>
        <v>0</v>
      </c>
      <c r="S378" t="str">
        <f>_xlfn.XLOOKUP(B378,BugList!A:A,BugList!W:W)</f>
        <v/>
      </c>
      <c r="T378">
        <f t="shared" si="34"/>
        <v>48</v>
      </c>
      <c r="U378">
        <f t="shared" si="35"/>
        <v>48</v>
      </c>
    </row>
    <row r="379" spans="1:21">
      <c r="A379" t="s">
        <v>171</v>
      </c>
      <c r="B379">
        <v>2781</v>
      </c>
      <c r="D379" t="s">
        <v>109</v>
      </c>
      <c r="E379" t="s">
        <v>109</v>
      </c>
      <c r="F379">
        <v>21</v>
      </c>
      <c r="G379">
        <f t="shared" si="36"/>
        <v>16.8</v>
      </c>
      <c r="H379">
        <f t="shared" si="37"/>
        <v>16</v>
      </c>
      <c r="I379">
        <f t="shared" si="38"/>
        <v>0.80000000000000071</v>
      </c>
      <c r="J379" cm="1">
        <f t="array" ref="J379">INT(G379)+IF(100-SUM(INT(G$365:G$379))&gt;=RANK(I379,I$365:I$379)+COUNTIF(I$365:I379,I379)-1,1,0)</f>
        <v>17</v>
      </c>
      <c r="K379" t="str">
        <f>_xlfn.XLOOKUP(B379,BugList!A:A,BugList!H:H)</f>
        <v/>
      </c>
      <c r="L379" t="str">
        <f>IF(K379 = "","",_xlfn.XLOOKUP(B379, BugList!A:A,BugList!B:B,""))</f>
        <v/>
      </c>
      <c r="M379">
        <f>_xlfn.XLOOKUP(E379,BugList!C:C,BugList!N:N)</f>
        <v>6</v>
      </c>
      <c r="N379">
        <f>_xlfn.XLOOKUP(B379,BugList!A:A,BugList!R:R)</f>
        <v>4</v>
      </c>
      <c r="O379" t="b">
        <f>_xlfn.XLOOKUP(B379,BugList!A:A,BugList!L:L)</f>
        <v>0</v>
      </c>
      <c r="P379" t="b">
        <f t="shared" si="39"/>
        <v>0</v>
      </c>
      <c r="R379" t="b">
        <f>SUMPRODUCT(COUNTIF(_xlfn.XLOOKUP(B379,BugList!A:A,BugList!P:P), "*SC*"))&gt;0</f>
        <v>0</v>
      </c>
      <c r="S379" t="str">
        <f>_xlfn.XLOOKUP(B379,BugList!A:A,BugList!W:W)</f>
        <v/>
      </c>
      <c r="T379">
        <f t="shared" si="34"/>
        <v>102</v>
      </c>
      <c r="U379">
        <f t="shared" si="35"/>
        <v>68</v>
      </c>
    </row>
    <row r="380" spans="1:21">
      <c r="A380" t="s">
        <v>172</v>
      </c>
      <c r="B380">
        <v>88</v>
      </c>
      <c r="D380" t="s">
        <v>85</v>
      </c>
      <c r="E380" t="s">
        <v>85</v>
      </c>
      <c r="F380">
        <v>5</v>
      </c>
      <c r="G380">
        <f t="shared" si="36"/>
        <v>4.6728971962616823</v>
      </c>
      <c r="H380">
        <f t="shared" si="37"/>
        <v>4</v>
      </c>
      <c r="I380">
        <f t="shared" si="38"/>
        <v>0.67289719626168232</v>
      </c>
      <c r="J380" cm="1">
        <f t="array" ref="J380">INT(G380)+IF(100-SUM(INT(G$380:G$388))&gt;=RANK(I380,I$380:I$388)+COUNTIF(I$380:I380,I380)-1,1,0)</f>
        <v>5</v>
      </c>
      <c r="K380" t="str">
        <f>_xlfn.XLOOKUP(B380,BugList!A:A,BugList!H:H)</f>
        <v/>
      </c>
      <c r="L380" t="str">
        <f>IF(K380 = "","",_xlfn.XLOOKUP(B380, BugList!A:A,BugList!B:B,""))</f>
        <v/>
      </c>
      <c r="M380">
        <f>_xlfn.XLOOKUP(E380,BugList!C:C,BugList!N:N)</f>
        <v>4</v>
      </c>
      <c r="N380">
        <f>_xlfn.XLOOKUP(B380,BugList!A:A,BugList!R:R)</f>
        <v>4</v>
      </c>
      <c r="O380" t="b">
        <f>_xlfn.XLOOKUP(B380,BugList!A:A,BugList!L:L)</f>
        <v>0</v>
      </c>
      <c r="P380" t="b">
        <f t="shared" si="39"/>
        <v>0</v>
      </c>
      <c r="R380" t="b">
        <f>SUMPRODUCT(COUNTIF(_xlfn.XLOOKUP(B380,BugList!A:A,BugList!P:P), "*SC*"))&gt;0</f>
        <v>0</v>
      </c>
      <c r="S380" t="str">
        <f>_xlfn.XLOOKUP(B380,BugList!A:A,BugList!W:W)</f>
        <v/>
      </c>
      <c r="T380">
        <f t="shared" si="34"/>
        <v>20</v>
      </c>
      <c r="U380">
        <f t="shared" si="35"/>
        <v>20</v>
      </c>
    </row>
    <row r="381" spans="1:21">
      <c r="A381" t="s">
        <v>172</v>
      </c>
      <c r="B381">
        <v>513</v>
      </c>
      <c r="D381" t="s">
        <v>111</v>
      </c>
      <c r="E381" t="s">
        <v>111</v>
      </c>
      <c r="F381">
        <v>4</v>
      </c>
      <c r="G381">
        <f t="shared" si="36"/>
        <v>3.7383177570093453</v>
      </c>
      <c r="H381">
        <f t="shared" si="37"/>
        <v>3</v>
      </c>
      <c r="I381">
        <f t="shared" si="38"/>
        <v>0.73831775700934532</v>
      </c>
      <c r="J381" cm="1">
        <f t="array" ref="J381">INT(G381)+IF(100-SUM(INT(G$380:G$388))&gt;=RANK(I381,I$380:I$388)+COUNTIF(I$380:I381,I381)-1,1,0)</f>
        <v>4</v>
      </c>
      <c r="K381" t="str">
        <f>_xlfn.XLOOKUP(B381,BugList!A:A,BugList!H:H)</f>
        <v>*</v>
      </c>
      <c r="L381" t="str">
        <f>IF(K381 = "","",_xlfn.XLOOKUP(B381, BugList!A:A,BugList!B:B,""))</f>
        <v>Ephemeroptera</v>
      </c>
      <c r="M381">
        <f>_xlfn.XLOOKUP(E381,BugList!C:C,BugList!N:N)</f>
        <v>4</v>
      </c>
      <c r="N381">
        <f>_xlfn.XLOOKUP(B381,BugList!A:A,BugList!R:R)</f>
        <v>4</v>
      </c>
      <c r="O381" t="b">
        <f>_xlfn.XLOOKUP(B381,BugList!A:A,BugList!L:L)</f>
        <v>1</v>
      </c>
      <c r="P381" t="b">
        <f t="shared" si="39"/>
        <v>1</v>
      </c>
      <c r="R381" t="b">
        <f>SUMPRODUCT(COUNTIF(_xlfn.XLOOKUP(B381,BugList!A:A,BugList!P:P), "*SC*"))&gt;0</f>
        <v>1</v>
      </c>
      <c r="S381" t="str">
        <f>_xlfn.XLOOKUP(B381,BugList!A:A,BugList!W:W)</f>
        <v/>
      </c>
      <c r="T381">
        <f t="shared" si="34"/>
        <v>16</v>
      </c>
      <c r="U381">
        <f t="shared" si="35"/>
        <v>16</v>
      </c>
    </row>
    <row r="382" spans="1:21">
      <c r="A382" t="s">
        <v>172</v>
      </c>
      <c r="B382">
        <v>620</v>
      </c>
      <c r="D382" t="s">
        <v>113</v>
      </c>
      <c r="E382" t="s">
        <v>113</v>
      </c>
      <c r="F382">
        <v>1</v>
      </c>
      <c r="G382">
        <f t="shared" si="36"/>
        <v>0.93457943925233633</v>
      </c>
      <c r="H382">
        <f t="shared" si="37"/>
        <v>0</v>
      </c>
      <c r="I382">
        <f t="shared" si="38"/>
        <v>0.93457943925233633</v>
      </c>
      <c r="J382" cm="1">
        <f t="array" ref="J382">INT(G382)+IF(100-SUM(INT(G$380:G$388))&gt;=RANK(I382,I$380:I$388)+COUNTIF(I$380:I382,I382)-1,1,0)</f>
        <v>1</v>
      </c>
      <c r="K382" t="str">
        <f>_xlfn.XLOOKUP(B382,BugList!A:A,BugList!H:H)</f>
        <v/>
      </c>
      <c r="L382" t="str">
        <f>IF(K382 = "","",_xlfn.XLOOKUP(B382, BugList!A:A,BugList!B:B,""))</f>
        <v/>
      </c>
      <c r="M382">
        <f>_xlfn.XLOOKUP(E382,BugList!C:C,BugList!N:N)</f>
        <v>1</v>
      </c>
      <c r="N382">
        <f>_xlfn.XLOOKUP(B382,BugList!A:A,BugList!R:R)</f>
        <v>1</v>
      </c>
      <c r="O382" t="b">
        <f>_xlfn.XLOOKUP(B382,BugList!A:A,BugList!L:L)</f>
        <v>1</v>
      </c>
      <c r="P382" t="b">
        <f t="shared" si="39"/>
        <v>0</v>
      </c>
      <c r="R382" t="b">
        <f>SUMPRODUCT(COUNTIF(_xlfn.XLOOKUP(B382,BugList!A:A,BugList!P:P), "*SC*"))&gt;0</f>
        <v>0</v>
      </c>
      <c r="S382" t="str">
        <f>_xlfn.XLOOKUP(B382,BugList!A:A,BugList!W:W)</f>
        <v>3</v>
      </c>
      <c r="T382">
        <f t="shared" si="34"/>
        <v>1</v>
      </c>
      <c r="U382">
        <f t="shared" si="35"/>
        <v>1</v>
      </c>
    </row>
    <row r="383" spans="1:21">
      <c r="A383" t="s">
        <v>172</v>
      </c>
      <c r="B383">
        <v>794</v>
      </c>
      <c r="D383" t="s">
        <v>89</v>
      </c>
      <c r="E383" t="s">
        <v>89</v>
      </c>
      <c r="F383">
        <v>38</v>
      </c>
      <c r="G383">
        <f t="shared" si="36"/>
        <v>35.514018691588781</v>
      </c>
      <c r="H383">
        <f t="shared" si="37"/>
        <v>35</v>
      </c>
      <c r="I383">
        <f t="shared" si="38"/>
        <v>0.514018691588781</v>
      </c>
      <c r="J383" cm="1">
        <f t="array" ref="J383">INT(G383)+IF(100-SUM(INT(G$380:G$388))&gt;=RANK(I383,I$380:I$388)+COUNTIF(I$380:I383,I383)-1,1,0)</f>
        <v>35</v>
      </c>
      <c r="K383" t="str">
        <f>_xlfn.XLOOKUP(B383,BugList!A:A,BugList!H:H)</f>
        <v>*</v>
      </c>
      <c r="L383" t="str">
        <f>IF(K383 = "","",_xlfn.XLOOKUP(B383, BugList!A:A,BugList!B:B,""))</f>
        <v>Trichoptera</v>
      </c>
      <c r="M383">
        <f>_xlfn.XLOOKUP(E383,BugList!C:C,BugList!N:N)</f>
        <v>4</v>
      </c>
      <c r="N383">
        <f>_xlfn.XLOOKUP(B383,BugList!A:A,BugList!R:R)</f>
        <v>4</v>
      </c>
      <c r="O383" t="b">
        <f>_xlfn.XLOOKUP(B383,BugList!A:A,BugList!L:L)</f>
        <v>1</v>
      </c>
      <c r="P383" t="b">
        <f t="shared" si="39"/>
        <v>0</v>
      </c>
      <c r="R383" t="b">
        <f>SUMPRODUCT(COUNTIF(_xlfn.XLOOKUP(B383,BugList!A:A,BugList!P:P), "*SC*"))&gt;0</f>
        <v>0</v>
      </c>
      <c r="S383" t="str">
        <f>_xlfn.XLOOKUP(B383,BugList!A:A,BugList!W:W)</f>
        <v/>
      </c>
      <c r="T383">
        <f t="shared" si="34"/>
        <v>140</v>
      </c>
      <c r="U383">
        <f t="shared" si="35"/>
        <v>140</v>
      </c>
    </row>
    <row r="384" spans="1:21">
      <c r="A384" t="s">
        <v>172</v>
      </c>
      <c r="B384">
        <v>842</v>
      </c>
      <c r="D384" t="s">
        <v>163</v>
      </c>
      <c r="E384" t="s">
        <v>163</v>
      </c>
      <c r="F384">
        <v>27</v>
      </c>
      <c r="G384">
        <f t="shared" si="36"/>
        <v>25.233644859813083</v>
      </c>
      <c r="H384">
        <f t="shared" si="37"/>
        <v>25</v>
      </c>
      <c r="I384">
        <f t="shared" si="38"/>
        <v>0.23364485981308292</v>
      </c>
      <c r="J384" cm="1">
        <f t="array" ref="J384">INT(G384)+IF(100-SUM(INT(G$380:G$388))&gt;=RANK(I384,I$380:I$388)+COUNTIF(I$380:I384,I384)-1,1,0)</f>
        <v>25</v>
      </c>
      <c r="K384" t="str">
        <f>_xlfn.XLOOKUP(B384,BugList!A:A,BugList!H:H)</f>
        <v>*</v>
      </c>
      <c r="L384" t="str">
        <f>IF(K384 = "","",_xlfn.XLOOKUP(B384, BugList!A:A,BugList!B:B,""))</f>
        <v>Trichoptera</v>
      </c>
      <c r="M384">
        <f>_xlfn.XLOOKUP(E384,BugList!C:C,BugList!N:N)</f>
        <v>6</v>
      </c>
      <c r="N384">
        <f>_xlfn.XLOOKUP(B384,BugList!A:A,BugList!R:R)</f>
        <v>6</v>
      </c>
      <c r="O384" t="b">
        <f>_xlfn.XLOOKUP(B384,BugList!A:A,BugList!L:L)</f>
        <v>1</v>
      </c>
      <c r="P384" t="b">
        <f t="shared" si="39"/>
        <v>1</v>
      </c>
      <c r="R384" t="b">
        <f>SUMPRODUCT(COUNTIF(_xlfn.XLOOKUP(B384,BugList!A:A,BugList!P:P), "*SC*"))&gt;0</f>
        <v>0</v>
      </c>
      <c r="S384" t="str">
        <f>_xlfn.XLOOKUP(B384,BugList!A:A,BugList!W:W)</f>
        <v/>
      </c>
      <c r="T384">
        <f t="shared" si="34"/>
        <v>150</v>
      </c>
      <c r="U384">
        <f t="shared" si="35"/>
        <v>150</v>
      </c>
    </row>
    <row r="385" spans="1:21">
      <c r="A385" t="s">
        <v>172</v>
      </c>
      <c r="B385">
        <v>935</v>
      </c>
      <c r="D385" t="s">
        <v>98</v>
      </c>
      <c r="E385" t="s">
        <v>98</v>
      </c>
      <c r="F385">
        <v>1</v>
      </c>
      <c r="G385">
        <f t="shared" si="36"/>
        <v>0.93457943925233633</v>
      </c>
      <c r="H385">
        <f t="shared" si="37"/>
        <v>0</v>
      </c>
      <c r="I385">
        <f t="shared" si="38"/>
        <v>0.93457943925233633</v>
      </c>
      <c r="J385" cm="1">
        <f t="array" ref="J385">INT(G385)+IF(100-SUM(INT(G$380:G$388))&gt;=RANK(I385,I$380:I$388)+COUNTIF(I$380:I385,I385)-1,1,0)</f>
        <v>1</v>
      </c>
      <c r="K385" t="str">
        <f>_xlfn.XLOOKUP(B385,BugList!A:A,BugList!H:H)</f>
        <v/>
      </c>
      <c r="L385" t="str">
        <f>IF(K385 = "","",_xlfn.XLOOKUP(B385, BugList!A:A,BugList!B:B,""))</f>
        <v/>
      </c>
      <c r="M385">
        <f>_xlfn.XLOOKUP(E385,BugList!C:C,BugList!N:N)</f>
        <v>4</v>
      </c>
      <c r="N385">
        <f>_xlfn.XLOOKUP(B385,BugList!A:A,BugList!R:R)</f>
        <v>4</v>
      </c>
      <c r="O385" t="b">
        <f>_xlfn.XLOOKUP(B385,BugList!A:A,BugList!L:L)</f>
        <v>1</v>
      </c>
      <c r="P385" t="b">
        <f t="shared" si="39"/>
        <v>0</v>
      </c>
      <c r="R385" t="b">
        <f>SUMPRODUCT(COUNTIF(_xlfn.XLOOKUP(B385,BugList!A:A,BugList!P:P), "*SC*"))&gt;0</f>
        <v>1</v>
      </c>
      <c r="S385" t="str">
        <f>_xlfn.XLOOKUP(B385,BugList!A:A,BugList!W:W)</f>
        <v/>
      </c>
      <c r="T385">
        <f t="shared" si="34"/>
        <v>4</v>
      </c>
      <c r="U385">
        <f t="shared" si="35"/>
        <v>4</v>
      </c>
    </row>
    <row r="386" spans="1:21">
      <c r="A386" t="s">
        <v>172</v>
      </c>
      <c r="B386">
        <v>1002</v>
      </c>
      <c r="D386" t="s">
        <v>100</v>
      </c>
      <c r="E386" t="s">
        <v>100</v>
      </c>
      <c r="F386">
        <v>2</v>
      </c>
      <c r="G386">
        <f t="shared" si="36"/>
        <v>1.8691588785046727</v>
      </c>
      <c r="H386">
        <f t="shared" si="37"/>
        <v>1</v>
      </c>
      <c r="I386">
        <f t="shared" si="38"/>
        <v>0.86915887850467266</v>
      </c>
      <c r="J386" cm="1">
        <f t="array" ref="J386">INT(G386)+IF(100-SUM(INT(G$380:G$388))&gt;=RANK(I386,I$380:I$388)+COUNTIF(I$380:I386,I386)-1,1,0)</f>
        <v>2</v>
      </c>
      <c r="K386" t="str">
        <f>_xlfn.XLOOKUP(B386,BugList!A:A,BugList!H:H)</f>
        <v/>
      </c>
      <c r="L386" t="str">
        <f>IF(K386 = "","",_xlfn.XLOOKUP(B386, BugList!A:A,BugList!B:B,""))</f>
        <v/>
      </c>
      <c r="M386">
        <f>_xlfn.XLOOKUP(E386,BugList!C:C,BugList!N:N)</f>
        <v>4</v>
      </c>
      <c r="N386">
        <f>_xlfn.XLOOKUP(B386,BugList!A:A,BugList!R:R)</f>
        <v>4</v>
      </c>
      <c r="O386" t="b">
        <f>_xlfn.XLOOKUP(B386,BugList!A:A,BugList!L:L)</f>
        <v>1</v>
      </c>
      <c r="P386" t="b">
        <f t="shared" si="39"/>
        <v>0</v>
      </c>
      <c r="R386" t="b">
        <f>SUMPRODUCT(COUNTIF(_xlfn.XLOOKUP(B386,BugList!A:A,BugList!P:P), "*SC*"))&gt;0</f>
        <v>1</v>
      </c>
      <c r="S386" t="str">
        <f>_xlfn.XLOOKUP(B386,BugList!A:A,BugList!W:W)</f>
        <v/>
      </c>
      <c r="T386">
        <f t="shared" ref="T386:T449" si="40">J386*M386</f>
        <v>8</v>
      </c>
      <c r="U386">
        <f t="shared" ref="U386:U449" si="41">J386*N386</f>
        <v>8</v>
      </c>
    </row>
    <row r="387" spans="1:21">
      <c r="A387" t="s">
        <v>172</v>
      </c>
      <c r="B387">
        <v>1088</v>
      </c>
      <c r="D387" t="s">
        <v>90</v>
      </c>
      <c r="E387" t="s">
        <v>90</v>
      </c>
      <c r="F387">
        <v>26</v>
      </c>
      <c r="G387">
        <f t="shared" si="36"/>
        <v>24.299065420560748</v>
      </c>
      <c r="H387">
        <f t="shared" si="37"/>
        <v>24</v>
      </c>
      <c r="I387">
        <f t="shared" si="38"/>
        <v>0.2990654205607477</v>
      </c>
      <c r="J387" cm="1">
        <f t="array" ref="J387">INT(G387)+IF(100-SUM(INT(G$380:G$388))&gt;=RANK(I387,I$380:I$388)+COUNTIF(I$380:I387,I387)-1,1,0)</f>
        <v>24</v>
      </c>
      <c r="K387" t="str">
        <f>_xlfn.XLOOKUP(B387,BugList!A:A,BugList!H:H)</f>
        <v/>
      </c>
      <c r="L387" t="str">
        <f>IF(K387 = "","",_xlfn.XLOOKUP(B387, BugList!A:A,BugList!B:B,""))</f>
        <v/>
      </c>
      <c r="M387">
        <f>_xlfn.XLOOKUP(E387,BugList!C:C,BugList!N:N)</f>
        <v>6</v>
      </c>
      <c r="N387">
        <f>_xlfn.XLOOKUP(B387,BugList!A:A,BugList!R:R)</f>
        <v>6</v>
      </c>
      <c r="O387" t="b">
        <f>_xlfn.XLOOKUP(B387,BugList!A:A,BugList!L:L)</f>
        <v>1</v>
      </c>
      <c r="P387" t="b">
        <f t="shared" si="39"/>
        <v>0</v>
      </c>
      <c r="R387" t="b">
        <f>SUMPRODUCT(COUNTIF(_xlfn.XLOOKUP(B387,BugList!A:A,BugList!P:P), "*SC*"))&gt;0</f>
        <v>0</v>
      </c>
      <c r="S387" t="str">
        <f>_xlfn.XLOOKUP(B387,BugList!A:A,BugList!W:W)</f>
        <v/>
      </c>
      <c r="T387">
        <f t="shared" si="40"/>
        <v>144</v>
      </c>
      <c r="U387">
        <f t="shared" si="41"/>
        <v>144</v>
      </c>
    </row>
    <row r="388" spans="1:21">
      <c r="A388" t="s">
        <v>172</v>
      </c>
      <c r="B388">
        <v>1696</v>
      </c>
      <c r="D388" t="s">
        <v>94</v>
      </c>
      <c r="E388" t="s">
        <v>94</v>
      </c>
      <c r="F388">
        <v>3</v>
      </c>
      <c r="G388">
        <f t="shared" si="36"/>
        <v>2.8037383177570092</v>
      </c>
      <c r="H388">
        <f t="shared" si="37"/>
        <v>2</v>
      </c>
      <c r="I388">
        <f t="shared" si="38"/>
        <v>0.80373831775700921</v>
      </c>
      <c r="J388" cm="1">
        <f t="array" ref="J388">INT(G388)+IF(100-SUM(INT(G$380:G$388))&gt;=RANK(I388,I$380:I$388)+COUNTIF(I$380:I388,I388)-1,1,0)</f>
        <v>3</v>
      </c>
      <c r="K388" t="str">
        <f>_xlfn.XLOOKUP(B388,BugList!A:A,BugList!H:H)</f>
        <v/>
      </c>
      <c r="L388" t="str">
        <f>IF(K388 = "","",_xlfn.XLOOKUP(B388, BugList!A:A,BugList!B:B,""))</f>
        <v/>
      </c>
      <c r="M388">
        <f>_xlfn.XLOOKUP(E388,BugList!C:C,BugList!N:N)</f>
        <v>8</v>
      </c>
      <c r="N388">
        <f>_xlfn.XLOOKUP(B388,BugList!A:A,BugList!R:R)</f>
        <v>8</v>
      </c>
      <c r="O388" t="b">
        <f>_xlfn.XLOOKUP(B388,BugList!A:A,BugList!L:L)</f>
        <v>0</v>
      </c>
      <c r="P388" t="b">
        <f t="shared" si="39"/>
        <v>0</v>
      </c>
      <c r="R388" t="b">
        <f>SUMPRODUCT(COUNTIF(_xlfn.XLOOKUP(B388,BugList!A:A,BugList!P:P), "*SC*"))&gt;0</f>
        <v>0</v>
      </c>
      <c r="S388" t="str">
        <f>_xlfn.XLOOKUP(B388,BugList!A:A,BugList!W:W)</f>
        <v/>
      </c>
      <c r="T388">
        <f t="shared" si="40"/>
        <v>24</v>
      </c>
      <c r="U388">
        <f t="shared" si="41"/>
        <v>24</v>
      </c>
    </row>
    <row r="389" spans="1:21">
      <c r="A389" t="s">
        <v>173</v>
      </c>
      <c r="B389">
        <v>88</v>
      </c>
      <c r="D389" t="s">
        <v>85</v>
      </c>
      <c r="E389" t="s">
        <v>85</v>
      </c>
      <c r="F389">
        <v>8</v>
      </c>
      <c r="G389">
        <f t="shared" si="36"/>
        <v>7.5471698113207548</v>
      </c>
      <c r="H389">
        <f t="shared" si="37"/>
        <v>7</v>
      </c>
      <c r="I389">
        <f t="shared" si="38"/>
        <v>0.54716981132075482</v>
      </c>
      <c r="J389" cm="1">
        <f t="array" ref="J389">INT(G389)+IF(100-SUM(INT(G$389:G$399))&gt;=RANK(I389,I$389:I$399)+COUNTIF(I$389:I389,I389)-1,1,0)</f>
        <v>7</v>
      </c>
      <c r="K389" t="str">
        <f>_xlfn.XLOOKUP(B389,BugList!A:A,BugList!H:H)</f>
        <v/>
      </c>
      <c r="L389" t="str">
        <f>IF(K389 = "","",_xlfn.XLOOKUP(B389, BugList!A:A,BugList!B:B,""))</f>
        <v/>
      </c>
      <c r="M389">
        <f>_xlfn.XLOOKUP(D389,BugList!C:C,BugList!N:N)</f>
        <v>4</v>
      </c>
      <c r="N389">
        <f>_xlfn.XLOOKUP(B389,BugList!A:A,BugList!R:R)</f>
        <v>4</v>
      </c>
      <c r="O389" t="b">
        <f>_xlfn.XLOOKUP(B389,BugList!A:A,BugList!L:L)</f>
        <v>0</v>
      </c>
      <c r="P389" t="b">
        <f t="shared" si="39"/>
        <v>0</v>
      </c>
      <c r="R389" t="b">
        <f>SUMPRODUCT(COUNTIF(_xlfn.XLOOKUP(B389,BugList!A:A,BugList!P:P), "*SC*"))&gt;0</f>
        <v>0</v>
      </c>
      <c r="S389" t="str">
        <f>_xlfn.XLOOKUP(B389,BugList!A:A,BugList!W:W)</f>
        <v/>
      </c>
      <c r="T389">
        <f t="shared" si="40"/>
        <v>28</v>
      </c>
      <c r="U389">
        <f t="shared" si="41"/>
        <v>28</v>
      </c>
    </row>
    <row r="390" spans="1:21">
      <c r="A390" t="s">
        <v>173</v>
      </c>
      <c r="B390">
        <v>99</v>
      </c>
      <c r="D390" t="s">
        <v>169</v>
      </c>
      <c r="E390" t="s">
        <v>169</v>
      </c>
      <c r="F390">
        <v>1</v>
      </c>
      <c r="G390">
        <f t="shared" si="36"/>
        <v>0.94339622641509435</v>
      </c>
      <c r="H390">
        <f t="shared" si="37"/>
        <v>0</v>
      </c>
      <c r="I390">
        <f t="shared" si="38"/>
        <v>0.94339622641509435</v>
      </c>
      <c r="J390" cm="1">
        <f t="array" ref="J390">INT(G390)+IF(100-SUM(INT(G$389:G$399))&gt;=RANK(I390,I$389:I$399)+COUNTIF(I$389:I390,I390)-1,1,0)</f>
        <v>1</v>
      </c>
      <c r="K390" t="str">
        <f>_xlfn.XLOOKUP(B390,BugList!A:A,BugList!H:H)</f>
        <v/>
      </c>
      <c r="L390" t="str">
        <f>IF(K390 = "","",_xlfn.XLOOKUP(B390, BugList!A:A,BugList!B:B,""))</f>
        <v/>
      </c>
      <c r="M390">
        <f>_xlfn.XLOOKUP(D390,BugList!C:C,BugList!N:N)</f>
        <v>5</v>
      </c>
      <c r="N390">
        <f>_xlfn.XLOOKUP(B390,BugList!A:A,BugList!R:R)</f>
        <v>5</v>
      </c>
      <c r="O390" t="b">
        <f>_xlfn.XLOOKUP(B390,BugList!A:A,BugList!L:L)</f>
        <v>0</v>
      </c>
      <c r="P390" t="b">
        <f t="shared" si="39"/>
        <v>0</v>
      </c>
      <c r="R390" t="b">
        <f>SUMPRODUCT(COUNTIF(_xlfn.XLOOKUP(B390,BugList!A:A,BugList!P:P), "*SC*"))&gt;0</f>
        <v>0</v>
      </c>
      <c r="S390" t="str">
        <f>_xlfn.XLOOKUP(B390,BugList!A:A,BugList!W:W)</f>
        <v/>
      </c>
      <c r="T390">
        <f t="shared" si="40"/>
        <v>5</v>
      </c>
      <c r="U390">
        <f t="shared" si="41"/>
        <v>5</v>
      </c>
    </row>
    <row r="391" spans="1:21">
      <c r="A391" t="s">
        <v>173</v>
      </c>
      <c r="B391">
        <v>372</v>
      </c>
      <c r="D391" t="s">
        <v>88</v>
      </c>
      <c r="E391" t="s">
        <v>88</v>
      </c>
      <c r="F391">
        <v>5</v>
      </c>
      <c r="G391">
        <f t="shared" si="36"/>
        <v>4.716981132075472</v>
      </c>
      <c r="H391">
        <f t="shared" si="37"/>
        <v>4</v>
      </c>
      <c r="I391">
        <f t="shared" si="38"/>
        <v>0.71698113207547198</v>
      </c>
      <c r="J391" cm="1">
        <f t="array" ref="J391">INT(G391)+IF(100-SUM(INT(G$389:G$399))&gt;=RANK(I391,I$389:I$399)+COUNTIF(I$389:I391,I391)-1,1,0)</f>
        <v>5</v>
      </c>
      <c r="K391" t="str">
        <f>_xlfn.XLOOKUP(B391,BugList!A:A,BugList!H:H)</f>
        <v/>
      </c>
      <c r="L391" t="str">
        <f>IF(K391 = "","",_xlfn.XLOOKUP(B391, BugList!A:A,BugList!B:B,""))</f>
        <v/>
      </c>
      <c r="M391">
        <f>_xlfn.XLOOKUP(D391,BugList!C:C,BugList!N:N)</f>
        <v>8</v>
      </c>
      <c r="N391">
        <f>_xlfn.XLOOKUP(B391,BugList!A:A,BugList!R:R)</f>
        <v>8</v>
      </c>
      <c r="O391" t="b">
        <f>_xlfn.XLOOKUP(B391,BugList!A:A,BugList!L:L)</f>
        <v>0</v>
      </c>
      <c r="P391" t="b">
        <f t="shared" si="39"/>
        <v>0</v>
      </c>
      <c r="R391" t="b">
        <f>SUMPRODUCT(COUNTIF(_xlfn.XLOOKUP(B391,BugList!A:A,BugList!P:P), "*SC*"))&gt;0</f>
        <v>0</v>
      </c>
      <c r="S391" t="str">
        <f>_xlfn.XLOOKUP(B391,BugList!A:A,BugList!W:W)</f>
        <v/>
      </c>
      <c r="T391">
        <f t="shared" si="40"/>
        <v>40</v>
      </c>
      <c r="U391">
        <f t="shared" si="41"/>
        <v>40</v>
      </c>
    </row>
    <row r="392" spans="1:21">
      <c r="A392" t="s">
        <v>173</v>
      </c>
      <c r="B392">
        <v>450</v>
      </c>
      <c r="D392" t="s">
        <v>96</v>
      </c>
      <c r="E392" t="s">
        <v>96</v>
      </c>
      <c r="F392">
        <v>4</v>
      </c>
      <c r="G392">
        <f t="shared" si="36"/>
        <v>3.7735849056603774</v>
      </c>
      <c r="H392">
        <f t="shared" si="37"/>
        <v>3</v>
      </c>
      <c r="I392">
        <f t="shared" si="38"/>
        <v>0.77358490566037741</v>
      </c>
      <c r="J392" cm="1">
        <f t="array" ref="J392">INT(G392)+IF(100-SUM(INT(G$389:G$399))&gt;=RANK(I392,I$389:I$399)+COUNTIF(I$389:I392,I392)-1,1,0)</f>
        <v>4</v>
      </c>
      <c r="K392" t="str">
        <f>_xlfn.XLOOKUP(B392,BugList!A:A,BugList!H:H)</f>
        <v>*</v>
      </c>
      <c r="L392" t="str">
        <f>IF(K392 = "","",_xlfn.XLOOKUP(B392, BugList!A:A,BugList!B:B,""))</f>
        <v>Ephemeroptera</v>
      </c>
      <c r="M392">
        <f>_xlfn.XLOOKUP(D392,BugList!C:C,BugList!N:N)</f>
        <v>4</v>
      </c>
      <c r="N392">
        <f>_xlfn.XLOOKUP(B392,BugList!A:A,BugList!R:R)</f>
        <v>4</v>
      </c>
      <c r="O392" t="b">
        <f>_xlfn.XLOOKUP(B392,BugList!A:A,BugList!L:L)</f>
        <v>1</v>
      </c>
      <c r="P392" t="b">
        <f t="shared" si="39"/>
        <v>1</v>
      </c>
      <c r="R392" t="b">
        <f>SUMPRODUCT(COUNTIF(_xlfn.XLOOKUP(B392,BugList!A:A,BugList!P:P), "*SC*"))&gt;0</f>
        <v>1</v>
      </c>
      <c r="S392" t="str">
        <f>_xlfn.XLOOKUP(B392,BugList!A:A,BugList!W:W)</f>
        <v>3</v>
      </c>
      <c r="T392">
        <f t="shared" si="40"/>
        <v>16</v>
      </c>
      <c r="U392">
        <f t="shared" si="41"/>
        <v>16</v>
      </c>
    </row>
    <row r="393" spans="1:21">
      <c r="A393" t="s">
        <v>173</v>
      </c>
      <c r="B393">
        <v>513</v>
      </c>
      <c r="D393" t="s">
        <v>111</v>
      </c>
      <c r="E393" t="s">
        <v>111</v>
      </c>
      <c r="F393">
        <v>3</v>
      </c>
      <c r="G393">
        <f t="shared" si="36"/>
        <v>2.8301886792452833</v>
      </c>
      <c r="H393">
        <f t="shared" si="37"/>
        <v>2</v>
      </c>
      <c r="I393">
        <f t="shared" si="38"/>
        <v>0.83018867924528328</v>
      </c>
      <c r="J393" cm="1">
        <f t="array" ref="J393">INT(G393)+IF(100-SUM(INT(G$389:G$399))&gt;=RANK(I393,I$389:I$399)+COUNTIF(I$389:I393,I393)-1,1,0)</f>
        <v>3</v>
      </c>
      <c r="K393" t="str">
        <f>_xlfn.XLOOKUP(B393,BugList!A:A,BugList!H:H)</f>
        <v>*</v>
      </c>
      <c r="L393" t="str">
        <f>IF(K393 = "","",_xlfn.XLOOKUP(B393, BugList!A:A,BugList!B:B,""))</f>
        <v>Ephemeroptera</v>
      </c>
      <c r="M393">
        <f>_xlfn.XLOOKUP(D393,BugList!C:C,BugList!N:N)</f>
        <v>4</v>
      </c>
      <c r="N393">
        <f>_xlfn.XLOOKUP(B393,BugList!A:A,BugList!R:R)</f>
        <v>4</v>
      </c>
      <c r="O393" t="b">
        <f>_xlfn.XLOOKUP(B393,BugList!A:A,BugList!L:L)</f>
        <v>1</v>
      </c>
      <c r="P393" t="b">
        <f t="shared" si="39"/>
        <v>1</v>
      </c>
      <c r="R393" t="b">
        <f>SUMPRODUCT(COUNTIF(_xlfn.XLOOKUP(B393,BugList!A:A,BugList!P:P), "*SC*"))&gt;0</f>
        <v>1</v>
      </c>
      <c r="S393" t="str">
        <f>_xlfn.XLOOKUP(B393,BugList!A:A,BugList!W:W)</f>
        <v/>
      </c>
      <c r="T393">
        <f t="shared" si="40"/>
        <v>12</v>
      </c>
      <c r="U393">
        <f t="shared" si="41"/>
        <v>12</v>
      </c>
    </row>
    <row r="394" spans="1:21">
      <c r="A394" t="s">
        <v>173</v>
      </c>
      <c r="B394">
        <v>794</v>
      </c>
      <c r="D394" t="s">
        <v>89</v>
      </c>
      <c r="E394" t="s">
        <v>89</v>
      </c>
      <c r="F394">
        <v>12</v>
      </c>
      <c r="G394">
        <f t="shared" si="36"/>
        <v>11.320754716981133</v>
      </c>
      <c r="H394">
        <f t="shared" si="37"/>
        <v>11</v>
      </c>
      <c r="I394">
        <f t="shared" si="38"/>
        <v>0.32075471698113311</v>
      </c>
      <c r="J394" cm="1">
        <f t="array" ref="J394">INT(G394)+IF(100-SUM(INT(G$389:G$399))&gt;=RANK(I394,I$389:I$399)+COUNTIF(I$389:I394,I394)-1,1,0)</f>
        <v>11</v>
      </c>
      <c r="K394" t="str">
        <f>_xlfn.XLOOKUP(B394,BugList!A:A,BugList!H:H)</f>
        <v>*</v>
      </c>
      <c r="L394" t="str">
        <f>IF(K394 = "","",_xlfn.XLOOKUP(B394, BugList!A:A,BugList!B:B,""))</f>
        <v>Trichoptera</v>
      </c>
      <c r="M394">
        <f>_xlfn.XLOOKUP(D394,BugList!C:C,BugList!N:N)</f>
        <v>4</v>
      </c>
      <c r="N394">
        <f>_xlfn.XLOOKUP(B394,BugList!A:A,BugList!R:R)</f>
        <v>4</v>
      </c>
      <c r="O394" t="b">
        <f>_xlfn.XLOOKUP(B394,BugList!A:A,BugList!L:L)</f>
        <v>1</v>
      </c>
      <c r="P394" t="b">
        <f t="shared" si="39"/>
        <v>0</v>
      </c>
      <c r="R394" t="b">
        <f>SUMPRODUCT(COUNTIF(_xlfn.XLOOKUP(B394,BugList!A:A,BugList!P:P), "*SC*"))&gt;0</f>
        <v>0</v>
      </c>
      <c r="S394" t="str">
        <f>_xlfn.XLOOKUP(B394,BugList!A:A,BugList!W:W)</f>
        <v/>
      </c>
      <c r="T394">
        <f t="shared" si="40"/>
        <v>44</v>
      </c>
      <c r="U394">
        <f t="shared" si="41"/>
        <v>44</v>
      </c>
    </row>
    <row r="395" spans="1:21">
      <c r="A395" t="s">
        <v>173</v>
      </c>
      <c r="B395">
        <v>893</v>
      </c>
      <c r="D395" t="s">
        <v>174</v>
      </c>
      <c r="E395" t="s">
        <v>174</v>
      </c>
      <c r="F395">
        <v>3</v>
      </c>
      <c r="G395">
        <f t="shared" si="36"/>
        <v>2.8301886792452833</v>
      </c>
      <c r="H395">
        <f t="shared" si="37"/>
        <v>2</v>
      </c>
      <c r="I395">
        <f t="shared" si="38"/>
        <v>0.83018867924528328</v>
      </c>
      <c r="J395" cm="1">
        <f t="array" ref="J395">INT(G395)+IF(100-SUM(INT(G$389:G$399))&gt;=RANK(I395,I$389:I$399)+COUNTIF(I$389:I395,I395)-1,1,0)</f>
        <v>3</v>
      </c>
      <c r="K395" t="str">
        <f>_xlfn.XLOOKUP(B395,BugList!A:A,BugList!H:H)</f>
        <v/>
      </c>
      <c r="L395" t="str">
        <f>IF(K395 = "","",_xlfn.XLOOKUP(B395, BugList!A:A,BugList!B:B,""))</f>
        <v/>
      </c>
      <c r="M395">
        <f>_xlfn.XLOOKUP(D395,BugList!C:C,BugList!N:N)</f>
        <v>5</v>
      </c>
      <c r="N395">
        <f>_xlfn.XLOOKUP(B395,BugList!A:A,BugList!R:R)</f>
        <v>5</v>
      </c>
      <c r="O395" t="b">
        <f>_xlfn.XLOOKUP(B395,BugList!A:A,BugList!L:L)</f>
        <v>1</v>
      </c>
      <c r="P395" t="b">
        <f t="shared" si="39"/>
        <v>0</v>
      </c>
      <c r="R395" t="b">
        <f>SUMPRODUCT(COUNTIF(_xlfn.XLOOKUP(B395,BugList!A:A,BugList!P:P), "*SC*"))&gt;0</f>
        <v>0</v>
      </c>
      <c r="S395" t="str">
        <f>_xlfn.XLOOKUP(B395,BugList!A:A,BugList!W:W)</f>
        <v/>
      </c>
      <c r="T395">
        <f t="shared" si="40"/>
        <v>15</v>
      </c>
      <c r="U395">
        <f t="shared" si="41"/>
        <v>15</v>
      </c>
    </row>
    <row r="396" spans="1:21">
      <c r="A396" t="s">
        <v>173</v>
      </c>
      <c r="B396">
        <v>935</v>
      </c>
      <c r="D396" t="s">
        <v>98</v>
      </c>
      <c r="E396" t="s">
        <v>98</v>
      </c>
      <c r="F396">
        <v>45</v>
      </c>
      <c r="G396">
        <f t="shared" si="36"/>
        <v>42.452830188679243</v>
      </c>
      <c r="H396">
        <f t="shared" si="37"/>
        <v>42</v>
      </c>
      <c r="I396">
        <f t="shared" si="38"/>
        <v>0.45283018867924341</v>
      </c>
      <c r="J396" cm="1">
        <f t="array" ref="J396">INT(G396)+IF(100-SUM(INT(G$389:G$399))&gt;=RANK(I396,I$389:I$399)+COUNTIF(I$389:I396,I396)-1,1,0)</f>
        <v>42</v>
      </c>
      <c r="K396" t="str">
        <f>_xlfn.XLOOKUP(B396,BugList!A:A,BugList!H:H)</f>
        <v/>
      </c>
      <c r="L396" t="str">
        <f>IF(K396 = "","",_xlfn.XLOOKUP(B396, BugList!A:A,BugList!B:B,""))</f>
        <v/>
      </c>
      <c r="M396">
        <f>_xlfn.XLOOKUP(D396,BugList!C:C,BugList!N:N)</f>
        <v>4</v>
      </c>
      <c r="N396">
        <f>_xlfn.XLOOKUP(B396,BugList!A:A,BugList!R:R)</f>
        <v>4</v>
      </c>
      <c r="O396" t="b">
        <f>_xlfn.XLOOKUP(B396,BugList!A:A,BugList!L:L)</f>
        <v>1</v>
      </c>
      <c r="P396" t="b">
        <f t="shared" si="39"/>
        <v>0</v>
      </c>
      <c r="R396" t="b">
        <f>SUMPRODUCT(COUNTIF(_xlfn.XLOOKUP(B396,BugList!A:A,BugList!P:P), "*SC*"))&gt;0</f>
        <v>1</v>
      </c>
      <c r="S396" t="str">
        <f>_xlfn.XLOOKUP(B396,BugList!A:A,BugList!W:W)</f>
        <v/>
      </c>
      <c r="T396">
        <f t="shared" si="40"/>
        <v>168</v>
      </c>
      <c r="U396">
        <f t="shared" si="41"/>
        <v>168</v>
      </c>
    </row>
    <row r="397" spans="1:21">
      <c r="A397" t="s">
        <v>173</v>
      </c>
      <c r="B397">
        <v>961</v>
      </c>
      <c r="D397" t="s">
        <v>99</v>
      </c>
      <c r="E397" t="s">
        <v>99</v>
      </c>
      <c r="F397">
        <v>13</v>
      </c>
      <c r="G397">
        <f t="shared" si="36"/>
        <v>12.264150943396226</v>
      </c>
      <c r="H397">
        <f t="shared" si="37"/>
        <v>12</v>
      </c>
      <c r="I397">
        <f t="shared" si="38"/>
        <v>0.26415094339622591</v>
      </c>
      <c r="J397" cm="1">
        <f t="array" ref="J397">INT(G397)+IF(100-SUM(INT(G$389:G$399))&gt;=RANK(I397,I$389:I$399)+COUNTIF(I$389:I397,I397)-1,1,0)</f>
        <v>12</v>
      </c>
      <c r="K397" t="str">
        <f>_xlfn.XLOOKUP(B397,BugList!A:A,BugList!H:H)</f>
        <v/>
      </c>
      <c r="L397" t="str">
        <f>IF(K397 = "","",_xlfn.XLOOKUP(B397, BugList!A:A,BugList!B:B,""))</f>
        <v/>
      </c>
      <c r="M397">
        <f>_xlfn.XLOOKUP(D397,BugList!C:C,BugList!N:N)</f>
        <v>5</v>
      </c>
      <c r="N397">
        <f>_xlfn.XLOOKUP(B397,BugList!A:A,BugList!R:R)</f>
        <v>5</v>
      </c>
      <c r="O397" t="b">
        <f>_xlfn.XLOOKUP(B397,BugList!A:A,BugList!L:L)</f>
        <v>1</v>
      </c>
      <c r="P397" t="b">
        <f t="shared" si="39"/>
        <v>0</v>
      </c>
      <c r="R397" t="b">
        <f>SUMPRODUCT(COUNTIF(_xlfn.XLOOKUP(B397,BugList!A:A,BugList!P:P), "*SC*"))&gt;0</f>
        <v>0</v>
      </c>
      <c r="S397" t="str">
        <f>_xlfn.XLOOKUP(B397,BugList!A:A,BugList!W:W)</f>
        <v/>
      </c>
      <c r="T397">
        <f t="shared" si="40"/>
        <v>60</v>
      </c>
      <c r="U397">
        <f t="shared" si="41"/>
        <v>60</v>
      </c>
    </row>
    <row r="398" spans="1:21">
      <c r="A398" t="s">
        <v>173</v>
      </c>
      <c r="B398">
        <v>1002</v>
      </c>
      <c r="D398" t="s">
        <v>100</v>
      </c>
      <c r="E398" t="s">
        <v>100</v>
      </c>
      <c r="F398">
        <v>6</v>
      </c>
      <c r="G398">
        <f t="shared" si="36"/>
        <v>5.6603773584905666</v>
      </c>
      <c r="H398">
        <f t="shared" si="37"/>
        <v>5</v>
      </c>
      <c r="I398">
        <f t="shared" si="38"/>
        <v>0.66037735849056656</v>
      </c>
      <c r="J398" cm="1">
        <f t="array" ref="J398">INT(G398)+IF(100-SUM(INT(G$389:G$399))&gt;=RANK(I398,I$389:I$399)+COUNTIF(I$389:I398,I398)-1,1,0)</f>
        <v>6</v>
      </c>
      <c r="K398" t="str">
        <f>_xlfn.XLOOKUP(B398,BugList!A:A,BugList!H:H)</f>
        <v/>
      </c>
      <c r="L398" t="str">
        <f>IF(K398 = "","",_xlfn.XLOOKUP(B398, BugList!A:A,BugList!B:B,""))</f>
        <v/>
      </c>
      <c r="M398">
        <f>_xlfn.XLOOKUP(D398,BugList!C:C,BugList!N:N)</f>
        <v>4</v>
      </c>
      <c r="N398">
        <f>_xlfn.XLOOKUP(B398,BugList!A:A,BugList!R:R)</f>
        <v>4</v>
      </c>
      <c r="O398" t="b">
        <f>_xlfn.XLOOKUP(B398,BugList!A:A,BugList!L:L)</f>
        <v>1</v>
      </c>
      <c r="P398" t="b">
        <f t="shared" si="39"/>
        <v>0</v>
      </c>
      <c r="R398" t="b">
        <f>SUMPRODUCT(COUNTIF(_xlfn.XLOOKUP(B398,BugList!A:A,BugList!P:P), "*SC*"))&gt;0</f>
        <v>1</v>
      </c>
      <c r="S398" t="str">
        <f>_xlfn.XLOOKUP(B398,BugList!A:A,BugList!W:W)</f>
        <v/>
      </c>
      <c r="T398">
        <f t="shared" si="40"/>
        <v>24</v>
      </c>
      <c r="U398">
        <f t="shared" si="41"/>
        <v>24</v>
      </c>
    </row>
    <row r="399" spans="1:21">
      <c r="A399" t="s">
        <v>173</v>
      </c>
      <c r="B399">
        <v>1696</v>
      </c>
      <c r="D399" t="s">
        <v>94</v>
      </c>
      <c r="E399" t="s">
        <v>94</v>
      </c>
      <c r="F399">
        <v>6</v>
      </c>
      <c r="G399">
        <f t="shared" si="36"/>
        <v>5.6603773584905666</v>
      </c>
      <c r="H399">
        <f t="shared" si="37"/>
        <v>5</v>
      </c>
      <c r="I399">
        <f t="shared" si="38"/>
        <v>0.66037735849056656</v>
      </c>
      <c r="J399" cm="1">
        <f t="array" ref="J399">INT(G399)+IF(100-SUM(INT(G$389:G$399))&gt;=RANK(I399,I$389:I$399)+COUNTIF(I$389:I399,I399)-1,1,0)</f>
        <v>6</v>
      </c>
      <c r="K399" t="str">
        <f>_xlfn.XLOOKUP(B399,BugList!A:A,BugList!H:H)</f>
        <v/>
      </c>
      <c r="L399" t="str">
        <f>IF(K399 = "","",_xlfn.XLOOKUP(B399, BugList!A:A,BugList!B:B,""))</f>
        <v/>
      </c>
      <c r="M399">
        <f>_xlfn.XLOOKUP(D399,BugList!C:C,BugList!N:N)</f>
        <v>8</v>
      </c>
      <c r="N399">
        <f>_xlfn.XLOOKUP(B399,BugList!A:A,BugList!R:R)</f>
        <v>8</v>
      </c>
      <c r="O399" t="b">
        <f>_xlfn.XLOOKUP(B399,BugList!A:A,BugList!L:L)</f>
        <v>0</v>
      </c>
      <c r="P399" t="b">
        <f t="shared" si="39"/>
        <v>0</v>
      </c>
      <c r="R399" t="b">
        <f>SUMPRODUCT(COUNTIF(_xlfn.XLOOKUP(B399,BugList!A:A,BugList!P:P), "*SC*"))&gt;0</f>
        <v>0</v>
      </c>
      <c r="S399" t="str">
        <f>_xlfn.XLOOKUP(B399,BugList!A:A,BugList!W:W)</f>
        <v/>
      </c>
      <c r="T399">
        <f t="shared" si="40"/>
        <v>48</v>
      </c>
      <c r="U399">
        <f t="shared" si="41"/>
        <v>48</v>
      </c>
    </row>
    <row r="400" spans="1:21">
      <c r="A400" t="s">
        <v>175</v>
      </c>
      <c r="B400">
        <v>372</v>
      </c>
      <c r="D400" t="s">
        <v>88</v>
      </c>
      <c r="E400" t="s">
        <v>88</v>
      </c>
      <c r="F400">
        <v>1</v>
      </c>
      <c r="G400">
        <f t="shared" si="36"/>
        <v>0.92592592592592582</v>
      </c>
      <c r="H400">
        <f t="shared" si="37"/>
        <v>0</v>
      </c>
      <c r="I400">
        <f t="shared" si="38"/>
        <v>0.92592592592592582</v>
      </c>
      <c r="J400" cm="1">
        <f t="array" ref="J400">INT(G400)+IF(100-SUM(INT(G$400:G$410))&gt;=RANK(I400,I$400:I$410)+COUNTIF(I$400:I400,I400)-1,1,0)</f>
        <v>1</v>
      </c>
      <c r="K400" t="str">
        <f>_xlfn.XLOOKUP(B400,BugList!A:A,BugList!H:H)</f>
        <v/>
      </c>
      <c r="L400" t="str">
        <f>IF(K400 = "","",_xlfn.XLOOKUP(B400, BugList!A:A,BugList!B:B,""))</f>
        <v/>
      </c>
      <c r="M400">
        <f>_xlfn.XLOOKUP(D400,BugList!C:C,BugList!N:N)</f>
        <v>8</v>
      </c>
      <c r="N400">
        <f>_xlfn.XLOOKUP(B400,BugList!A:A,BugList!R:R)</f>
        <v>8</v>
      </c>
      <c r="O400" t="b">
        <f>_xlfn.XLOOKUP(B400,BugList!A:A,BugList!L:L)</f>
        <v>0</v>
      </c>
      <c r="P400" t="b">
        <f t="shared" si="39"/>
        <v>0</v>
      </c>
      <c r="R400" t="b">
        <f>SUMPRODUCT(COUNTIF(_xlfn.XLOOKUP(B400,BugList!A:A,BugList!P:P), "*SC*"))&gt;0</f>
        <v>0</v>
      </c>
      <c r="S400" t="str">
        <f>_xlfn.XLOOKUP(B400,BugList!A:A,BugList!W:W)</f>
        <v/>
      </c>
      <c r="T400">
        <f t="shared" si="40"/>
        <v>8</v>
      </c>
      <c r="U400">
        <f t="shared" si="41"/>
        <v>8</v>
      </c>
    </row>
    <row r="401" spans="1:21">
      <c r="A401" t="s">
        <v>175</v>
      </c>
      <c r="B401">
        <v>513</v>
      </c>
      <c r="D401" t="s">
        <v>111</v>
      </c>
      <c r="E401" t="s">
        <v>111</v>
      </c>
      <c r="F401">
        <v>3</v>
      </c>
      <c r="G401">
        <f t="shared" si="36"/>
        <v>2.7777777777777777</v>
      </c>
      <c r="H401">
        <f t="shared" si="37"/>
        <v>2</v>
      </c>
      <c r="I401">
        <f t="shared" si="38"/>
        <v>0.77777777777777768</v>
      </c>
      <c r="J401" cm="1">
        <f t="array" ref="J401">INT(G401)+IF(100-SUM(INT(G$400:G$410))&gt;=RANK(I401,I$400:I$410)+COUNTIF(I$400:I401,I401)-1,1,0)</f>
        <v>3</v>
      </c>
      <c r="K401" t="str">
        <f>_xlfn.XLOOKUP(B401,BugList!A:A,BugList!H:H)</f>
        <v>*</v>
      </c>
      <c r="L401" t="str">
        <f>IF(K401 = "","",_xlfn.XLOOKUP(B401, BugList!A:A,BugList!B:B,""))</f>
        <v>Ephemeroptera</v>
      </c>
      <c r="M401">
        <f>_xlfn.XLOOKUP(D401,BugList!C:C,BugList!N:N)</f>
        <v>4</v>
      </c>
      <c r="N401">
        <f>_xlfn.XLOOKUP(B401,BugList!A:A,BugList!R:R)</f>
        <v>4</v>
      </c>
      <c r="O401" t="b">
        <f>_xlfn.XLOOKUP(B401,BugList!A:A,BugList!L:L)</f>
        <v>1</v>
      </c>
      <c r="P401" t="b">
        <f t="shared" si="39"/>
        <v>1</v>
      </c>
      <c r="R401" t="b">
        <f>SUMPRODUCT(COUNTIF(_xlfn.XLOOKUP(B401,BugList!A:A,BugList!P:P), "*SC*"))&gt;0</f>
        <v>1</v>
      </c>
      <c r="S401" t="str">
        <f>_xlfn.XLOOKUP(B401,BugList!A:A,BugList!W:W)</f>
        <v/>
      </c>
      <c r="T401">
        <f t="shared" si="40"/>
        <v>12</v>
      </c>
      <c r="U401">
        <f t="shared" si="41"/>
        <v>12</v>
      </c>
    </row>
    <row r="402" spans="1:21">
      <c r="A402" t="s">
        <v>175</v>
      </c>
      <c r="B402">
        <v>620</v>
      </c>
      <c r="D402" t="s">
        <v>113</v>
      </c>
      <c r="E402" t="s">
        <v>113</v>
      </c>
      <c r="F402">
        <v>4</v>
      </c>
      <c r="G402">
        <f t="shared" si="36"/>
        <v>3.7037037037037033</v>
      </c>
      <c r="H402">
        <f t="shared" si="37"/>
        <v>3</v>
      </c>
      <c r="I402">
        <f t="shared" si="38"/>
        <v>0.70370370370370328</v>
      </c>
      <c r="J402" cm="1">
        <f t="array" ref="J402">INT(G402)+IF(100-SUM(INT(G$400:G$410))&gt;=RANK(I402,I$400:I$410)+COUNTIF(I$400:I402,I402)-1,1,0)</f>
        <v>4</v>
      </c>
      <c r="K402" t="str">
        <f>_xlfn.XLOOKUP(B402,BugList!A:A,BugList!H:H)</f>
        <v/>
      </c>
      <c r="L402" t="str">
        <f>IF(K402 = "","",_xlfn.XLOOKUP(B402, BugList!A:A,BugList!B:B,""))</f>
        <v/>
      </c>
      <c r="M402">
        <f>_xlfn.XLOOKUP(D402,BugList!C:C,BugList!N:N)</f>
        <v>1</v>
      </c>
      <c r="N402">
        <f>_xlfn.XLOOKUP(B402,BugList!A:A,BugList!R:R)</f>
        <v>1</v>
      </c>
      <c r="O402" t="b">
        <f>_xlfn.XLOOKUP(B402,BugList!A:A,BugList!L:L)</f>
        <v>1</v>
      </c>
      <c r="P402" t="b">
        <f t="shared" si="39"/>
        <v>0</v>
      </c>
      <c r="R402" t="b">
        <f>SUMPRODUCT(COUNTIF(_xlfn.XLOOKUP(B402,BugList!A:A,BugList!P:P), "*SC*"))&gt;0</f>
        <v>0</v>
      </c>
      <c r="S402" t="str">
        <f>_xlfn.XLOOKUP(B402,BugList!A:A,BugList!W:W)</f>
        <v>3</v>
      </c>
      <c r="T402">
        <f t="shared" si="40"/>
        <v>4</v>
      </c>
      <c r="U402">
        <f t="shared" si="41"/>
        <v>4</v>
      </c>
    </row>
    <row r="403" spans="1:21">
      <c r="A403" t="s">
        <v>175</v>
      </c>
      <c r="B403">
        <v>794</v>
      </c>
      <c r="D403" t="s">
        <v>89</v>
      </c>
      <c r="E403" t="s">
        <v>89</v>
      </c>
      <c r="F403">
        <v>53</v>
      </c>
      <c r="G403">
        <f t="shared" si="36"/>
        <v>49.074074074074076</v>
      </c>
      <c r="H403">
        <f t="shared" si="37"/>
        <v>49</v>
      </c>
      <c r="I403">
        <f t="shared" si="38"/>
        <v>7.4074074074076179E-2</v>
      </c>
      <c r="J403" cm="1">
        <f t="array" ref="J403">INT(G403)+IF(100-SUM(INT(G$400:G$410))&gt;=RANK(I403,I$400:I$410)+COUNTIF(I$400:I403,I403)-1,1,0)</f>
        <v>49</v>
      </c>
      <c r="K403" t="str">
        <f>_xlfn.XLOOKUP(B403,BugList!A:A,BugList!H:H)</f>
        <v>*</v>
      </c>
      <c r="L403" t="str">
        <f>IF(K403 = "","",_xlfn.XLOOKUP(B403, BugList!A:A,BugList!B:B,""))</f>
        <v>Trichoptera</v>
      </c>
      <c r="M403">
        <f>_xlfn.XLOOKUP(D403,BugList!C:C,BugList!N:N)</f>
        <v>4</v>
      </c>
      <c r="N403">
        <f>_xlfn.XLOOKUP(B403,BugList!A:A,BugList!R:R)</f>
        <v>4</v>
      </c>
      <c r="O403" t="b">
        <f>_xlfn.XLOOKUP(B403,BugList!A:A,BugList!L:L)</f>
        <v>1</v>
      </c>
      <c r="P403" t="b">
        <f t="shared" si="39"/>
        <v>0</v>
      </c>
      <c r="R403" t="b">
        <f>SUMPRODUCT(COUNTIF(_xlfn.XLOOKUP(B403,BugList!A:A,BugList!P:P), "*SC*"))&gt;0</f>
        <v>0</v>
      </c>
      <c r="S403" t="str">
        <f>_xlfn.XLOOKUP(B403,BugList!A:A,BugList!W:W)</f>
        <v/>
      </c>
      <c r="T403">
        <f t="shared" si="40"/>
        <v>196</v>
      </c>
      <c r="U403">
        <f t="shared" si="41"/>
        <v>196</v>
      </c>
    </row>
    <row r="404" spans="1:21">
      <c r="A404" t="s">
        <v>175</v>
      </c>
      <c r="B404">
        <v>837</v>
      </c>
      <c r="D404" t="s">
        <v>107</v>
      </c>
      <c r="E404" t="s">
        <v>107</v>
      </c>
      <c r="F404">
        <v>23</v>
      </c>
      <c r="G404">
        <f t="shared" si="36"/>
        <v>21.296296296296298</v>
      </c>
      <c r="H404">
        <f t="shared" si="37"/>
        <v>21</v>
      </c>
      <c r="I404">
        <f t="shared" si="38"/>
        <v>0.29629629629629761</v>
      </c>
      <c r="J404" cm="1">
        <f t="array" ref="J404">INT(G404)+IF(100-SUM(INT(G$400:G$410))&gt;=RANK(I404,I$400:I$410)+COUNTIF(I$400:I404,I404)-1,1,0)</f>
        <v>21</v>
      </c>
      <c r="K404" t="str">
        <f>_xlfn.XLOOKUP(B404,BugList!A:A,BugList!H:H)</f>
        <v>*</v>
      </c>
      <c r="L404" t="str">
        <f>IF(K404 = "","",_xlfn.XLOOKUP(B404, BugList!A:A,BugList!B:B,""))</f>
        <v>Trichoptera</v>
      </c>
      <c r="M404">
        <f>_xlfn.XLOOKUP(D404,BugList!C:C,BugList!N:N)</f>
        <v>3</v>
      </c>
      <c r="N404">
        <f>_xlfn.XLOOKUP(B404,BugList!A:A,BugList!R:R)</f>
        <v>3</v>
      </c>
      <c r="O404" t="b">
        <f>_xlfn.XLOOKUP(B404,BugList!A:A,BugList!L:L)</f>
        <v>1</v>
      </c>
      <c r="P404" t="b">
        <f t="shared" si="39"/>
        <v>1</v>
      </c>
      <c r="R404" t="b">
        <f>SUMPRODUCT(COUNTIF(_xlfn.XLOOKUP(B404,BugList!A:A,BugList!P:P), "*SC*"))&gt;0</f>
        <v>0</v>
      </c>
      <c r="S404" t="str">
        <f>_xlfn.XLOOKUP(B404,BugList!A:A,BugList!W:W)</f>
        <v/>
      </c>
      <c r="T404">
        <f t="shared" si="40"/>
        <v>63</v>
      </c>
      <c r="U404">
        <f t="shared" si="41"/>
        <v>63</v>
      </c>
    </row>
    <row r="405" spans="1:21">
      <c r="A405" t="s">
        <v>175</v>
      </c>
      <c r="B405">
        <v>935</v>
      </c>
      <c r="D405" t="s">
        <v>98</v>
      </c>
      <c r="E405" t="s">
        <v>98</v>
      </c>
      <c r="F405">
        <v>5</v>
      </c>
      <c r="G405">
        <f t="shared" si="36"/>
        <v>4.6296296296296298</v>
      </c>
      <c r="H405">
        <f t="shared" si="37"/>
        <v>4</v>
      </c>
      <c r="I405">
        <f t="shared" si="38"/>
        <v>0.62962962962962976</v>
      </c>
      <c r="J405" cm="1">
        <f t="array" ref="J405">INT(G405)+IF(100-SUM(INT(G$400:G$410))&gt;=RANK(I405,I$400:I$410)+COUNTIF(I$400:I405,I405)-1,1,0)</f>
        <v>5</v>
      </c>
      <c r="K405" t="str">
        <f>_xlfn.XLOOKUP(B405,BugList!A:A,BugList!H:H)</f>
        <v/>
      </c>
      <c r="L405" t="str">
        <f>IF(K405 = "","",_xlfn.XLOOKUP(B405, BugList!A:A,BugList!B:B,""))</f>
        <v/>
      </c>
      <c r="M405">
        <f>_xlfn.XLOOKUP(D405,BugList!C:C,BugList!N:N)</f>
        <v>4</v>
      </c>
      <c r="N405">
        <f>_xlfn.XLOOKUP(B405,BugList!A:A,BugList!R:R)</f>
        <v>4</v>
      </c>
      <c r="O405" t="b">
        <f>_xlfn.XLOOKUP(B405,BugList!A:A,BugList!L:L)</f>
        <v>1</v>
      </c>
      <c r="P405" t="b">
        <f t="shared" si="39"/>
        <v>0</v>
      </c>
      <c r="R405" t="b">
        <f>SUMPRODUCT(COUNTIF(_xlfn.XLOOKUP(B405,BugList!A:A,BugList!P:P), "*SC*"))&gt;0</f>
        <v>1</v>
      </c>
      <c r="S405" t="str">
        <f>_xlfn.XLOOKUP(B405,BugList!A:A,BugList!W:W)</f>
        <v/>
      </c>
      <c r="T405">
        <f t="shared" si="40"/>
        <v>20</v>
      </c>
      <c r="U405">
        <f t="shared" si="41"/>
        <v>20</v>
      </c>
    </row>
    <row r="406" spans="1:21">
      <c r="A406" t="s">
        <v>175</v>
      </c>
      <c r="B406">
        <v>1002</v>
      </c>
      <c r="D406" t="s">
        <v>100</v>
      </c>
      <c r="E406" t="s">
        <v>100</v>
      </c>
      <c r="F406">
        <v>8</v>
      </c>
      <c r="G406">
        <f t="shared" si="36"/>
        <v>7.4074074074074066</v>
      </c>
      <c r="H406">
        <f t="shared" si="37"/>
        <v>7</v>
      </c>
      <c r="I406">
        <f t="shared" si="38"/>
        <v>0.40740740740740655</v>
      </c>
      <c r="J406" cm="1">
        <f t="array" ref="J406">INT(G406)+IF(100-SUM(INT(G$400:G$410))&gt;=RANK(I406,I$400:I$410)+COUNTIF(I$400:I406,I406)-1,1,0)</f>
        <v>7</v>
      </c>
      <c r="K406" t="str">
        <f>_xlfn.XLOOKUP(B406,BugList!A:A,BugList!H:H)</f>
        <v/>
      </c>
      <c r="L406" t="str">
        <f>IF(K406 = "","",_xlfn.XLOOKUP(B406, BugList!A:A,BugList!B:B,""))</f>
        <v/>
      </c>
      <c r="M406">
        <f>_xlfn.XLOOKUP(D406,BugList!C:C,BugList!N:N)</f>
        <v>4</v>
      </c>
      <c r="N406">
        <f>_xlfn.XLOOKUP(B406,BugList!A:A,BugList!R:R)</f>
        <v>4</v>
      </c>
      <c r="O406" t="b">
        <f>_xlfn.XLOOKUP(B406,BugList!A:A,BugList!L:L)</f>
        <v>1</v>
      </c>
      <c r="P406" t="b">
        <f t="shared" si="39"/>
        <v>0</v>
      </c>
      <c r="R406" t="b">
        <f>SUMPRODUCT(COUNTIF(_xlfn.XLOOKUP(B406,BugList!A:A,BugList!P:P), "*SC*"))&gt;0</f>
        <v>1</v>
      </c>
      <c r="S406" t="str">
        <f>_xlfn.XLOOKUP(B406,BugList!A:A,BugList!W:W)</f>
        <v/>
      </c>
      <c r="T406">
        <f t="shared" si="40"/>
        <v>28</v>
      </c>
      <c r="U406">
        <f t="shared" si="41"/>
        <v>28</v>
      </c>
    </row>
    <row r="407" spans="1:21">
      <c r="A407" t="s">
        <v>175</v>
      </c>
      <c r="B407">
        <v>1088</v>
      </c>
      <c r="D407" t="s">
        <v>90</v>
      </c>
      <c r="E407" t="s">
        <v>90</v>
      </c>
      <c r="F407">
        <v>6</v>
      </c>
      <c r="G407">
        <f t="shared" si="36"/>
        <v>5.5555555555555554</v>
      </c>
      <c r="H407">
        <f t="shared" si="37"/>
        <v>5</v>
      </c>
      <c r="I407">
        <f t="shared" si="38"/>
        <v>0.55555555555555536</v>
      </c>
      <c r="J407" cm="1">
        <f t="array" ref="J407">INT(G407)+IF(100-SUM(INT(G$400:G$410))&gt;=RANK(I407,I$400:I$410)+COUNTIF(I$400:I407,I407)-1,1,0)</f>
        <v>5</v>
      </c>
      <c r="K407" t="str">
        <f>_xlfn.XLOOKUP(B407,BugList!A:A,BugList!H:H)</f>
        <v/>
      </c>
      <c r="L407" t="str">
        <f>IF(K407 = "","",_xlfn.XLOOKUP(B407, BugList!A:A,BugList!B:B,""))</f>
        <v/>
      </c>
      <c r="M407">
        <f>_xlfn.XLOOKUP(D407,BugList!C:C,BugList!N:N)</f>
        <v>6</v>
      </c>
      <c r="N407">
        <f>_xlfn.XLOOKUP(B407,BugList!A:A,BugList!R:R)</f>
        <v>6</v>
      </c>
      <c r="O407" t="b">
        <f>_xlfn.XLOOKUP(B407,BugList!A:A,BugList!L:L)</f>
        <v>1</v>
      </c>
      <c r="P407" t="b">
        <f t="shared" si="39"/>
        <v>0</v>
      </c>
      <c r="R407" t="b">
        <f>SUMPRODUCT(COUNTIF(_xlfn.XLOOKUP(B407,BugList!A:A,BugList!P:P), "*SC*"))&gt;0</f>
        <v>0</v>
      </c>
      <c r="S407" t="str">
        <f>_xlfn.XLOOKUP(B407,BugList!A:A,BugList!W:W)</f>
        <v/>
      </c>
      <c r="T407">
        <f t="shared" si="40"/>
        <v>30</v>
      </c>
      <c r="U407">
        <f t="shared" si="41"/>
        <v>30</v>
      </c>
    </row>
    <row r="408" spans="1:21">
      <c r="A408" t="s">
        <v>175</v>
      </c>
      <c r="B408">
        <v>1497</v>
      </c>
      <c r="D408" t="s">
        <v>108</v>
      </c>
      <c r="E408" t="s">
        <v>108</v>
      </c>
      <c r="F408">
        <v>1</v>
      </c>
      <c r="G408">
        <f t="shared" si="36"/>
        <v>0.92592592592592582</v>
      </c>
      <c r="H408">
        <f t="shared" si="37"/>
        <v>0</v>
      </c>
      <c r="I408">
        <f t="shared" si="38"/>
        <v>0.92592592592592582</v>
      </c>
      <c r="J408" cm="1">
        <f t="array" ref="J408">INT(G408)+IF(100-SUM(INT(G$400:G$410))&gt;=RANK(I408,I$400:I$410)+COUNTIF(I$400:I408,I408)-1,1,0)</f>
        <v>1</v>
      </c>
      <c r="K408" t="str">
        <f>_xlfn.XLOOKUP(B408,BugList!A:A,BugList!H:H)</f>
        <v/>
      </c>
      <c r="L408" t="str">
        <f>IF(K408 = "","",_xlfn.XLOOKUP(B408, BugList!A:A,BugList!B:B,""))</f>
        <v/>
      </c>
      <c r="M408">
        <f>_xlfn.XLOOKUP(D408,BugList!C:C,BugList!N:N)</f>
        <v>3</v>
      </c>
      <c r="N408">
        <f>_xlfn.XLOOKUP(B408,BugList!A:A,BugList!R:R)</f>
        <v>3</v>
      </c>
      <c r="O408" t="b">
        <f>_xlfn.XLOOKUP(B408,BugList!A:A,BugList!L:L)</f>
        <v>1</v>
      </c>
      <c r="P408" t="b">
        <f t="shared" si="39"/>
        <v>0</v>
      </c>
      <c r="R408" t="b">
        <f>SUMPRODUCT(COUNTIF(_xlfn.XLOOKUP(B408,BugList!A:A,BugList!P:P), "*SC*"))&gt;0</f>
        <v>0</v>
      </c>
      <c r="S408" t="str">
        <f>_xlfn.XLOOKUP(B408,BugList!A:A,BugList!W:W)</f>
        <v/>
      </c>
      <c r="T408">
        <f t="shared" si="40"/>
        <v>3</v>
      </c>
      <c r="U408">
        <f t="shared" si="41"/>
        <v>3</v>
      </c>
    </row>
    <row r="409" spans="1:21">
      <c r="A409" t="s">
        <v>175</v>
      </c>
      <c r="B409">
        <v>1578</v>
      </c>
      <c r="D409" t="s">
        <v>102</v>
      </c>
      <c r="E409" t="s">
        <v>102</v>
      </c>
      <c r="F409">
        <v>3</v>
      </c>
      <c r="G409">
        <f t="shared" si="36"/>
        <v>2.7777777777777777</v>
      </c>
      <c r="H409">
        <f t="shared" si="37"/>
        <v>2</v>
      </c>
      <c r="I409">
        <f t="shared" si="38"/>
        <v>0.77777777777777768</v>
      </c>
      <c r="J409" cm="1">
        <f t="array" ref="J409">INT(G409)+IF(100-SUM(INT(G$400:G$410))&gt;=RANK(I409,I$400:I$410)+COUNTIF(I$400:I409,I409)-1,1,0)</f>
        <v>3</v>
      </c>
      <c r="K409" t="str">
        <f>_xlfn.XLOOKUP(B409,BugList!A:A,BugList!H:H)</f>
        <v/>
      </c>
      <c r="L409" t="str">
        <f>IF(K409 = "","",_xlfn.XLOOKUP(B409, BugList!A:A,BugList!B:B,""))</f>
        <v/>
      </c>
      <c r="M409">
        <f>_xlfn.XLOOKUP(D409,BugList!C:C,BugList!N:N)</f>
        <v>7</v>
      </c>
      <c r="N409">
        <f>_xlfn.XLOOKUP(B409,BugList!A:A,BugList!R:R)</f>
        <v>7</v>
      </c>
      <c r="O409" t="b">
        <f>_xlfn.XLOOKUP(B409,BugList!A:A,BugList!L:L)</f>
        <v>0</v>
      </c>
      <c r="P409" t="b">
        <f t="shared" si="39"/>
        <v>0</v>
      </c>
      <c r="R409" t="b">
        <f>SUMPRODUCT(COUNTIF(_xlfn.XLOOKUP(B409,BugList!A:A,BugList!P:P), "*SC*"))&gt;0</f>
        <v>0</v>
      </c>
      <c r="S409" t="str">
        <f>_xlfn.XLOOKUP(B409,BugList!A:A,BugList!W:W)</f>
        <v/>
      </c>
      <c r="T409">
        <f t="shared" si="40"/>
        <v>21</v>
      </c>
      <c r="U409">
        <f t="shared" si="41"/>
        <v>21</v>
      </c>
    </row>
    <row r="410" spans="1:21">
      <c r="A410" t="s">
        <v>175</v>
      </c>
      <c r="B410">
        <v>2781</v>
      </c>
      <c r="D410" t="s">
        <v>109</v>
      </c>
      <c r="E410" t="s">
        <v>109</v>
      </c>
      <c r="F410">
        <v>1</v>
      </c>
      <c r="G410">
        <f t="shared" si="36"/>
        <v>0.92592592592592582</v>
      </c>
      <c r="H410">
        <f t="shared" si="37"/>
        <v>0</v>
      </c>
      <c r="I410">
        <f t="shared" si="38"/>
        <v>0.92592592592592582</v>
      </c>
      <c r="J410" cm="1">
        <f t="array" ref="J410">INT(G410)+IF(100-SUM(INT(G$400:G$410))&gt;=RANK(I410,I$400:I$410)+COUNTIF(I$400:I410,I410)-1,1,0)</f>
        <v>1</v>
      </c>
      <c r="K410" t="str">
        <f>_xlfn.XLOOKUP(B410,BugList!A:A,BugList!H:H)</f>
        <v/>
      </c>
      <c r="L410" t="str">
        <f>IF(K410 = "","",_xlfn.XLOOKUP(B410, BugList!A:A,BugList!B:B,""))</f>
        <v/>
      </c>
      <c r="M410">
        <f>_xlfn.XLOOKUP(D410,BugList!C:C,BugList!N:N)</f>
        <v>6</v>
      </c>
      <c r="N410">
        <f>_xlfn.XLOOKUP(B410,BugList!A:A,BugList!R:R)</f>
        <v>4</v>
      </c>
      <c r="O410" t="b">
        <f>_xlfn.XLOOKUP(B410,BugList!A:A,BugList!L:L)</f>
        <v>0</v>
      </c>
      <c r="P410" t="b">
        <f t="shared" si="39"/>
        <v>0</v>
      </c>
      <c r="R410" t="b">
        <f>SUMPRODUCT(COUNTIF(_xlfn.XLOOKUP(B410,BugList!A:A,BugList!P:P), "*SC*"))&gt;0</f>
        <v>0</v>
      </c>
      <c r="S410" t="str">
        <f>_xlfn.XLOOKUP(B410,BugList!A:A,BugList!W:W)</f>
        <v/>
      </c>
      <c r="T410">
        <f t="shared" si="40"/>
        <v>6</v>
      </c>
      <c r="U410">
        <f t="shared" si="41"/>
        <v>4</v>
      </c>
    </row>
    <row r="411" spans="1:21">
      <c r="A411" t="s">
        <v>176</v>
      </c>
      <c r="B411">
        <v>63</v>
      </c>
      <c r="D411" t="s">
        <v>84</v>
      </c>
      <c r="E411" t="s">
        <v>84</v>
      </c>
      <c r="F411">
        <v>1</v>
      </c>
      <c r="G411">
        <f t="shared" si="36"/>
        <v>0.77519379844961245</v>
      </c>
      <c r="H411">
        <f t="shared" si="37"/>
        <v>0</v>
      </c>
      <c r="I411">
        <f t="shared" si="38"/>
        <v>0.77519379844961245</v>
      </c>
      <c r="J411" cm="1">
        <f t="array" ref="J411">INT(G411)+IF(100-SUM(INT(G$411:G$422))&gt;=RANK(I411,I$411:I$422)+COUNTIF(I$411:I411,I411)-1,1,0)</f>
        <v>1</v>
      </c>
      <c r="K411" t="str">
        <f>_xlfn.XLOOKUP(B411,BugList!A:A,BugList!H:H)</f>
        <v/>
      </c>
      <c r="L411" t="str">
        <f>IF(K411 = "","",_xlfn.XLOOKUP(B411, BugList!A:A,BugList!B:B,""))</f>
        <v/>
      </c>
      <c r="M411">
        <f>_xlfn.XLOOKUP(D411,BugList!C:C,BugList!N:N)</f>
        <v>8</v>
      </c>
      <c r="N411">
        <f>_xlfn.XLOOKUP(B411,BugList!A:A,BugList!R:R)</f>
        <v>8</v>
      </c>
      <c r="O411" t="b">
        <f>_xlfn.XLOOKUP(B411,BugList!A:A,BugList!L:L)</f>
        <v>0</v>
      </c>
      <c r="P411" t="b">
        <f t="shared" si="39"/>
        <v>0</v>
      </c>
      <c r="R411" t="b">
        <f>SUMPRODUCT(COUNTIF(_xlfn.XLOOKUP(B411,BugList!A:A,BugList!P:P), "*SC*"))&gt;0</f>
        <v>0</v>
      </c>
      <c r="S411" t="str">
        <f>_xlfn.XLOOKUP(B411,BugList!A:A,BugList!W:W)</f>
        <v/>
      </c>
      <c r="T411">
        <f t="shared" si="40"/>
        <v>8</v>
      </c>
      <c r="U411">
        <f t="shared" si="41"/>
        <v>8</v>
      </c>
    </row>
    <row r="412" spans="1:21">
      <c r="A412" t="s">
        <v>176</v>
      </c>
      <c r="B412">
        <v>88</v>
      </c>
      <c r="D412" t="s">
        <v>85</v>
      </c>
      <c r="E412" t="s">
        <v>85</v>
      </c>
      <c r="F412">
        <v>3</v>
      </c>
      <c r="G412">
        <f t="shared" si="36"/>
        <v>2.3255813953488373</v>
      </c>
      <c r="H412">
        <f t="shared" si="37"/>
        <v>2</v>
      </c>
      <c r="I412">
        <f t="shared" si="38"/>
        <v>0.32558139534883734</v>
      </c>
      <c r="J412" cm="1">
        <f t="array" ref="J412">INT(G412)+IF(100-SUM(INT(G$411:G$422))&gt;=RANK(I412,I$411:I$422)+COUNTIF(I$411:I412,I412)-1,1,0)</f>
        <v>2</v>
      </c>
      <c r="K412" t="str">
        <f>_xlfn.XLOOKUP(B412,BugList!A:A,BugList!H:H)</f>
        <v/>
      </c>
      <c r="L412" t="str">
        <f>IF(K412 = "","",_xlfn.XLOOKUP(B412, BugList!A:A,BugList!B:B,""))</f>
        <v/>
      </c>
      <c r="M412">
        <f>_xlfn.XLOOKUP(D412,BugList!C:C,BugList!N:N)</f>
        <v>4</v>
      </c>
      <c r="N412">
        <f>_xlfn.XLOOKUP(B412,BugList!A:A,BugList!R:R)</f>
        <v>4</v>
      </c>
      <c r="O412" t="b">
        <f>_xlfn.XLOOKUP(B412,BugList!A:A,BugList!L:L)</f>
        <v>0</v>
      </c>
      <c r="P412" t="b">
        <f t="shared" si="39"/>
        <v>0</v>
      </c>
      <c r="R412" t="b">
        <f>SUMPRODUCT(COUNTIF(_xlfn.XLOOKUP(B412,BugList!A:A,BugList!P:P), "*SC*"))&gt;0</f>
        <v>0</v>
      </c>
      <c r="S412" t="str">
        <f>_xlfn.XLOOKUP(B412,BugList!A:A,BugList!W:W)</f>
        <v/>
      </c>
      <c r="T412">
        <f t="shared" si="40"/>
        <v>8</v>
      </c>
      <c r="U412">
        <f t="shared" si="41"/>
        <v>8</v>
      </c>
    </row>
    <row r="413" spans="1:21">
      <c r="A413" t="s">
        <v>176</v>
      </c>
      <c r="B413">
        <v>372</v>
      </c>
      <c r="D413" t="s">
        <v>88</v>
      </c>
      <c r="E413" t="s">
        <v>88</v>
      </c>
      <c r="F413">
        <v>5</v>
      </c>
      <c r="G413">
        <f t="shared" si="36"/>
        <v>3.8759689922480618</v>
      </c>
      <c r="H413">
        <f t="shared" si="37"/>
        <v>3</v>
      </c>
      <c r="I413">
        <f t="shared" si="38"/>
        <v>0.8759689922480618</v>
      </c>
      <c r="J413" cm="1">
        <f t="array" ref="J413">INT(G413)+IF(100-SUM(INT(G$411:G$422))&gt;=RANK(I413,I$411:I$422)+COUNTIF(I$411:I413,I413)-1,1,0)</f>
        <v>4</v>
      </c>
      <c r="K413" t="str">
        <f>_xlfn.XLOOKUP(B413,BugList!A:A,BugList!H:H)</f>
        <v/>
      </c>
      <c r="L413" t="str">
        <f>IF(K413 = "","",_xlfn.XLOOKUP(B413, BugList!A:A,BugList!B:B,""))</f>
        <v/>
      </c>
      <c r="M413">
        <f>_xlfn.XLOOKUP(D413,BugList!C:C,BugList!N:N)</f>
        <v>8</v>
      </c>
      <c r="N413">
        <f>_xlfn.XLOOKUP(B413,BugList!A:A,BugList!R:R)</f>
        <v>8</v>
      </c>
      <c r="O413" t="b">
        <f>_xlfn.XLOOKUP(B413,BugList!A:A,BugList!L:L)</f>
        <v>0</v>
      </c>
      <c r="P413" t="b">
        <f t="shared" si="39"/>
        <v>0</v>
      </c>
      <c r="R413" t="b">
        <f>SUMPRODUCT(COUNTIF(_xlfn.XLOOKUP(B413,BugList!A:A,BugList!P:P), "*SC*"))&gt;0</f>
        <v>0</v>
      </c>
      <c r="S413" t="str">
        <f>_xlfn.XLOOKUP(B413,BugList!A:A,BugList!W:W)</f>
        <v/>
      </c>
      <c r="T413">
        <f t="shared" si="40"/>
        <v>32</v>
      </c>
      <c r="U413">
        <f t="shared" si="41"/>
        <v>32</v>
      </c>
    </row>
    <row r="414" spans="1:21">
      <c r="A414" t="s">
        <v>176</v>
      </c>
      <c r="B414">
        <v>513</v>
      </c>
      <c r="D414" t="s">
        <v>111</v>
      </c>
      <c r="E414" t="s">
        <v>111</v>
      </c>
      <c r="F414">
        <v>2</v>
      </c>
      <c r="G414">
        <f t="shared" si="36"/>
        <v>1.5503875968992249</v>
      </c>
      <c r="H414">
        <f t="shared" si="37"/>
        <v>1</v>
      </c>
      <c r="I414">
        <f t="shared" si="38"/>
        <v>0.5503875968992249</v>
      </c>
      <c r="J414" cm="1">
        <f t="array" ref="J414">INT(G414)+IF(100-SUM(INT(G$411:G$422))&gt;=RANK(I414,I$411:I$422)+COUNTIF(I$411:I414,I414)-1,1,0)</f>
        <v>2</v>
      </c>
      <c r="K414" t="str">
        <f>_xlfn.XLOOKUP(B414,BugList!A:A,BugList!H:H)</f>
        <v>*</v>
      </c>
      <c r="L414" t="str">
        <f>IF(K414 = "","",_xlfn.XLOOKUP(B414, BugList!A:A,BugList!B:B,""))</f>
        <v>Ephemeroptera</v>
      </c>
      <c r="M414">
        <f>_xlfn.XLOOKUP(D414,BugList!C:C,BugList!N:N)</f>
        <v>4</v>
      </c>
      <c r="N414">
        <f>_xlfn.XLOOKUP(B414,BugList!A:A,BugList!R:R)</f>
        <v>4</v>
      </c>
      <c r="O414" t="b">
        <f>_xlfn.XLOOKUP(B414,BugList!A:A,BugList!L:L)</f>
        <v>1</v>
      </c>
      <c r="P414" t="b">
        <f t="shared" si="39"/>
        <v>1</v>
      </c>
      <c r="R414" t="b">
        <f>SUMPRODUCT(COUNTIF(_xlfn.XLOOKUP(B414,BugList!A:A,BugList!P:P), "*SC*"))&gt;0</f>
        <v>1</v>
      </c>
      <c r="S414" t="str">
        <f>_xlfn.XLOOKUP(B414,BugList!A:A,BugList!W:W)</f>
        <v/>
      </c>
      <c r="T414">
        <f t="shared" si="40"/>
        <v>8</v>
      </c>
      <c r="U414">
        <f t="shared" si="41"/>
        <v>8</v>
      </c>
    </row>
    <row r="415" spans="1:21">
      <c r="A415" t="s">
        <v>176</v>
      </c>
      <c r="B415">
        <v>602</v>
      </c>
      <c r="D415" t="s">
        <v>97</v>
      </c>
      <c r="E415" t="s">
        <v>97</v>
      </c>
      <c r="F415">
        <v>1</v>
      </c>
      <c r="G415">
        <f t="shared" si="36"/>
        <v>0.77519379844961245</v>
      </c>
      <c r="H415">
        <f t="shared" si="37"/>
        <v>0</v>
      </c>
      <c r="I415">
        <f t="shared" si="38"/>
        <v>0.77519379844961245</v>
      </c>
      <c r="J415" cm="1">
        <f t="array" ref="J415">INT(G415)+IF(100-SUM(INT(G$411:G$422))&gt;=RANK(I415,I$411:I$422)+COUNTIF(I$411:I415,I415)-1,1,0)</f>
        <v>1</v>
      </c>
      <c r="K415" t="str">
        <f>_xlfn.XLOOKUP(B415,BugList!A:A,BugList!H:H)</f>
        <v/>
      </c>
      <c r="L415" t="str">
        <f>IF(K415 = "","",_xlfn.XLOOKUP(B415, BugList!A:A,BugList!B:B,""))</f>
        <v/>
      </c>
      <c r="M415">
        <f>_xlfn.XLOOKUP(D415,BugList!C:C,BugList!N:N)</f>
        <v>9</v>
      </c>
      <c r="N415">
        <f>_xlfn.XLOOKUP(B415,BugList!A:A,BugList!R:R)</f>
        <v>9</v>
      </c>
      <c r="O415" t="b">
        <f>_xlfn.XLOOKUP(B415,BugList!A:A,BugList!L:L)</f>
        <v>1</v>
      </c>
      <c r="P415" t="b">
        <f t="shared" si="39"/>
        <v>0</v>
      </c>
      <c r="R415" t="b">
        <f>SUMPRODUCT(COUNTIF(_xlfn.XLOOKUP(B415,BugList!A:A,BugList!P:P), "*SC*"))&gt;0</f>
        <v>0</v>
      </c>
      <c r="S415" t="str">
        <f>_xlfn.XLOOKUP(B415,BugList!A:A,BugList!W:W)</f>
        <v/>
      </c>
      <c r="T415">
        <f t="shared" si="40"/>
        <v>9</v>
      </c>
      <c r="U415">
        <f t="shared" si="41"/>
        <v>9</v>
      </c>
    </row>
    <row r="416" spans="1:21">
      <c r="A416" t="s">
        <v>176</v>
      </c>
      <c r="B416">
        <v>771</v>
      </c>
      <c r="D416" t="s">
        <v>177</v>
      </c>
      <c r="E416" t="s">
        <v>177</v>
      </c>
      <c r="F416">
        <v>1</v>
      </c>
      <c r="G416">
        <f t="shared" si="36"/>
        <v>0.77519379844961245</v>
      </c>
      <c r="H416">
        <f t="shared" si="37"/>
        <v>0</v>
      </c>
      <c r="I416">
        <f t="shared" si="38"/>
        <v>0.77519379844961245</v>
      </c>
      <c r="J416" cm="1">
        <f t="array" ref="J416">INT(G416)+IF(100-SUM(INT(G$411:G$422))&gt;=RANK(I416,I$411:I$422)+COUNTIF(I$411:I416,I416)-1,1,0)</f>
        <v>1</v>
      </c>
      <c r="K416" t="str">
        <f>_xlfn.XLOOKUP(B416,BugList!A:A,BugList!H:H)</f>
        <v>*</v>
      </c>
      <c r="L416" t="str">
        <f>IF(K416 = "","",_xlfn.XLOOKUP(B416, BugList!A:A,BugList!B:B,""))</f>
        <v>Trichoptera</v>
      </c>
      <c r="M416">
        <f>_xlfn.XLOOKUP(D416,BugList!C:C,BugList!N:N)</f>
        <v>0</v>
      </c>
      <c r="N416">
        <f>_xlfn.XLOOKUP(B416,BugList!A:A,BugList!R:R)</f>
        <v>0</v>
      </c>
      <c r="O416" t="b">
        <f>_xlfn.XLOOKUP(B416,BugList!A:A,BugList!L:L)</f>
        <v>1</v>
      </c>
      <c r="P416" t="b">
        <f t="shared" si="39"/>
        <v>1</v>
      </c>
      <c r="R416" t="b">
        <f>SUMPRODUCT(COUNTIF(_xlfn.XLOOKUP(B416,BugList!A:A,BugList!P:P), "*SC*"))&gt;0</f>
        <v>1</v>
      </c>
      <c r="S416" t="str">
        <f>_xlfn.XLOOKUP(B416,BugList!A:A,BugList!W:W)</f>
        <v/>
      </c>
      <c r="T416">
        <f t="shared" si="40"/>
        <v>0</v>
      </c>
      <c r="U416">
        <f t="shared" si="41"/>
        <v>0</v>
      </c>
    </row>
    <row r="417" spans="1:21">
      <c r="A417" t="s">
        <v>176</v>
      </c>
      <c r="B417">
        <v>794</v>
      </c>
      <c r="D417" t="s">
        <v>89</v>
      </c>
      <c r="E417" t="s">
        <v>89</v>
      </c>
      <c r="F417">
        <v>31</v>
      </c>
      <c r="G417">
        <f t="shared" si="36"/>
        <v>24.031007751937985</v>
      </c>
      <c r="H417">
        <f t="shared" si="37"/>
        <v>24</v>
      </c>
      <c r="I417">
        <f t="shared" si="38"/>
        <v>3.1007751937984551E-2</v>
      </c>
      <c r="J417" cm="1">
        <f t="array" ref="J417">INT(G417)+IF(100-SUM(INT(G$411:G$422))&gt;=RANK(I417,I$411:I$422)+COUNTIF(I$411:I417,I417)-1,1,0)</f>
        <v>24</v>
      </c>
      <c r="K417" t="str">
        <f>_xlfn.XLOOKUP(B417,BugList!A:A,BugList!H:H)</f>
        <v>*</v>
      </c>
      <c r="L417" t="str">
        <f>IF(K417 = "","",_xlfn.XLOOKUP(B417, BugList!A:A,BugList!B:B,""))</f>
        <v>Trichoptera</v>
      </c>
      <c r="M417">
        <f>_xlfn.XLOOKUP(D417,BugList!C:C,BugList!N:N)</f>
        <v>4</v>
      </c>
      <c r="N417">
        <f>_xlfn.XLOOKUP(B417,BugList!A:A,BugList!R:R)</f>
        <v>4</v>
      </c>
      <c r="O417" t="b">
        <f>_xlfn.XLOOKUP(B417,BugList!A:A,BugList!L:L)</f>
        <v>1</v>
      </c>
      <c r="P417" t="b">
        <f t="shared" si="39"/>
        <v>0</v>
      </c>
      <c r="R417" t="b">
        <f>SUMPRODUCT(COUNTIF(_xlfn.XLOOKUP(B417,BugList!A:A,BugList!P:P), "*SC*"))&gt;0</f>
        <v>0</v>
      </c>
      <c r="S417" t="str">
        <f>_xlfn.XLOOKUP(B417,BugList!A:A,BugList!W:W)</f>
        <v/>
      </c>
      <c r="T417">
        <f t="shared" si="40"/>
        <v>96</v>
      </c>
      <c r="U417">
        <f t="shared" si="41"/>
        <v>96</v>
      </c>
    </row>
    <row r="418" spans="1:21">
      <c r="A418" t="s">
        <v>176</v>
      </c>
      <c r="B418">
        <v>837</v>
      </c>
      <c r="D418" t="s">
        <v>107</v>
      </c>
      <c r="E418" t="s">
        <v>107</v>
      </c>
      <c r="F418">
        <v>47</v>
      </c>
      <c r="G418">
        <f t="shared" si="36"/>
        <v>36.434108527131784</v>
      </c>
      <c r="H418">
        <f t="shared" si="37"/>
        <v>36</v>
      </c>
      <c r="I418">
        <f t="shared" si="38"/>
        <v>0.43410852713178372</v>
      </c>
      <c r="J418" cm="1">
        <f t="array" ref="J418">INT(G418)+IF(100-SUM(INT(G$411:G$422))&gt;=RANK(I418,I$411:I$422)+COUNTIF(I$411:I418,I418)-1,1,0)</f>
        <v>36</v>
      </c>
      <c r="K418" t="str">
        <f>_xlfn.XLOOKUP(B418,BugList!A:A,BugList!H:H)</f>
        <v>*</v>
      </c>
      <c r="L418" t="str">
        <f>IF(K418 = "","",_xlfn.XLOOKUP(B418, BugList!A:A,BugList!B:B,""))</f>
        <v>Trichoptera</v>
      </c>
      <c r="M418">
        <f>_xlfn.XLOOKUP(D418,BugList!C:C,BugList!N:N)</f>
        <v>3</v>
      </c>
      <c r="N418">
        <f>_xlfn.XLOOKUP(B418,BugList!A:A,BugList!R:R)</f>
        <v>3</v>
      </c>
      <c r="O418" t="b">
        <f>_xlfn.XLOOKUP(B418,BugList!A:A,BugList!L:L)</f>
        <v>1</v>
      </c>
      <c r="P418" t="b">
        <f t="shared" si="39"/>
        <v>1</v>
      </c>
      <c r="R418" t="b">
        <f>SUMPRODUCT(COUNTIF(_xlfn.XLOOKUP(B418,BugList!A:A,BugList!P:P), "*SC*"))&gt;0</f>
        <v>0</v>
      </c>
      <c r="S418" t="str">
        <f>_xlfn.XLOOKUP(B418,BugList!A:A,BugList!W:W)</f>
        <v/>
      </c>
      <c r="T418">
        <f t="shared" si="40"/>
        <v>108</v>
      </c>
      <c r="U418">
        <f t="shared" si="41"/>
        <v>108</v>
      </c>
    </row>
    <row r="419" spans="1:21">
      <c r="A419" t="s">
        <v>176</v>
      </c>
      <c r="B419">
        <v>1002</v>
      </c>
      <c r="D419" t="s">
        <v>100</v>
      </c>
      <c r="E419" t="s">
        <v>100</v>
      </c>
      <c r="F419">
        <v>20</v>
      </c>
      <c r="G419">
        <f t="shared" si="36"/>
        <v>15.503875968992247</v>
      </c>
      <c r="H419">
        <f t="shared" si="37"/>
        <v>15</v>
      </c>
      <c r="I419">
        <f t="shared" si="38"/>
        <v>0.50387596899224718</v>
      </c>
      <c r="J419" cm="1">
        <f t="array" ref="J419">INT(G419)+IF(100-SUM(INT(G$411:G$422))&gt;=RANK(I419,I$411:I$422)+COUNTIF(I$411:I419,I419)-1,1,0)</f>
        <v>15</v>
      </c>
      <c r="K419" t="str">
        <f>_xlfn.XLOOKUP(B419,BugList!A:A,BugList!H:H)</f>
        <v/>
      </c>
      <c r="L419" t="str">
        <f>IF(K419 = "","",_xlfn.XLOOKUP(B419, BugList!A:A,BugList!B:B,""))</f>
        <v/>
      </c>
      <c r="M419">
        <f>_xlfn.XLOOKUP(D419,BugList!C:C,BugList!N:N)</f>
        <v>4</v>
      </c>
      <c r="N419">
        <f>_xlfn.XLOOKUP(B419,BugList!A:A,BugList!R:R)</f>
        <v>4</v>
      </c>
      <c r="O419" t="b">
        <f>_xlfn.XLOOKUP(B419,BugList!A:A,BugList!L:L)</f>
        <v>1</v>
      </c>
      <c r="P419" t="b">
        <f t="shared" si="39"/>
        <v>0</v>
      </c>
      <c r="R419" t="b">
        <f>SUMPRODUCT(COUNTIF(_xlfn.XLOOKUP(B419,BugList!A:A,BugList!P:P), "*SC*"))&gt;0</f>
        <v>1</v>
      </c>
      <c r="S419" t="str">
        <f>_xlfn.XLOOKUP(B419,BugList!A:A,BugList!W:W)</f>
        <v/>
      </c>
      <c r="T419">
        <f t="shared" si="40"/>
        <v>60</v>
      </c>
      <c r="U419">
        <f t="shared" si="41"/>
        <v>60</v>
      </c>
    </row>
    <row r="420" spans="1:21">
      <c r="A420" t="s">
        <v>176</v>
      </c>
      <c r="B420">
        <v>1497</v>
      </c>
      <c r="D420" t="s">
        <v>108</v>
      </c>
      <c r="E420" t="s">
        <v>108</v>
      </c>
      <c r="F420">
        <v>15</v>
      </c>
      <c r="G420">
        <f t="shared" si="36"/>
        <v>11.627906976744185</v>
      </c>
      <c r="H420">
        <f t="shared" si="37"/>
        <v>11</v>
      </c>
      <c r="I420">
        <f t="shared" si="38"/>
        <v>0.62790697674418539</v>
      </c>
      <c r="J420" cm="1">
        <f t="array" ref="J420">INT(G420)+IF(100-SUM(INT(G$411:G$422))&gt;=RANK(I420,I$411:I$422)+COUNTIF(I$411:I420,I420)-1,1,0)</f>
        <v>12</v>
      </c>
      <c r="K420" t="str">
        <f>_xlfn.XLOOKUP(B420,BugList!A:A,BugList!H:H)</f>
        <v/>
      </c>
      <c r="L420" t="str">
        <f>IF(K420 = "","",_xlfn.XLOOKUP(B420, BugList!A:A,BugList!B:B,""))</f>
        <v/>
      </c>
      <c r="M420">
        <f>_xlfn.XLOOKUP(D420,BugList!C:C,BugList!N:N)</f>
        <v>3</v>
      </c>
      <c r="N420">
        <f>_xlfn.XLOOKUP(B420,BugList!A:A,BugList!R:R)</f>
        <v>3</v>
      </c>
      <c r="O420" t="b">
        <f>_xlfn.XLOOKUP(B420,BugList!A:A,BugList!L:L)</f>
        <v>1</v>
      </c>
      <c r="P420" t="b">
        <f t="shared" si="39"/>
        <v>0</v>
      </c>
      <c r="R420" t="b">
        <f>SUMPRODUCT(COUNTIF(_xlfn.XLOOKUP(B420,BugList!A:A,BugList!P:P), "*SC*"))&gt;0</f>
        <v>0</v>
      </c>
      <c r="S420" t="str">
        <f>_xlfn.XLOOKUP(B420,BugList!A:A,BugList!W:W)</f>
        <v/>
      </c>
      <c r="T420">
        <f t="shared" si="40"/>
        <v>36</v>
      </c>
      <c r="U420">
        <f t="shared" si="41"/>
        <v>36</v>
      </c>
    </row>
    <row r="421" spans="1:21">
      <c r="A421" t="s">
        <v>176</v>
      </c>
      <c r="B421">
        <v>1582</v>
      </c>
      <c r="D421" t="s">
        <v>121</v>
      </c>
      <c r="E421" t="s">
        <v>121</v>
      </c>
      <c r="F421">
        <v>1</v>
      </c>
      <c r="G421">
        <f t="shared" si="36"/>
        <v>0.77519379844961245</v>
      </c>
      <c r="H421">
        <f t="shared" si="37"/>
        <v>0</v>
      </c>
      <c r="I421">
        <f t="shared" si="38"/>
        <v>0.77519379844961245</v>
      </c>
      <c r="J421" cm="1">
        <f t="array" ref="J421">INT(G421)+IF(100-SUM(INT(G$411:G$422))&gt;=RANK(I421,I$411:I$422)+COUNTIF(I$411:I421,I421)-1,1,0)</f>
        <v>1</v>
      </c>
      <c r="K421" t="str">
        <f>_xlfn.XLOOKUP(B421,BugList!A:A,BugList!H:H)</f>
        <v/>
      </c>
      <c r="L421" t="str">
        <f>IF(K421 = "","",_xlfn.XLOOKUP(B421, BugList!A:A,BugList!B:B,""))</f>
        <v/>
      </c>
      <c r="M421">
        <f>_xlfn.XLOOKUP(D421,BugList!C:C,BugList!N:N)</f>
        <v>6</v>
      </c>
      <c r="N421">
        <f>_xlfn.XLOOKUP(B421,BugList!A:A,BugList!R:R)</f>
        <v>6</v>
      </c>
      <c r="O421" t="b">
        <f>_xlfn.XLOOKUP(B421,BugList!A:A,BugList!L:L)</f>
        <v>0</v>
      </c>
      <c r="P421" t="b">
        <f t="shared" si="39"/>
        <v>0</v>
      </c>
      <c r="R421" t="b">
        <f>SUMPRODUCT(COUNTIF(_xlfn.XLOOKUP(B421,BugList!A:A,BugList!P:P), "*SC*"))&gt;0</f>
        <v>1</v>
      </c>
      <c r="S421" t="str">
        <f>_xlfn.XLOOKUP(B421,BugList!A:A,BugList!W:W)</f>
        <v/>
      </c>
      <c r="T421">
        <f t="shared" si="40"/>
        <v>6</v>
      </c>
      <c r="U421">
        <f t="shared" si="41"/>
        <v>6</v>
      </c>
    </row>
    <row r="422" spans="1:21">
      <c r="A422" t="s">
        <v>176</v>
      </c>
      <c r="B422">
        <v>1614</v>
      </c>
      <c r="D422" t="s">
        <v>92</v>
      </c>
      <c r="E422" t="s">
        <v>92</v>
      </c>
      <c r="F422">
        <v>2</v>
      </c>
      <c r="G422">
        <f t="shared" si="36"/>
        <v>1.5503875968992249</v>
      </c>
      <c r="H422">
        <f t="shared" si="37"/>
        <v>1</v>
      </c>
      <c r="I422">
        <f t="shared" si="38"/>
        <v>0.5503875968992249</v>
      </c>
      <c r="J422" cm="1">
        <f t="array" ref="J422">INT(G422)+IF(100-SUM(INT(G$411:G$422))&gt;=RANK(I422,I$411:I$422)+COUNTIF(I$411:I422,I422)-1,1,0)</f>
        <v>1</v>
      </c>
      <c r="K422" t="str">
        <f>_xlfn.XLOOKUP(B422,BugList!A:A,BugList!H:H)</f>
        <v/>
      </c>
      <c r="L422" t="str">
        <f>IF(K422 = "","",_xlfn.XLOOKUP(B422, BugList!A:A,BugList!B:B,""))</f>
        <v/>
      </c>
      <c r="M422">
        <f>_xlfn.XLOOKUP(D422,BugList!C:C,BugList!N:N)</f>
        <v>8</v>
      </c>
      <c r="N422">
        <f>_xlfn.XLOOKUP(B422,BugList!A:A,BugList!R:R)</f>
        <v>8</v>
      </c>
      <c r="O422" t="b">
        <f>_xlfn.XLOOKUP(B422,BugList!A:A,BugList!L:L)</f>
        <v>0</v>
      </c>
      <c r="P422" t="b">
        <f t="shared" si="39"/>
        <v>0</v>
      </c>
      <c r="R422" t="b">
        <f>SUMPRODUCT(COUNTIF(_xlfn.XLOOKUP(B422,BugList!A:A,BugList!P:P), "*SC*"))&gt;0</f>
        <v>0</v>
      </c>
      <c r="S422" t="str">
        <f>_xlfn.XLOOKUP(B422,BugList!A:A,BugList!W:W)</f>
        <v/>
      </c>
      <c r="T422">
        <f t="shared" si="40"/>
        <v>8</v>
      </c>
      <c r="U422">
        <f t="shared" si="41"/>
        <v>8</v>
      </c>
    </row>
    <row r="423" spans="1:21">
      <c r="A423" t="s">
        <v>178</v>
      </c>
      <c r="B423">
        <v>63</v>
      </c>
      <c r="D423" t="s">
        <v>84</v>
      </c>
      <c r="E423" t="s">
        <v>84</v>
      </c>
      <c r="F423">
        <v>1</v>
      </c>
      <c r="G423">
        <f t="shared" si="36"/>
        <v>0.48309178743961351</v>
      </c>
      <c r="H423">
        <f t="shared" si="37"/>
        <v>0</v>
      </c>
      <c r="I423">
        <f t="shared" si="38"/>
        <v>0.48309178743961351</v>
      </c>
      <c r="J423" cm="1">
        <f t="array" ref="J423">INT(G423)+IF(100-SUM(INT(G$423:G$436))&gt;=RANK(I423,I$423:I$436)+COUNTIF(I$423:I423,I423)-1,1,0)</f>
        <v>1</v>
      </c>
      <c r="K423" t="str">
        <f>_xlfn.XLOOKUP(B423,BugList!A:A,BugList!H:H)</f>
        <v/>
      </c>
      <c r="L423" t="str">
        <f>IF(K423 = "","",_xlfn.XLOOKUP(B423, BugList!A:A,BugList!B:B,""))</f>
        <v/>
      </c>
      <c r="M423">
        <f>_xlfn.XLOOKUP(D423,BugList!C:C,BugList!N:N)</f>
        <v>8</v>
      </c>
      <c r="N423">
        <f>_xlfn.XLOOKUP(B423,BugList!A:A,BugList!R:R)</f>
        <v>8</v>
      </c>
      <c r="O423" t="b">
        <f>_xlfn.XLOOKUP(B423,BugList!A:A,BugList!L:L)</f>
        <v>0</v>
      </c>
      <c r="P423" t="b">
        <f t="shared" si="39"/>
        <v>0</v>
      </c>
      <c r="R423" t="b">
        <f>SUMPRODUCT(COUNTIF(_xlfn.XLOOKUP(B423,BugList!A:A,BugList!P:P), "*SC*"))&gt;0</f>
        <v>0</v>
      </c>
      <c r="S423" t="str">
        <f>_xlfn.XLOOKUP(B423,BugList!A:A,BugList!W:W)</f>
        <v/>
      </c>
      <c r="T423">
        <f t="shared" si="40"/>
        <v>8</v>
      </c>
      <c r="U423">
        <f t="shared" si="41"/>
        <v>8</v>
      </c>
    </row>
    <row r="424" spans="1:21">
      <c r="A424" t="s">
        <v>178</v>
      </c>
      <c r="B424">
        <v>88</v>
      </c>
      <c r="D424" t="s">
        <v>85</v>
      </c>
      <c r="E424" t="s">
        <v>85</v>
      </c>
      <c r="F424">
        <v>20</v>
      </c>
      <c r="G424">
        <f t="shared" si="36"/>
        <v>9.6618357487922708</v>
      </c>
      <c r="H424">
        <f t="shared" si="37"/>
        <v>9</v>
      </c>
      <c r="I424">
        <f t="shared" si="38"/>
        <v>0.66183574879227081</v>
      </c>
      <c r="J424" cm="1">
        <f t="array" ref="J424">INT(G424)+IF(100-SUM(INT(G$423:G$436))&gt;=RANK(I424,I$423:I$436)+COUNTIF(I$423:I424,I424)-1,1,0)</f>
        <v>10</v>
      </c>
      <c r="K424" t="str">
        <f>_xlfn.XLOOKUP(B424,BugList!A:A,BugList!H:H)</f>
        <v/>
      </c>
      <c r="L424" t="str">
        <f>IF(K424 = "","",_xlfn.XLOOKUP(B424, BugList!A:A,BugList!B:B,""))</f>
        <v/>
      </c>
      <c r="M424">
        <f>_xlfn.XLOOKUP(D424,BugList!C:C,BugList!N:N)</f>
        <v>4</v>
      </c>
      <c r="N424">
        <f>_xlfn.XLOOKUP(B424,BugList!A:A,BugList!R:R)</f>
        <v>4</v>
      </c>
      <c r="O424" t="b">
        <f>_xlfn.XLOOKUP(B424,BugList!A:A,BugList!L:L)</f>
        <v>0</v>
      </c>
      <c r="P424" t="b">
        <f t="shared" si="39"/>
        <v>0</v>
      </c>
      <c r="R424" t="b">
        <f>SUMPRODUCT(COUNTIF(_xlfn.XLOOKUP(B424,BugList!A:A,BugList!P:P), "*SC*"))&gt;0</f>
        <v>0</v>
      </c>
      <c r="S424" t="str">
        <f>_xlfn.XLOOKUP(B424,BugList!A:A,BugList!W:W)</f>
        <v/>
      </c>
      <c r="T424">
        <f t="shared" si="40"/>
        <v>40</v>
      </c>
      <c r="U424">
        <f t="shared" si="41"/>
        <v>40</v>
      </c>
    </row>
    <row r="425" spans="1:21">
      <c r="A425" t="s">
        <v>178</v>
      </c>
      <c r="B425">
        <v>99</v>
      </c>
      <c r="D425" t="s">
        <v>169</v>
      </c>
      <c r="E425" t="s">
        <v>169</v>
      </c>
      <c r="F425">
        <v>1</v>
      </c>
      <c r="G425">
        <f t="shared" ref="G425:G488" si="42">(F425/(SUMIFS(F:F,A:A,A425))*100)</f>
        <v>0.48309178743961351</v>
      </c>
      <c r="H425">
        <f t="shared" ref="H425:H488" si="43">INT(G425)</f>
        <v>0</v>
      </c>
      <c r="I425">
        <f t="shared" ref="I425:I488" si="44">G425-H425</f>
        <v>0.48309178743961351</v>
      </c>
      <c r="J425" cm="1">
        <f t="array" ref="J425">INT(G425)+IF(100-SUM(INT(G$423:G$436))&gt;=RANK(I425,I$423:I$436)+COUNTIF(I$423:I425,I425)-1,1,0)</f>
        <v>1</v>
      </c>
      <c r="K425" t="str">
        <f>_xlfn.XLOOKUP(B425,BugList!A:A,BugList!H:H)</f>
        <v/>
      </c>
      <c r="L425" t="str">
        <f>IF(K425 = "","",_xlfn.XLOOKUP(B425, BugList!A:A,BugList!B:B,""))</f>
        <v/>
      </c>
      <c r="M425">
        <f>_xlfn.XLOOKUP(D425,BugList!C:C,BugList!N:N)</f>
        <v>5</v>
      </c>
      <c r="N425">
        <f>_xlfn.XLOOKUP(B425,BugList!A:A,BugList!R:R)</f>
        <v>5</v>
      </c>
      <c r="O425" t="b">
        <f>_xlfn.XLOOKUP(B425,BugList!A:A,BugList!L:L)</f>
        <v>0</v>
      </c>
      <c r="P425" t="b">
        <f t="shared" si="39"/>
        <v>0</v>
      </c>
      <c r="R425" t="b">
        <f>SUMPRODUCT(COUNTIF(_xlfn.XLOOKUP(B425,BugList!A:A,BugList!P:P), "*SC*"))&gt;0</f>
        <v>0</v>
      </c>
      <c r="S425" t="str">
        <f>_xlfn.XLOOKUP(B425,BugList!A:A,BugList!W:W)</f>
        <v/>
      </c>
      <c r="T425">
        <f t="shared" si="40"/>
        <v>5</v>
      </c>
      <c r="U425">
        <f t="shared" si="41"/>
        <v>5</v>
      </c>
    </row>
    <row r="426" spans="1:21">
      <c r="A426" t="s">
        <v>178</v>
      </c>
      <c r="B426">
        <v>372</v>
      </c>
      <c r="D426" t="s">
        <v>88</v>
      </c>
      <c r="E426" t="s">
        <v>88</v>
      </c>
      <c r="F426">
        <v>7</v>
      </c>
      <c r="G426">
        <f t="shared" si="42"/>
        <v>3.3816425120772946</v>
      </c>
      <c r="H426">
        <f t="shared" si="43"/>
        <v>3</v>
      </c>
      <c r="I426">
        <f t="shared" si="44"/>
        <v>0.3816425120772946</v>
      </c>
      <c r="J426" cm="1">
        <f t="array" ref="J426">INT(G426)+IF(100-SUM(INT(G$423:G$436))&gt;=RANK(I426,I$423:I$436)+COUNTIF(I$423:I426,I426)-1,1,0)</f>
        <v>3</v>
      </c>
      <c r="K426" t="str">
        <f>_xlfn.XLOOKUP(B426,BugList!A:A,BugList!H:H)</f>
        <v/>
      </c>
      <c r="L426" t="str">
        <f>IF(K426 = "","",_xlfn.XLOOKUP(B426, BugList!A:A,BugList!B:B,""))</f>
        <v/>
      </c>
      <c r="M426">
        <f>_xlfn.XLOOKUP(D426,BugList!C:C,BugList!N:N)</f>
        <v>8</v>
      </c>
      <c r="N426">
        <f>_xlfn.XLOOKUP(B426,BugList!A:A,BugList!R:R)</f>
        <v>8</v>
      </c>
      <c r="O426" t="b">
        <f>_xlfn.XLOOKUP(B426,BugList!A:A,BugList!L:L)</f>
        <v>0</v>
      </c>
      <c r="P426" t="b">
        <f t="shared" si="39"/>
        <v>0</v>
      </c>
      <c r="R426" t="b">
        <f>SUMPRODUCT(COUNTIF(_xlfn.XLOOKUP(B426,BugList!A:A,BugList!P:P), "*SC*"))&gt;0</f>
        <v>0</v>
      </c>
      <c r="S426" t="str">
        <f>_xlfn.XLOOKUP(B426,BugList!A:A,BugList!W:W)</f>
        <v/>
      </c>
      <c r="T426">
        <f t="shared" si="40"/>
        <v>24</v>
      </c>
      <c r="U426">
        <f t="shared" si="41"/>
        <v>24</v>
      </c>
    </row>
    <row r="427" spans="1:21">
      <c r="A427" t="s">
        <v>178</v>
      </c>
      <c r="B427">
        <v>513</v>
      </c>
      <c r="D427" t="s">
        <v>111</v>
      </c>
      <c r="E427" t="s">
        <v>111</v>
      </c>
      <c r="F427">
        <v>27</v>
      </c>
      <c r="G427">
        <f t="shared" si="42"/>
        <v>13.043478260869565</v>
      </c>
      <c r="H427">
        <f t="shared" si="43"/>
        <v>13</v>
      </c>
      <c r="I427">
        <f t="shared" si="44"/>
        <v>4.3478260869564522E-2</v>
      </c>
      <c r="J427" cm="1">
        <f t="array" ref="J427">INT(G427)+IF(100-SUM(INT(G$423:G$436))&gt;=RANK(I427,I$423:I$436)+COUNTIF(I$423:I427,I427)-1,1,0)</f>
        <v>13</v>
      </c>
      <c r="K427" t="str">
        <f>_xlfn.XLOOKUP(B427,BugList!A:A,BugList!H:H)</f>
        <v>*</v>
      </c>
      <c r="L427" t="str">
        <f>IF(K427 = "","",_xlfn.XLOOKUP(B427, BugList!A:A,BugList!B:B,""))</f>
        <v>Ephemeroptera</v>
      </c>
      <c r="M427">
        <f>_xlfn.XLOOKUP(D427,BugList!C:C,BugList!N:N)</f>
        <v>4</v>
      </c>
      <c r="N427">
        <f>_xlfn.XLOOKUP(B427,BugList!A:A,BugList!R:R)</f>
        <v>4</v>
      </c>
      <c r="O427" t="b">
        <f>_xlfn.XLOOKUP(B427,BugList!A:A,BugList!L:L)</f>
        <v>1</v>
      </c>
      <c r="P427" t="b">
        <f t="shared" si="39"/>
        <v>1</v>
      </c>
      <c r="R427" t="b">
        <f>SUMPRODUCT(COUNTIF(_xlfn.XLOOKUP(B427,BugList!A:A,BugList!P:P), "*SC*"))&gt;0</f>
        <v>1</v>
      </c>
      <c r="S427" t="str">
        <f>_xlfn.XLOOKUP(B427,BugList!A:A,BugList!W:W)</f>
        <v/>
      </c>
      <c r="T427">
        <f t="shared" si="40"/>
        <v>52</v>
      </c>
      <c r="U427">
        <f t="shared" si="41"/>
        <v>52</v>
      </c>
    </row>
    <row r="428" spans="1:21">
      <c r="A428" t="s">
        <v>178</v>
      </c>
      <c r="B428">
        <v>745</v>
      </c>
      <c r="D428" t="s">
        <v>179</v>
      </c>
      <c r="E428" t="s">
        <v>179</v>
      </c>
      <c r="F428">
        <v>1</v>
      </c>
      <c r="G428">
        <f t="shared" si="42"/>
        <v>0.48309178743961351</v>
      </c>
      <c r="H428">
        <f t="shared" si="43"/>
        <v>0</v>
      </c>
      <c r="I428">
        <f t="shared" si="44"/>
        <v>0.48309178743961351</v>
      </c>
      <c r="J428" cm="1">
        <f t="array" ref="J428">INT(G428)+IF(100-SUM(INT(G$423:G$436))&gt;=RANK(I428,I$423:I$436)+COUNTIF(I$423:I428,I428)-1,1,0)</f>
        <v>1</v>
      </c>
      <c r="K428" t="str">
        <f>_xlfn.XLOOKUP(B428,BugList!A:A,BugList!H:H)</f>
        <v>*</v>
      </c>
      <c r="L428" t="str">
        <f>IF(K428 = "","",_xlfn.XLOOKUP(B428, BugList!A:A,BugList!B:B,""))</f>
        <v>Trichoptera</v>
      </c>
      <c r="M428">
        <f>_xlfn.XLOOKUP(D428,BugList!C:C,BugList!N:N)</f>
        <v>1</v>
      </c>
      <c r="N428">
        <f>_xlfn.XLOOKUP(B428,BugList!A:A,BugList!R:R)</f>
        <v>1</v>
      </c>
      <c r="O428" t="b">
        <f>_xlfn.XLOOKUP(B428,BugList!A:A,BugList!L:L)</f>
        <v>1</v>
      </c>
      <c r="P428" t="b">
        <f t="shared" si="39"/>
        <v>1</v>
      </c>
      <c r="R428" t="b">
        <f>SUMPRODUCT(COUNTIF(_xlfn.XLOOKUP(B428,BugList!A:A,BugList!P:P), "*SC*"))&gt;0</f>
        <v>0</v>
      </c>
      <c r="S428" t="str">
        <f>_xlfn.XLOOKUP(B428,BugList!A:A,BugList!W:W)</f>
        <v/>
      </c>
      <c r="T428">
        <f t="shared" si="40"/>
        <v>1</v>
      </c>
      <c r="U428">
        <f t="shared" si="41"/>
        <v>1</v>
      </c>
    </row>
    <row r="429" spans="1:21">
      <c r="A429" t="s">
        <v>178</v>
      </c>
      <c r="B429">
        <v>794</v>
      </c>
      <c r="D429" t="s">
        <v>89</v>
      </c>
      <c r="E429" t="s">
        <v>89</v>
      </c>
      <c r="F429">
        <v>53</v>
      </c>
      <c r="G429">
        <f t="shared" si="42"/>
        <v>25.60386473429952</v>
      </c>
      <c r="H429">
        <f t="shared" si="43"/>
        <v>25</v>
      </c>
      <c r="I429">
        <f t="shared" si="44"/>
        <v>0.60386473429952048</v>
      </c>
      <c r="J429" cm="1">
        <f t="array" ref="J429">INT(G429)+IF(100-SUM(INT(G$423:G$436))&gt;=RANK(I429,I$423:I$436)+COUNTIF(I$423:I429,I429)-1,1,0)</f>
        <v>26</v>
      </c>
      <c r="K429" t="str">
        <f>_xlfn.XLOOKUP(B429,BugList!A:A,BugList!H:H)</f>
        <v>*</v>
      </c>
      <c r="L429" t="str">
        <f>IF(K429 = "","",_xlfn.XLOOKUP(B429, BugList!A:A,BugList!B:B,""))</f>
        <v>Trichoptera</v>
      </c>
      <c r="M429">
        <f>_xlfn.XLOOKUP(D429,BugList!C:C,BugList!N:N)</f>
        <v>4</v>
      </c>
      <c r="N429">
        <f>_xlfn.XLOOKUP(B429,BugList!A:A,BugList!R:R)</f>
        <v>4</v>
      </c>
      <c r="O429" t="b">
        <f>_xlfn.XLOOKUP(B429,BugList!A:A,BugList!L:L)</f>
        <v>1</v>
      </c>
      <c r="P429" t="b">
        <f t="shared" ref="P429:P492" si="45">IF(K429="*",IF(D429="Hydropsychidae", IF(E429="Diplectrona",TRUE,FALSE),TRUE),FALSE)</f>
        <v>0</v>
      </c>
      <c r="R429" t="b">
        <f>SUMPRODUCT(COUNTIF(_xlfn.XLOOKUP(B429,BugList!A:A,BugList!P:P), "*SC*"))&gt;0</f>
        <v>0</v>
      </c>
      <c r="S429" t="str">
        <f>_xlfn.XLOOKUP(B429,BugList!A:A,BugList!W:W)</f>
        <v/>
      </c>
      <c r="T429">
        <f t="shared" si="40"/>
        <v>104</v>
      </c>
      <c r="U429">
        <f t="shared" si="41"/>
        <v>104</v>
      </c>
    </row>
    <row r="430" spans="1:21">
      <c r="A430" t="s">
        <v>178</v>
      </c>
      <c r="B430">
        <v>837</v>
      </c>
      <c r="D430" t="s">
        <v>107</v>
      </c>
      <c r="E430" t="s">
        <v>107</v>
      </c>
      <c r="F430">
        <v>46</v>
      </c>
      <c r="G430">
        <f t="shared" si="42"/>
        <v>22.222222222222221</v>
      </c>
      <c r="H430">
        <f t="shared" si="43"/>
        <v>22</v>
      </c>
      <c r="I430">
        <f t="shared" si="44"/>
        <v>0.22222222222222143</v>
      </c>
      <c r="J430" cm="1">
        <f t="array" ref="J430">INT(G430)+IF(100-SUM(INT(G$423:G$436))&gt;=RANK(I430,I$423:I$436)+COUNTIF(I$423:I430,I430)-1,1,0)</f>
        <v>22</v>
      </c>
      <c r="K430" t="str">
        <f>_xlfn.XLOOKUP(B430,BugList!A:A,BugList!H:H)</f>
        <v>*</v>
      </c>
      <c r="L430" t="str">
        <f>IF(K430 = "","",_xlfn.XLOOKUP(B430, BugList!A:A,BugList!B:B,""))</f>
        <v>Trichoptera</v>
      </c>
      <c r="M430">
        <f>_xlfn.XLOOKUP(D430,BugList!C:C,BugList!N:N)</f>
        <v>3</v>
      </c>
      <c r="N430">
        <f>_xlfn.XLOOKUP(B430,BugList!A:A,BugList!R:R)</f>
        <v>3</v>
      </c>
      <c r="O430" t="b">
        <f>_xlfn.XLOOKUP(B430,BugList!A:A,BugList!L:L)</f>
        <v>1</v>
      </c>
      <c r="P430" t="b">
        <f t="shared" si="45"/>
        <v>1</v>
      </c>
      <c r="R430" t="b">
        <f>SUMPRODUCT(COUNTIF(_xlfn.XLOOKUP(B430,BugList!A:A,BugList!P:P), "*SC*"))&gt;0</f>
        <v>0</v>
      </c>
      <c r="S430" t="str">
        <f>_xlfn.XLOOKUP(B430,BugList!A:A,BugList!W:W)</f>
        <v/>
      </c>
      <c r="T430">
        <f t="shared" si="40"/>
        <v>66</v>
      </c>
      <c r="U430">
        <f t="shared" si="41"/>
        <v>66</v>
      </c>
    </row>
    <row r="431" spans="1:21">
      <c r="A431" t="s">
        <v>178</v>
      </c>
      <c r="B431">
        <v>935</v>
      </c>
      <c r="D431" t="s">
        <v>98</v>
      </c>
      <c r="E431" t="s">
        <v>98</v>
      </c>
      <c r="F431">
        <v>36</v>
      </c>
      <c r="G431">
        <f t="shared" si="42"/>
        <v>17.391304347826086</v>
      </c>
      <c r="H431">
        <f t="shared" si="43"/>
        <v>17</v>
      </c>
      <c r="I431">
        <f t="shared" si="44"/>
        <v>0.39130434782608603</v>
      </c>
      <c r="J431" cm="1">
        <f t="array" ref="J431">INT(G431)+IF(100-SUM(INT(G$423:G$436))&gt;=RANK(I431,I$423:I$436)+COUNTIF(I$423:I431,I431)-1,1,0)</f>
        <v>17</v>
      </c>
      <c r="K431" t="str">
        <f>_xlfn.XLOOKUP(B431,BugList!A:A,BugList!H:H)</f>
        <v/>
      </c>
      <c r="L431" t="str">
        <f>IF(K431 = "","",_xlfn.XLOOKUP(B431, BugList!A:A,BugList!B:B,""))</f>
        <v/>
      </c>
      <c r="M431">
        <f>_xlfn.XLOOKUP(D431,BugList!C:C,BugList!N:N)</f>
        <v>4</v>
      </c>
      <c r="N431">
        <f>_xlfn.XLOOKUP(B431,BugList!A:A,BugList!R:R)</f>
        <v>4</v>
      </c>
      <c r="O431" t="b">
        <f>_xlfn.XLOOKUP(B431,BugList!A:A,BugList!L:L)</f>
        <v>1</v>
      </c>
      <c r="P431" t="b">
        <f t="shared" si="45"/>
        <v>0</v>
      </c>
      <c r="R431" t="b">
        <f>SUMPRODUCT(COUNTIF(_xlfn.XLOOKUP(B431,BugList!A:A,BugList!P:P), "*SC*"))&gt;0</f>
        <v>1</v>
      </c>
      <c r="S431" t="str">
        <f>_xlfn.XLOOKUP(B431,BugList!A:A,BugList!W:W)</f>
        <v/>
      </c>
      <c r="T431">
        <f t="shared" si="40"/>
        <v>68</v>
      </c>
      <c r="U431">
        <f t="shared" si="41"/>
        <v>68</v>
      </c>
    </row>
    <row r="432" spans="1:21">
      <c r="A432" t="s">
        <v>178</v>
      </c>
      <c r="B432">
        <v>1002</v>
      </c>
      <c r="D432" t="s">
        <v>100</v>
      </c>
      <c r="E432" t="s">
        <v>100</v>
      </c>
      <c r="F432">
        <v>10</v>
      </c>
      <c r="G432">
        <f t="shared" si="42"/>
        <v>4.8309178743961354</v>
      </c>
      <c r="H432">
        <f t="shared" si="43"/>
        <v>4</v>
      </c>
      <c r="I432">
        <f t="shared" si="44"/>
        <v>0.8309178743961354</v>
      </c>
      <c r="J432" cm="1">
        <f t="array" ref="J432">INT(G432)+IF(100-SUM(INT(G$423:G$436))&gt;=RANK(I432,I$423:I$436)+COUNTIF(I$423:I432,I432)-1,1,0)</f>
        <v>5</v>
      </c>
      <c r="K432" t="str">
        <f>_xlfn.XLOOKUP(B432,BugList!A:A,BugList!H:H)</f>
        <v/>
      </c>
      <c r="L432" t="str">
        <f>IF(K432 = "","",_xlfn.XLOOKUP(B432, BugList!A:A,BugList!B:B,""))</f>
        <v/>
      </c>
      <c r="M432">
        <f>_xlfn.XLOOKUP(D432,BugList!C:C,BugList!N:N)</f>
        <v>4</v>
      </c>
      <c r="N432">
        <f>_xlfn.XLOOKUP(B432,BugList!A:A,BugList!R:R)</f>
        <v>4</v>
      </c>
      <c r="O432" t="b">
        <f>_xlfn.XLOOKUP(B432,BugList!A:A,BugList!L:L)</f>
        <v>1</v>
      </c>
      <c r="P432" t="b">
        <f t="shared" si="45"/>
        <v>0</v>
      </c>
      <c r="R432" t="b">
        <f>SUMPRODUCT(COUNTIF(_xlfn.XLOOKUP(B432,BugList!A:A,BugList!P:P), "*SC*"))&gt;0</f>
        <v>1</v>
      </c>
      <c r="S432" t="str">
        <f>_xlfn.XLOOKUP(B432,BugList!A:A,BugList!W:W)</f>
        <v/>
      </c>
      <c r="T432">
        <f t="shared" si="40"/>
        <v>20</v>
      </c>
      <c r="U432">
        <f t="shared" si="41"/>
        <v>20</v>
      </c>
    </row>
    <row r="433" spans="1:21">
      <c r="A433" t="s">
        <v>178</v>
      </c>
      <c r="B433">
        <v>1088</v>
      </c>
      <c r="D433" t="s">
        <v>90</v>
      </c>
      <c r="E433" t="s">
        <v>90</v>
      </c>
      <c r="F433">
        <v>1</v>
      </c>
      <c r="G433">
        <f t="shared" si="42"/>
        <v>0.48309178743961351</v>
      </c>
      <c r="H433">
        <f t="shared" si="43"/>
        <v>0</v>
      </c>
      <c r="I433">
        <f t="shared" si="44"/>
        <v>0.48309178743961351</v>
      </c>
      <c r="J433" cm="1">
        <f t="array" ref="J433">INT(G433)+IF(100-SUM(INT(G$423:G$436))&gt;=RANK(I433,I$423:I$436)+COUNTIF(I$423:I433,I433)-1,1,0)</f>
        <v>0</v>
      </c>
      <c r="K433" t="str">
        <f>_xlfn.XLOOKUP(B433,BugList!A:A,BugList!H:H)</f>
        <v/>
      </c>
      <c r="L433" t="str">
        <f>IF(K433 = "","",_xlfn.XLOOKUP(B433, BugList!A:A,BugList!B:B,""))</f>
        <v/>
      </c>
      <c r="M433">
        <f>_xlfn.XLOOKUP(D433,BugList!C:C,BugList!N:N)</f>
        <v>6</v>
      </c>
      <c r="N433">
        <f>_xlfn.XLOOKUP(B433,BugList!A:A,BugList!R:R)</f>
        <v>6</v>
      </c>
      <c r="O433" t="b">
        <f>_xlfn.XLOOKUP(B433,BugList!A:A,BugList!L:L)</f>
        <v>1</v>
      </c>
      <c r="P433" t="b">
        <f t="shared" si="45"/>
        <v>0</v>
      </c>
      <c r="R433" t="b">
        <f>SUMPRODUCT(COUNTIF(_xlfn.XLOOKUP(B433,BugList!A:A,BugList!P:P), "*SC*"))&gt;0</f>
        <v>0</v>
      </c>
      <c r="S433" t="str">
        <f>_xlfn.XLOOKUP(B433,BugList!A:A,BugList!W:W)</f>
        <v/>
      </c>
      <c r="T433">
        <f t="shared" si="40"/>
        <v>0</v>
      </c>
      <c r="U433">
        <f t="shared" si="41"/>
        <v>0</v>
      </c>
    </row>
    <row r="434" spans="1:21">
      <c r="A434" t="s">
        <v>178</v>
      </c>
      <c r="B434">
        <v>1582</v>
      </c>
      <c r="D434" t="s">
        <v>121</v>
      </c>
      <c r="E434" t="s">
        <v>121</v>
      </c>
      <c r="F434">
        <v>1</v>
      </c>
      <c r="G434">
        <f t="shared" si="42"/>
        <v>0.48309178743961351</v>
      </c>
      <c r="H434">
        <f t="shared" si="43"/>
        <v>0</v>
      </c>
      <c r="I434">
        <f t="shared" si="44"/>
        <v>0.48309178743961351</v>
      </c>
      <c r="J434" cm="1">
        <f t="array" ref="J434">INT(G434)+IF(100-SUM(INT(G$423:G$436))&gt;=RANK(I434,I$423:I$436)+COUNTIF(I$423:I434,I434)-1,1,0)</f>
        <v>0</v>
      </c>
      <c r="K434" t="str">
        <f>_xlfn.XLOOKUP(B434,BugList!A:A,BugList!H:H)</f>
        <v/>
      </c>
      <c r="L434" t="str">
        <f>IF(K434 = "","",_xlfn.XLOOKUP(B434, BugList!A:A,BugList!B:B,""))</f>
        <v/>
      </c>
      <c r="M434">
        <f>_xlfn.XLOOKUP(D434,BugList!C:C,BugList!N:N)</f>
        <v>6</v>
      </c>
      <c r="N434">
        <f>_xlfn.XLOOKUP(B434,BugList!A:A,BugList!R:R)</f>
        <v>6</v>
      </c>
      <c r="O434" t="b">
        <f>_xlfn.XLOOKUP(B434,BugList!A:A,BugList!L:L)</f>
        <v>0</v>
      </c>
      <c r="P434" t="b">
        <f t="shared" si="45"/>
        <v>0</v>
      </c>
      <c r="R434" t="b">
        <f>SUMPRODUCT(COUNTIF(_xlfn.XLOOKUP(B434,BugList!A:A,BugList!P:P), "*SC*"))&gt;0</f>
        <v>1</v>
      </c>
      <c r="S434" t="str">
        <f>_xlfn.XLOOKUP(B434,BugList!A:A,BugList!W:W)</f>
        <v/>
      </c>
      <c r="T434">
        <f t="shared" si="40"/>
        <v>0</v>
      </c>
      <c r="U434">
        <f t="shared" si="41"/>
        <v>0</v>
      </c>
    </row>
    <row r="435" spans="1:21">
      <c r="A435" t="s">
        <v>178</v>
      </c>
      <c r="B435">
        <v>1587</v>
      </c>
      <c r="D435" t="s">
        <v>91</v>
      </c>
      <c r="E435" t="s">
        <v>91</v>
      </c>
      <c r="F435">
        <v>2</v>
      </c>
      <c r="G435">
        <f t="shared" si="42"/>
        <v>0.96618357487922701</v>
      </c>
      <c r="H435">
        <f t="shared" si="43"/>
        <v>0</v>
      </c>
      <c r="I435">
        <f t="shared" si="44"/>
        <v>0.96618357487922701</v>
      </c>
      <c r="J435" cm="1">
        <f t="array" ref="J435">INT(G435)+IF(100-SUM(INT(G$423:G$436))&gt;=RANK(I435,I$423:I$436)+COUNTIF(I$423:I435,I435)-1,1,0)</f>
        <v>1</v>
      </c>
      <c r="K435" t="str">
        <f>_xlfn.XLOOKUP(B435,BugList!A:A,BugList!H:H)</f>
        <v/>
      </c>
      <c r="L435" t="str">
        <f>IF(K435 = "","",_xlfn.XLOOKUP(B435, BugList!A:A,BugList!B:B,""))</f>
        <v/>
      </c>
      <c r="M435">
        <f>_xlfn.XLOOKUP(D435,BugList!C:C,BugList!N:N)</f>
        <v>6</v>
      </c>
      <c r="N435">
        <f>_xlfn.XLOOKUP(B435,BugList!A:A,BugList!R:R)</f>
        <v>6</v>
      </c>
      <c r="O435" t="b">
        <f>_xlfn.XLOOKUP(B435,BugList!A:A,BugList!L:L)</f>
        <v>0</v>
      </c>
      <c r="P435" t="b">
        <f t="shared" si="45"/>
        <v>0</v>
      </c>
      <c r="R435" t="b">
        <f>SUMPRODUCT(COUNTIF(_xlfn.XLOOKUP(B435,BugList!A:A,BugList!P:P), "*SC*"))&gt;0</f>
        <v>0</v>
      </c>
      <c r="S435" t="str">
        <f>_xlfn.XLOOKUP(B435,BugList!A:A,BugList!W:W)</f>
        <v/>
      </c>
      <c r="T435">
        <f t="shared" si="40"/>
        <v>6</v>
      </c>
      <c r="U435">
        <f t="shared" si="41"/>
        <v>6</v>
      </c>
    </row>
    <row r="436" spans="1:21">
      <c r="A436" t="s">
        <v>178</v>
      </c>
      <c r="B436">
        <v>1696</v>
      </c>
      <c r="D436" t="s">
        <v>94</v>
      </c>
      <c r="E436" t="s">
        <v>94</v>
      </c>
      <c r="F436">
        <v>1</v>
      </c>
      <c r="G436">
        <f t="shared" si="42"/>
        <v>0.48309178743961351</v>
      </c>
      <c r="H436">
        <f t="shared" si="43"/>
        <v>0</v>
      </c>
      <c r="I436">
        <f t="shared" si="44"/>
        <v>0.48309178743961351</v>
      </c>
      <c r="J436" cm="1">
        <f t="array" ref="J436">INT(G436)+IF(100-SUM(INT(G$423:G$436))&gt;=RANK(I436,I$423:I$436)+COUNTIF(I$423:I436,I436)-1,1,0)</f>
        <v>0</v>
      </c>
      <c r="K436" t="str">
        <f>_xlfn.XLOOKUP(B436,BugList!A:A,BugList!H:H)</f>
        <v/>
      </c>
      <c r="L436" t="str">
        <f>IF(K436 = "","",_xlfn.XLOOKUP(B436, BugList!A:A,BugList!B:B,""))</f>
        <v/>
      </c>
      <c r="M436">
        <f>_xlfn.XLOOKUP(D436,BugList!C:C,BugList!N:N)</f>
        <v>8</v>
      </c>
      <c r="N436">
        <f>_xlfn.XLOOKUP(B436,BugList!A:A,BugList!R:R)</f>
        <v>8</v>
      </c>
      <c r="O436" t="b">
        <f>_xlfn.XLOOKUP(B436,BugList!A:A,BugList!L:L)</f>
        <v>0</v>
      </c>
      <c r="P436" t="b">
        <f t="shared" si="45"/>
        <v>0</v>
      </c>
      <c r="R436" t="b">
        <f>SUMPRODUCT(COUNTIF(_xlfn.XLOOKUP(B436,BugList!A:A,BugList!P:P), "*SC*"))&gt;0</f>
        <v>0</v>
      </c>
      <c r="S436" t="str">
        <f>_xlfn.XLOOKUP(B436,BugList!A:A,BugList!W:W)</f>
        <v/>
      </c>
      <c r="T436">
        <f t="shared" si="40"/>
        <v>0</v>
      </c>
      <c r="U436">
        <f t="shared" si="41"/>
        <v>0</v>
      </c>
    </row>
    <row r="437" spans="1:21">
      <c r="A437" t="s">
        <v>180</v>
      </c>
      <c r="B437">
        <v>88</v>
      </c>
      <c r="D437" t="s">
        <v>85</v>
      </c>
      <c r="E437" t="s">
        <v>85</v>
      </c>
      <c r="F437">
        <v>1</v>
      </c>
      <c r="G437">
        <f t="shared" si="42"/>
        <v>0.84033613445378152</v>
      </c>
      <c r="H437">
        <f t="shared" si="43"/>
        <v>0</v>
      </c>
      <c r="I437">
        <f t="shared" si="44"/>
        <v>0.84033613445378152</v>
      </c>
      <c r="J437" cm="1">
        <f t="array" ref="J437">INT(G437)+IF(100-SUM(INT(G$437:G$449))&gt;=RANK(I437,I$437:I$449)+COUNTIF(I$437:I437,I437)-1,1,0)</f>
        <v>1</v>
      </c>
      <c r="K437" t="str">
        <f>_xlfn.XLOOKUP(B437,BugList!A:A,BugList!H:H)</f>
        <v/>
      </c>
      <c r="L437" t="str">
        <f>IF(K437 = "","",_xlfn.XLOOKUP(B437, BugList!A:A,BugList!B:B,""))</f>
        <v/>
      </c>
      <c r="M437">
        <f>_xlfn.XLOOKUP(D437,BugList!C:C,BugList!N:N)</f>
        <v>4</v>
      </c>
      <c r="N437">
        <f>_xlfn.XLOOKUP(B437,BugList!A:A,BugList!R:R)</f>
        <v>4</v>
      </c>
      <c r="O437" t="b">
        <f>_xlfn.XLOOKUP(B437,BugList!A:A,BugList!L:L)</f>
        <v>0</v>
      </c>
      <c r="P437" t="b">
        <f t="shared" si="45"/>
        <v>0</v>
      </c>
      <c r="R437" t="b">
        <f>SUMPRODUCT(COUNTIF(_xlfn.XLOOKUP(B437,BugList!A:A,BugList!P:P), "*SC*"))&gt;0</f>
        <v>0</v>
      </c>
      <c r="S437" t="str">
        <f>_xlfn.XLOOKUP(B437,BugList!A:A,BugList!W:W)</f>
        <v/>
      </c>
      <c r="T437">
        <f t="shared" si="40"/>
        <v>4</v>
      </c>
      <c r="U437">
        <f t="shared" si="41"/>
        <v>4</v>
      </c>
    </row>
    <row r="438" spans="1:21">
      <c r="A438" t="s">
        <v>180</v>
      </c>
      <c r="B438">
        <v>372</v>
      </c>
      <c r="D438" t="s">
        <v>88</v>
      </c>
      <c r="E438" t="s">
        <v>88</v>
      </c>
      <c r="F438">
        <v>1</v>
      </c>
      <c r="G438">
        <f t="shared" si="42"/>
        <v>0.84033613445378152</v>
      </c>
      <c r="H438">
        <f t="shared" si="43"/>
        <v>0</v>
      </c>
      <c r="I438">
        <f t="shared" si="44"/>
        <v>0.84033613445378152</v>
      </c>
      <c r="J438" cm="1">
        <f t="array" ref="J438">INT(G438)+IF(100-SUM(INT(G$437:G$449))&gt;=RANK(I438,I$437:I$449)+COUNTIF(I$437:I438,I438)-1,1,0)</f>
        <v>1</v>
      </c>
      <c r="K438" t="str">
        <f>_xlfn.XLOOKUP(B438,BugList!A:A,BugList!H:H)</f>
        <v/>
      </c>
      <c r="L438" t="str">
        <f>IF(K438 = "","",_xlfn.XLOOKUP(B438, BugList!A:A,BugList!B:B,""))</f>
        <v/>
      </c>
      <c r="M438">
        <f>_xlfn.XLOOKUP(D438,BugList!C:C,BugList!N:N)</f>
        <v>8</v>
      </c>
      <c r="N438">
        <f>_xlfn.XLOOKUP(B438,BugList!A:A,BugList!R:R)</f>
        <v>8</v>
      </c>
      <c r="O438" t="b">
        <f>_xlfn.XLOOKUP(B438,BugList!A:A,BugList!L:L)</f>
        <v>0</v>
      </c>
      <c r="P438" t="b">
        <f t="shared" si="45"/>
        <v>0</v>
      </c>
      <c r="R438" t="b">
        <f>SUMPRODUCT(COUNTIF(_xlfn.XLOOKUP(B438,BugList!A:A,BugList!P:P), "*SC*"))&gt;0</f>
        <v>0</v>
      </c>
      <c r="S438" t="str">
        <f>_xlfn.XLOOKUP(B438,BugList!A:A,BugList!W:W)</f>
        <v/>
      </c>
      <c r="T438">
        <f t="shared" si="40"/>
        <v>8</v>
      </c>
      <c r="U438">
        <f t="shared" si="41"/>
        <v>8</v>
      </c>
    </row>
    <row r="439" spans="1:21">
      <c r="A439" t="s">
        <v>180</v>
      </c>
      <c r="B439">
        <v>421</v>
      </c>
      <c r="D439" t="s">
        <v>105</v>
      </c>
      <c r="E439" t="s">
        <v>105</v>
      </c>
      <c r="F439">
        <v>2</v>
      </c>
      <c r="G439">
        <f t="shared" si="42"/>
        <v>1.680672268907563</v>
      </c>
      <c r="H439">
        <f t="shared" si="43"/>
        <v>1</v>
      </c>
      <c r="I439">
        <f t="shared" si="44"/>
        <v>0.68067226890756305</v>
      </c>
      <c r="J439" cm="1">
        <f t="array" ref="J439">INT(G439)+IF(100-SUM(INT(G$437:G$449))&gt;=RANK(I439,I$437:I$449)+COUNTIF(I$437:I439,I439)-1,1,0)</f>
        <v>2</v>
      </c>
      <c r="K439" t="str">
        <f>_xlfn.XLOOKUP(B439,BugList!A:A,BugList!H:H)</f>
        <v>*</v>
      </c>
      <c r="L439" t="str">
        <f>IF(K439 = "","",_xlfn.XLOOKUP(B439, BugList!A:A,BugList!B:B,""))</f>
        <v>Plecoptera</v>
      </c>
      <c r="M439">
        <f>_xlfn.XLOOKUP(D439,BugList!C:C,BugList!N:N)</f>
        <v>1</v>
      </c>
      <c r="N439">
        <f>_xlfn.XLOOKUP(B439,BugList!A:A,BugList!R:R)</f>
        <v>1</v>
      </c>
      <c r="O439" t="b">
        <f>_xlfn.XLOOKUP(B439,BugList!A:A,BugList!L:L)</f>
        <v>1</v>
      </c>
      <c r="P439" t="b">
        <f t="shared" si="45"/>
        <v>1</v>
      </c>
      <c r="R439" t="b">
        <f>SUMPRODUCT(COUNTIF(_xlfn.XLOOKUP(B439,BugList!A:A,BugList!P:P), "*SC*"))&gt;0</f>
        <v>0</v>
      </c>
      <c r="S439" t="str">
        <f>_xlfn.XLOOKUP(B439,BugList!A:A,BugList!W:W)</f>
        <v/>
      </c>
      <c r="T439">
        <f t="shared" si="40"/>
        <v>2</v>
      </c>
      <c r="U439">
        <f t="shared" si="41"/>
        <v>2</v>
      </c>
    </row>
    <row r="440" spans="1:21">
      <c r="A440" t="s">
        <v>180</v>
      </c>
      <c r="B440">
        <v>513</v>
      </c>
      <c r="D440" t="s">
        <v>111</v>
      </c>
      <c r="E440" t="s">
        <v>111</v>
      </c>
      <c r="F440">
        <v>5</v>
      </c>
      <c r="G440">
        <f t="shared" si="42"/>
        <v>4.2016806722689077</v>
      </c>
      <c r="H440">
        <f t="shared" si="43"/>
        <v>4</v>
      </c>
      <c r="I440">
        <f t="shared" si="44"/>
        <v>0.20168067226890773</v>
      </c>
      <c r="J440" cm="1">
        <f t="array" ref="J440">INT(G440)+IF(100-SUM(INT(G$437:G$449))&gt;=RANK(I440,I$437:I$449)+COUNTIF(I$437:I440,I440)-1,1,0)</f>
        <v>4</v>
      </c>
      <c r="K440" t="str">
        <f>_xlfn.XLOOKUP(B440,BugList!A:A,BugList!H:H)</f>
        <v>*</v>
      </c>
      <c r="L440" t="str">
        <f>IF(K440 = "","",_xlfn.XLOOKUP(B440, BugList!A:A,BugList!B:B,""))</f>
        <v>Ephemeroptera</v>
      </c>
      <c r="M440">
        <f>_xlfn.XLOOKUP(D440,BugList!C:C,BugList!N:N)</f>
        <v>4</v>
      </c>
      <c r="N440">
        <f>_xlfn.XLOOKUP(B440,BugList!A:A,BugList!R:R)</f>
        <v>4</v>
      </c>
      <c r="O440" t="b">
        <f>_xlfn.XLOOKUP(B440,BugList!A:A,BugList!L:L)</f>
        <v>1</v>
      </c>
      <c r="P440" t="b">
        <f t="shared" si="45"/>
        <v>1</v>
      </c>
      <c r="R440" t="b">
        <f>SUMPRODUCT(COUNTIF(_xlfn.XLOOKUP(B440,BugList!A:A,BugList!P:P), "*SC*"))&gt;0</f>
        <v>1</v>
      </c>
      <c r="S440" t="str">
        <f>_xlfn.XLOOKUP(B440,BugList!A:A,BugList!W:W)</f>
        <v/>
      </c>
      <c r="T440">
        <f t="shared" si="40"/>
        <v>16</v>
      </c>
      <c r="U440">
        <f t="shared" si="41"/>
        <v>16</v>
      </c>
    </row>
    <row r="441" spans="1:21">
      <c r="A441" t="s">
        <v>180</v>
      </c>
      <c r="B441">
        <v>602</v>
      </c>
      <c r="D441" t="s">
        <v>97</v>
      </c>
      <c r="E441" t="s">
        <v>97</v>
      </c>
      <c r="F441">
        <v>6</v>
      </c>
      <c r="G441">
        <f t="shared" si="42"/>
        <v>5.0420168067226889</v>
      </c>
      <c r="H441">
        <f t="shared" si="43"/>
        <v>5</v>
      </c>
      <c r="I441">
        <f t="shared" si="44"/>
        <v>4.2016806722688926E-2</v>
      </c>
      <c r="J441" cm="1">
        <f t="array" ref="J441">INT(G441)+IF(100-SUM(INT(G$437:G$449))&gt;=RANK(I441,I$437:I$449)+COUNTIF(I$437:I441,I441)-1,1,0)</f>
        <v>5</v>
      </c>
      <c r="K441" t="str">
        <f>_xlfn.XLOOKUP(B441,BugList!A:A,BugList!H:H)</f>
        <v/>
      </c>
      <c r="L441" t="str">
        <f>IF(K441 = "","",_xlfn.XLOOKUP(B441, BugList!A:A,BugList!B:B,""))</f>
        <v/>
      </c>
      <c r="M441">
        <f>_xlfn.XLOOKUP(D441,BugList!C:C,BugList!N:N)</f>
        <v>9</v>
      </c>
      <c r="N441">
        <f>_xlfn.XLOOKUP(B441,BugList!A:A,BugList!R:R)</f>
        <v>9</v>
      </c>
      <c r="O441" t="b">
        <f>_xlfn.XLOOKUP(B441,BugList!A:A,BugList!L:L)</f>
        <v>1</v>
      </c>
      <c r="P441" t="b">
        <f t="shared" si="45"/>
        <v>0</v>
      </c>
      <c r="R441" t="b">
        <f>SUMPRODUCT(COUNTIF(_xlfn.XLOOKUP(B441,BugList!A:A,BugList!P:P), "*SC*"))&gt;0</f>
        <v>0</v>
      </c>
      <c r="S441" t="str">
        <f>_xlfn.XLOOKUP(B441,BugList!A:A,BugList!W:W)</f>
        <v/>
      </c>
      <c r="T441">
        <f t="shared" si="40"/>
        <v>45</v>
      </c>
      <c r="U441">
        <f t="shared" si="41"/>
        <v>45</v>
      </c>
    </row>
    <row r="442" spans="1:21">
      <c r="A442" t="s">
        <v>180</v>
      </c>
      <c r="B442">
        <v>620</v>
      </c>
      <c r="D442" t="s">
        <v>113</v>
      </c>
      <c r="E442" t="s">
        <v>113</v>
      </c>
      <c r="F442">
        <v>10</v>
      </c>
      <c r="G442">
        <f t="shared" si="42"/>
        <v>8.4033613445378155</v>
      </c>
      <c r="H442">
        <f t="shared" si="43"/>
        <v>8</v>
      </c>
      <c r="I442">
        <f t="shared" si="44"/>
        <v>0.40336134453781547</v>
      </c>
      <c r="J442" cm="1">
        <f t="array" ref="J442">INT(G442)+IF(100-SUM(INT(G$437:G$449))&gt;=RANK(I442,I$437:I$449)+COUNTIF(I$437:I442,I442)-1,1,0)</f>
        <v>8</v>
      </c>
      <c r="K442" t="str">
        <f>_xlfn.XLOOKUP(B442,BugList!A:A,BugList!H:H)</f>
        <v/>
      </c>
      <c r="L442" t="str">
        <f>IF(K442 = "","",_xlfn.XLOOKUP(B442, BugList!A:A,BugList!B:B,""))</f>
        <v/>
      </c>
      <c r="M442">
        <f>_xlfn.XLOOKUP(D442,BugList!C:C,BugList!N:N)</f>
        <v>1</v>
      </c>
      <c r="N442">
        <f>_xlfn.XLOOKUP(B442,BugList!A:A,BugList!R:R)</f>
        <v>1</v>
      </c>
      <c r="O442" t="b">
        <f>_xlfn.XLOOKUP(B442,BugList!A:A,BugList!L:L)</f>
        <v>1</v>
      </c>
      <c r="P442" t="b">
        <f t="shared" si="45"/>
        <v>0</v>
      </c>
      <c r="R442" t="b">
        <f>SUMPRODUCT(COUNTIF(_xlfn.XLOOKUP(B442,BugList!A:A,BugList!P:P), "*SC*"))&gt;0</f>
        <v>0</v>
      </c>
      <c r="S442" t="str">
        <f>_xlfn.XLOOKUP(B442,BugList!A:A,BugList!W:W)</f>
        <v>3</v>
      </c>
      <c r="T442">
        <f t="shared" si="40"/>
        <v>8</v>
      </c>
      <c r="U442">
        <f t="shared" si="41"/>
        <v>8</v>
      </c>
    </row>
    <row r="443" spans="1:21">
      <c r="A443" t="s">
        <v>180</v>
      </c>
      <c r="B443">
        <v>725</v>
      </c>
      <c r="D443" t="s">
        <v>181</v>
      </c>
      <c r="E443" t="s">
        <v>181</v>
      </c>
      <c r="F443">
        <v>2</v>
      </c>
      <c r="G443">
        <f t="shared" si="42"/>
        <v>1.680672268907563</v>
      </c>
      <c r="H443">
        <f t="shared" si="43"/>
        <v>1</v>
      </c>
      <c r="I443">
        <f t="shared" si="44"/>
        <v>0.68067226890756305</v>
      </c>
      <c r="J443" cm="1">
        <f t="array" ref="J443">INT(G443)+IF(100-SUM(INT(G$437:G$449))&gt;=RANK(I443,I$437:I$449)+COUNTIF(I$437:I443,I443)-1,1,0)</f>
        <v>2</v>
      </c>
      <c r="K443" t="str">
        <f>_xlfn.XLOOKUP(B443,BugList!A:A,BugList!H:H)</f>
        <v/>
      </c>
      <c r="L443" t="str">
        <f>IF(K443 = "","",_xlfn.XLOOKUP(B443, BugList!A:A,BugList!B:B,""))</f>
        <v/>
      </c>
      <c r="M443">
        <f>_xlfn.XLOOKUP(D443,BugList!C:C,BugList!N:N)</f>
        <v>4</v>
      </c>
      <c r="N443">
        <f>_xlfn.XLOOKUP(B443,BugList!A:A,BugList!R:R)</f>
        <v>4</v>
      </c>
      <c r="O443" t="b">
        <f>_xlfn.XLOOKUP(B443,BugList!A:A,BugList!L:L)</f>
        <v>1</v>
      </c>
      <c r="P443" t="b">
        <f t="shared" si="45"/>
        <v>0</v>
      </c>
      <c r="R443" t="b">
        <f>SUMPRODUCT(COUNTIF(_xlfn.XLOOKUP(B443,BugList!A:A,BugList!P:P), "*SC*"))&gt;0</f>
        <v>0</v>
      </c>
      <c r="S443" t="str">
        <f>_xlfn.XLOOKUP(B443,BugList!A:A,BugList!W:W)</f>
        <v/>
      </c>
      <c r="T443">
        <f t="shared" si="40"/>
        <v>8</v>
      </c>
      <c r="U443">
        <f t="shared" si="41"/>
        <v>8</v>
      </c>
    </row>
    <row r="444" spans="1:21">
      <c r="A444" t="s">
        <v>180</v>
      </c>
      <c r="B444">
        <v>794</v>
      </c>
      <c r="D444" t="s">
        <v>89</v>
      </c>
      <c r="E444" t="s">
        <v>89</v>
      </c>
      <c r="F444">
        <v>9</v>
      </c>
      <c r="G444">
        <f t="shared" si="42"/>
        <v>7.5630252100840334</v>
      </c>
      <c r="H444">
        <f t="shared" si="43"/>
        <v>7</v>
      </c>
      <c r="I444">
        <f t="shared" si="44"/>
        <v>0.56302521008403339</v>
      </c>
      <c r="J444" cm="1">
        <f t="array" ref="J444">INT(G444)+IF(100-SUM(INT(G$437:G$449))&gt;=RANK(I444,I$437:I$449)+COUNTIF(I$437:I444,I444)-1,1,0)</f>
        <v>8</v>
      </c>
      <c r="K444" t="str">
        <f>_xlfn.XLOOKUP(B444,BugList!A:A,BugList!H:H)</f>
        <v>*</v>
      </c>
      <c r="L444" t="str">
        <f>IF(K444 = "","",_xlfn.XLOOKUP(B444, BugList!A:A,BugList!B:B,""))</f>
        <v>Trichoptera</v>
      </c>
      <c r="M444">
        <f>_xlfn.XLOOKUP(D444,BugList!C:C,BugList!N:N)</f>
        <v>4</v>
      </c>
      <c r="N444">
        <f>_xlfn.XLOOKUP(B444,BugList!A:A,BugList!R:R)</f>
        <v>4</v>
      </c>
      <c r="O444" t="b">
        <f>_xlfn.XLOOKUP(B444,BugList!A:A,BugList!L:L)</f>
        <v>1</v>
      </c>
      <c r="P444" t="b">
        <f t="shared" si="45"/>
        <v>0</v>
      </c>
      <c r="R444" t="b">
        <f>SUMPRODUCT(COUNTIF(_xlfn.XLOOKUP(B444,BugList!A:A,BugList!P:P), "*SC*"))&gt;0</f>
        <v>0</v>
      </c>
      <c r="S444" t="str">
        <f>_xlfn.XLOOKUP(B444,BugList!A:A,BugList!W:W)</f>
        <v/>
      </c>
      <c r="T444">
        <f t="shared" si="40"/>
        <v>32</v>
      </c>
      <c r="U444">
        <f t="shared" si="41"/>
        <v>32</v>
      </c>
    </row>
    <row r="445" spans="1:21">
      <c r="A445" t="s">
        <v>180</v>
      </c>
      <c r="B445">
        <v>837</v>
      </c>
      <c r="D445" t="s">
        <v>107</v>
      </c>
      <c r="E445" t="s">
        <v>107</v>
      </c>
      <c r="F445">
        <v>23</v>
      </c>
      <c r="G445">
        <f t="shared" si="42"/>
        <v>19.327731092436977</v>
      </c>
      <c r="H445">
        <f t="shared" si="43"/>
        <v>19</v>
      </c>
      <c r="I445">
        <f t="shared" si="44"/>
        <v>0.32773109243697718</v>
      </c>
      <c r="J445" cm="1">
        <f t="array" ref="J445">INT(G445)+IF(100-SUM(INT(G$437:G$449))&gt;=RANK(I445,I$437:I$449)+COUNTIF(I$437:I445,I445)-1,1,0)</f>
        <v>19</v>
      </c>
      <c r="K445" t="str">
        <f>_xlfn.XLOOKUP(B445,BugList!A:A,BugList!H:H)</f>
        <v>*</v>
      </c>
      <c r="L445" t="str">
        <f>IF(K445 = "","",_xlfn.XLOOKUP(B445, BugList!A:A,BugList!B:B,""))</f>
        <v>Trichoptera</v>
      </c>
      <c r="M445">
        <f>_xlfn.XLOOKUP(D445,BugList!C:C,BugList!N:N)</f>
        <v>3</v>
      </c>
      <c r="N445">
        <f>_xlfn.XLOOKUP(B445,BugList!A:A,BugList!R:R)</f>
        <v>3</v>
      </c>
      <c r="O445" t="b">
        <f>_xlfn.XLOOKUP(B445,BugList!A:A,BugList!L:L)</f>
        <v>1</v>
      </c>
      <c r="P445" t="b">
        <f t="shared" si="45"/>
        <v>1</v>
      </c>
      <c r="R445" t="b">
        <f>SUMPRODUCT(COUNTIF(_xlfn.XLOOKUP(B445,BugList!A:A,BugList!P:P), "*SC*"))&gt;0</f>
        <v>0</v>
      </c>
      <c r="S445" t="str">
        <f>_xlfn.XLOOKUP(B445,BugList!A:A,BugList!W:W)</f>
        <v/>
      </c>
      <c r="T445">
        <f t="shared" si="40"/>
        <v>57</v>
      </c>
      <c r="U445">
        <f t="shared" si="41"/>
        <v>57</v>
      </c>
    </row>
    <row r="446" spans="1:21">
      <c r="A446" t="s">
        <v>180</v>
      </c>
      <c r="B446">
        <v>935</v>
      </c>
      <c r="D446" t="s">
        <v>98</v>
      </c>
      <c r="E446" t="s">
        <v>98</v>
      </c>
      <c r="F446">
        <v>3</v>
      </c>
      <c r="G446">
        <f t="shared" si="42"/>
        <v>2.5210084033613445</v>
      </c>
      <c r="H446">
        <f t="shared" si="43"/>
        <v>2</v>
      </c>
      <c r="I446">
        <f t="shared" si="44"/>
        <v>0.52100840336134446</v>
      </c>
      <c r="J446" cm="1">
        <f t="array" ref="J446">INT(G446)+IF(100-SUM(INT(G$437:G$449))&gt;=RANK(I446,I$437:I$449)+COUNTIF(I$437:I446,I446)-1,1,0)</f>
        <v>3</v>
      </c>
      <c r="K446" t="str">
        <f>_xlfn.XLOOKUP(B446,BugList!A:A,BugList!H:H)</f>
        <v/>
      </c>
      <c r="L446" t="str">
        <f>IF(K446 = "","",_xlfn.XLOOKUP(B446, BugList!A:A,BugList!B:B,""))</f>
        <v/>
      </c>
      <c r="M446">
        <f>_xlfn.XLOOKUP(D446,BugList!C:C,BugList!N:N)</f>
        <v>4</v>
      </c>
      <c r="N446">
        <f>_xlfn.XLOOKUP(B446,BugList!A:A,BugList!R:R)</f>
        <v>4</v>
      </c>
      <c r="O446" t="b">
        <f>_xlfn.XLOOKUP(B446,BugList!A:A,BugList!L:L)</f>
        <v>1</v>
      </c>
      <c r="P446" t="b">
        <f t="shared" si="45"/>
        <v>0</v>
      </c>
      <c r="R446" t="b">
        <f>SUMPRODUCT(COUNTIF(_xlfn.XLOOKUP(B446,BugList!A:A,BugList!P:P), "*SC*"))&gt;0</f>
        <v>1</v>
      </c>
      <c r="S446" t="str">
        <f>_xlfn.XLOOKUP(B446,BugList!A:A,BugList!W:W)</f>
        <v/>
      </c>
      <c r="T446">
        <f t="shared" si="40"/>
        <v>12</v>
      </c>
      <c r="U446">
        <f t="shared" si="41"/>
        <v>12</v>
      </c>
    </row>
    <row r="447" spans="1:21">
      <c r="A447" t="s">
        <v>180</v>
      </c>
      <c r="B447">
        <v>1002</v>
      </c>
      <c r="D447" t="s">
        <v>100</v>
      </c>
      <c r="E447" t="s">
        <v>100</v>
      </c>
      <c r="F447">
        <v>41</v>
      </c>
      <c r="G447">
        <f t="shared" si="42"/>
        <v>34.45378151260504</v>
      </c>
      <c r="H447">
        <f t="shared" si="43"/>
        <v>34</v>
      </c>
      <c r="I447">
        <f t="shared" si="44"/>
        <v>0.4537815126050404</v>
      </c>
      <c r="J447" cm="1">
        <f t="array" ref="J447">INT(G447)+IF(100-SUM(INT(G$437:G$449))&gt;=RANK(I447,I$437:I$449)+COUNTIF(I$437:I447,I447)-1,1,0)</f>
        <v>34</v>
      </c>
      <c r="K447" t="str">
        <f>_xlfn.XLOOKUP(B447,BugList!A:A,BugList!H:H)</f>
        <v/>
      </c>
      <c r="L447" t="str">
        <f>IF(K447 = "","",_xlfn.XLOOKUP(B447, BugList!A:A,BugList!B:B,""))</f>
        <v/>
      </c>
      <c r="M447">
        <f>_xlfn.XLOOKUP(D447,BugList!C:C,BugList!N:N)</f>
        <v>4</v>
      </c>
      <c r="N447">
        <f>_xlfn.XLOOKUP(B447,BugList!A:A,BugList!R:R)</f>
        <v>4</v>
      </c>
      <c r="O447" t="b">
        <f>_xlfn.XLOOKUP(B447,BugList!A:A,BugList!L:L)</f>
        <v>1</v>
      </c>
      <c r="P447" t="b">
        <f t="shared" si="45"/>
        <v>0</v>
      </c>
      <c r="R447" t="b">
        <f>SUMPRODUCT(COUNTIF(_xlfn.XLOOKUP(B447,BugList!A:A,BugList!P:P), "*SC*"))&gt;0</f>
        <v>1</v>
      </c>
      <c r="S447" t="str">
        <f>_xlfn.XLOOKUP(B447,BugList!A:A,BugList!W:W)</f>
        <v/>
      </c>
      <c r="T447">
        <f t="shared" si="40"/>
        <v>136</v>
      </c>
      <c r="U447">
        <f t="shared" si="41"/>
        <v>136</v>
      </c>
    </row>
    <row r="448" spans="1:21">
      <c r="A448" t="s">
        <v>180</v>
      </c>
      <c r="B448">
        <v>1497</v>
      </c>
      <c r="D448" t="s">
        <v>108</v>
      </c>
      <c r="E448" t="s">
        <v>108</v>
      </c>
      <c r="F448">
        <v>13</v>
      </c>
      <c r="G448">
        <f t="shared" si="42"/>
        <v>10.92436974789916</v>
      </c>
      <c r="H448">
        <f t="shared" si="43"/>
        <v>10</v>
      </c>
      <c r="I448">
        <f t="shared" si="44"/>
        <v>0.92436974789915993</v>
      </c>
      <c r="J448" cm="1">
        <f t="array" ref="J448">INT(G448)+IF(100-SUM(INT(G$437:G$449))&gt;=RANK(I448,I$437:I$449)+COUNTIF(I$437:I448,I448)-1,1,0)</f>
        <v>11</v>
      </c>
      <c r="K448" t="str">
        <f>_xlfn.XLOOKUP(B448,BugList!A:A,BugList!H:H)</f>
        <v/>
      </c>
      <c r="L448" t="str">
        <f>IF(K448 = "","",_xlfn.XLOOKUP(B448, BugList!A:A,BugList!B:B,""))</f>
        <v/>
      </c>
      <c r="M448">
        <f>_xlfn.XLOOKUP(D448,BugList!C:C,BugList!N:N)</f>
        <v>3</v>
      </c>
      <c r="N448">
        <f>_xlfn.XLOOKUP(B448,BugList!A:A,BugList!R:R)</f>
        <v>3</v>
      </c>
      <c r="O448" t="b">
        <f>_xlfn.XLOOKUP(B448,BugList!A:A,BugList!L:L)</f>
        <v>1</v>
      </c>
      <c r="P448" t="b">
        <f t="shared" si="45"/>
        <v>0</v>
      </c>
      <c r="R448" t="b">
        <f>SUMPRODUCT(COUNTIF(_xlfn.XLOOKUP(B448,BugList!A:A,BugList!P:P), "*SC*"))&gt;0</f>
        <v>0</v>
      </c>
      <c r="S448" t="str">
        <f>_xlfn.XLOOKUP(B448,BugList!A:A,BugList!W:W)</f>
        <v/>
      </c>
      <c r="T448">
        <f t="shared" si="40"/>
        <v>33</v>
      </c>
      <c r="U448">
        <f t="shared" si="41"/>
        <v>33</v>
      </c>
    </row>
    <row r="449" spans="1:21">
      <c r="A449" t="s">
        <v>180</v>
      </c>
      <c r="B449">
        <v>1696</v>
      </c>
      <c r="D449" t="s">
        <v>94</v>
      </c>
      <c r="E449" t="s">
        <v>94</v>
      </c>
      <c r="F449">
        <v>3</v>
      </c>
      <c r="G449">
        <f t="shared" si="42"/>
        <v>2.5210084033613445</v>
      </c>
      <c r="H449">
        <f t="shared" si="43"/>
        <v>2</v>
      </c>
      <c r="I449">
        <f t="shared" si="44"/>
        <v>0.52100840336134446</v>
      </c>
      <c r="J449" cm="1">
        <f t="array" ref="J449">INT(G449)+IF(100-SUM(INT(G$437:G$449))&gt;=RANK(I449,I$437:I$449)+COUNTIF(I$437:I449,I449)-1,1,0)</f>
        <v>2</v>
      </c>
      <c r="K449" t="str">
        <f>_xlfn.XLOOKUP(B449,BugList!A:A,BugList!H:H)</f>
        <v/>
      </c>
      <c r="L449" t="str">
        <f>IF(K449 = "","",_xlfn.XLOOKUP(B449, BugList!A:A,BugList!B:B,""))</f>
        <v/>
      </c>
      <c r="M449">
        <f>_xlfn.XLOOKUP(D449,BugList!C:C,BugList!N:N)</f>
        <v>8</v>
      </c>
      <c r="N449">
        <f>_xlfn.XLOOKUP(B449,BugList!A:A,BugList!R:R)</f>
        <v>8</v>
      </c>
      <c r="O449" t="b">
        <f>_xlfn.XLOOKUP(B449,BugList!A:A,BugList!L:L)</f>
        <v>0</v>
      </c>
      <c r="P449" t="b">
        <f t="shared" si="45"/>
        <v>0</v>
      </c>
      <c r="R449" t="b">
        <f>SUMPRODUCT(COUNTIF(_xlfn.XLOOKUP(B449,BugList!A:A,BugList!P:P), "*SC*"))&gt;0</f>
        <v>0</v>
      </c>
      <c r="S449" t="str">
        <f>_xlfn.XLOOKUP(B449,BugList!A:A,BugList!W:W)</f>
        <v/>
      </c>
      <c r="T449">
        <f t="shared" si="40"/>
        <v>16</v>
      </c>
      <c r="U449">
        <f t="shared" si="41"/>
        <v>16</v>
      </c>
    </row>
    <row r="450" spans="1:21">
      <c r="A450" t="s">
        <v>182</v>
      </c>
      <c r="B450">
        <v>88</v>
      </c>
      <c r="D450" t="s">
        <v>85</v>
      </c>
      <c r="E450" t="s">
        <v>85</v>
      </c>
      <c r="F450">
        <v>15</v>
      </c>
      <c r="G450">
        <f t="shared" si="42"/>
        <v>14.018691588785046</v>
      </c>
      <c r="H450">
        <f t="shared" si="43"/>
        <v>14</v>
      </c>
      <c r="I450">
        <f t="shared" si="44"/>
        <v>1.8691588785046065E-2</v>
      </c>
      <c r="J450" cm="1">
        <f t="array" ref="J450">INT(G450)+IF(100-SUM(INT(G$450:G$461))&gt;=RANK(I450,I$450:I$461)+COUNTIF(I$450:I450,I450)-1,1,0)</f>
        <v>14</v>
      </c>
      <c r="K450" t="str">
        <f>_xlfn.XLOOKUP(B450,BugList!A:A,BugList!H:H)</f>
        <v/>
      </c>
      <c r="L450" t="str">
        <f>IF(K450 = "","",_xlfn.XLOOKUP(B450, BugList!A:A,BugList!B:B,""))</f>
        <v/>
      </c>
      <c r="M450">
        <f>_xlfn.XLOOKUP(D450,BugList!C:C,BugList!N:N)</f>
        <v>4</v>
      </c>
      <c r="N450">
        <f>_xlfn.XLOOKUP(B450,BugList!A:A,BugList!R:R)</f>
        <v>4</v>
      </c>
      <c r="O450" t="b">
        <f>_xlfn.XLOOKUP(B450,BugList!A:A,BugList!L:L)</f>
        <v>0</v>
      </c>
      <c r="P450" t="b">
        <f t="shared" si="45"/>
        <v>0</v>
      </c>
      <c r="R450" t="b">
        <f>SUMPRODUCT(COUNTIF(_xlfn.XLOOKUP(B450,BugList!A:A,BugList!P:P), "*SC*"))&gt;0</f>
        <v>0</v>
      </c>
      <c r="S450" t="str">
        <f>_xlfn.XLOOKUP(B450,BugList!A:A,BugList!W:W)</f>
        <v/>
      </c>
      <c r="T450">
        <f t="shared" ref="T450:T513" si="46">J450*M450</f>
        <v>56</v>
      </c>
      <c r="U450">
        <f t="shared" ref="U450:U513" si="47">J450*N450</f>
        <v>56</v>
      </c>
    </row>
    <row r="451" spans="1:21">
      <c r="A451" t="s">
        <v>182</v>
      </c>
      <c r="B451">
        <v>99</v>
      </c>
      <c r="D451" t="s">
        <v>169</v>
      </c>
      <c r="E451" t="s">
        <v>169</v>
      </c>
      <c r="F451">
        <v>2</v>
      </c>
      <c r="G451">
        <f t="shared" si="42"/>
        <v>1.8691588785046727</v>
      </c>
      <c r="H451">
        <f t="shared" si="43"/>
        <v>1</v>
      </c>
      <c r="I451">
        <f t="shared" si="44"/>
        <v>0.86915887850467266</v>
      </c>
      <c r="J451" cm="1">
        <f t="array" ref="J451">INT(G451)+IF(100-SUM(INT(G$450:G$461))&gt;=RANK(I451,I$450:I$461)+COUNTIF(I$450:I451,I451)-1,1,0)</f>
        <v>2</v>
      </c>
      <c r="K451" t="str">
        <f>_xlfn.XLOOKUP(B451,BugList!A:A,BugList!H:H)</f>
        <v/>
      </c>
      <c r="L451" t="str">
        <f>IF(K451 = "","",_xlfn.XLOOKUP(B451, BugList!A:A,BugList!B:B,""))</f>
        <v/>
      </c>
      <c r="M451">
        <f>_xlfn.XLOOKUP(D451,BugList!C:C,BugList!N:N)</f>
        <v>5</v>
      </c>
      <c r="N451">
        <f>_xlfn.XLOOKUP(B451,BugList!A:A,BugList!R:R)</f>
        <v>5</v>
      </c>
      <c r="O451" t="b">
        <f>_xlfn.XLOOKUP(B451,BugList!A:A,BugList!L:L)</f>
        <v>0</v>
      </c>
      <c r="P451" t="b">
        <f t="shared" si="45"/>
        <v>0</v>
      </c>
      <c r="R451" t="b">
        <f>SUMPRODUCT(COUNTIF(_xlfn.XLOOKUP(B451,BugList!A:A,BugList!P:P), "*SC*"))&gt;0</f>
        <v>0</v>
      </c>
      <c r="S451" t="str">
        <f>_xlfn.XLOOKUP(B451,BugList!A:A,BugList!W:W)</f>
        <v/>
      </c>
      <c r="T451">
        <f t="shared" si="46"/>
        <v>10</v>
      </c>
      <c r="U451">
        <f t="shared" si="47"/>
        <v>10</v>
      </c>
    </row>
    <row r="452" spans="1:21">
      <c r="A452" t="s">
        <v>182</v>
      </c>
      <c r="B452">
        <v>372</v>
      </c>
      <c r="D452" t="s">
        <v>88</v>
      </c>
      <c r="E452" t="s">
        <v>88</v>
      </c>
      <c r="F452">
        <v>2</v>
      </c>
      <c r="G452">
        <f t="shared" si="42"/>
        <v>1.8691588785046727</v>
      </c>
      <c r="H452">
        <f t="shared" si="43"/>
        <v>1</v>
      </c>
      <c r="I452">
        <f t="shared" si="44"/>
        <v>0.86915887850467266</v>
      </c>
      <c r="J452" cm="1">
        <f t="array" ref="J452">INT(G452)+IF(100-SUM(INT(G$450:G$461))&gt;=RANK(I452,I$450:I$461)+COUNTIF(I$450:I452,I452)-1,1,0)</f>
        <v>2</v>
      </c>
      <c r="K452" t="str">
        <f>_xlfn.XLOOKUP(B452,BugList!A:A,BugList!H:H)</f>
        <v/>
      </c>
      <c r="L452" t="str">
        <f>IF(K452 = "","",_xlfn.XLOOKUP(B452, BugList!A:A,BugList!B:B,""))</f>
        <v/>
      </c>
      <c r="M452">
        <f>_xlfn.XLOOKUP(D452,BugList!C:C,BugList!N:N)</f>
        <v>8</v>
      </c>
      <c r="N452">
        <f>_xlfn.XLOOKUP(B452,BugList!A:A,BugList!R:R)</f>
        <v>8</v>
      </c>
      <c r="O452" t="b">
        <f>_xlfn.XLOOKUP(B452,BugList!A:A,BugList!L:L)</f>
        <v>0</v>
      </c>
      <c r="P452" t="b">
        <f t="shared" si="45"/>
        <v>0</v>
      </c>
      <c r="R452" t="b">
        <f>SUMPRODUCT(COUNTIF(_xlfn.XLOOKUP(B452,BugList!A:A,BugList!P:P), "*SC*"))&gt;0</f>
        <v>0</v>
      </c>
      <c r="S452" t="str">
        <f>_xlfn.XLOOKUP(B452,BugList!A:A,BugList!W:W)</f>
        <v/>
      </c>
      <c r="T452">
        <f t="shared" si="46"/>
        <v>16</v>
      </c>
      <c r="U452">
        <f t="shared" si="47"/>
        <v>16</v>
      </c>
    </row>
    <row r="453" spans="1:21">
      <c r="A453" t="s">
        <v>182</v>
      </c>
      <c r="B453">
        <v>469</v>
      </c>
      <c r="D453" t="s">
        <v>154</v>
      </c>
      <c r="E453" t="s">
        <v>154</v>
      </c>
      <c r="F453">
        <v>1</v>
      </c>
      <c r="G453">
        <f t="shared" si="42"/>
        <v>0.93457943925233633</v>
      </c>
      <c r="H453">
        <f t="shared" si="43"/>
        <v>0</v>
      </c>
      <c r="I453">
        <f t="shared" si="44"/>
        <v>0.93457943925233633</v>
      </c>
      <c r="J453" cm="1">
        <f t="array" ref="J453">INT(G453)+IF(100-SUM(INT(G$450:G$461))&gt;=RANK(I453,I$450:I$461)+COUNTIF(I$450:I453,I453)-1,1,0)</f>
        <v>1</v>
      </c>
      <c r="K453" t="str">
        <f>_xlfn.XLOOKUP(B453,BugList!A:A,BugList!H:H)</f>
        <v>*</v>
      </c>
      <c r="L453" t="str">
        <f>IF(K453 = "","",_xlfn.XLOOKUP(B453, BugList!A:A,BugList!B:B,""))</f>
        <v>Ephemeroptera</v>
      </c>
      <c r="M453">
        <f>_xlfn.XLOOKUP(D453,BugList!C:C,BugList!N:N)</f>
        <v>7</v>
      </c>
      <c r="N453">
        <f>_xlfn.XLOOKUP(B453,BugList!A:A,BugList!R:R)</f>
        <v>7</v>
      </c>
      <c r="O453" t="b">
        <f>_xlfn.XLOOKUP(B453,BugList!A:A,BugList!L:L)</f>
        <v>1</v>
      </c>
      <c r="P453" t="b">
        <f t="shared" si="45"/>
        <v>1</v>
      </c>
      <c r="R453" t="b">
        <f>SUMPRODUCT(COUNTIF(_xlfn.XLOOKUP(B453,BugList!A:A,BugList!P:P), "*SC*"))&gt;0</f>
        <v>0</v>
      </c>
      <c r="S453" t="str">
        <f>_xlfn.XLOOKUP(B453,BugList!A:A,BugList!W:W)</f>
        <v/>
      </c>
      <c r="T453">
        <f t="shared" si="46"/>
        <v>7</v>
      </c>
      <c r="U453">
        <f t="shared" si="47"/>
        <v>7</v>
      </c>
    </row>
    <row r="454" spans="1:21">
      <c r="A454" t="s">
        <v>182</v>
      </c>
      <c r="B454">
        <v>513</v>
      </c>
      <c r="D454" t="s">
        <v>111</v>
      </c>
      <c r="E454" t="s">
        <v>111</v>
      </c>
      <c r="F454">
        <v>16</v>
      </c>
      <c r="G454">
        <f t="shared" si="42"/>
        <v>14.953271028037381</v>
      </c>
      <c r="H454">
        <f t="shared" si="43"/>
        <v>14</v>
      </c>
      <c r="I454">
        <f t="shared" si="44"/>
        <v>0.95327102803738129</v>
      </c>
      <c r="J454" cm="1">
        <f t="array" ref="J454">INT(G454)+IF(100-SUM(INT(G$450:G$461))&gt;=RANK(I454,I$450:I$461)+COUNTIF(I$450:I454,I454)-1,1,0)</f>
        <v>15</v>
      </c>
      <c r="K454" t="str">
        <f>_xlfn.XLOOKUP(B454,BugList!A:A,BugList!H:H)</f>
        <v>*</v>
      </c>
      <c r="L454" t="str">
        <f>IF(K454 = "","",_xlfn.XLOOKUP(B454, BugList!A:A,BugList!B:B,""))</f>
        <v>Ephemeroptera</v>
      </c>
      <c r="M454">
        <f>_xlfn.XLOOKUP(D454,BugList!C:C,BugList!N:N)</f>
        <v>4</v>
      </c>
      <c r="N454">
        <f>_xlfn.XLOOKUP(B454,BugList!A:A,BugList!R:R)</f>
        <v>4</v>
      </c>
      <c r="O454" t="b">
        <f>_xlfn.XLOOKUP(B454,BugList!A:A,BugList!L:L)</f>
        <v>1</v>
      </c>
      <c r="P454" t="b">
        <f t="shared" si="45"/>
        <v>1</v>
      </c>
      <c r="R454" t="b">
        <f>SUMPRODUCT(COUNTIF(_xlfn.XLOOKUP(B454,BugList!A:A,BugList!P:P), "*SC*"))&gt;0</f>
        <v>1</v>
      </c>
      <c r="S454" t="str">
        <f>_xlfn.XLOOKUP(B454,BugList!A:A,BugList!W:W)</f>
        <v/>
      </c>
      <c r="T454">
        <f t="shared" si="46"/>
        <v>60</v>
      </c>
      <c r="U454">
        <f t="shared" si="47"/>
        <v>60</v>
      </c>
    </row>
    <row r="455" spans="1:21">
      <c r="A455" t="s">
        <v>182</v>
      </c>
      <c r="B455">
        <v>794</v>
      </c>
      <c r="D455" t="s">
        <v>89</v>
      </c>
      <c r="E455" t="s">
        <v>89</v>
      </c>
      <c r="F455">
        <v>27</v>
      </c>
      <c r="G455">
        <f t="shared" si="42"/>
        <v>25.233644859813083</v>
      </c>
      <c r="H455">
        <f t="shared" si="43"/>
        <v>25</v>
      </c>
      <c r="I455">
        <f t="shared" si="44"/>
        <v>0.23364485981308292</v>
      </c>
      <c r="J455" cm="1">
        <f t="array" ref="J455">INT(G455)+IF(100-SUM(INT(G$450:G$461))&gt;=RANK(I455,I$450:I$461)+COUNTIF(I$450:I455,I455)-1,1,0)</f>
        <v>25</v>
      </c>
      <c r="K455" t="str">
        <f>_xlfn.XLOOKUP(B455,BugList!A:A,BugList!H:H)</f>
        <v>*</v>
      </c>
      <c r="L455" t="str">
        <f>IF(K455 = "","",_xlfn.XLOOKUP(B455, BugList!A:A,BugList!B:B,""))</f>
        <v>Trichoptera</v>
      </c>
      <c r="M455">
        <f>_xlfn.XLOOKUP(D455,BugList!C:C,BugList!N:N)</f>
        <v>4</v>
      </c>
      <c r="N455">
        <f>_xlfn.XLOOKUP(B455,BugList!A:A,BugList!R:R)</f>
        <v>4</v>
      </c>
      <c r="O455" t="b">
        <f>_xlfn.XLOOKUP(B455,BugList!A:A,BugList!L:L)</f>
        <v>1</v>
      </c>
      <c r="P455" t="b">
        <f t="shared" si="45"/>
        <v>0</v>
      </c>
      <c r="R455" t="b">
        <f>SUMPRODUCT(COUNTIF(_xlfn.XLOOKUP(B455,BugList!A:A,BugList!P:P), "*SC*"))&gt;0</f>
        <v>0</v>
      </c>
      <c r="S455" t="str">
        <f>_xlfn.XLOOKUP(B455,BugList!A:A,BugList!W:W)</f>
        <v/>
      </c>
      <c r="T455">
        <f t="shared" si="46"/>
        <v>100</v>
      </c>
      <c r="U455">
        <f t="shared" si="47"/>
        <v>100</v>
      </c>
    </row>
    <row r="456" spans="1:21">
      <c r="A456" t="s">
        <v>182</v>
      </c>
      <c r="B456">
        <v>837</v>
      </c>
      <c r="D456" t="s">
        <v>107</v>
      </c>
      <c r="E456" t="s">
        <v>107</v>
      </c>
      <c r="F456">
        <v>2</v>
      </c>
      <c r="G456">
        <f t="shared" si="42"/>
        <v>1.8691588785046727</v>
      </c>
      <c r="H456">
        <f t="shared" si="43"/>
        <v>1</v>
      </c>
      <c r="I456">
        <f t="shared" si="44"/>
        <v>0.86915887850467266</v>
      </c>
      <c r="J456" cm="1">
        <f t="array" ref="J456">INT(G456)+IF(100-SUM(INT(G$450:G$461))&gt;=RANK(I456,I$450:I$461)+COUNTIF(I$450:I456,I456)-1,1,0)</f>
        <v>2</v>
      </c>
      <c r="K456" t="str">
        <f>_xlfn.XLOOKUP(B456,BugList!A:A,BugList!H:H)</f>
        <v>*</v>
      </c>
      <c r="L456" t="str">
        <f>IF(K456 = "","",_xlfn.XLOOKUP(B456, BugList!A:A,BugList!B:B,""))</f>
        <v>Trichoptera</v>
      </c>
      <c r="M456">
        <f>_xlfn.XLOOKUP(D456,BugList!C:C,BugList!N:N)</f>
        <v>3</v>
      </c>
      <c r="N456">
        <f>_xlfn.XLOOKUP(B456,BugList!A:A,BugList!R:R)</f>
        <v>3</v>
      </c>
      <c r="O456" t="b">
        <f>_xlfn.XLOOKUP(B456,BugList!A:A,BugList!L:L)</f>
        <v>1</v>
      </c>
      <c r="P456" t="b">
        <f t="shared" si="45"/>
        <v>1</v>
      </c>
      <c r="R456" t="b">
        <f>SUMPRODUCT(COUNTIF(_xlfn.XLOOKUP(B456,BugList!A:A,BugList!P:P), "*SC*"))&gt;0</f>
        <v>0</v>
      </c>
      <c r="S456" t="str">
        <f>_xlfn.XLOOKUP(B456,BugList!A:A,BugList!W:W)</f>
        <v/>
      </c>
      <c r="T456">
        <f t="shared" si="46"/>
        <v>6</v>
      </c>
      <c r="U456">
        <f t="shared" si="47"/>
        <v>6</v>
      </c>
    </row>
    <row r="457" spans="1:21">
      <c r="A457" t="s">
        <v>182</v>
      </c>
      <c r="B457">
        <v>842</v>
      </c>
      <c r="D457" t="s">
        <v>163</v>
      </c>
      <c r="E457" t="s">
        <v>163</v>
      </c>
      <c r="F457">
        <v>2</v>
      </c>
      <c r="G457">
        <f t="shared" si="42"/>
        <v>1.8691588785046727</v>
      </c>
      <c r="H457">
        <f t="shared" si="43"/>
        <v>1</v>
      </c>
      <c r="I457">
        <f t="shared" si="44"/>
        <v>0.86915887850467266</v>
      </c>
      <c r="J457" cm="1">
        <f t="array" ref="J457">INT(G457)+IF(100-SUM(INT(G$450:G$461))&gt;=RANK(I457,I$450:I$461)+COUNTIF(I$450:I457,I457)-1,1,0)</f>
        <v>2</v>
      </c>
      <c r="K457" t="str">
        <f>_xlfn.XLOOKUP(B457,BugList!A:A,BugList!H:H)</f>
        <v>*</v>
      </c>
      <c r="L457" t="str">
        <f>IF(K457 = "","",_xlfn.XLOOKUP(B457, BugList!A:A,BugList!B:B,""))</f>
        <v>Trichoptera</v>
      </c>
      <c r="M457">
        <f>_xlfn.XLOOKUP(D457,BugList!C:C,BugList!N:N)</f>
        <v>6</v>
      </c>
      <c r="N457">
        <f>_xlfn.XLOOKUP(B457,BugList!A:A,BugList!R:R)</f>
        <v>6</v>
      </c>
      <c r="O457" t="b">
        <f>_xlfn.XLOOKUP(B457,BugList!A:A,BugList!L:L)</f>
        <v>1</v>
      </c>
      <c r="P457" t="b">
        <f t="shared" si="45"/>
        <v>1</v>
      </c>
      <c r="R457" t="b">
        <f>SUMPRODUCT(COUNTIF(_xlfn.XLOOKUP(B457,BugList!A:A,BugList!P:P), "*SC*"))&gt;0</f>
        <v>0</v>
      </c>
      <c r="S457" t="str">
        <f>_xlfn.XLOOKUP(B457,BugList!A:A,BugList!W:W)</f>
        <v/>
      </c>
      <c r="T457">
        <f t="shared" si="46"/>
        <v>12</v>
      </c>
      <c r="U457">
        <f t="shared" si="47"/>
        <v>12</v>
      </c>
    </row>
    <row r="458" spans="1:21">
      <c r="A458" t="s">
        <v>182</v>
      </c>
      <c r="B458">
        <v>893</v>
      </c>
      <c r="D458" t="s">
        <v>174</v>
      </c>
      <c r="E458" t="s">
        <v>174</v>
      </c>
      <c r="F458">
        <v>4</v>
      </c>
      <c r="G458">
        <f t="shared" si="42"/>
        <v>3.7383177570093453</v>
      </c>
      <c r="H458">
        <f t="shared" si="43"/>
        <v>3</v>
      </c>
      <c r="I458">
        <f t="shared" si="44"/>
        <v>0.73831775700934532</v>
      </c>
      <c r="J458" cm="1">
        <f t="array" ref="J458">INT(G458)+IF(100-SUM(INT(G$450:G$461))&gt;=RANK(I458,I$450:I$461)+COUNTIF(I$450:I458,I458)-1,1,0)</f>
        <v>4</v>
      </c>
      <c r="K458" t="str">
        <f>_xlfn.XLOOKUP(B458,BugList!A:A,BugList!H:H)</f>
        <v/>
      </c>
      <c r="L458" t="str">
        <f>IF(K458 = "","",_xlfn.XLOOKUP(B458, BugList!A:A,BugList!B:B,""))</f>
        <v/>
      </c>
      <c r="M458">
        <f>_xlfn.XLOOKUP(D458,BugList!C:C,BugList!N:N)</f>
        <v>5</v>
      </c>
      <c r="N458">
        <f>_xlfn.XLOOKUP(B458,BugList!A:A,BugList!R:R)</f>
        <v>5</v>
      </c>
      <c r="O458" t="b">
        <f>_xlfn.XLOOKUP(B458,BugList!A:A,BugList!L:L)</f>
        <v>1</v>
      </c>
      <c r="P458" t="b">
        <f t="shared" si="45"/>
        <v>0</v>
      </c>
      <c r="R458" t="b">
        <f>SUMPRODUCT(COUNTIF(_xlfn.XLOOKUP(B458,BugList!A:A,BugList!P:P), "*SC*"))&gt;0</f>
        <v>0</v>
      </c>
      <c r="S458" t="str">
        <f>_xlfn.XLOOKUP(B458,BugList!A:A,BugList!W:W)</f>
        <v/>
      </c>
      <c r="T458">
        <f t="shared" si="46"/>
        <v>20</v>
      </c>
      <c r="U458">
        <f t="shared" si="47"/>
        <v>20</v>
      </c>
    </row>
    <row r="459" spans="1:21">
      <c r="A459" t="s">
        <v>182</v>
      </c>
      <c r="B459">
        <v>935</v>
      </c>
      <c r="D459" t="s">
        <v>98</v>
      </c>
      <c r="E459" t="s">
        <v>98</v>
      </c>
      <c r="F459">
        <v>8</v>
      </c>
      <c r="G459">
        <f t="shared" si="42"/>
        <v>7.4766355140186906</v>
      </c>
      <c r="H459">
        <f t="shared" si="43"/>
        <v>7</v>
      </c>
      <c r="I459">
        <f t="shared" si="44"/>
        <v>0.47663551401869064</v>
      </c>
      <c r="J459" cm="1">
        <f t="array" ref="J459">INT(G459)+IF(100-SUM(INT(G$450:G$461))&gt;=RANK(I459,I$450:I$461)+COUNTIF(I$450:I459,I459)-1,1,0)</f>
        <v>7</v>
      </c>
      <c r="K459" t="str">
        <f>_xlfn.XLOOKUP(B459,BugList!A:A,BugList!H:H)</f>
        <v/>
      </c>
      <c r="L459" t="str">
        <f>IF(K459 = "","",_xlfn.XLOOKUP(B459, BugList!A:A,BugList!B:B,""))</f>
        <v/>
      </c>
      <c r="M459">
        <f>_xlfn.XLOOKUP(D459,BugList!C:C,BugList!N:N)</f>
        <v>4</v>
      </c>
      <c r="N459">
        <f>_xlfn.XLOOKUP(B459,BugList!A:A,BugList!R:R)</f>
        <v>4</v>
      </c>
      <c r="O459" t="b">
        <f>_xlfn.XLOOKUP(B459,BugList!A:A,BugList!L:L)</f>
        <v>1</v>
      </c>
      <c r="P459" t="b">
        <f t="shared" si="45"/>
        <v>0</v>
      </c>
      <c r="R459" t="b">
        <f>SUMPRODUCT(COUNTIF(_xlfn.XLOOKUP(B459,BugList!A:A,BugList!P:P), "*SC*"))&gt;0</f>
        <v>1</v>
      </c>
      <c r="S459" t="str">
        <f>_xlfn.XLOOKUP(B459,BugList!A:A,BugList!W:W)</f>
        <v/>
      </c>
      <c r="T459">
        <f t="shared" si="46"/>
        <v>28</v>
      </c>
      <c r="U459">
        <f t="shared" si="47"/>
        <v>28</v>
      </c>
    </row>
    <row r="460" spans="1:21">
      <c r="A460" t="s">
        <v>182</v>
      </c>
      <c r="B460">
        <v>1002</v>
      </c>
      <c r="D460" t="s">
        <v>100</v>
      </c>
      <c r="E460" t="s">
        <v>100</v>
      </c>
      <c r="F460">
        <v>27</v>
      </c>
      <c r="G460">
        <f t="shared" si="42"/>
        <v>25.233644859813083</v>
      </c>
      <c r="H460">
        <f t="shared" si="43"/>
        <v>25</v>
      </c>
      <c r="I460">
        <f t="shared" si="44"/>
        <v>0.23364485981308292</v>
      </c>
      <c r="J460" cm="1">
        <f t="array" ref="J460">INT(G460)+IF(100-SUM(INT(G$450:G$461))&gt;=RANK(I460,I$450:I$461)+COUNTIF(I$450:I460,I460)-1,1,0)</f>
        <v>25</v>
      </c>
      <c r="K460" t="str">
        <f>_xlfn.XLOOKUP(B460,BugList!A:A,BugList!H:H)</f>
        <v/>
      </c>
      <c r="L460" t="str">
        <f>IF(K460 = "","",_xlfn.XLOOKUP(B460, BugList!A:A,BugList!B:B,""))</f>
        <v/>
      </c>
      <c r="M460">
        <f>_xlfn.XLOOKUP(D460,BugList!C:C,BugList!N:N)</f>
        <v>4</v>
      </c>
      <c r="N460">
        <f>_xlfn.XLOOKUP(B460,BugList!A:A,BugList!R:R)</f>
        <v>4</v>
      </c>
      <c r="O460" t="b">
        <f>_xlfn.XLOOKUP(B460,BugList!A:A,BugList!L:L)</f>
        <v>1</v>
      </c>
      <c r="P460" t="b">
        <f t="shared" si="45"/>
        <v>0</v>
      </c>
      <c r="R460" t="b">
        <f>SUMPRODUCT(COUNTIF(_xlfn.XLOOKUP(B460,BugList!A:A,BugList!P:P), "*SC*"))&gt;0</f>
        <v>1</v>
      </c>
      <c r="S460" t="str">
        <f>_xlfn.XLOOKUP(B460,BugList!A:A,BugList!W:W)</f>
        <v/>
      </c>
      <c r="T460">
        <f t="shared" si="46"/>
        <v>100</v>
      </c>
      <c r="U460">
        <f t="shared" si="47"/>
        <v>100</v>
      </c>
    </row>
    <row r="461" spans="1:21">
      <c r="A461" t="s">
        <v>182</v>
      </c>
      <c r="B461">
        <v>1582</v>
      </c>
      <c r="D461" t="s">
        <v>121</v>
      </c>
      <c r="E461" t="s">
        <v>121</v>
      </c>
      <c r="F461">
        <v>1</v>
      </c>
      <c r="G461">
        <f t="shared" si="42"/>
        <v>0.93457943925233633</v>
      </c>
      <c r="H461">
        <f t="shared" si="43"/>
        <v>0</v>
      </c>
      <c r="I461">
        <f t="shared" si="44"/>
        <v>0.93457943925233633</v>
      </c>
      <c r="J461" cm="1">
        <f t="array" ref="J461">INT(G461)+IF(100-SUM(INT(G$450:G$461))&gt;=RANK(I461,I$450:I$461)+COUNTIF(I$450:I461,I461)-1,1,0)</f>
        <v>1</v>
      </c>
      <c r="K461" t="str">
        <f>_xlfn.XLOOKUP(B461,BugList!A:A,BugList!H:H)</f>
        <v/>
      </c>
      <c r="L461" t="str">
        <f>IF(K461 = "","",_xlfn.XLOOKUP(B461, BugList!A:A,BugList!B:B,""))</f>
        <v/>
      </c>
      <c r="M461">
        <f>_xlfn.XLOOKUP(D461,BugList!C:C,BugList!N:N)</f>
        <v>6</v>
      </c>
      <c r="N461">
        <f>_xlfn.XLOOKUP(B461,BugList!A:A,BugList!R:R)</f>
        <v>6</v>
      </c>
      <c r="O461" t="b">
        <f>_xlfn.XLOOKUP(B461,BugList!A:A,BugList!L:L)</f>
        <v>0</v>
      </c>
      <c r="P461" t="b">
        <f t="shared" si="45"/>
        <v>0</v>
      </c>
      <c r="R461" t="b">
        <f>SUMPRODUCT(COUNTIF(_xlfn.XLOOKUP(B461,BugList!A:A,BugList!P:P), "*SC*"))&gt;0</f>
        <v>1</v>
      </c>
      <c r="S461" t="str">
        <f>_xlfn.XLOOKUP(B461,BugList!A:A,BugList!W:W)</f>
        <v/>
      </c>
      <c r="T461">
        <f t="shared" si="46"/>
        <v>6</v>
      </c>
      <c r="U461">
        <f t="shared" si="47"/>
        <v>6</v>
      </c>
    </row>
    <row r="462" spans="1:21">
      <c r="A462" t="s">
        <v>2633</v>
      </c>
      <c r="B462">
        <v>372</v>
      </c>
      <c r="D462" t="s">
        <v>88</v>
      </c>
      <c r="E462" t="s">
        <v>88</v>
      </c>
      <c r="F462">
        <v>10</v>
      </c>
      <c r="G462">
        <f t="shared" si="42"/>
        <v>9.5238095238095237</v>
      </c>
      <c r="H462">
        <f t="shared" si="43"/>
        <v>9</v>
      </c>
      <c r="I462">
        <f t="shared" si="44"/>
        <v>0.52380952380952372</v>
      </c>
      <c r="J462" cm="1">
        <f t="array" ref="J462">INT(G462)+IF(100-SUM(INT(G$462:G$473))&gt;=RANK(I462,I$462:I$473)+COUNTIF(I$462:I462,I462)-1,1,0)</f>
        <v>9</v>
      </c>
      <c r="K462" t="str">
        <f>_xlfn.XLOOKUP(B462,BugList!A:A,BugList!H:H)</f>
        <v/>
      </c>
      <c r="L462" t="str">
        <f>IF(K462 = "","",_xlfn.XLOOKUP(B462, BugList!A:A,BugList!B:B,""))</f>
        <v/>
      </c>
      <c r="M462">
        <f>_xlfn.XLOOKUP(D462,BugList!C:C,BugList!N:N)</f>
        <v>8</v>
      </c>
      <c r="N462">
        <f>_xlfn.XLOOKUP(B462,BugList!A:A,BugList!R:R)</f>
        <v>8</v>
      </c>
      <c r="O462" t="b">
        <f>_xlfn.XLOOKUP(B462,BugList!A:A,BugList!L:L)</f>
        <v>0</v>
      </c>
      <c r="P462" t="b">
        <f t="shared" si="45"/>
        <v>0</v>
      </c>
      <c r="R462" t="b">
        <f>SUMPRODUCT(COUNTIF(_xlfn.XLOOKUP(B462,BugList!A:A,BugList!P:P), "*SC*"))&gt;0</f>
        <v>0</v>
      </c>
      <c r="S462" t="str">
        <f>_xlfn.XLOOKUP(B462,BugList!A:A,BugList!W:W)</f>
        <v/>
      </c>
      <c r="T462">
        <f t="shared" si="46"/>
        <v>72</v>
      </c>
      <c r="U462">
        <f t="shared" si="47"/>
        <v>72</v>
      </c>
    </row>
    <row r="463" spans="1:21">
      <c r="A463" t="s">
        <v>2633</v>
      </c>
      <c r="B463">
        <v>513</v>
      </c>
      <c r="D463" t="s">
        <v>111</v>
      </c>
      <c r="E463" t="s">
        <v>111</v>
      </c>
      <c r="F463">
        <v>9</v>
      </c>
      <c r="G463">
        <f t="shared" si="42"/>
        <v>8.5714285714285712</v>
      </c>
      <c r="H463">
        <f t="shared" si="43"/>
        <v>8</v>
      </c>
      <c r="I463">
        <f t="shared" si="44"/>
        <v>0.57142857142857117</v>
      </c>
      <c r="J463" cm="1">
        <f t="array" ref="J463">INT(G463)+IF(100-SUM(INT(G$462:G$473))&gt;=RANK(I463,I$462:I$473)+COUNTIF(I$462:I463,I463)-1,1,0)</f>
        <v>8</v>
      </c>
      <c r="K463" t="str">
        <f>_xlfn.XLOOKUP(B463,BugList!A:A,BugList!H:H)</f>
        <v>*</v>
      </c>
      <c r="L463" t="str">
        <f>IF(K463 = "","",_xlfn.XLOOKUP(B463, BugList!A:A,BugList!B:B,""))</f>
        <v>Ephemeroptera</v>
      </c>
      <c r="M463">
        <f>_xlfn.XLOOKUP(D463,BugList!C:C,BugList!N:N)</f>
        <v>4</v>
      </c>
      <c r="N463">
        <f>_xlfn.XLOOKUP(B463,BugList!A:A,BugList!R:R)</f>
        <v>4</v>
      </c>
      <c r="O463" t="b">
        <f>_xlfn.XLOOKUP(B463,BugList!A:A,BugList!L:L)</f>
        <v>1</v>
      </c>
      <c r="P463" t="b">
        <f t="shared" si="45"/>
        <v>1</v>
      </c>
      <c r="R463" t="b">
        <f>SUMPRODUCT(COUNTIF(_xlfn.XLOOKUP(B463,BugList!A:A,BugList!P:P), "*SC*"))&gt;0</f>
        <v>1</v>
      </c>
      <c r="S463" t="str">
        <f>_xlfn.XLOOKUP(B463,BugList!A:A,BugList!W:W)</f>
        <v/>
      </c>
      <c r="T463">
        <f t="shared" si="46"/>
        <v>32</v>
      </c>
      <c r="U463">
        <f t="shared" si="47"/>
        <v>32</v>
      </c>
    </row>
    <row r="464" spans="1:21">
      <c r="A464" t="s">
        <v>2633</v>
      </c>
      <c r="B464">
        <v>620</v>
      </c>
      <c r="D464" t="s">
        <v>113</v>
      </c>
      <c r="E464" t="s">
        <v>113</v>
      </c>
      <c r="F464">
        <v>1</v>
      </c>
      <c r="G464">
        <f t="shared" si="42"/>
        <v>0.95238095238095244</v>
      </c>
      <c r="H464">
        <f t="shared" si="43"/>
        <v>0</v>
      </c>
      <c r="I464">
        <f t="shared" si="44"/>
        <v>0.95238095238095244</v>
      </c>
      <c r="J464" cm="1">
        <f t="array" ref="J464">INT(G464)+IF(100-SUM(INT(G$462:G$473))&gt;=RANK(I464,I$462:I$473)+COUNTIF(I$462:I464,I464)-1,1,0)</f>
        <v>1</v>
      </c>
      <c r="K464" t="str">
        <f>_xlfn.XLOOKUP(B464,BugList!A:A,BugList!H:H)</f>
        <v/>
      </c>
      <c r="L464" t="str">
        <f>IF(K464 = "","",_xlfn.XLOOKUP(B464, BugList!A:A,BugList!B:B,""))</f>
        <v/>
      </c>
      <c r="M464">
        <f>_xlfn.XLOOKUP(D464,BugList!C:C,BugList!N:N)</f>
        <v>1</v>
      </c>
      <c r="N464">
        <f>_xlfn.XLOOKUP(B464,BugList!A:A,BugList!R:R)</f>
        <v>1</v>
      </c>
      <c r="O464" t="b">
        <f>_xlfn.XLOOKUP(B464,BugList!A:A,BugList!L:L)</f>
        <v>1</v>
      </c>
      <c r="P464" t="b">
        <f t="shared" si="45"/>
        <v>0</v>
      </c>
      <c r="R464" t="b">
        <f>SUMPRODUCT(COUNTIF(_xlfn.XLOOKUP(B464,BugList!A:A,BugList!P:P), "*SC*"))&gt;0</f>
        <v>0</v>
      </c>
      <c r="S464" t="str">
        <f>_xlfn.XLOOKUP(B464,BugList!A:A,BugList!W:W)</f>
        <v>3</v>
      </c>
      <c r="T464">
        <f t="shared" si="46"/>
        <v>1</v>
      </c>
      <c r="U464">
        <f t="shared" si="47"/>
        <v>1</v>
      </c>
    </row>
    <row r="465" spans="1:21">
      <c r="A465" t="s">
        <v>2633</v>
      </c>
      <c r="B465">
        <v>771</v>
      </c>
      <c r="D465" t="s">
        <v>177</v>
      </c>
      <c r="E465" t="s">
        <v>177</v>
      </c>
      <c r="F465">
        <v>1</v>
      </c>
      <c r="G465">
        <f t="shared" si="42"/>
        <v>0.95238095238095244</v>
      </c>
      <c r="H465">
        <f t="shared" si="43"/>
        <v>0</v>
      </c>
      <c r="I465">
        <f t="shared" si="44"/>
        <v>0.95238095238095244</v>
      </c>
      <c r="J465" cm="1">
        <f t="array" ref="J465">INT(G465)+IF(100-SUM(INT(G$462:G$473))&gt;=RANK(I465,I$462:I$473)+COUNTIF(I$462:I465,I465)-1,1,0)</f>
        <v>1</v>
      </c>
      <c r="K465" t="str">
        <f>_xlfn.XLOOKUP(B465,BugList!A:A,BugList!H:H)</f>
        <v>*</v>
      </c>
      <c r="L465" t="str">
        <f>IF(K465 = "","",_xlfn.XLOOKUP(B465, BugList!A:A,BugList!B:B,""))</f>
        <v>Trichoptera</v>
      </c>
      <c r="M465">
        <f>_xlfn.XLOOKUP(D465,BugList!C:C,BugList!N:N)</f>
        <v>0</v>
      </c>
      <c r="N465">
        <f>_xlfn.XLOOKUP(B465,BugList!A:A,BugList!R:R)</f>
        <v>0</v>
      </c>
      <c r="O465" t="b">
        <f>_xlfn.XLOOKUP(B465,BugList!A:A,BugList!L:L)</f>
        <v>1</v>
      </c>
      <c r="P465" t="b">
        <f t="shared" si="45"/>
        <v>1</v>
      </c>
      <c r="R465" t="b">
        <f>SUMPRODUCT(COUNTIF(_xlfn.XLOOKUP(B465,BugList!A:A,BugList!P:P), "*SC*"))&gt;0</f>
        <v>1</v>
      </c>
      <c r="S465" t="str">
        <f>_xlfn.XLOOKUP(B465,BugList!A:A,BugList!W:W)</f>
        <v/>
      </c>
      <c r="T465">
        <f t="shared" si="46"/>
        <v>0</v>
      </c>
      <c r="U465">
        <f t="shared" si="47"/>
        <v>0</v>
      </c>
    </row>
    <row r="466" spans="1:21">
      <c r="A466" t="s">
        <v>2633</v>
      </c>
      <c r="B466">
        <v>794</v>
      </c>
      <c r="D466" t="s">
        <v>89</v>
      </c>
      <c r="E466" t="s">
        <v>89</v>
      </c>
      <c r="F466">
        <v>21</v>
      </c>
      <c r="G466">
        <f t="shared" si="42"/>
        <v>20</v>
      </c>
      <c r="H466">
        <f t="shared" si="43"/>
        <v>20</v>
      </c>
      <c r="I466">
        <f t="shared" si="44"/>
        <v>0</v>
      </c>
      <c r="J466" cm="1">
        <f t="array" ref="J466">INT(G466)+IF(100-SUM(INT(G$462:G$473))&gt;=RANK(I466,I$462:I$473)+COUNTIF(I$462:I466,I466)-1,1,0)</f>
        <v>20</v>
      </c>
      <c r="K466" t="str">
        <f>_xlfn.XLOOKUP(B466,BugList!A:A,BugList!H:H)</f>
        <v>*</v>
      </c>
      <c r="L466" t="str">
        <f>IF(K466 = "","",_xlfn.XLOOKUP(B466, BugList!A:A,BugList!B:B,""))</f>
        <v>Trichoptera</v>
      </c>
      <c r="M466">
        <f>_xlfn.XLOOKUP(D466,BugList!C:C,BugList!N:N)</f>
        <v>4</v>
      </c>
      <c r="N466">
        <f>_xlfn.XLOOKUP(B466,BugList!A:A,BugList!R:R)</f>
        <v>4</v>
      </c>
      <c r="O466" t="b">
        <f>_xlfn.XLOOKUP(B466,BugList!A:A,BugList!L:L)</f>
        <v>1</v>
      </c>
      <c r="P466" t="b">
        <f t="shared" si="45"/>
        <v>0</v>
      </c>
      <c r="R466" t="b">
        <f>SUMPRODUCT(COUNTIF(_xlfn.XLOOKUP(B466,BugList!A:A,BugList!P:P), "*SC*"))&gt;0</f>
        <v>0</v>
      </c>
      <c r="S466" t="str">
        <f>_xlfn.XLOOKUP(B466,BugList!A:A,BugList!W:W)</f>
        <v/>
      </c>
      <c r="T466">
        <f t="shared" si="46"/>
        <v>80</v>
      </c>
      <c r="U466">
        <f t="shared" si="47"/>
        <v>80</v>
      </c>
    </row>
    <row r="467" spans="1:21">
      <c r="A467" t="s">
        <v>2633</v>
      </c>
      <c r="B467">
        <v>837</v>
      </c>
      <c r="D467" t="s">
        <v>107</v>
      </c>
      <c r="E467" t="s">
        <v>107</v>
      </c>
      <c r="F467">
        <v>1</v>
      </c>
      <c r="G467">
        <f t="shared" si="42"/>
        <v>0.95238095238095244</v>
      </c>
      <c r="H467">
        <f t="shared" si="43"/>
        <v>0</v>
      </c>
      <c r="I467">
        <f t="shared" si="44"/>
        <v>0.95238095238095244</v>
      </c>
      <c r="J467" cm="1">
        <f t="array" ref="J467">INT(G467)+IF(100-SUM(INT(G$462:G$473))&gt;=RANK(I467,I$462:I$473)+COUNTIF(I$462:I467,I467)-1,1,0)</f>
        <v>1</v>
      </c>
      <c r="K467" t="str">
        <f>_xlfn.XLOOKUP(B467,BugList!A:A,BugList!H:H)</f>
        <v>*</v>
      </c>
      <c r="L467" t="str">
        <f>IF(K467 = "","",_xlfn.XLOOKUP(B467, BugList!A:A,BugList!B:B,""))</f>
        <v>Trichoptera</v>
      </c>
      <c r="M467">
        <f>_xlfn.XLOOKUP(D467,BugList!C:C,BugList!N:N)</f>
        <v>3</v>
      </c>
      <c r="N467">
        <f>_xlfn.XLOOKUP(B467,BugList!A:A,BugList!R:R)</f>
        <v>3</v>
      </c>
      <c r="O467" t="b">
        <f>_xlfn.XLOOKUP(B467,BugList!A:A,BugList!L:L)</f>
        <v>1</v>
      </c>
      <c r="P467" t="b">
        <f t="shared" si="45"/>
        <v>1</v>
      </c>
      <c r="R467" t="b">
        <f>SUMPRODUCT(COUNTIF(_xlfn.XLOOKUP(B467,BugList!A:A,BugList!P:P), "*SC*"))&gt;0</f>
        <v>0</v>
      </c>
      <c r="S467" t="str">
        <f>_xlfn.XLOOKUP(B467,BugList!A:A,BugList!W:W)</f>
        <v/>
      </c>
      <c r="T467">
        <f t="shared" si="46"/>
        <v>3</v>
      </c>
      <c r="U467">
        <f t="shared" si="47"/>
        <v>3</v>
      </c>
    </row>
    <row r="468" spans="1:21">
      <c r="A468" t="s">
        <v>2633</v>
      </c>
      <c r="B468">
        <v>863</v>
      </c>
      <c r="D468" t="s">
        <v>156</v>
      </c>
      <c r="E468" t="s">
        <v>156</v>
      </c>
      <c r="F468">
        <v>24</v>
      </c>
      <c r="G468">
        <f t="shared" si="42"/>
        <v>22.857142857142858</v>
      </c>
      <c r="H468">
        <f t="shared" si="43"/>
        <v>22</v>
      </c>
      <c r="I468">
        <f t="shared" si="44"/>
        <v>0.85714285714285765</v>
      </c>
      <c r="J468" cm="1">
        <f t="array" ref="J468">INT(G468)+IF(100-SUM(INT(G$462:G$473))&gt;=RANK(I468,I$462:I$473)+COUNTIF(I$462:I468,I468)-1,1,0)</f>
        <v>23</v>
      </c>
      <c r="K468" t="str">
        <f>_xlfn.XLOOKUP(B468,BugList!A:A,BugList!H:H)</f>
        <v>*</v>
      </c>
      <c r="L468" t="str">
        <f>IF(K468 = "","",_xlfn.XLOOKUP(B468, BugList!A:A,BugList!B:B,""))</f>
        <v>Trichoptera</v>
      </c>
      <c r="M468">
        <f>_xlfn.XLOOKUP(D468,BugList!C:C,BugList!N:N)</f>
        <v>0</v>
      </c>
      <c r="N468">
        <f>_xlfn.XLOOKUP(B468,BugList!A:A,BugList!R:R)</f>
        <v>0</v>
      </c>
      <c r="O468" t="b">
        <f>_xlfn.XLOOKUP(B468,BugList!A:A,BugList!L:L)</f>
        <v>1</v>
      </c>
      <c r="P468" t="b">
        <f t="shared" si="45"/>
        <v>1</v>
      </c>
      <c r="R468" t="b">
        <f>SUMPRODUCT(COUNTIF(_xlfn.XLOOKUP(B468,BugList!A:A,BugList!P:P), "*SC*"))&gt;0</f>
        <v>0</v>
      </c>
      <c r="S468" t="str">
        <f>_xlfn.XLOOKUP(B468,BugList!A:A,BugList!W:W)</f>
        <v/>
      </c>
      <c r="T468">
        <f t="shared" si="46"/>
        <v>0</v>
      </c>
      <c r="U468">
        <f t="shared" si="47"/>
        <v>0</v>
      </c>
    </row>
    <row r="469" spans="1:21">
      <c r="A469" t="s">
        <v>2633</v>
      </c>
      <c r="B469">
        <v>1002</v>
      </c>
      <c r="D469" t="s">
        <v>100</v>
      </c>
      <c r="E469" t="s">
        <v>100</v>
      </c>
      <c r="F469">
        <v>27</v>
      </c>
      <c r="G469">
        <f t="shared" si="42"/>
        <v>25.714285714285712</v>
      </c>
      <c r="H469">
        <f t="shared" si="43"/>
        <v>25</v>
      </c>
      <c r="I469">
        <f t="shared" si="44"/>
        <v>0.71428571428571175</v>
      </c>
      <c r="J469" cm="1">
        <f t="array" ref="J469">INT(G469)+IF(100-SUM(INT(G$462:G$473))&gt;=RANK(I469,I$462:I$473)+COUNTIF(I$462:I469,I469)-1,1,0)</f>
        <v>26</v>
      </c>
      <c r="K469" t="str">
        <f>_xlfn.XLOOKUP(B469,BugList!A:A,BugList!H:H)</f>
        <v/>
      </c>
      <c r="L469" t="str">
        <f>IF(K469 = "","",_xlfn.XLOOKUP(B469, BugList!A:A,BugList!B:B,""))</f>
        <v/>
      </c>
      <c r="M469">
        <f>_xlfn.XLOOKUP(D469,BugList!C:C,BugList!N:N)</f>
        <v>4</v>
      </c>
      <c r="N469">
        <f>_xlfn.XLOOKUP(B469,BugList!A:A,BugList!R:R)</f>
        <v>4</v>
      </c>
      <c r="O469" t="b">
        <f>_xlfn.XLOOKUP(B469,BugList!A:A,BugList!L:L)</f>
        <v>1</v>
      </c>
      <c r="P469" t="b">
        <f t="shared" si="45"/>
        <v>0</v>
      </c>
      <c r="R469" t="b">
        <f>SUMPRODUCT(COUNTIF(_xlfn.XLOOKUP(B469,BugList!A:A,BugList!P:P), "*SC*"))&gt;0</f>
        <v>1</v>
      </c>
      <c r="S469" t="str">
        <f>_xlfn.XLOOKUP(B469,BugList!A:A,BugList!W:W)</f>
        <v/>
      </c>
      <c r="T469">
        <f t="shared" si="46"/>
        <v>104</v>
      </c>
      <c r="U469">
        <f t="shared" si="47"/>
        <v>104</v>
      </c>
    </row>
    <row r="470" spans="1:21">
      <c r="A470" t="s">
        <v>2633</v>
      </c>
      <c r="B470">
        <v>1088</v>
      </c>
      <c r="D470" t="s">
        <v>90</v>
      </c>
      <c r="E470" t="s">
        <v>90</v>
      </c>
      <c r="F470">
        <v>5</v>
      </c>
      <c r="G470">
        <f t="shared" si="42"/>
        <v>4.7619047619047619</v>
      </c>
      <c r="H470">
        <f t="shared" si="43"/>
        <v>4</v>
      </c>
      <c r="I470">
        <f t="shared" si="44"/>
        <v>0.76190476190476186</v>
      </c>
      <c r="J470" cm="1">
        <f t="array" ref="J470">INT(G470)+IF(100-SUM(INT(G$462:G$473))&gt;=RANK(I470,I$462:I$473)+COUNTIF(I$462:I470,I470)-1,1,0)</f>
        <v>5</v>
      </c>
      <c r="K470" t="str">
        <f>_xlfn.XLOOKUP(B470,BugList!A:A,BugList!H:H)</f>
        <v/>
      </c>
      <c r="L470" t="str">
        <f>IF(K470 = "","",_xlfn.XLOOKUP(B470, BugList!A:A,BugList!B:B,""))</f>
        <v/>
      </c>
      <c r="M470">
        <f>_xlfn.XLOOKUP(D470,BugList!C:C,BugList!N:N)</f>
        <v>6</v>
      </c>
      <c r="N470">
        <f>_xlfn.XLOOKUP(B470,BugList!A:A,BugList!R:R)</f>
        <v>6</v>
      </c>
      <c r="O470" t="b">
        <f>_xlfn.XLOOKUP(B470,BugList!A:A,BugList!L:L)</f>
        <v>1</v>
      </c>
      <c r="P470" t="b">
        <f t="shared" si="45"/>
        <v>0</v>
      </c>
      <c r="R470" t="b">
        <f>SUMPRODUCT(COUNTIF(_xlfn.XLOOKUP(B470,BugList!A:A,BugList!P:P), "*SC*"))&gt;0</f>
        <v>0</v>
      </c>
      <c r="S470" t="str">
        <f>_xlfn.XLOOKUP(B470,BugList!A:A,BugList!W:W)</f>
        <v/>
      </c>
      <c r="T470">
        <f t="shared" si="46"/>
        <v>30</v>
      </c>
      <c r="U470">
        <f t="shared" si="47"/>
        <v>30</v>
      </c>
    </row>
    <row r="471" spans="1:21">
      <c r="A471" t="s">
        <v>2633</v>
      </c>
      <c r="B471">
        <v>1614</v>
      </c>
      <c r="D471" t="s">
        <v>92</v>
      </c>
      <c r="E471" t="s">
        <v>92</v>
      </c>
      <c r="F471">
        <v>1</v>
      </c>
      <c r="G471">
        <f t="shared" si="42"/>
        <v>0.95238095238095244</v>
      </c>
      <c r="H471">
        <f t="shared" si="43"/>
        <v>0</v>
      </c>
      <c r="I471">
        <f t="shared" si="44"/>
        <v>0.95238095238095244</v>
      </c>
      <c r="J471" cm="1">
        <f t="array" ref="J471">INT(G471)+IF(100-SUM(INT(G$462:G$473))&gt;=RANK(I471,I$462:I$473)+COUNTIF(I$462:I471,I471)-1,1,0)</f>
        <v>1</v>
      </c>
      <c r="K471" t="str">
        <f>_xlfn.XLOOKUP(B471,BugList!A:A,BugList!H:H)</f>
        <v/>
      </c>
      <c r="L471" t="str">
        <f>IF(K471 = "","",_xlfn.XLOOKUP(B471, BugList!A:A,BugList!B:B,""))</f>
        <v/>
      </c>
      <c r="M471">
        <f>_xlfn.XLOOKUP(D471,BugList!C:C,BugList!N:N)</f>
        <v>8</v>
      </c>
      <c r="N471">
        <f>_xlfn.XLOOKUP(B471,BugList!A:A,BugList!R:R)</f>
        <v>8</v>
      </c>
      <c r="O471" t="b">
        <f>_xlfn.XLOOKUP(B471,BugList!A:A,BugList!L:L)</f>
        <v>0</v>
      </c>
      <c r="P471" t="b">
        <f t="shared" si="45"/>
        <v>0</v>
      </c>
      <c r="R471" t="b">
        <f>SUMPRODUCT(COUNTIF(_xlfn.XLOOKUP(B471,BugList!A:A,BugList!P:P), "*SC*"))&gt;0</f>
        <v>0</v>
      </c>
      <c r="S471" t="str">
        <f>_xlfn.XLOOKUP(B471,BugList!A:A,BugList!W:W)</f>
        <v/>
      </c>
      <c r="T471">
        <f t="shared" si="46"/>
        <v>8</v>
      </c>
      <c r="U471">
        <f t="shared" si="47"/>
        <v>8</v>
      </c>
    </row>
    <row r="472" spans="1:21">
      <c r="A472" t="s">
        <v>2633</v>
      </c>
      <c r="B472">
        <v>1678</v>
      </c>
      <c r="D472" t="s">
        <v>166</v>
      </c>
      <c r="E472" t="s">
        <v>166</v>
      </c>
      <c r="F472">
        <v>4</v>
      </c>
      <c r="G472">
        <f t="shared" si="42"/>
        <v>3.8095238095238098</v>
      </c>
      <c r="H472">
        <f t="shared" si="43"/>
        <v>3</v>
      </c>
      <c r="I472">
        <f t="shared" si="44"/>
        <v>0.80952380952380976</v>
      </c>
      <c r="J472" cm="1">
        <f t="array" ref="J472">INT(G472)+IF(100-SUM(INT(G$462:G$473))&gt;=RANK(I472,I$462:I$473)+COUNTIF(I$462:I472,I472)-1,1,0)</f>
        <v>4</v>
      </c>
      <c r="K472" t="str">
        <f>_xlfn.XLOOKUP(B472,BugList!A:A,BugList!H:H)</f>
        <v/>
      </c>
      <c r="L472" t="str">
        <f>IF(K472 = "","",_xlfn.XLOOKUP(B472, BugList!A:A,BugList!B:B,""))</f>
        <v/>
      </c>
      <c r="M472">
        <f>_xlfn.XLOOKUP(D472,BugList!C:C,BugList!N:N)</f>
        <v>6</v>
      </c>
      <c r="N472">
        <f>_xlfn.XLOOKUP(B472,BugList!A:A,BugList!R:R)</f>
        <v>6</v>
      </c>
      <c r="O472" t="b">
        <f>_xlfn.XLOOKUP(B472,BugList!A:A,BugList!L:L)</f>
        <v>0</v>
      </c>
      <c r="P472" t="b">
        <f t="shared" si="45"/>
        <v>0</v>
      </c>
      <c r="R472" t="b">
        <f>SUMPRODUCT(COUNTIF(_xlfn.XLOOKUP(B472,BugList!A:A,BugList!P:P), "*SC*"))&gt;0</f>
        <v>1</v>
      </c>
      <c r="S472" t="str">
        <f>_xlfn.XLOOKUP(B472,BugList!A:A,BugList!W:W)</f>
        <v/>
      </c>
      <c r="T472">
        <f t="shared" si="46"/>
        <v>24</v>
      </c>
      <c r="U472">
        <f t="shared" si="47"/>
        <v>24</v>
      </c>
    </row>
    <row r="473" spans="1:21">
      <c r="A473" t="s">
        <v>2633</v>
      </c>
      <c r="B473">
        <v>2781</v>
      </c>
      <c r="D473" t="s">
        <v>109</v>
      </c>
      <c r="E473" t="s">
        <v>109</v>
      </c>
      <c r="F473">
        <v>1</v>
      </c>
      <c r="G473">
        <f t="shared" si="42"/>
        <v>0.95238095238095244</v>
      </c>
      <c r="H473">
        <f t="shared" si="43"/>
        <v>0</v>
      </c>
      <c r="I473">
        <f t="shared" si="44"/>
        <v>0.95238095238095244</v>
      </c>
      <c r="J473" cm="1">
        <f t="array" ref="J473">INT(G473)+IF(100-SUM(INT(G$462:G$473))&gt;=RANK(I473,I$462:I$473)+COUNTIF(I$462:I473,I473)-1,1,0)</f>
        <v>1</v>
      </c>
      <c r="K473" t="str">
        <f>_xlfn.XLOOKUP(B473,BugList!A:A,BugList!H:H)</f>
        <v/>
      </c>
      <c r="L473" t="str">
        <f>IF(K473 = "","",_xlfn.XLOOKUP(B473, BugList!A:A,BugList!B:B,""))</f>
        <v/>
      </c>
      <c r="M473">
        <f>_xlfn.XLOOKUP(D473,BugList!C:C,BugList!N:N)</f>
        <v>6</v>
      </c>
      <c r="N473">
        <f>_xlfn.XLOOKUP(B473,BugList!A:A,BugList!R:R)</f>
        <v>4</v>
      </c>
      <c r="O473" t="b">
        <f>_xlfn.XLOOKUP(B473,BugList!A:A,BugList!L:L)</f>
        <v>0</v>
      </c>
      <c r="P473" t="b">
        <f t="shared" si="45"/>
        <v>0</v>
      </c>
      <c r="R473" t="b">
        <f>SUMPRODUCT(COUNTIF(_xlfn.XLOOKUP(B473,BugList!A:A,BugList!P:P), "*SC*"))&gt;0</f>
        <v>0</v>
      </c>
      <c r="S473" t="str">
        <f>_xlfn.XLOOKUP(B473,BugList!A:A,BugList!W:W)</f>
        <v/>
      </c>
      <c r="T473">
        <f t="shared" si="46"/>
        <v>6</v>
      </c>
      <c r="U473">
        <f t="shared" si="47"/>
        <v>4</v>
      </c>
    </row>
    <row r="474" spans="1:21">
      <c r="A474" t="s">
        <v>2634</v>
      </c>
      <c r="B474">
        <v>63</v>
      </c>
      <c r="D474" t="s">
        <v>84</v>
      </c>
      <c r="E474" t="s">
        <v>84</v>
      </c>
      <c r="F474">
        <v>1</v>
      </c>
      <c r="G474">
        <f t="shared" si="42"/>
        <v>0.84745762711864403</v>
      </c>
      <c r="H474">
        <f t="shared" si="43"/>
        <v>0</v>
      </c>
      <c r="I474">
        <f t="shared" si="44"/>
        <v>0.84745762711864403</v>
      </c>
      <c r="J474" cm="1">
        <f t="array" ref="J474">INT(G474)+IF(100-SUM(INT(G$474:G$486))&gt;=RANK(I474,I$474:I$486)+COUNTIF(I$474:I474,I474)-1,1,0)</f>
        <v>1</v>
      </c>
      <c r="K474" t="str">
        <f>_xlfn.XLOOKUP(B474,BugList!A:A,BugList!H:H)</f>
        <v/>
      </c>
      <c r="L474" t="str">
        <f>IF(K474 = "","",_xlfn.XLOOKUP(B474, BugList!A:A,BugList!B:B,""))</f>
        <v/>
      </c>
      <c r="M474">
        <f>_xlfn.XLOOKUP(D474,BugList!C:C,BugList!N:N)</f>
        <v>8</v>
      </c>
      <c r="N474">
        <f>_xlfn.XLOOKUP(B474,BugList!A:A,BugList!R:R)</f>
        <v>8</v>
      </c>
      <c r="O474" t="b">
        <f>_xlfn.XLOOKUP(B474,BugList!A:A,BugList!L:L)</f>
        <v>0</v>
      </c>
      <c r="P474" t="b">
        <f t="shared" si="45"/>
        <v>0</v>
      </c>
      <c r="R474" t="b">
        <f>SUMPRODUCT(COUNTIF(_xlfn.XLOOKUP(B474,BugList!A:A,BugList!P:P), "*SC*"))&gt;0</f>
        <v>0</v>
      </c>
      <c r="S474" t="str">
        <f>_xlfn.XLOOKUP(B474,BugList!A:A,BugList!W:W)</f>
        <v/>
      </c>
      <c r="T474">
        <f t="shared" si="46"/>
        <v>8</v>
      </c>
      <c r="U474">
        <f t="shared" si="47"/>
        <v>8</v>
      </c>
    </row>
    <row r="475" spans="1:21">
      <c r="A475" t="s">
        <v>2634</v>
      </c>
      <c r="B475">
        <v>88</v>
      </c>
      <c r="D475" t="s">
        <v>85</v>
      </c>
      <c r="E475" t="s">
        <v>85</v>
      </c>
      <c r="F475">
        <v>61</v>
      </c>
      <c r="G475">
        <f t="shared" si="42"/>
        <v>51.694915254237287</v>
      </c>
      <c r="H475">
        <f t="shared" si="43"/>
        <v>51</v>
      </c>
      <c r="I475">
        <f t="shared" si="44"/>
        <v>0.69491525423728717</v>
      </c>
      <c r="J475" cm="1">
        <f t="array" ref="J475">INT(G475)+IF(100-SUM(INT(G$474:G$486))&gt;=RANK(I475,I$474:I$486)+COUNTIF(I$474:I475,I475)-1,1,0)</f>
        <v>52</v>
      </c>
      <c r="K475" t="str">
        <f>_xlfn.XLOOKUP(B475,BugList!A:A,BugList!H:H)</f>
        <v/>
      </c>
      <c r="L475" t="str">
        <f>IF(K475 = "","",_xlfn.XLOOKUP(B475, BugList!A:A,BugList!B:B,""))</f>
        <v/>
      </c>
      <c r="M475">
        <f>_xlfn.XLOOKUP(D475,BugList!C:C,BugList!N:N)</f>
        <v>4</v>
      </c>
      <c r="N475">
        <f>_xlfn.XLOOKUP(B475,BugList!A:A,BugList!R:R)</f>
        <v>4</v>
      </c>
      <c r="O475" t="b">
        <f>_xlfn.XLOOKUP(B475,BugList!A:A,BugList!L:L)</f>
        <v>0</v>
      </c>
      <c r="P475" t="b">
        <f t="shared" si="45"/>
        <v>0</v>
      </c>
      <c r="R475" t="b">
        <f>SUMPRODUCT(COUNTIF(_xlfn.XLOOKUP(B475,BugList!A:A,BugList!P:P), "*SC*"))&gt;0</f>
        <v>0</v>
      </c>
      <c r="S475" t="str">
        <f>_xlfn.XLOOKUP(B475,BugList!A:A,BugList!W:W)</f>
        <v/>
      </c>
      <c r="T475">
        <f t="shared" si="46"/>
        <v>208</v>
      </c>
      <c r="U475">
        <f t="shared" si="47"/>
        <v>208</v>
      </c>
    </row>
    <row r="476" spans="1:21">
      <c r="A476" t="s">
        <v>2634</v>
      </c>
      <c r="B476">
        <v>99</v>
      </c>
      <c r="D476" t="s">
        <v>169</v>
      </c>
      <c r="E476" t="s">
        <v>169</v>
      </c>
      <c r="F476">
        <v>5</v>
      </c>
      <c r="G476">
        <f t="shared" si="42"/>
        <v>4.2372881355932197</v>
      </c>
      <c r="H476">
        <f t="shared" si="43"/>
        <v>4</v>
      </c>
      <c r="I476">
        <f t="shared" si="44"/>
        <v>0.23728813559321971</v>
      </c>
      <c r="J476" cm="1">
        <f t="array" ref="J476">INT(G476)+IF(100-SUM(INT(G$474:G$486))&gt;=RANK(I476,I$474:I$486)+COUNTIF(I$474:I476,I476)-1,1,0)</f>
        <v>4</v>
      </c>
      <c r="K476" t="str">
        <f>_xlfn.XLOOKUP(B476,BugList!A:A,BugList!H:H)</f>
        <v/>
      </c>
      <c r="L476" t="str">
        <f>IF(K476 = "","",_xlfn.XLOOKUP(B476, BugList!A:A,BugList!B:B,""))</f>
        <v/>
      </c>
      <c r="M476">
        <f>_xlfn.XLOOKUP(D476,BugList!C:C,BugList!N:N)</f>
        <v>5</v>
      </c>
      <c r="N476">
        <f>_xlfn.XLOOKUP(B476,BugList!A:A,BugList!R:R)</f>
        <v>5</v>
      </c>
      <c r="O476" t="b">
        <f>_xlfn.XLOOKUP(B476,BugList!A:A,BugList!L:L)</f>
        <v>0</v>
      </c>
      <c r="P476" t="b">
        <f t="shared" si="45"/>
        <v>0</v>
      </c>
      <c r="R476" t="b">
        <f>SUMPRODUCT(COUNTIF(_xlfn.XLOOKUP(B476,BugList!A:A,BugList!P:P), "*SC*"))&gt;0</f>
        <v>0</v>
      </c>
      <c r="S476" t="str">
        <f>_xlfn.XLOOKUP(B476,BugList!A:A,BugList!W:W)</f>
        <v/>
      </c>
      <c r="T476">
        <f t="shared" si="46"/>
        <v>20</v>
      </c>
      <c r="U476">
        <f t="shared" si="47"/>
        <v>20</v>
      </c>
    </row>
    <row r="477" spans="1:21">
      <c r="A477" t="s">
        <v>2634</v>
      </c>
      <c r="B477">
        <v>372</v>
      </c>
      <c r="D477" t="s">
        <v>88</v>
      </c>
      <c r="E477" t="s">
        <v>88</v>
      </c>
      <c r="F477">
        <v>3</v>
      </c>
      <c r="G477">
        <f t="shared" si="42"/>
        <v>2.5423728813559325</v>
      </c>
      <c r="H477">
        <f t="shared" si="43"/>
        <v>2</v>
      </c>
      <c r="I477">
        <f t="shared" si="44"/>
        <v>0.54237288135593253</v>
      </c>
      <c r="J477" cm="1">
        <f t="array" ref="J477">INT(G477)+IF(100-SUM(INT(G$474:G$486))&gt;=RANK(I477,I$474:I$486)+COUNTIF(I$474:I477,I477)-1,1,0)</f>
        <v>2</v>
      </c>
      <c r="K477" t="str">
        <f>_xlfn.XLOOKUP(B477,BugList!A:A,BugList!H:H)</f>
        <v/>
      </c>
      <c r="L477" t="str">
        <f>IF(K477 = "","",_xlfn.XLOOKUP(B477, BugList!A:A,BugList!B:B,""))</f>
        <v/>
      </c>
      <c r="M477">
        <f>_xlfn.XLOOKUP(D477,BugList!C:C,BugList!N:N)</f>
        <v>8</v>
      </c>
      <c r="N477">
        <f>_xlfn.XLOOKUP(B477,BugList!A:A,BugList!R:R)</f>
        <v>8</v>
      </c>
      <c r="O477" t="b">
        <f>_xlfn.XLOOKUP(B477,BugList!A:A,BugList!L:L)</f>
        <v>0</v>
      </c>
      <c r="P477" t="b">
        <f t="shared" si="45"/>
        <v>0</v>
      </c>
      <c r="R477" t="b">
        <f>SUMPRODUCT(COUNTIF(_xlfn.XLOOKUP(B477,BugList!A:A,BugList!P:P), "*SC*"))&gt;0</f>
        <v>0</v>
      </c>
      <c r="S477" t="str">
        <f>_xlfn.XLOOKUP(B477,BugList!A:A,BugList!W:W)</f>
        <v/>
      </c>
      <c r="T477">
        <f t="shared" si="46"/>
        <v>16</v>
      </c>
      <c r="U477">
        <f t="shared" si="47"/>
        <v>16</v>
      </c>
    </row>
    <row r="478" spans="1:21">
      <c r="A478" t="s">
        <v>2634</v>
      </c>
      <c r="B478">
        <v>469</v>
      </c>
      <c r="D478" t="s">
        <v>154</v>
      </c>
      <c r="E478" t="s">
        <v>154</v>
      </c>
      <c r="F478">
        <v>1</v>
      </c>
      <c r="G478">
        <f t="shared" si="42"/>
        <v>0.84745762711864403</v>
      </c>
      <c r="H478">
        <f t="shared" si="43"/>
        <v>0</v>
      </c>
      <c r="I478">
        <f t="shared" si="44"/>
        <v>0.84745762711864403</v>
      </c>
      <c r="J478" cm="1">
        <f t="array" ref="J478">INT(G478)+IF(100-SUM(INT(G$474:G$486))&gt;=RANK(I478,I$474:I$486)+COUNTIF(I$474:I478,I478)-1,1,0)</f>
        <v>1</v>
      </c>
      <c r="K478" t="str">
        <f>_xlfn.XLOOKUP(B478,BugList!A:A,BugList!H:H)</f>
        <v>*</v>
      </c>
      <c r="L478" t="str">
        <f>IF(K478 = "","",_xlfn.XLOOKUP(B478, BugList!A:A,BugList!B:B,""))</f>
        <v>Ephemeroptera</v>
      </c>
      <c r="M478">
        <f>_xlfn.XLOOKUP(D478,BugList!C:C,BugList!N:N)</f>
        <v>7</v>
      </c>
      <c r="N478">
        <f>_xlfn.XLOOKUP(B478,BugList!A:A,BugList!R:R)</f>
        <v>7</v>
      </c>
      <c r="O478" t="b">
        <f>_xlfn.XLOOKUP(B478,BugList!A:A,BugList!L:L)</f>
        <v>1</v>
      </c>
      <c r="P478" t="b">
        <f t="shared" si="45"/>
        <v>1</v>
      </c>
      <c r="R478" t="b">
        <f>SUMPRODUCT(COUNTIF(_xlfn.XLOOKUP(B478,BugList!A:A,BugList!P:P), "*SC*"))&gt;0</f>
        <v>0</v>
      </c>
      <c r="S478" t="str">
        <f>_xlfn.XLOOKUP(B478,BugList!A:A,BugList!W:W)</f>
        <v/>
      </c>
      <c r="T478">
        <f t="shared" si="46"/>
        <v>7</v>
      </c>
      <c r="U478">
        <f t="shared" si="47"/>
        <v>7</v>
      </c>
    </row>
    <row r="479" spans="1:21">
      <c r="A479" t="s">
        <v>2634</v>
      </c>
      <c r="B479">
        <v>513</v>
      </c>
      <c r="D479" t="s">
        <v>111</v>
      </c>
      <c r="E479" t="s">
        <v>111</v>
      </c>
      <c r="F479">
        <v>14</v>
      </c>
      <c r="G479">
        <f t="shared" si="42"/>
        <v>11.864406779661017</v>
      </c>
      <c r="H479">
        <f t="shared" si="43"/>
        <v>11</v>
      </c>
      <c r="I479">
        <f t="shared" si="44"/>
        <v>0.86440677966101731</v>
      </c>
      <c r="J479" cm="1">
        <f t="array" ref="J479">INT(G479)+IF(100-SUM(INT(G$474:G$486))&gt;=RANK(I479,I$474:I$486)+COUNTIF(I$474:I479,I479)-1,1,0)</f>
        <v>12</v>
      </c>
      <c r="K479" t="str">
        <f>_xlfn.XLOOKUP(B479,BugList!A:A,BugList!H:H)</f>
        <v>*</v>
      </c>
      <c r="L479" t="str">
        <f>IF(K479 = "","",_xlfn.XLOOKUP(B479, BugList!A:A,BugList!B:B,""))</f>
        <v>Ephemeroptera</v>
      </c>
      <c r="M479">
        <f>_xlfn.XLOOKUP(D479,BugList!C:C,BugList!N:N)</f>
        <v>4</v>
      </c>
      <c r="N479">
        <f>_xlfn.XLOOKUP(B479,BugList!A:A,BugList!R:R)</f>
        <v>4</v>
      </c>
      <c r="O479" t="b">
        <f>_xlfn.XLOOKUP(B479,BugList!A:A,BugList!L:L)</f>
        <v>1</v>
      </c>
      <c r="P479" t="b">
        <f t="shared" si="45"/>
        <v>1</v>
      </c>
      <c r="R479" t="b">
        <f>SUMPRODUCT(COUNTIF(_xlfn.XLOOKUP(B479,BugList!A:A,BugList!P:P), "*SC*"))&gt;0</f>
        <v>1</v>
      </c>
      <c r="S479" t="str">
        <f>_xlfn.XLOOKUP(B479,BugList!A:A,BugList!W:W)</f>
        <v/>
      </c>
      <c r="T479">
        <f t="shared" si="46"/>
        <v>48</v>
      </c>
      <c r="U479">
        <f t="shared" si="47"/>
        <v>48</v>
      </c>
    </row>
    <row r="480" spans="1:21">
      <c r="A480" t="s">
        <v>2634</v>
      </c>
      <c r="B480">
        <v>842</v>
      </c>
      <c r="D480" t="s">
        <v>163</v>
      </c>
      <c r="E480" t="s">
        <v>163</v>
      </c>
      <c r="F480">
        <v>2</v>
      </c>
      <c r="G480">
        <f t="shared" si="42"/>
        <v>1.6949152542372881</v>
      </c>
      <c r="H480">
        <f t="shared" si="43"/>
        <v>1</v>
      </c>
      <c r="I480">
        <f t="shared" si="44"/>
        <v>0.69491525423728806</v>
      </c>
      <c r="J480" cm="1">
        <f t="array" ref="J480">INT(G480)+IF(100-SUM(INT(G$474:G$486))&gt;=RANK(I480,I$474:I$486)+COUNTIF(I$474:I480,I480)-1,1,0)</f>
        <v>2</v>
      </c>
      <c r="K480" t="str">
        <f>_xlfn.XLOOKUP(B480,BugList!A:A,BugList!H:H)</f>
        <v>*</v>
      </c>
      <c r="L480" t="str">
        <f>IF(K480 = "","",_xlfn.XLOOKUP(B480, BugList!A:A,BugList!B:B,""))</f>
        <v>Trichoptera</v>
      </c>
      <c r="M480">
        <f>_xlfn.XLOOKUP(D480,BugList!C:C,BugList!N:N)</f>
        <v>6</v>
      </c>
      <c r="N480">
        <f>_xlfn.XLOOKUP(B480,BugList!A:A,BugList!R:R)</f>
        <v>6</v>
      </c>
      <c r="O480" t="b">
        <f>_xlfn.XLOOKUP(B480,BugList!A:A,BugList!L:L)</f>
        <v>1</v>
      </c>
      <c r="P480" t="b">
        <f t="shared" si="45"/>
        <v>1</v>
      </c>
      <c r="R480" t="b">
        <f>SUMPRODUCT(COUNTIF(_xlfn.XLOOKUP(B480,BugList!A:A,BugList!P:P), "*SC*"))&gt;0</f>
        <v>0</v>
      </c>
      <c r="S480" t="str">
        <f>_xlfn.XLOOKUP(B480,BugList!A:A,BugList!W:W)</f>
        <v/>
      </c>
      <c r="T480">
        <f t="shared" si="46"/>
        <v>12</v>
      </c>
      <c r="U480">
        <f t="shared" si="47"/>
        <v>12</v>
      </c>
    </row>
    <row r="481" spans="1:21">
      <c r="A481" t="s">
        <v>2634</v>
      </c>
      <c r="B481">
        <v>1002</v>
      </c>
      <c r="D481" t="s">
        <v>100</v>
      </c>
      <c r="E481" t="s">
        <v>100</v>
      </c>
      <c r="F481">
        <v>7</v>
      </c>
      <c r="G481">
        <f t="shared" si="42"/>
        <v>5.9322033898305087</v>
      </c>
      <c r="H481">
        <f t="shared" si="43"/>
        <v>5</v>
      </c>
      <c r="I481">
        <f t="shared" si="44"/>
        <v>0.93220338983050866</v>
      </c>
      <c r="J481" cm="1">
        <f t="array" ref="J481">INT(G481)+IF(100-SUM(INT(G$474:G$486))&gt;=RANK(I481,I$474:I$486)+COUNTIF(I$474:I481,I481)-1,1,0)</f>
        <v>6</v>
      </c>
      <c r="K481" t="str">
        <f>_xlfn.XLOOKUP(B481,BugList!A:A,BugList!H:H)</f>
        <v/>
      </c>
      <c r="L481" t="str">
        <f>IF(K481 = "","",_xlfn.XLOOKUP(B481, BugList!A:A,BugList!B:B,""))</f>
        <v/>
      </c>
      <c r="M481">
        <f>_xlfn.XLOOKUP(D481,BugList!C:C,BugList!N:N)</f>
        <v>4</v>
      </c>
      <c r="N481">
        <f>_xlfn.XLOOKUP(B481,BugList!A:A,BugList!R:R)</f>
        <v>4</v>
      </c>
      <c r="O481" t="b">
        <f>_xlfn.XLOOKUP(B481,BugList!A:A,BugList!L:L)</f>
        <v>1</v>
      </c>
      <c r="P481" t="b">
        <f t="shared" si="45"/>
        <v>0</v>
      </c>
      <c r="R481" t="b">
        <f>SUMPRODUCT(COUNTIF(_xlfn.XLOOKUP(B481,BugList!A:A,BugList!P:P), "*SC*"))&gt;0</f>
        <v>1</v>
      </c>
      <c r="S481" t="str">
        <f>_xlfn.XLOOKUP(B481,BugList!A:A,BugList!W:W)</f>
        <v/>
      </c>
      <c r="T481">
        <f t="shared" si="46"/>
        <v>24</v>
      </c>
      <c r="U481">
        <f t="shared" si="47"/>
        <v>24</v>
      </c>
    </row>
    <row r="482" spans="1:21">
      <c r="A482" t="s">
        <v>2634</v>
      </c>
      <c r="B482">
        <v>1088</v>
      </c>
      <c r="D482" t="s">
        <v>90</v>
      </c>
      <c r="E482" t="s">
        <v>90</v>
      </c>
      <c r="F482">
        <v>9</v>
      </c>
      <c r="G482">
        <f t="shared" si="42"/>
        <v>7.6271186440677967</v>
      </c>
      <c r="H482">
        <f t="shared" si="43"/>
        <v>7</v>
      </c>
      <c r="I482">
        <f t="shared" si="44"/>
        <v>0.62711864406779672</v>
      </c>
      <c r="J482" cm="1">
        <f t="array" ref="J482">INT(G482)+IF(100-SUM(INT(G$474:G$486))&gt;=RANK(I482,I$474:I$486)+COUNTIF(I$474:I482,I482)-1,1,0)</f>
        <v>7</v>
      </c>
      <c r="K482" t="str">
        <f>_xlfn.XLOOKUP(B482,BugList!A:A,BugList!H:H)</f>
        <v/>
      </c>
      <c r="L482" t="str">
        <f>IF(K482 = "","",_xlfn.XLOOKUP(B482, BugList!A:A,BugList!B:B,""))</f>
        <v/>
      </c>
      <c r="M482">
        <f>_xlfn.XLOOKUP(D482,BugList!C:C,BugList!N:N)</f>
        <v>6</v>
      </c>
      <c r="N482">
        <f>_xlfn.XLOOKUP(B482,BugList!A:A,BugList!R:R)</f>
        <v>6</v>
      </c>
      <c r="O482" t="b">
        <f>_xlfn.XLOOKUP(B482,BugList!A:A,BugList!L:L)</f>
        <v>1</v>
      </c>
      <c r="P482" t="b">
        <f t="shared" si="45"/>
        <v>0</v>
      </c>
      <c r="R482" t="b">
        <f>SUMPRODUCT(COUNTIF(_xlfn.XLOOKUP(B482,BugList!A:A,BugList!P:P), "*SC*"))&gt;0</f>
        <v>0</v>
      </c>
      <c r="S482" t="str">
        <f>_xlfn.XLOOKUP(B482,BugList!A:A,BugList!W:W)</f>
        <v/>
      </c>
      <c r="T482">
        <f t="shared" si="46"/>
        <v>42</v>
      </c>
      <c r="U482">
        <f t="shared" si="47"/>
        <v>42</v>
      </c>
    </row>
    <row r="483" spans="1:21">
      <c r="A483" t="s">
        <v>2634</v>
      </c>
      <c r="B483">
        <v>1582</v>
      </c>
      <c r="D483" t="s">
        <v>121</v>
      </c>
      <c r="E483" t="s">
        <v>121</v>
      </c>
      <c r="F483">
        <v>2</v>
      </c>
      <c r="G483">
        <f t="shared" si="42"/>
        <v>1.6949152542372881</v>
      </c>
      <c r="H483">
        <f t="shared" si="43"/>
        <v>1</v>
      </c>
      <c r="I483">
        <f t="shared" si="44"/>
        <v>0.69491525423728806</v>
      </c>
      <c r="J483" cm="1">
        <f t="array" ref="J483">INT(G483)+IF(100-SUM(INT(G$474:G$486))&gt;=RANK(I483,I$474:I$486)+COUNTIF(I$474:I483,I483)-1,1,0)</f>
        <v>2</v>
      </c>
      <c r="K483" t="str">
        <f>_xlfn.XLOOKUP(B483,BugList!A:A,BugList!H:H)</f>
        <v/>
      </c>
      <c r="L483" t="str">
        <f>IF(K483 = "","",_xlfn.XLOOKUP(B483, BugList!A:A,BugList!B:B,""))</f>
        <v/>
      </c>
      <c r="M483">
        <f>_xlfn.XLOOKUP(D483,BugList!C:C,BugList!N:N)</f>
        <v>6</v>
      </c>
      <c r="N483">
        <f>_xlfn.XLOOKUP(B483,BugList!A:A,BugList!R:R)</f>
        <v>6</v>
      </c>
      <c r="O483" t="b">
        <f>_xlfn.XLOOKUP(B483,BugList!A:A,BugList!L:L)</f>
        <v>0</v>
      </c>
      <c r="P483" t="b">
        <f t="shared" si="45"/>
        <v>0</v>
      </c>
      <c r="R483" t="b">
        <f>SUMPRODUCT(COUNTIF(_xlfn.XLOOKUP(B483,BugList!A:A,BugList!P:P), "*SC*"))&gt;0</f>
        <v>1</v>
      </c>
      <c r="S483" t="str">
        <f>_xlfn.XLOOKUP(B483,BugList!A:A,BugList!W:W)</f>
        <v/>
      </c>
      <c r="T483">
        <f t="shared" si="46"/>
        <v>12</v>
      </c>
      <c r="U483">
        <f t="shared" si="47"/>
        <v>12</v>
      </c>
    </row>
    <row r="484" spans="1:21">
      <c r="A484" t="s">
        <v>2634</v>
      </c>
      <c r="B484">
        <v>1614</v>
      </c>
      <c r="D484" t="s">
        <v>92</v>
      </c>
      <c r="E484" t="s">
        <v>92</v>
      </c>
      <c r="F484">
        <v>2</v>
      </c>
      <c r="G484">
        <f t="shared" si="42"/>
        <v>1.6949152542372881</v>
      </c>
      <c r="H484">
        <f t="shared" si="43"/>
        <v>1</v>
      </c>
      <c r="I484">
        <f t="shared" si="44"/>
        <v>0.69491525423728806</v>
      </c>
      <c r="J484" cm="1">
        <f t="array" ref="J484">INT(G484)+IF(100-SUM(INT(G$474:G$486))&gt;=RANK(I484,I$474:I$486)+COUNTIF(I$474:I484,I484)-1,1,0)</f>
        <v>2</v>
      </c>
      <c r="K484" t="str">
        <f>_xlfn.XLOOKUP(B484,BugList!A:A,BugList!H:H)</f>
        <v/>
      </c>
      <c r="L484" t="str">
        <f>IF(K484 = "","",_xlfn.XLOOKUP(B484, BugList!A:A,BugList!B:B,""))</f>
        <v/>
      </c>
      <c r="M484">
        <f>_xlfn.XLOOKUP(D484,BugList!C:C,BugList!N:N)</f>
        <v>8</v>
      </c>
      <c r="N484">
        <f>_xlfn.XLOOKUP(B484,BugList!A:A,BugList!R:R)</f>
        <v>8</v>
      </c>
      <c r="O484" t="b">
        <f>_xlfn.XLOOKUP(B484,BugList!A:A,BugList!L:L)</f>
        <v>0</v>
      </c>
      <c r="P484" t="b">
        <f t="shared" si="45"/>
        <v>0</v>
      </c>
      <c r="R484" t="b">
        <f>SUMPRODUCT(COUNTIF(_xlfn.XLOOKUP(B484,BugList!A:A,BugList!P:P), "*SC*"))&gt;0</f>
        <v>0</v>
      </c>
      <c r="S484" t="str">
        <f>_xlfn.XLOOKUP(B484,BugList!A:A,BugList!W:W)</f>
        <v/>
      </c>
      <c r="T484">
        <f t="shared" si="46"/>
        <v>16</v>
      </c>
      <c r="U484">
        <f t="shared" si="47"/>
        <v>16</v>
      </c>
    </row>
    <row r="485" spans="1:21">
      <c r="A485" t="s">
        <v>2634</v>
      </c>
      <c r="B485">
        <v>1678</v>
      </c>
      <c r="D485" t="s">
        <v>166</v>
      </c>
      <c r="E485" t="s">
        <v>166</v>
      </c>
      <c r="F485">
        <v>1</v>
      </c>
      <c r="G485">
        <f t="shared" si="42"/>
        <v>0.84745762711864403</v>
      </c>
      <c r="H485">
        <f t="shared" si="43"/>
        <v>0</v>
      </c>
      <c r="I485">
        <f t="shared" si="44"/>
        <v>0.84745762711864403</v>
      </c>
      <c r="J485" cm="1">
        <f t="array" ref="J485">INT(G485)+IF(100-SUM(INT(G$474:G$486))&gt;=RANK(I485,I$474:I$486)+COUNTIF(I$474:I485,I485)-1,1,0)</f>
        <v>1</v>
      </c>
      <c r="K485" t="str">
        <f>_xlfn.XLOOKUP(B485,BugList!A:A,BugList!H:H)</f>
        <v/>
      </c>
      <c r="L485" t="str">
        <f>IF(K485 = "","",_xlfn.XLOOKUP(B485, BugList!A:A,BugList!B:B,""))</f>
        <v/>
      </c>
      <c r="M485">
        <f>_xlfn.XLOOKUP(D485,BugList!C:C,BugList!N:N)</f>
        <v>6</v>
      </c>
      <c r="N485">
        <f>_xlfn.XLOOKUP(B485,BugList!A:A,BugList!R:R)</f>
        <v>6</v>
      </c>
      <c r="O485" t="b">
        <f>_xlfn.XLOOKUP(B485,BugList!A:A,BugList!L:L)</f>
        <v>0</v>
      </c>
      <c r="P485" t="b">
        <f t="shared" si="45"/>
        <v>0</v>
      </c>
      <c r="R485" t="b">
        <f>SUMPRODUCT(COUNTIF(_xlfn.XLOOKUP(B485,BugList!A:A,BugList!P:P), "*SC*"))&gt;0</f>
        <v>1</v>
      </c>
      <c r="S485" t="str">
        <f>_xlfn.XLOOKUP(B485,BugList!A:A,BugList!W:W)</f>
        <v/>
      </c>
      <c r="T485">
        <f t="shared" si="46"/>
        <v>6</v>
      </c>
      <c r="U485">
        <f t="shared" si="47"/>
        <v>6</v>
      </c>
    </row>
    <row r="486" spans="1:21">
      <c r="A486" t="s">
        <v>2634</v>
      </c>
      <c r="B486">
        <v>2781</v>
      </c>
      <c r="D486" t="s">
        <v>109</v>
      </c>
      <c r="E486" t="s">
        <v>109</v>
      </c>
      <c r="F486">
        <v>10</v>
      </c>
      <c r="G486">
        <f t="shared" si="42"/>
        <v>8.4745762711864394</v>
      </c>
      <c r="H486">
        <f t="shared" si="43"/>
        <v>8</v>
      </c>
      <c r="I486">
        <f t="shared" si="44"/>
        <v>0.47457627118643941</v>
      </c>
      <c r="J486" cm="1">
        <f t="array" ref="J486">INT(G486)+IF(100-SUM(INT(G$474:G$486))&gt;=RANK(I486,I$474:I$486)+COUNTIF(I$474:I486,I486)-1,1,0)</f>
        <v>8</v>
      </c>
      <c r="K486" t="str">
        <f>_xlfn.XLOOKUP(B486,BugList!A:A,BugList!H:H)</f>
        <v/>
      </c>
      <c r="L486" t="str">
        <f>IF(K486 = "","",_xlfn.XLOOKUP(B486, BugList!A:A,BugList!B:B,""))</f>
        <v/>
      </c>
      <c r="M486">
        <f>_xlfn.XLOOKUP(D486,BugList!C:C,BugList!N:N)</f>
        <v>6</v>
      </c>
      <c r="N486">
        <f>_xlfn.XLOOKUP(B486,BugList!A:A,BugList!R:R)</f>
        <v>4</v>
      </c>
      <c r="O486" t="b">
        <f>_xlfn.XLOOKUP(B486,BugList!A:A,BugList!L:L)</f>
        <v>0</v>
      </c>
      <c r="P486" t="b">
        <f t="shared" si="45"/>
        <v>0</v>
      </c>
      <c r="R486" t="b">
        <f>SUMPRODUCT(COUNTIF(_xlfn.XLOOKUP(B486,BugList!A:A,BugList!P:P), "*SC*"))&gt;0</f>
        <v>0</v>
      </c>
      <c r="S486" t="str">
        <f>_xlfn.XLOOKUP(B486,BugList!A:A,BugList!W:W)</f>
        <v/>
      </c>
      <c r="T486">
        <f t="shared" si="46"/>
        <v>48</v>
      </c>
      <c r="U486">
        <f t="shared" si="47"/>
        <v>32</v>
      </c>
    </row>
    <row r="487" spans="1:21">
      <c r="A487" t="s">
        <v>2635</v>
      </c>
      <c r="B487">
        <v>99</v>
      </c>
      <c r="D487" t="s">
        <v>169</v>
      </c>
      <c r="E487" t="s">
        <v>169</v>
      </c>
      <c r="F487">
        <v>10</v>
      </c>
      <c r="K487" t="str">
        <f>_xlfn.XLOOKUP(B487,BugList!A:A,BugList!H:H)</f>
        <v/>
      </c>
      <c r="L487" t="str">
        <f>IF(K487 = "","",_xlfn.XLOOKUP(B487, BugList!A:A,BugList!B:B,""))</f>
        <v/>
      </c>
      <c r="M487">
        <f>_xlfn.XLOOKUP(D487,BugList!C:C,BugList!N:N)</f>
        <v>5</v>
      </c>
      <c r="N487">
        <f>_xlfn.XLOOKUP(B487,BugList!A:A,BugList!R:R)</f>
        <v>5</v>
      </c>
      <c r="O487" t="b">
        <f>_xlfn.XLOOKUP(B487,BugList!A:A,BugList!L:L)</f>
        <v>0</v>
      </c>
      <c r="P487" t="b">
        <f t="shared" si="45"/>
        <v>0</v>
      </c>
      <c r="R487" t="b">
        <f>SUMPRODUCT(COUNTIF(_xlfn.XLOOKUP(B487,BugList!A:A,BugList!P:P), "*SC*"))&gt;0</f>
        <v>0</v>
      </c>
      <c r="S487" t="str">
        <f>_xlfn.XLOOKUP(B487,BugList!A:A,BugList!W:W)</f>
        <v/>
      </c>
    </row>
    <row r="488" spans="1:21">
      <c r="A488" t="s">
        <v>2635</v>
      </c>
      <c r="B488">
        <v>513</v>
      </c>
      <c r="D488" t="s">
        <v>111</v>
      </c>
      <c r="E488" t="s">
        <v>111</v>
      </c>
      <c r="F488">
        <v>5</v>
      </c>
      <c r="K488" t="str">
        <f>_xlfn.XLOOKUP(B488,BugList!A:A,BugList!H:H)</f>
        <v>*</v>
      </c>
      <c r="L488" t="str">
        <f>IF(K488 = "","",_xlfn.XLOOKUP(B488, BugList!A:A,BugList!B:B,""))</f>
        <v>Ephemeroptera</v>
      </c>
      <c r="M488">
        <f>_xlfn.XLOOKUP(D488,BugList!C:C,BugList!N:N)</f>
        <v>4</v>
      </c>
      <c r="N488">
        <f>_xlfn.XLOOKUP(B488,BugList!A:A,BugList!R:R)</f>
        <v>4</v>
      </c>
      <c r="O488" t="b">
        <f>_xlfn.XLOOKUP(B488,BugList!A:A,BugList!L:L)</f>
        <v>1</v>
      </c>
      <c r="P488" t="b">
        <f t="shared" si="45"/>
        <v>1</v>
      </c>
      <c r="R488" t="b">
        <f>SUMPRODUCT(COUNTIF(_xlfn.XLOOKUP(B488,BugList!A:A,BugList!P:P), "*SC*"))&gt;0</f>
        <v>1</v>
      </c>
      <c r="S488" t="str">
        <f>_xlfn.XLOOKUP(B488,BugList!A:A,BugList!W:W)</f>
        <v/>
      </c>
    </row>
    <row r="489" spans="1:21">
      <c r="A489" t="s">
        <v>2635</v>
      </c>
      <c r="B489">
        <v>1002</v>
      </c>
      <c r="D489" t="s">
        <v>100</v>
      </c>
      <c r="E489" t="s">
        <v>100</v>
      </c>
      <c r="F489">
        <v>2</v>
      </c>
      <c r="K489" t="str">
        <f>_xlfn.XLOOKUP(B489,BugList!A:A,BugList!H:H)</f>
        <v/>
      </c>
      <c r="L489" t="str">
        <f>IF(K489 = "","",_xlfn.XLOOKUP(B489, BugList!A:A,BugList!B:B,""))</f>
        <v/>
      </c>
      <c r="M489">
        <f>_xlfn.XLOOKUP(D489,BugList!C:C,BugList!N:N)</f>
        <v>4</v>
      </c>
      <c r="N489">
        <f>_xlfn.XLOOKUP(B489,BugList!A:A,BugList!R:R)</f>
        <v>4</v>
      </c>
      <c r="O489" t="b">
        <f>_xlfn.XLOOKUP(B489,BugList!A:A,BugList!L:L)</f>
        <v>1</v>
      </c>
      <c r="P489" t="b">
        <f t="shared" si="45"/>
        <v>0</v>
      </c>
      <c r="R489" t="b">
        <f>SUMPRODUCT(COUNTIF(_xlfn.XLOOKUP(B489,BugList!A:A,BugList!P:P), "*SC*"))&gt;0</f>
        <v>1</v>
      </c>
      <c r="S489" t="str">
        <f>_xlfn.XLOOKUP(B489,BugList!A:A,BugList!W:W)</f>
        <v/>
      </c>
    </row>
    <row r="490" spans="1:21">
      <c r="A490" t="s">
        <v>2635</v>
      </c>
      <c r="B490">
        <v>1088</v>
      </c>
      <c r="D490" t="s">
        <v>90</v>
      </c>
      <c r="E490" t="s">
        <v>90</v>
      </c>
      <c r="F490">
        <v>5</v>
      </c>
      <c r="K490" t="str">
        <f>_xlfn.XLOOKUP(B490,BugList!A:A,BugList!H:H)</f>
        <v/>
      </c>
      <c r="L490" t="str">
        <f>IF(K490 = "","",_xlfn.XLOOKUP(B490, BugList!A:A,BugList!B:B,""))</f>
        <v/>
      </c>
      <c r="M490">
        <f>_xlfn.XLOOKUP(D490,BugList!C:C,BugList!N:N)</f>
        <v>6</v>
      </c>
      <c r="N490">
        <f>_xlfn.XLOOKUP(B490,BugList!A:A,BugList!R:R)</f>
        <v>6</v>
      </c>
      <c r="O490" t="b">
        <f>_xlfn.XLOOKUP(B490,BugList!A:A,BugList!L:L)</f>
        <v>1</v>
      </c>
      <c r="P490" t="b">
        <f t="shared" si="45"/>
        <v>0</v>
      </c>
      <c r="R490" t="b">
        <f>SUMPRODUCT(COUNTIF(_xlfn.XLOOKUP(B490,BugList!A:A,BugList!P:P), "*SC*"))&gt;0</f>
        <v>0</v>
      </c>
      <c r="S490" t="str">
        <f>_xlfn.XLOOKUP(B490,BugList!A:A,BugList!W:W)</f>
        <v/>
      </c>
    </row>
    <row r="491" spans="1:21">
      <c r="A491" t="s">
        <v>2636</v>
      </c>
      <c r="B491">
        <v>63</v>
      </c>
      <c r="D491" t="s">
        <v>84</v>
      </c>
      <c r="E491" t="s">
        <v>84</v>
      </c>
      <c r="F491">
        <v>2</v>
      </c>
      <c r="G491">
        <f t="shared" ref="G489:G552" si="48">(F491/(SUMIFS(F:F,A:A,A491))*100)</f>
        <v>1.8867924528301887</v>
      </c>
      <c r="H491">
        <f t="shared" ref="H489:H552" si="49">INT(G491)</f>
        <v>1</v>
      </c>
      <c r="I491">
        <f t="shared" ref="I489:I552" si="50">G491-H491</f>
        <v>0.8867924528301887</v>
      </c>
      <c r="J491" cm="1">
        <f t="array" ref="J491">INT(G491)+IF(100-SUM(INT(G$491:G$504))&gt;=RANK(I491,I$491:I$504)+COUNTIF(I$491:I491,I491)-1,1,0)</f>
        <v>2</v>
      </c>
      <c r="K491" t="str">
        <f>_xlfn.XLOOKUP(B491,BugList!A:A,BugList!H:H)</f>
        <v/>
      </c>
      <c r="L491" t="str">
        <f>IF(K491 = "","",_xlfn.XLOOKUP(B491, BugList!A:A,BugList!B:B,""))</f>
        <v/>
      </c>
      <c r="M491">
        <f>_xlfn.XLOOKUP(D491,BugList!C:C,BugList!N:N)</f>
        <v>8</v>
      </c>
      <c r="N491">
        <f>_xlfn.XLOOKUP(B491,BugList!A:A,BugList!R:R)</f>
        <v>8</v>
      </c>
      <c r="O491" t="b">
        <f>_xlfn.XLOOKUP(B491,BugList!A:A,BugList!L:L)</f>
        <v>0</v>
      </c>
      <c r="P491" t="b">
        <f t="shared" si="45"/>
        <v>0</v>
      </c>
      <c r="R491" t="b">
        <f>SUMPRODUCT(COUNTIF(_xlfn.XLOOKUP(B491,BugList!A:A,BugList!P:P), "*SC*"))&gt;0</f>
        <v>0</v>
      </c>
      <c r="S491" t="str">
        <f>_xlfn.XLOOKUP(B491,BugList!A:A,BugList!W:W)</f>
        <v/>
      </c>
      <c r="T491">
        <f t="shared" si="46"/>
        <v>16</v>
      </c>
      <c r="U491">
        <f t="shared" si="47"/>
        <v>16</v>
      </c>
    </row>
    <row r="492" spans="1:21">
      <c r="A492" t="s">
        <v>2636</v>
      </c>
      <c r="B492">
        <v>88</v>
      </c>
      <c r="D492" t="s">
        <v>85</v>
      </c>
      <c r="E492" t="s">
        <v>85</v>
      </c>
      <c r="F492">
        <v>12</v>
      </c>
      <c r="G492">
        <f t="shared" si="48"/>
        <v>11.320754716981133</v>
      </c>
      <c r="H492">
        <f t="shared" si="49"/>
        <v>11</v>
      </c>
      <c r="I492">
        <f t="shared" si="50"/>
        <v>0.32075471698113311</v>
      </c>
      <c r="J492" cm="1">
        <f t="array" ref="J492">INT(G492)+IF(100-SUM(INT(G$491:G$504))&gt;=RANK(I492,I$491:I$504)+COUNTIF(I$491:I492,I492)-1,1,0)</f>
        <v>11</v>
      </c>
      <c r="K492" t="str">
        <f>_xlfn.XLOOKUP(B492,BugList!A:A,BugList!H:H)</f>
        <v/>
      </c>
      <c r="L492" t="str">
        <f>IF(K492 = "","",_xlfn.XLOOKUP(B492, BugList!A:A,BugList!B:B,""))</f>
        <v/>
      </c>
      <c r="M492">
        <f>_xlfn.XLOOKUP(D492,BugList!C:C,BugList!N:N)</f>
        <v>4</v>
      </c>
      <c r="N492">
        <f>_xlfn.XLOOKUP(B492,BugList!A:A,BugList!R:R)</f>
        <v>4</v>
      </c>
      <c r="O492" t="b">
        <f>_xlfn.XLOOKUP(B492,BugList!A:A,BugList!L:L)</f>
        <v>0</v>
      </c>
      <c r="P492" t="b">
        <f t="shared" si="45"/>
        <v>0</v>
      </c>
      <c r="R492" t="b">
        <f>SUMPRODUCT(COUNTIF(_xlfn.XLOOKUP(B492,BugList!A:A,BugList!P:P), "*SC*"))&gt;0</f>
        <v>0</v>
      </c>
      <c r="S492" t="str">
        <f>_xlfn.XLOOKUP(B492,BugList!A:A,BugList!W:W)</f>
        <v/>
      </c>
      <c r="T492">
        <f t="shared" si="46"/>
        <v>44</v>
      </c>
      <c r="U492">
        <f t="shared" si="47"/>
        <v>44</v>
      </c>
    </row>
    <row r="493" spans="1:21">
      <c r="A493" t="s">
        <v>2636</v>
      </c>
      <c r="B493">
        <v>372</v>
      </c>
      <c r="D493" t="s">
        <v>88</v>
      </c>
      <c r="E493" t="s">
        <v>88</v>
      </c>
      <c r="F493">
        <v>1</v>
      </c>
      <c r="G493">
        <f t="shared" si="48"/>
        <v>0.94339622641509435</v>
      </c>
      <c r="H493">
        <f t="shared" si="49"/>
        <v>0</v>
      </c>
      <c r="I493">
        <f t="shared" si="50"/>
        <v>0.94339622641509435</v>
      </c>
      <c r="J493" cm="1">
        <f t="array" ref="J493">INT(G493)+IF(100-SUM(INT(G$491:G$504))&gt;=RANK(I493,I$491:I$504)+COUNTIF(I$491:I493,I493)-1,1,0)</f>
        <v>1</v>
      </c>
      <c r="K493" t="str">
        <f>_xlfn.XLOOKUP(B493,BugList!A:A,BugList!H:H)</f>
        <v/>
      </c>
      <c r="L493" t="str">
        <f>IF(K493 = "","",_xlfn.XLOOKUP(B493, BugList!A:A,BugList!B:B,""))</f>
        <v/>
      </c>
      <c r="M493">
        <f>_xlfn.XLOOKUP(D493,BugList!C:C,BugList!N:N)</f>
        <v>8</v>
      </c>
      <c r="N493">
        <f>_xlfn.XLOOKUP(B493,BugList!A:A,BugList!R:R)</f>
        <v>8</v>
      </c>
      <c r="O493" t="b">
        <f>_xlfn.XLOOKUP(B493,BugList!A:A,BugList!L:L)</f>
        <v>0</v>
      </c>
      <c r="P493" t="b">
        <f t="shared" ref="P493:P556" si="51">IF(K493="*",IF(D493="Hydropsychidae", IF(E493="Diplectrona",TRUE,FALSE),TRUE),FALSE)</f>
        <v>0</v>
      </c>
      <c r="R493" t="b">
        <f>SUMPRODUCT(COUNTIF(_xlfn.XLOOKUP(B493,BugList!A:A,BugList!P:P), "*SC*"))&gt;0</f>
        <v>0</v>
      </c>
      <c r="S493" t="str">
        <f>_xlfn.XLOOKUP(B493,BugList!A:A,BugList!W:W)</f>
        <v/>
      </c>
      <c r="T493">
        <f t="shared" si="46"/>
        <v>8</v>
      </c>
      <c r="U493">
        <f t="shared" si="47"/>
        <v>8</v>
      </c>
    </row>
    <row r="494" spans="1:21">
      <c r="A494" t="s">
        <v>2636</v>
      </c>
      <c r="B494">
        <v>469</v>
      </c>
      <c r="D494" t="s">
        <v>154</v>
      </c>
      <c r="E494" t="s">
        <v>154</v>
      </c>
      <c r="F494">
        <v>7</v>
      </c>
      <c r="G494">
        <f t="shared" si="48"/>
        <v>6.6037735849056602</v>
      </c>
      <c r="H494">
        <f t="shared" si="49"/>
        <v>6</v>
      </c>
      <c r="I494">
        <f t="shared" si="50"/>
        <v>0.60377358490566024</v>
      </c>
      <c r="J494" cm="1">
        <f t="array" ref="J494">INT(G494)+IF(100-SUM(INT(G$491:G$504))&gt;=RANK(I494,I$491:I$504)+COUNTIF(I$491:I494,I494)-1,1,0)</f>
        <v>7</v>
      </c>
      <c r="K494" t="str">
        <f>_xlfn.XLOOKUP(B494,BugList!A:A,BugList!H:H)</f>
        <v>*</v>
      </c>
      <c r="L494" t="str">
        <f>IF(K494 = "","",_xlfn.XLOOKUP(B494, BugList!A:A,BugList!B:B,""))</f>
        <v>Ephemeroptera</v>
      </c>
      <c r="M494">
        <f>_xlfn.XLOOKUP(D494,BugList!C:C,BugList!N:N)</f>
        <v>7</v>
      </c>
      <c r="N494">
        <f>_xlfn.XLOOKUP(B494,BugList!A:A,BugList!R:R)</f>
        <v>7</v>
      </c>
      <c r="O494" t="b">
        <f>_xlfn.XLOOKUP(B494,BugList!A:A,BugList!L:L)</f>
        <v>1</v>
      </c>
      <c r="P494" t="b">
        <f t="shared" si="51"/>
        <v>1</v>
      </c>
      <c r="R494" t="b">
        <f>SUMPRODUCT(COUNTIF(_xlfn.XLOOKUP(B494,BugList!A:A,BugList!P:P), "*SC*"))&gt;0</f>
        <v>0</v>
      </c>
      <c r="S494" t="str">
        <f>_xlfn.XLOOKUP(B494,BugList!A:A,BugList!W:W)</f>
        <v/>
      </c>
      <c r="T494">
        <f t="shared" si="46"/>
        <v>49</v>
      </c>
      <c r="U494">
        <f t="shared" si="47"/>
        <v>49</v>
      </c>
    </row>
    <row r="495" spans="1:21">
      <c r="A495" t="s">
        <v>2636</v>
      </c>
      <c r="B495">
        <v>500</v>
      </c>
      <c r="D495" t="s">
        <v>151</v>
      </c>
      <c r="E495" t="s">
        <v>151</v>
      </c>
      <c r="F495">
        <v>1</v>
      </c>
      <c r="G495">
        <f t="shared" si="48"/>
        <v>0.94339622641509435</v>
      </c>
      <c r="H495">
        <f t="shared" si="49"/>
        <v>0</v>
      </c>
      <c r="I495">
        <f t="shared" si="50"/>
        <v>0.94339622641509435</v>
      </c>
      <c r="J495" cm="1">
        <f t="array" ref="J495">INT(G495)+IF(100-SUM(INT(G$491:G$504))&gt;=RANK(I495,I$491:I$504)+COUNTIF(I$491:I495,I495)-1,1,0)</f>
        <v>1</v>
      </c>
      <c r="K495" t="str">
        <f>_xlfn.XLOOKUP(B495,BugList!A:A,BugList!H:H)</f>
        <v>*</v>
      </c>
      <c r="L495" t="str">
        <f>IF(K495 = "","",_xlfn.XLOOKUP(B495, BugList!A:A,BugList!B:B,""))</f>
        <v>Ephemeroptera</v>
      </c>
      <c r="M495">
        <f>_xlfn.XLOOKUP(D495,BugList!C:C,BugList!N:N)</f>
        <v>1</v>
      </c>
      <c r="N495">
        <f>_xlfn.XLOOKUP(B495,BugList!A:A,BugList!R:R)</f>
        <v>1</v>
      </c>
      <c r="O495" t="b">
        <f>_xlfn.XLOOKUP(B495,BugList!A:A,BugList!L:L)</f>
        <v>1</v>
      </c>
      <c r="P495" t="b">
        <f t="shared" si="51"/>
        <v>1</v>
      </c>
      <c r="R495" t="b">
        <f>SUMPRODUCT(COUNTIF(_xlfn.XLOOKUP(B495,BugList!A:A,BugList!P:P), "*SC*"))&gt;0</f>
        <v>1</v>
      </c>
      <c r="S495" t="str">
        <f>_xlfn.XLOOKUP(B495,BugList!A:A,BugList!W:W)</f>
        <v/>
      </c>
      <c r="T495">
        <f t="shared" si="46"/>
        <v>1</v>
      </c>
      <c r="U495">
        <f t="shared" si="47"/>
        <v>1</v>
      </c>
    </row>
    <row r="496" spans="1:21">
      <c r="A496" t="s">
        <v>2636</v>
      </c>
      <c r="B496">
        <v>513</v>
      </c>
      <c r="D496" t="s">
        <v>111</v>
      </c>
      <c r="E496" t="s">
        <v>111</v>
      </c>
      <c r="F496">
        <v>7</v>
      </c>
      <c r="G496">
        <f t="shared" si="48"/>
        <v>6.6037735849056602</v>
      </c>
      <c r="H496">
        <f t="shared" si="49"/>
        <v>6</v>
      </c>
      <c r="I496">
        <f t="shared" si="50"/>
        <v>0.60377358490566024</v>
      </c>
      <c r="J496" cm="1">
        <f t="array" ref="J496">INT(G496)+IF(100-SUM(INT(G$491:G$504))&gt;=RANK(I496,I$491:I$504)+COUNTIF(I$491:I496,I496)-1,1,0)</f>
        <v>7</v>
      </c>
      <c r="K496" t="str">
        <f>_xlfn.XLOOKUP(B496,BugList!A:A,BugList!H:H)</f>
        <v>*</v>
      </c>
      <c r="L496" t="str">
        <f>IF(K496 = "","",_xlfn.XLOOKUP(B496, BugList!A:A,BugList!B:B,""))</f>
        <v>Ephemeroptera</v>
      </c>
      <c r="M496">
        <f>_xlfn.XLOOKUP(D496,BugList!C:C,BugList!N:N)</f>
        <v>4</v>
      </c>
      <c r="N496">
        <f>_xlfn.XLOOKUP(B496,BugList!A:A,BugList!R:R)</f>
        <v>4</v>
      </c>
      <c r="O496" t="b">
        <f>_xlfn.XLOOKUP(B496,BugList!A:A,BugList!L:L)</f>
        <v>1</v>
      </c>
      <c r="P496" t="b">
        <f t="shared" si="51"/>
        <v>1</v>
      </c>
      <c r="R496" t="b">
        <f>SUMPRODUCT(COUNTIF(_xlfn.XLOOKUP(B496,BugList!A:A,BugList!P:P), "*SC*"))&gt;0</f>
        <v>1</v>
      </c>
      <c r="S496" t="str">
        <f>_xlfn.XLOOKUP(B496,BugList!A:A,BugList!W:W)</f>
        <v/>
      </c>
      <c r="T496">
        <f t="shared" si="46"/>
        <v>28</v>
      </c>
      <c r="U496">
        <f t="shared" si="47"/>
        <v>28</v>
      </c>
    </row>
    <row r="497" spans="1:21">
      <c r="A497" t="s">
        <v>2636</v>
      </c>
      <c r="B497">
        <v>771</v>
      </c>
      <c r="D497" t="s">
        <v>177</v>
      </c>
      <c r="E497" t="s">
        <v>177</v>
      </c>
      <c r="F497">
        <v>8</v>
      </c>
      <c r="G497">
        <f t="shared" si="48"/>
        <v>7.5471698113207548</v>
      </c>
      <c r="H497">
        <f t="shared" si="49"/>
        <v>7</v>
      </c>
      <c r="I497">
        <f t="shared" si="50"/>
        <v>0.54716981132075482</v>
      </c>
      <c r="J497" cm="1">
        <f t="array" ref="J497">INT(G497)+IF(100-SUM(INT(G$491:G$504))&gt;=RANK(I497,I$491:I$504)+COUNTIF(I$491:I497,I497)-1,1,0)</f>
        <v>7</v>
      </c>
      <c r="K497" t="str">
        <f>_xlfn.XLOOKUP(B497,BugList!A:A,BugList!H:H)</f>
        <v>*</v>
      </c>
      <c r="L497" t="str">
        <f>IF(K497 = "","",_xlfn.XLOOKUP(B497, BugList!A:A,BugList!B:B,""))</f>
        <v>Trichoptera</v>
      </c>
      <c r="M497">
        <f>_xlfn.XLOOKUP(D497,BugList!C:C,BugList!N:N)</f>
        <v>0</v>
      </c>
      <c r="N497">
        <f>_xlfn.XLOOKUP(B497,BugList!A:A,BugList!R:R)</f>
        <v>0</v>
      </c>
      <c r="O497" t="b">
        <f>_xlfn.XLOOKUP(B497,BugList!A:A,BugList!L:L)</f>
        <v>1</v>
      </c>
      <c r="P497" t="b">
        <f t="shared" si="51"/>
        <v>1</v>
      </c>
      <c r="R497" t="b">
        <f>SUMPRODUCT(COUNTIF(_xlfn.XLOOKUP(B497,BugList!A:A,BugList!P:P), "*SC*"))&gt;0</f>
        <v>1</v>
      </c>
      <c r="S497" t="str">
        <f>_xlfn.XLOOKUP(B497,BugList!A:A,BugList!W:W)</f>
        <v/>
      </c>
      <c r="T497">
        <f t="shared" si="46"/>
        <v>0</v>
      </c>
      <c r="U497">
        <f t="shared" si="47"/>
        <v>0</v>
      </c>
    </row>
    <row r="498" spans="1:21">
      <c r="A498" t="s">
        <v>2636</v>
      </c>
      <c r="B498">
        <v>794</v>
      </c>
      <c r="D498" t="s">
        <v>89</v>
      </c>
      <c r="E498" t="s">
        <v>89</v>
      </c>
      <c r="F498">
        <v>18</v>
      </c>
      <c r="G498">
        <f t="shared" si="48"/>
        <v>16.981132075471699</v>
      </c>
      <c r="H498">
        <f t="shared" si="49"/>
        <v>16</v>
      </c>
      <c r="I498">
        <f t="shared" si="50"/>
        <v>0.98113207547169878</v>
      </c>
      <c r="J498" cm="1">
        <f t="array" ref="J498">INT(G498)+IF(100-SUM(INT(G$491:G$504))&gt;=RANK(I498,I$491:I$504)+COUNTIF(I$491:I498,I498)-1,1,0)</f>
        <v>17</v>
      </c>
      <c r="K498" t="str">
        <f>_xlfn.XLOOKUP(B498,BugList!A:A,BugList!H:H)</f>
        <v>*</v>
      </c>
      <c r="L498" t="str">
        <f>IF(K498 = "","",_xlfn.XLOOKUP(B498, BugList!A:A,BugList!B:B,""))</f>
        <v>Trichoptera</v>
      </c>
      <c r="M498">
        <f>_xlfn.XLOOKUP(D498,BugList!C:C,BugList!N:N)</f>
        <v>4</v>
      </c>
      <c r="N498">
        <f>_xlfn.XLOOKUP(B498,BugList!A:A,BugList!R:R)</f>
        <v>4</v>
      </c>
      <c r="O498" t="b">
        <f>_xlfn.XLOOKUP(B498,BugList!A:A,BugList!L:L)</f>
        <v>1</v>
      </c>
      <c r="P498" t="b">
        <f t="shared" si="51"/>
        <v>0</v>
      </c>
      <c r="R498" t="b">
        <f>SUMPRODUCT(COUNTIF(_xlfn.XLOOKUP(B498,BugList!A:A,BugList!P:P), "*SC*"))&gt;0</f>
        <v>0</v>
      </c>
      <c r="S498" t="str">
        <f>_xlfn.XLOOKUP(B498,BugList!A:A,BugList!W:W)</f>
        <v/>
      </c>
      <c r="T498">
        <f t="shared" si="46"/>
        <v>68</v>
      </c>
      <c r="U498">
        <f t="shared" si="47"/>
        <v>68</v>
      </c>
    </row>
    <row r="499" spans="1:21">
      <c r="A499" t="s">
        <v>2636</v>
      </c>
      <c r="B499">
        <v>842</v>
      </c>
      <c r="D499" t="s">
        <v>163</v>
      </c>
      <c r="E499" t="s">
        <v>163</v>
      </c>
      <c r="F499">
        <v>5</v>
      </c>
      <c r="G499">
        <f t="shared" si="48"/>
        <v>4.716981132075472</v>
      </c>
      <c r="H499">
        <f t="shared" si="49"/>
        <v>4</v>
      </c>
      <c r="I499">
        <f t="shared" si="50"/>
        <v>0.71698113207547198</v>
      </c>
      <c r="J499" cm="1">
        <f t="array" ref="J499">INT(G499)+IF(100-SUM(INT(G$491:G$504))&gt;=RANK(I499,I$491:I$504)+COUNTIF(I$491:I499,I499)-1,1,0)</f>
        <v>5</v>
      </c>
      <c r="K499" t="str">
        <f>_xlfn.XLOOKUP(B499,BugList!A:A,BugList!H:H)</f>
        <v>*</v>
      </c>
      <c r="L499" t="str">
        <f>IF(K499 = "","",_xlfn.XLOOKUP(B499, BugList!A:A,BugList!B:B,""))</f>
        <v>Trichoptera</v>
      </c>
      <c r="M499">
        <f>_xlfn.XLOOKUP(D499,BugList!C:C,BugList!N:N)</f>
        <v>6</v>
      </c>
      <c r="N499">
        <f>_xlfn.XLOOKUP(B499,BugList!A:A,BugList!R:R)</f>
        <v>6</v>
      </c>
      <c r="O499" t="b">
        <f>_xlfn.XLOOKUP(B499,BugList!A:A,BugList!L:L)</f>
        <v>1</v>
      </c>
      <c r="P499" t="b">
        <f t="shared" si="51"/>
        <v>1</v>
      </c>
      <c r="R499" t="b">
        <f>SUMPRODUCT(COUNTIF(_xlfn.XLOOKUP(B499,BugList!A:A,BugList!P:P), "*SC*"))&gt;0</f>
        <v>0</v>
      </c>
      <c r="S499" t="str">
        <f>_xlfn.XLOOKUP(B499,BugList!A:A,BugList!W:W)</f>
        <v/>
      </c>
      <c r="T499">
        <f t="shared" si="46"/>
        <v>30</v>
      </c>
      <c r="U499">
        <f t="shared" si="47"/>
        <v>30</v>
      </c>
    </row>
    <row r="500" spans="1:21">
      <c r="A500" t="s">
        <v>2636</v>
      </c>
      <c r="B500">
        <v>935</v>
      </c>
      <c r="D500" t="s">
        <v>98</v>
      </c>
      <c r="E500" t="s">
        <v>98</v>
      </c>
      <c r="F500">
        <v>13</v>
      </c>
      <c r="G500">
        <f t="shared" si="48"/>
        <v>12.264150943396226</v>
      </c>
      <c r="H500">
        <f t="shared" si="49"/>
        <v>12</v>
      </c>
      <c r="I500">
        <f t="shared" si="50"/>
        <v>0.26415094339622591</v>
      </c>
      <c r="J500" cm="1">
        <f t="array" ref="J500">INT(G500)+IF(100-SUM(INT(G$491:G$504))&gt;=RANK(I500,I$491:I$504)+COUNTIF(I$491:I500,I500)-1,1,0)</f>
        <v>12</v>
      </c>
      <c r="K500" t="str">
        <f>_xlfn.XLOOKUP(B500,BugList!A:A,BugList!H:H)</f>
        <v/>
      </c>
      <c r="L500" t="str">
        <f>IF(K500 = "","",_xlfn.XLOOKUP(B500, BugList!A:A,BugList!B:B,""))</f>
        <v/>
      </c>
      <c r="M500">
        <f>_xlfn.XLOOKUP(D500,BugList!C:C,BugList!N:N)</f>
        <v>4</v>
      </c>
      <c r="N500">
        <f>_xlfn.XLOOKUP(B500,BugList!A:A,BugList!R:R)</f>
        <v>4</v>
      </c>
      <c r="O500" t="b">
        <f>_xlfn.XLOOKUP(B500,BugList!A:A,BugList!L:L)</f>
        <v>1</v>
      </c>
      <c r="P500" t="b">
        <f t="shared" si="51"/>
        <v>0</v>
      </c>
      <c r="R500" t="b">
        <f>SUMPRODUCT(COUNTIF(_xlfn.XLOOKUP(B500,BugList!A:A,BugList!P:P), "*SC*"))&gt;0</f>
        <v>1</v>
      </c>
      <c r="S500" t="str">
        <f>_xlfn.XLOOKUP(B500,BugList!A:A,BugList!W:W)</f>
        <v/>
      </c>
      <c r="T500">
        <f t="shared" si="46"/>
        <v>48</v>
      </c>
      <c r="U500">
        <f t="shared" si="47"/>
        <v>48</v>
      </c>
    </row>
    <row r="501" spans="1:21">
      <c r="A501" t="s">
        <v>2636</v>
      </c>
      <c r="B501">
        <v>1002</v>
      </c>
      <c r="D501" t="s">
        <v>100</v>
      </c>
      <c r="E501" t="s">
        <v>100</v>
      </c>
      <c r="F501">
        <v>29</v>
      </c>
      <c r="G501">
        <f t="shared" si="48"/>
        <v>27.358490566037734</v>
      </c>
      <c r="H501">
        <f t="shared" si="49"/>
        <v>27</v>
      </c>
      <c r="I501">
        <f t="shared" si="50"/>
        <v>0.35849056603773377</v>
      </c>
      <c r="J501" cm="1">
        <f t="array" ref="J501">INT(G501)+IF(100-SUM(INT(G$491:G$504))&gt;=RANK(I501,I$491:I$504)+COUNTIF(I$491:I501,I501)-1,1,0)</f>
        <v>27</v>
      </c>
      <c r="K501" t="str">
        <f>_xlfn.XLOOKUP(B501,BugList!A:A,BugList!H:H)</f>
        <v/>
      </c>
      <c r="L501" t="str">
        <f>IF(K501 = "","",_xlfn.XLOOKUP(B501, BugList!A:A,BugList!B:B,""))</f>
        <v/>
      </c>
      <c r="M501">
        <f>_xlfn.XLOOKUP(D501,BugList!C:C,BugList!N:N)</f>
        <v>4</v>
      </c>
      <c r="N501">
        <f>_xlfn.XLOOKUP(B501,BugList!A:A,BugList!R:R)</f>
        <v>4</v>
      </c>
      <c r="O501" t="b">
        <f>_xlfn.XLOOKUP(B501,BugList!A:A,BugList!L:L)</f>
        <v>1</v>
      </c>
      <c r="P501" t="b">
        <f t="shared" si="51"/>
        <v>0</v>
      </c>
      <c r="R501" t="b">
        <f>SUMPRODUCT(COUNTIF(_xlfn.XLOOKUP(B501,BugList!A:A,BugList!P:P), "*SC*"))&gt;0</f>
        <v>1</v>
      </c>
      <c r="S501" t="str">
        <f>_xlfn.XLOOKUP(B501,BugList!A:A,BugList!W:W)</f>
        <v/>
      </c>
      <c r="T501">
        <f t="shared" si="46"/>
        <v>108</v>
      </c>
      <c r="U501">
        <f t="shared" si="47"/>
        <v>108</v>
      </c>
    </row>
    <row r="502" spans="1:21">
      <c r="A502" t="s">
        <v>2636</v>
      </c>
      <c r="B502">
        <v>1088</v>
      </c>
      <c r="D502" t="s">
        <v>90</v>
      </c>
      <c r="E502" t="s">
        <v>90</v>
      </c>
      <c r="F502">
        <v>1</v>
      </c>
      <c r="G502">
        <f t="shared" si="48"/>
        <v>0.94339622641509435</v>
      </c>
      <c r="H502">
        <f t="shared" si="49"/>
        <v>0</v>
      </c>
      <c r="I502">
        <f t="shared" si="50"/>
        <v>0.94339622641509435</v>
      </c>
      <c r="J502" cm="1">
        <f t="array" ref="J502">INT(G502)+IF(100-SUM(INT(G$491:G$504))&gt;=RANK(I502,I$491:I$504)+COUNTIF(I$491:I502,I502)-1,1,0)</f>
        <v>1</v>
      </c>
      <c r="K502" t="str">
        <f>_xlfn.XLOOKUP(B502,BugList!A:A,BugList!H:H)</f>
        <v/>
      </c>
      <c r="L502" t="str">
        <f>IF(K502 = "","",_xlfn.XLOOKUP(B502, BugList!A:A,BugList!B:B,""))</f>
        <v/>
      </c>
      <c r="M502">
        <f>_xlfn.XLOOKUP(D502,BugList!C:C,BugList!N:N)</f>
        <v>6</v>
      </c>
      <c r="N502">
        <f>_xlfn.XLOOKUP(B502,BugList!A:A,BugList!R:R)</f>
        <v>6</v>
      </c>
      <c r="O502" t="b">
        <f>_xlfn.XLOOKUP(B502,BugList!A:A,BugList!L:L)</f>
        <v>1</v>
      </c>
      <c r="P502" t="b">
        <f t="shared" si="51"/>
        <v>0</v>
      </c>
      <c r="R502" t="b">
        <f>SUMPRODUCT(COUNTIF(_xlfn.XLOOKUP(B502,BugList!A:A,BugList!P:P), "*SC*"))&gt;0</f>
        <v>0</v>
      </c>
      <c r="S502" t="str">
        <f>_xlfn.XLOOKUP(B502,BugList!A:A,BugList!W:W)</f>
        <v/>
      </c>
      <c r="T502">
        <f t="shared" si="46"/>
        <v>6</v>
      </c>
      <c r="U502">
        <f t="shared" si="47"/>
        <v>6</v>
      </c>
    </row>
    <row r="503" spans="1:21">
      <c r="A503" t="s">
        <v>2636</v>
      </c>
      <c r="B503">
        <v>1578</v>
      </c>
      <c r="D503" t="s">
        <v>102</v>
      </c>
      <c r="E503" t="s">
        <v>102</v>
      </c>
      <c r="F503">
        <v>1</v>
      </c>
      <c r="G503">
        <f t="shared" si="48"/>
        <v>0.94339622641509435</v>
      </c>
      <c r="H503">
        <f t="shared" si="49"/>
        <v>0</v>
      </c>
      <c r="I503">
        <f t="shared" si="50"/>
        <v>0.94339622641509435</v>
      </c>
      <c r="J503" cm="1">
        <f t="array" ref="J503">INT(G503)+IF(100-SUM(INT(G$491:G$504))&gt;=RANK(I503,I$491:I$504)+COUNTIF(I$491:I503,I503)-1,1,0)</f>
        <v>1</v>
      </c>
      <c r="K503" t="str">
        <f>_xlfn.XLOOKUP(B503,BugList!A:A,BugList!H:H)</f>
        <v/>
      </c>
      <c r="L503" t="str">
        <f>IF(K503 = "","",_xlfn.XLOOKUP(B503, BugList!A:A,BugList!B:B,""))</f>
        <v/>
      </c>
      <c r="M503">
        <f>_xlfn.XLOOKUP(D503,BugList!C:C,BugList!N:N)</f>
        <v>7</v>
      </c>
      <c r="N503">
        <f>_xlfn.XLOOKUP(B503,BugList!A:A,BugList!R:R)</f>
        <v>7</v>
      </c>
      <c r="O503" t="b">
        <f>_xlfn.XLOOKUP(B503,BugList!A:A,BugList!L:L)</f>
        <v>0</v>
      </c>
      <c r="P503" t="b">
        <f t="shared" si="51"/>
        <v>0</v>
      </c>
      <c r="R503" t="b">
        <f>SUMPRODUCT(COUNTIF(_xlfn.XLOOKUP(B503,BugList!A:A,BugList!P:P), "*SC*"))&gt;0</f>
        <v>0</v>
      </c>
      <c r="S503" t="str">
        <f>_xlfn.XLOOKUP(B503,BugList!A:A,BugList!W:W)</f>
        <v/>
      </c>
      <c r="T503">
        <f t="shared" si="46"/>
        <v>7</v>
      </c>
      <c r="U503">
        <f t="shared" si="47"/>
        <v>7</v>
      </c>
    </row>
    <row r="504" spans="1:21">
      <c r="A504" t="s">
        <v>2636</v>
      </c>
      <c r="B504">
        <v>1696</v>
      </c>
      <c r="D504" t="s">
        <v>94</v>
      </c>
      <c r="E504" t="s">
        <v>94</v>
      </c>
      <c r="F504">
        <v>1</v>
      </c>
      <c r="G504">
        <f t="shared" si="48"/>
        <v>0.94339622641509435</v>
      </c>
      <c r="H504">
        <f t="shared" si="49"/>
        <v>0</v>
      </c>
      <c r="I504">
        <f t="shared" si="50"/>
        <v>0.94339622641509435</v>
      </c>
      <c r="J504" cm="1">
        <f t="array" ref="J504">INT(G504)+IF(100-SUM(INT(G$491:G$504))&gt;=RANK(I504,I$491:I$504)+COUNTIF(I$491:I504,I504)-1,1,0)</f>
        <v>1</v>
      </c>
      <c r="K504" t="str">
        <f>_xlfn.XLOOKUP(B504,BugList!A:A,BugList!H:H)</f>
        <v/>
      </c>
      <c r="L504" t="str">
        <f>IF(K504 = "","",_xlfn.XLOOKUP(B504, BugList!A:A,BugList!B:B,""))</f>
        <v/>
      </c>
      <c r="M504">
        <f>_xlfn.XLOOKUP(D504,BugList!C:C,BugList!N:N)</f>
        <v>8</v>
      </c>
      <c r="N504">
        <f>_xlfn.XLOOKUP(B504,BugList!A:A,BugList!R:R)</f>
        <v>8</v>
      </c>
      <c r="O504" t="b">
        <f>_xlfn.XLOOKUP(B504,BugList!A:A,BugList!L:L)</f>
        <v>0</v>
      </c>
      <c r="P504" t="b">
        <f t="shared" si="51"/>
        <v>0</v>
      </c>
      <c r="R504" t="b">
        <f>SUMPRODUCT(COUNTIF(_xlfn.XLOOKUP(B504,BugList!A:A,BugList!P:P), "*SC*"))&gt;0</f>
        <v>0</v>
      </c>
      <c r="S504" t="str">
        <f>_xlfn.XLOOKUP(B504,BugList!A:A,BugList!W:W)</f>
        <v/>
      </c>
      <c r="T504">
        <f t="shared" si="46"/>
        <v>8</v>
      </c>
      <c r="U504">
        <f t="shared" si="47"/>
        <v>8</v>
      </c>
    </row>
    <row r="505" spans="1:21">
      <c r="A505" t="s">
        <v>2638</v>
      </c>
      <c r="B505">
        <v>88</v>
      </c>
      <c r="D505" t="s">
        <v>85</v>
      </c>
      <c r="E505" t="s">
        <v>85</v>
      </c>
      <c r="F505">
        <v>3</v>
      </c>
      <c r="G505">
        <f t="shared" si="48"/>
        <v>2.2727272727272729</v>
      </c>
      <c r="H505">
        <f t="shared" si="49"/>
        <v>2</v>
      </c>
      <c r="I505">
        <f t="shared" si="50"/>
        <v>0.27272727272727293</v>
      </c>
      <c r="J505" cm="1">
        <f t="array" ref="J505">INT(G505)+IF(100-SUM(INT(G$505:G$515))&gt;=RANK(I505,I$505:I$515)+COUNTIF(I$505:I505,I505)-1,1,0)</f>
        <v>2</v>
      </c>
      <c r="K505" t="str">
        <f>_xlfn.XLOOKUP(B505,BugList!A:A,BugList!H:H)</f>
        <v/>
      </c>
      <c r="L505" t="str">
        <f>IF(K505 = "","",_xlfn.XLOOKUP(B505, BugList!A:A,BugList!B:B,""))</f>
        <v/>
      </c>
      <c r="M505">
        <f>_xlfn.XLOOKUP(D505,BugList!C:C,BugList!N:N)</f>
        <v>4</v>
      </c>
      <c r="N505">
        <f>_xlfn.XLOOKUP(B505,BugList!A:A,BugList!R:R)</f>
        <v>4</v>
      </c>
      <c r="O505" t="b">
        <f>_xlfn.XLOOKUP(B505,BugList!A:A,BugList!L:L)</f>
        <v>0</v>
      </c>
      <c r="P505" t="b">
        <f t="shared" si="51"/>
        <v>0</v>
      </c>
      <c r="R505" t="b">
        <f>SUMPRODUCT(COUNTIF(_xlfn.XLOOKUP(B505,BugList!A:A,BugList!P:P), "*SC*"))&gt;0</f>
        <v>0</v>
      </c>
      <c r="S505" t="str">
        <f>_xlfn.XLOOKUP(B505,BugList!A:A,BugList!W:W)</f>
        <v/>
      </c>
      <c r="T505">
        <f t="shared" si="46"/>
        <v>8</v>
      </c>
      <c r="U505">
        <f t="shared" si="47"/>
        <v>8</v>
      </c>
    </row>
    <row r="506" spans="1:21">
      <c r="A506" t="s">
        <v>2638</v>
      </c>
      <c r="B506">
        <v>372</v>
      </c>
      <c r="D506" t="s">
        <v>88</v>
      </c>
      <c r="E506" t="s">
        <v>88</v>
      </c>
      <c r="F506">
        <v>16</v>
      </c>
      <c r="G506">
        <f t="shared" si="48"/>
        <v>12.121212121212121</v>
      </c>
      <c r="H506">
        <f t="shared" si="49"/>
        <v>12</v>
      </c>
      <c r="I506">
        <f t="shared" si="50"/>
        <v>0.1212121212121211</v>
      </c>
      <c r="J506" cm="1">
        <f t="array" ref="J506">INT(G506)+IF(100-SUM(INT(G$505:G$515))&gt;=RANK(I506,I$505:I$515)+COUNTIF(I$505:I506,I506)-1,1,0)</f>
        <v>12</v>
      </c>
      <c r="K506" t="str">
        <f>_xlfn.XLOOKUP(B506,BugList!A:A,BugList!H:H)</f>
        <v/>
      </c>
      <c r="L506" t="str">
        <f>IF(K506 = "","",_xlfn.XLOOKUP(B506, BugList!A:A,BugList!B:B,""))</f>
        <v/>
      </c>
      <c r="M506">
        <f>_xlfn.XLOOKUP(D506,BugList!C:C,BugList!N:N)</f>
        <v>8</v>
      </c>
      <c r="N506">
        <f>_xlfn.XLOOKUP(B506,BugList!A:A,BugList!R:R)</f>
        <v>8</v>
      </c>
      <c r="O506" t="b">
        <f>_xlfn.XLOOKUP(B506,BugList!A:A,BugList!L:L)</f>
        <v>0</v>
      </c>
      <c r="P506" t="b">
        <f t="shared" si="51"/>
        <v>0</v>
      </c>
      <c r="R506" t="b">
        <f>SUMPRODUCT(COUNTIF(_xlfn.XLOOKUP(B506,BugList!A:A,BugList!P:P), "*SC*"))&gt;0</f>
        <v>0</v>
      </c>
      <c r="S506" t="str">
        <f>_xlfn.XLOOKUP(B506,BugList!A:A,BugList!W:W)</f>
        <v/>
      </c>
      <c r="T506">
        <f t="shared" si="46"/>
        <v>96</v>
      </c>
      <c r="U506">
        <f t="shared" si="47"/>
        <v>96</v>
      </c>
    </row>
    <row r="507" spans="1:21">
      <c r="A507" t="s">
        <v>2638</v>
      </c>
      <c r="B507">
        <v>521</v>
      </c>
      <c r="D507" t="s">
        <v>869</v>
      </c>
      <c r="E507" t="s">
        <v>869</v>
      </c>
      <c r="F507">
        <v>1</v>
      </c>
      <c r="G507">
        <f t="shared" si="48"/>
        <v>0.75757575757575757</v>
      </c>
      <c r="H507">
        <f t="shared" si="49"/>
        <v>0</v>
      </c>
      <c r="I507">
        <f t="shared" si="50"/>
        <v>0.75757575757575757</v>
      </c>
      <c r="J507" cm="1">
        <f t="array" ref="J507">INT(G507)+IF(100-SUM(INT(G$505:G$515))&gt;=RANK(I507,I$505:I$515)+COUNTIF(I$505:I507,I507)-1,1,0)</f>
        <v>1</v>
      </c>
      <c r="K507" t="str">
        <f>_xlfn.XLOOKUP(B507,BugList!A:A,BugList!H:H)</f>
        <v>*</v>
      </c>
      <c r="L507" t="str">
        <f>IF(K507 = "","",_xlfn.XLOOKUP(B507, BugList!A:A,BugList!B:B,""))</f>
        <v>Ephemeroptera</v>
      </c>
      <c r="M507">
        <f>_xlfn.XLOOKUP(D507,BugList!C:C,BugList!N:N)</f>
        <v>2</v>
      </c>
      <c r="N507">
        <f>_xlfn.XLOOKUP(B507,BugList!A:A,BugList!R:R)</f>
        <v>2</v>
      </c>
      <c r="O507" t="b">
        <f>_xlfn.XLOOKUP(B507,BugList!A:A,BugList!L:L)</f>
        <v>1</v>
      </c>
      <c r="P507" t="b">
        <f t="shared" si="51"/>
        <v>1</v>
      </c>
      <c r="R507" t="b">
        <f>SUMPRODUCT(COUNTIF(_xlfn.XLOOKUP(B507,BugList!A:A,BugList!P:P), "*SC*"))&gt;0</f>
        <v>0</v>
      </c>
      <c r="S507" t="str">
        <f>_xlfn.XLOOKUP(B507,BugList!A:A,BugList!W:W)</f>
        <v/>
      </c>
      <c r="T507">
        <f t="shared" si="46"/>
        <v>2</v>
      </c>
      <c r="U507">
        <f t="shared" si="47"/>
        <v>2</v>
      </c>
    </row>
    <row r="508" spans="1:21">
      <c r="A508" t="s">
        <v>2638</v>
      </c>
      <c r="B508">
        <v>602</v>
      </c>
      <c r="D508" t="s">
        <v>97</v>
      </c>
      <c r="E508" t="s">
        <v>97</v>
      </c>
      <c r="F508">
        <v>4</v>
      </c>
      <c r="G508">
        <f t="shared" si="48"/>
        <v>3.0303030303030303</v>
      </c>
      <c r="H508">
        <f t="shared" si="49"/>
        <v>3</v>
      </c>
      <c r="I508">
        <f t="shared" si="50"/>
        <v>3.0303030303030276E-2</v>
      </c>
      <c r="J508" cm="1">
        <f t="array" ref="J508">INT(G508)+IF(100-SUM(INT(G$505:G$515))&gt;=RANK(I508,I$505:I$515)+COUNTIF(I$505:I508,I508)-1,1,0)</f>
        <v>3</v>
      </c>
      <c r="K508" t="str">
        <f>_xlfn.XLOOKUP(B508,BugList!A:A,BugList!H:H)</f>
        <v/>
      </c>
      <c r="L508" t="str">
        <f>IF(K508 = "","",_xlfn.XLOOKUP(B508, BugList!A:A,BugList!B:B,""))</f>
        <v/>
      </c>
      <c r="M508">
        <f>_xlfn.XLOOKUP(D508,BugList!C:C,BugList!N:N)</f>
        <v>9</v>
      </c>
      <c r="N508">
        <f>_xlfn.XLOOKUP(B508,BugList!A:A,BugList!R:R)</f>
        <v>9</v>
      </c>
      <c r="O508" t="b">
        <f>_xlfn.XLOOKUP(B508,BugList!A:A,BugList!L:L)</f>
        <v>1</v>
      </c>
      <c r="P508" t="b">
        <f t="shared" si="51"/>
        <v>0</v>
      </c>
      <c r="R508" t="b">
        <f>SUMPRODUCT(COUNTIF(_xlfn.XLOOKUP(B508,BugList!A:A,BugList!P:P), "*SC*"))&gt;0</f>
        <v>0</v>
      </c>
      <c r="S508" t="str">
        <f>_xlfn.XLOOKUP(B508,BugList!A:A,BugList!W:W)</f>
        <v/>
      </c>
      <c r="T508">
        <f t="shared" si="46"/>
        <v>27</v>
      </c>
      <c r="U508">
        <f t="shared" si="47"/>
        <v>27</v>
      </c>
    </row>
    <row r="509" spans="1:21">
      <c r="A509" t="s">
        <v>2638</v>
      </c>
      <c r="B509">
        <v>794</v>
      </c>
      <c r="D509" t="s">
        <v>89</v>
      </c>
      <c r="E509" t="s">
        <v>89</v>
      </c>
      <c r="F509">
        <v>25</v>
      </c>
      <c r="G509">
        <f t="shared" si="48"/>
        <v>18.939393939393938</v>
      </c>
      <c r="H509">
        <f t="shared" si="49"/>
        <v>18</v>
      </c>
      <c r="I509">
        <f t="shared" si="50"/>
        <v>0.93939393939393767</v>
      </c>
      <c r="J509" cm="1">
        <f t="array" ref="J509">INT(G509)+IF(100-SUM(INT(G$505:G$515))&gt;=RANK(I509,I$505:I$515)+COUNTIF(I$505:I509,I509)-1,1,0)</f>
        <v>19</v>
      </c>
      <c r="K509" t="str">
        <f>_xlfn.XLOOKUP(B509,BugList!A:A,BugList!H:H)</f>
        <v>*</v>
      </c>
      <c r="L509" t="str">
        <f>IF(K509 = "","",_xlfn.XLOOKUP(B509, BugList!A:A,BugList!B:B,""))</f>
        <v>Trichoptera</v>
      </c>
      <c r="M509">
        <f>_xlfn.XLOOKUP(D509,BugList!C:C,BugList!N:N)</f>
        <v>4</v>
      </c>
      <c r="N509">
        <f>_xlfn.XLOOKUP(B509,BugList!A:A,BugList!R:R)</f>
        <v>4</v>
      </c>
      <c r="O509" t="b">
        <f>_xlfn.XLOOKUP(B509,BugList!A:A,BugList!L:L)</f>
        <v>1</v>
      </c>
      <c r="P509" t="b">
        <f t="shared" si="51"/>
        <v>0</v>
      </c>
      <c r="R509" t="b">
        <f>SUMPRODUCT(COUNTIF(_xlfn.XLOOKUP(B509,BugList!A:A,BugList!P:P), "*SC*"))&gt;0</f>
        <v>0</v>
      </c>
      <c r="S509" t="str">
        <f>_xlfn.XLOOKUP(B509,BugList!A:A,BugList!W:W)</f>
        <v/>
      </c>
      <c r="T509">
        <f t="shared" si="46"/>
        <v>76</v>
      </c>
      <c r="U509">
        <f t="shared" si="47"/>
        <v>76</v>
      </c>
    </row>
    <row r="510" spans="1:21">
      <c r="A510" t="s">
        <v>2638</v>
      </c>
      <c r="B510">
        <v>837</v>
      </c>
      <c r="D510" t="s">
        <v>107</v>
      </c>
      <c r="E510" t="s">
        <v>107</v>
      </c>
      <c r="F510">
        <v>29</v>
      </c>
      <c r="G510">
        <f t="shared" si="48"/>
        <v>21.969696969696969</v>
      </c>
      <c r="H510">
        <f t="shared" si="49"/>
        <v>21</v>
      </c>
      <c r="I510">
        <f t="shared" si="50"/>
        <v>0.96969696969696884</v>
      </c>
      <c r="J510" cm="1">
        <f t="array" ref="J510">INT(G510)+IF(100-SUM(INT(G$505:G$515))&gt;=RANK(I510,I$505:I$515)+COUNTIF(I$505:I510,I510)-1,1,0)</f>
        <v>22</v>
      </c>
      <c r="K510" t="str">
        <f>_xlfn.XLOOKUP(B510,BugList!A:A,BugList!H:H)</f>
        <v>*</v>
      </c>
      <c r="L510" t="str">
        <f>IF(K510 = "","",_xlfn.XLOOKUP(B510, BugList!A:A,BugList!B:B,""))</f>
        <v>Trichoptera</v>
      </c>
      <c r="M510">
        <f>_xlfn.XLOOKUP(D510,BugList!C:C,BugList!N:N)</f>
        <v>3</v>
      </c>
      <c r="N510">
        <f>_xlfn.XLOOKUP(B510,BugList!A:A,BugList!R:R)</f>
        <v>3</v>
      </c>
      <c r="O510" t="b">
        <f>_xlfn.XLOOKUP(B510,BugList!A:A,BugList!L:L)</f>
        <v>1</v>
      </c>
      <c r="P510" t="b">
        <f t="shared" si="51"/>
        <v>1</v>
      </c>
      <c r="R510" t="b">
        <f>SUMPRODUCT(COUNTIF(_xlfn.XLOOKUP(B510,BugList!A:A,BugList!P:P), "*SC*"))&gt;0</f>
        <v>0</v>
      </c>
      <c r="S510" t="str">
        <f>_xlfn.XLOOKUP(B510,BugList!A:A,BugList!W:W)</f>
        <v/>
      </c>
      <c r="T510">
        <f t="shared" si="46"/>
        <v>66</v>
      </c>
      <c r="U510">
        <f t="shared" si="47"/>
        <v>66</v>
      </c>
    </row>
    <row r="511" spans="1:21">
      <c r="A511" t="s">
        <v>2638</v>
      </c>
      <c r="B511">
        <v>935</v>
      </c>
      <c r="D511" t="s">
        <v>98</v>
      </c>
      <c r="E511" t="s">
        <v>98</v>
      </c>
      <c r="F511">
        <v>30</v>
      </c>
      <c r="G511">
        <f t="shared" si="48"/>
        <v>22.727272727272727</v>
      </c>
      <c r="H511">
        <f t="shared" si="49"/>
        <v>22</v>
      </c>
      <c r="I511">
        <f t="shared" si="50"/>
        <v>0.72727272727272663</v>
      </c>
      <c r="J511" cm="1">
        <f t="array" ref="J511">INT(G511)+IF(100-SUM(INT(G$505:G$515))&gt;=RANK(I511,I$505:I$515)+COUNTIF(I$505:I511,I511)-1,1,0)</f>
        <v>23</v>
      </c>
      <c r="K511" t="str">
        <f>_xlfn.XLOOKUP(B511,BugList!A:A,BugList!H:H)</f>
        <v/>
      </c>
      <c r="L511" t="str">
        <f>IF(K511 = "","",_xlfn.XLOOKUP(B511, BugList!A:A,BugList!B:B,""))</f>
        <v/>
      </c>
      <c r="M511">
        <f>_xlfn.XLOOKUP(D511,BugList!C:C,BugList!N:N)</f>
        <v>4</v>
      </c>
      <c r="N511">
        <f>_xlfn.XLOOKUP(B511,BugList!A:A,BugList!R:R)</f>
        <v>4</v>
      </c>
      <c r="O511" t="b">
        <f>_xlfn.XLOOKUP(B511,BugList!A:A,BugList!L:L)</f>
        <v>1</v>
      </c>
      <c r="P511" t="b">
        <f t="shared" si="51"/>
        <v>0</v>
      </c>
      <c r="R511" t="b">
        <f>SUMPRODUCT(COUNTIF(_xlfn.XLOOKUP(B511,BugList!A:A,BugList!P:P), "*SC*"))&gt;0</f>
        <v>1</v>
      </c>
      <c r="S511" t="str">
        <f>_xlfn.XLOOKUP(B511,BugList!A:A,BugList!W:W)</f>
        <v/>
      </c>
      <c r="T511">
        <f t="shared" si="46"/>
        <v>92</v>
      </c>
      <c r="U511">
        <f t="shared" si="47"/>
        <v>92</v>
      </c>
    </row>
    <row r="512" spans="1:21">
      <c r="A512" t="s">
        <v>2638</v>
      </c>
      <c r="B512">
        <v>1002</v>
      </c>
      <c r="D512" t="s">
        <v>100</v>
      </c>
      <c r="E512" t="s">
        <v>100</v>
      </c>
      <c r="F512">
        <v>11</v>
      </c>
      <c r="G512">
        <f t="shared" si="48"/>
        <v>8.3333333333333321</v>
      </c>
      <c r="H512">
        <f t="shared" si="49"/>
        <v>8</v>
      </c>
      <c r="I512">
        <f t="shared" si="50"/>
        <v>0.33333333333333215</v>
      </c>
      <c r="J512" cm="1">
        <f t="array" ref="J512">INT(G512)+IF(100-SUM(INT(G$505:G$515))&gt;=RANK(I512,I$505:I$515)+COUNTIF(I$505:I512,I512)-1,1,0)</f>
        <v>8</v>
      </c>
      <c r="K512" t="str">
        <f>_xlfn.XLOOKUP(B512,BugList!A:A,BugList!H:H)</f>
        <v/>
      </c>
      <c r="L512" t="str">
        <f>IF(K512 = "","",_xlfn.XLOOKUP(B512, BugList!A:A,BugList!B:B,""))</f>
        <v/>
      </c>
      <c r="M512">
        <f>_xlfn.XLOOKUP(D512,BugList!C:C,BugList!N:N)</f>
        <v>4</v>
      </c>
      <c r="N512">
        <f>_xlfn.XLOOKUP(B512,BugList!A:A,BugList!R:R)</f>
        <v>4</v>
      </c>
      <c r="O512" t="b">
        <f>_xlfn.XLOOKUP(B512,BugList!A:A,BugList!L:L)</f>
        <v>1</v>
      </c>
      <c r="P512" t="b">
        <f t="shared" si="51"/>
        <v>0</v>
      </c>
      <c r="R512" t="b">
        <f>SUMPRODUCT(COUNTIF(_xlfn.XLOOKUP(B512,BugList!A:A,BugList!P:P), "*SC*"))&gt;0</f>
        <v>1</v>
      </c>
      <c r="S512" t="str">
        <f>_xlfn.XLOOKUP(B512,BugList!A:A,BugList!W:W)</f>
        <v/>
      </c>
      <c r="T512">
        <f t="shared" si="46"/>
        <v>32</v>
      </c>
      <c r="U512">
        <f t="shared" si="47"/>
        <v>32</v>
      </c>
    </row>
    <row r="513" spans="1:21">
      <c r="A513" t="s">
        <v>2638</v>
      </c>
      <c r="B513">
        <v>1578</v>
      </c>
      <c r="D513" t="s">
        <v>102</v>
      </c>
      <c r="E513" t="s">
        <v>102</v>
      </c>
      <c r="F513">
        <v>1</v>
      </c>
      <c r="G513">
        <f t="shared" si="48"/>
        <v>0.75757575757575757</v>
      </c>
      <c r="H513">
        <f t="shared" si="49"/>
        <v>0</v>
      </c>
      <c r="I513">
        <f t="shared" si="50"/>
        <v>0.75757575757575757</v>
      </c>
      <c r="J513" cm="1">
        <f t="array" ref="J513">INT(G513)+IF(100-SUM(INT(G$505:G$515))&gt;=RANK(I513,I$505:I$515)+COUNTIF(I$505:I513,I513)-1,1,0)</f>
        <v>1</v>
      </c>
      <c r="K513" t="str">
        <f>_xlfn.XLOOKUP(B513,BugList!A:A,BugList!H:H)</f>
        <v/>
      </c>
      <c r="L513" t="str">
        <f>IF(K513 = "","",_xlfn.XLOOKUP(B513, BugList!A:A,BugList!B:B,""))</f>
        <v/>
      </c>
      <c r="M513">
        <f>_xlfn.XLOOKUP(D513,BugList!C:C,BugList!N:N)</f>
        <v>7</v>
      </c>
      <c r="N513">
        <f>_xlfn.XLOOKUP(B513,BugList!A:A,BugList!R:R)</f>
        <v>7</v>
      </c>
      <c r="O513" t="b">
        <f>_xlfn.XLOOKUP(B513,BugList!A:A,BugList!L:L)</f>
        <v>0</v>
      </c>
      <c r="P513" t="b">
        <f t="shared" si="51"/>
        <v>0</v>
      </c>
      <c r="R513" t="b">
        <f>SUMPRODUCT(COUNTIF(_xlfn.XLOOKUP(B513,BugList!A:A,BugList!P:P), "*SC*"))&gt;0</f>
        <v>0</v>
      </c>
      <c r="S513" t="str">
        <f>_xlfn.XLOOKUP(B513,BugList!A:A,BugList!W:W)</f>
        <v/>
      </c>
      <c r="T513">
        <f t="shared" si="46"/>
        <v>7</v>
      </c>
      <c r="U513">
        <f t="shared" si="47"/>
        <v>7</v>
      </c>
    </row>
    <row r="514" spans="1:21">
      <c r="A514" t="s">
        <v>2638</v>
      </c>
      <c r="B514">
        <v>1614</v>
      </c>
      <c r="D514" t="s">
        <v>92</v>
      </c>
      <c r="E514" t="s">
        <v>92</v>
      </c>
      <c r="F514">
        <v>11</v>
      </c>
      <c r="G514">
        <f t="shared" si="48"/>
        <v>8.3333333333333321</v>
      </c>
      <c r="H514">
        <f t="shared" si="49"/>
        <v>8</v>
      </c>
      <c r="I514">
        <f t="shared" si="50"/>
        <v>0.33333333333333215</v>
      </c>
      <c r="J514" cm="1">
        <f t="array" ref="J514">INT(G514)+IF(100-SUM(INT(G$505:G$515))&gt;=RANK(I514,I$505:I$515)+COUNTIF(I$505:I514,I514)-1,1,0)</f>
        <v>8</v>
      </c>
      <c r="K514" t="str">
        <f>_xlfn.XLOOKUP(B514,BugList!A:A,BugList!H:H)</f>
        <v/>
      </c>
      <c r="L514" t="str">
        <f>IF(K514 = "","",_xlfn.XLOOKUP(B514, BugList!A:A,BugList!B:B,""))</f>
        <v/>
      </c>
      <c r="M514">
        <f>_xlfn.XLOOKUP(D514,BugList!C:C,BugList!N:N)</f>
        <v>8</v>
      </c>
      <c r="N514">
        <f>_xlfn.XLOOKUP(B514,BugList!A:A,BugList!R:R)</f>
        <v>8</v>
      </c>
      <c r="O514" t="b">
        <f>_xlfn.XLOOKUP(B514,BugList!A:A,BugList!L:L)</f>
        <v>0</v>
      </c>
      <c r="P514" t="b">
        <f t="shared" si="51"/>
        <v>0</v>
      </c>
      <c r="R514" t="b">
        <f>SUMPRODUCT(COUNTIF(_xlfn.XLOOKUP(B514,BugList!A:A,BugList!P:P), "*SC*"))&gt;0</f>
        <v>0</v>
      </c>
      <c r="S514" t="str">
        <f>_xlfn.XLOOKUP(B514,BugList!A:A,BugList!W:W)</f>
        <v/>
      </c>
      <c r="T514">
        <f t="shared" ref="T514:T577" si="52">J514*M514</f>
        <v>64</v>
      </c>
      <c r="U514">
        <f t="shared" ref="U514:U577" si="53">J514*N514</f>
        <v>64</v>
      </c>
    </row>
    <row r="515" spans="1:21">
      <c r="A515" t="s">
        <v>2638</v>
      </c>
      <c r="B515">
        <v>1696</v>
      </c>
      <c r="D515" t="s">
        <v>94</v>
      </c>
      <c r="E515" t="s">
        <v>94</v>
      </c>
      <c r="F515">
        <v>1</v>
      </c>
      <c r="G515">
        <f t="shared" si="48"/>
        <v>0.75757575757575757</v>
      </c>
      <c r="H515">
        <f t="shared" si="49"/>
        <v>0</v>
      </c>
      <c r="I515">
        <f t="shared" si="50"/>
        <v>0.75757575757575757</v>
      </c>
      <c r="J515" cm="1">
        <f t="array" ref="J515">INT(G515)+IF(100-SUM(INT(G$505:G$515))&gt;=RANK(I515,I$505:I$515)+COUNTIF(I$505:I515,I515)-1,1,0)</f>
        <v>1</v>
      </c>
      <c r="K515" t="str">
        <f>_xlfn.XLOOKUP(B515,BugList!A:A,BugList!H:H)</f>
        <v/>
      </c>
      <c r="L515" t="str">
        <f>IF(K515 = "","",_xlfn.XLOOKUP(B515, BugList!A:A,BugList!B:B,""))</f>
        <v/>
      </c>
      <c r="M515">
        <f>_xlfn.XLOOKUP(D515,BugList!C:C,BugList!N:N)</f>
        <v>8</v>
      </c>
      <c r="N515">
        <f>_xlfn.XLOOKUP(B515,BugList!A:A,BugList!R:R)</f>
        <v>8</v>
      </c>
      <c r="O515" t="b">
        <f>_xlfn.XLOOKUP(B515,BugList!A:A,BugList!L:L)</f>
        <v>0</v>
      </c>
      <c r="P515" t="b">
        <f t="shared" si="51"/>
        <v>0</v>
      </c>
      <c r="R515" t="b">
        <f>SUMPRODUCT(COUNTIF(_xlfn.XLOOKUP(B515,BugList!A:A,BugList!P:P), "*SC*"))&gt;0</f>
        <v>0</v>
      </c>
      <c r="S515" t="str">
        <f>_xlfn.XLOOKUP(B515,BugList!A:A,BugList!W:W)</f>
        <v/>
      </c>
      <c r="T515">
        <f t="shared" si="52"/>
        <v>8</v>
      </c>
      <c r="U515">
        <f t="shared" si="53"/>
        <v>8</v>
      </c>
    </row>
    <row r="516" spans="1:21">
      <c r="A516" t="s">
        <v>2639</v>
      </c>
      <c r="B516">
        <v>63</v>
      </c>
      <c r="D516" t="s">
        <v>84</v>
      </c>
      <c r="E516" t="s">
        <v>84</v>
      </c>
      <c r="F516">
        <v>1</v>
      </c>
      <c r="G516">
        <f t="shared" si="48"/>
        <v>1</v>
      </c>
      <c r="H516">
        <f t="shared" si="49"/>
        <v>1</v>
      </c>
      <c r="I516">
        <f t="shared" si="50"/>
        <v>0</v>
      </c>
      <c r="J516" cm="1">
        <f t="array" ref="J516">INT(G516)+IF(100-SUM(INT(G$516:G$524))&gt;=RANK(I516,I$516:I$524)+COUNTIF(I$341:I691,I516)-1,1,0)</f>
        <v>1</v>
      </c>
      <c r="K516" t="str">
        <f>_xlfn.XLOOKUP(B516,BugList!A:A,BugList!H:H)</f>
        <v/>
      </c>
      <c r="L516" t="str">
        <f>IF(K516 = "","",_xlfn.XLOOKUP(B516, BugList!A:A,BugList!B:B,""))</f>
        <v/>
      </c>
      <c r="M516">
        <f>_xlfn.XLOOKUP(D516,BugList!C:C,BugList!N:N)</f>
        <v>8</v>
      </c>
      <c r="N516">
        <f>_xlfn.XLOOKUP(B516,BugList!A:A,BugList!R:R)</f>
        <v>8</v>
      </c>
      <c r="O516" t="b">
        <f>_xlfn.XLOOKUP(B516,BugList!A:A,BugList!L:L)</f>
        <v>0</v>
      </c>
      <c r="P516" t="b">
        <f t="shared" si="51"/>
        <v>0</v>
      </c>
      <c r="R516" t="b">
        <f>SUMPRODUCT(COUNTIF(_xlfn.XLOOKUP(B516,BugList!A:A,BugList!P:P), "*SC*"))&gt;0</f>
        <v>0</v>
      </c>
      <c r="S516" t="str">
        <f>_xlfn.XLOOKUP(B516,BugList!A:A,BugList!W:W)</f>
        <v/>
      </c>
      <c r="T516">
        <f t="shared" si="52"/>
        <v>8</v>
      </c>
      <c r="U516">
        <f t="shared" si="53"/>
        <v>8</v>
      </c>
    </row>
    <row r="517" spans="1:21">
      <c r="A517" t="s">
        <v>2639</v>
      </c>
      <c r="B517">
        <v>88</v>
      </c>
      <c r="D517" t="s">
        <v>85</v>
      </c>
      <c r="E517" t="s">
        <v>85</v>
      </c>
      <c r="F517">
        <v>1</v>
      </c>
      <c r="G517">
        <f t="shared" si="48"/>
        <v>1</v>
      </c>
      <c r="H517">
        <f t="shared" si="49"/>
        <v>1</v>
      </c>
      <c r="I517">
        <f t="shared" si="50"/>
        <v>0</v>
      </c>
      <c r="J517" cm="1">
        <f t="array" ref="J517">INT(G517)+IF(100-SUM(INT(G$516:G$524))&gt;=RANK(I517,I$516:I$524)+COUNTIF(I$342:I691,I517)-1,1,0)</f>
        <v>1</v>
      </c>
      <c r="K517" t="str">
        <f>_xlfn.XLOOKUP(B517,BugList!A:A,BugList!H:H)</f>
        <v/>
      </c>
      <c r="L517" t="str">
        <f>IF(K517 = "","",_xlfn.XLOOKUP(B517, BugList!A:A,BugList!B:B,""))</f>
        <v/>
      </c>
      <c r="M517">
        <f>_xlfn.XLOOKUP(D517,BugList!C:C,BugList!N:N)</f>
        <v>4</v>
      </c>
      <c r="N517">
        <f>_xlfn.XLOOKUP(B517,BugList!A:A,BugList!R:R)</f>
        <v>4</v>
      </c>
      <c r="O517" t="b">
        <f>_xlfn.XLOOKUP(B517,BugList!A:A,BugList!L:L)</f>
        <v>0</v>
      </c>
      <c r="P517" t="b">
        <f t="shared" si="51"/>
        <v>0</v>
      </c>
      <c r="R517" t="b">
        <f>SUMPRODUCT(COUNTIF(_xlfn.XLOOKUP(B517,BugList!A:A,BugList!P:P), "*SC*"))&gt;0</f>
        <v>0</v>
      </c>
      <c r="S517" t="str">
        <f>_xlfn.XLOOKUP(B517,BugList!A:A,BugList!W:W)</f>
        <v/>
      </c>
      <c r="T517">
        <f t="shared" si="52"/>
        <v>4</v>
      </c>
      <c r="U517">
        <f t="shared" si="53"/>
        <v>4</v>
      </c>
    </row>
    <row r="518" spans="1:21">
      <c r="A518" t="s">
        <v>2639</v>
      </c>
      <c r="B518">
        <v>247</v>
      </c>
      <c r="D518" t="s">
        <v>87</v>
      </c>
      <c r="E518" t="s">
        <v>87</v>
      </c>
      <c r="F518">
        <v>5</v>
      </c>
      <c r="G518">
        <f t="shared" si="48"/>
        <v>5</v>
      </c>
      <c r="H518">
        <f t="shared" si="49"/>
        <v>5</v>
      </c>
      <c r="I518">
        <f t="shared" si="50"/>
        <v>0</v>
      </c>
      <c r="J518" cm="1">
        <f t="array" ref="J518">INT(G518)+IF(100-SUM(INT(G$516:G$524))&gt;=RANK(I518,I$516:I$524)+COUNTIF(I$343:I691,I518)-1,1,0)</f>
        <v>5</v>
      </c>
      <c r="K518" t="str">
        <f>_xlfn.XLOOKUP(B518,BugList!A:A,BugList!H:H)</f>
        <v/>
      </c>
      <c r="L518" t="str">
        <f>IF(K518 = "","",_xlfn.XLOOKUP(B518, BugList!A:A,BugList!B:B,""))</f>
        <v/>
      </c>
      <c r="M518">
        <f>_xlfn.XLOOKUP(D518,BugList!C:C,BugList!N:N)</f>
        <v>4</v>
      </c>
      <c r="N518">
        <f>_xlfn.XLOOKUP(B518,BugList!A:A,BugList!R:R)</f>
        <v>4</v>
      </c>
      <c r="O518" t="b">
        <f>_xlfn.XLOOKUP(B518,BugList!A:A,BugList!L:L)</f>
        <v>0</v>
      </c>
      <c r="P518" t="b">
        <f t="shared" si="51"/>
        <v>0</v>
      </c>
      <c r="R518" t="b">
        <f>SUMPRODUCT(COUNTIF(_xlfn.XLOOKUP(B518,BugList!A:A,BugList!P:P), "*SC*"))&gt;0</f>
        <v>0</v>
      </c>
      <c r="S518" t="str">
        <f>_xlfn.XLOOKUP(B518,BugList!A:A,BugList!W:W)</f>
        <v/>
      </c>
      <c r="T518">
        <f t="shared" si="52"/>
        <v>20</v>
      </c>
      <c r="U518">
        <f t="shared" si="53"/>
        <v>20</v>
      </c>
    </row>
    <row r="519" spans="1:21">
      <c r="A519" t="s">
        <v>2639</v>
      </c>
      <c r="B519">
        <v>372</v>
      </c>
      <c r="D519" t="s">
        <v>88</v>
      </c>
      <c r="E519" t="s">
        <v>88</v>
      </c>
      <c r="F519">
        <v>1</v>
      </c>
      <c r="G519">
        <f t="shared" si="48"/>
        <v>1</v>
      </c>
      <c r="H519">
        <f t="shared" si="49"/>
        <v>1</v>
      </c>
      <c r="I519">
        <f t="shared" si="50"/>
        <v>0</v>
      </c>
      <c r="J519" cm="1">
        <f t="array" ref="J519">INT(G519)+IF(100-SUM(INT(G$516:G$524))&gt;=RANK(I519,I$516:I$524)+COUNTIF(I$344:I691,I519)-1,1,0)</f>
        <v>1</v>
      </c>
      <c r="K519" t="str">
        <f>_xlfn.XLOOKUP(B519,BugList!A:A,BugList!H:H)</f>
        <v/>
      </c>
      <c r="L519" t="str">
        <f>IF(K519 = "","",_xlfn.XLOOKUP(B519, BugList!A:A,BugList!B:B,""))</f>
        <v/>
      </c>
      <c r="M519">
        <f>_xlfn.XLOOKUP(D519,BugList!C:C,BugList!N:N)</f>
        <v>8</v>
      </c>
      <c r="N519">
        <f>_xlfn.XLOOKUP(B519,BugList!A:A,BugList!R:R)</f>
        <v>8</v>
      </c>
      <c r="O519" t="b">
        <f>_xlfn.XLOOKUP(B519,BugList!A:A,BugList!L:L)</f>
        <v>0</v>
      </c>
      <c r="P519" t="b">
        <f t="shared" si="51"/>
        <v>0</v>
      </c>
      <c r="R519" t="b">
        <f>SUMPRODUCT(COUNTIF(_xlfn.XLOOKUP(B519,BugList!A:A,BugList!P:P), "*SC*"))&gt;0</f>
        <v>0</v>
      </c>
      <c r="S519" t="str">
        <f>_xlfn.XLOOKUP(B519,BugList!A:A,BugList!W:W)</f>
        <v/>
      </c>
      <c r="T519">
        <f t="shared" si="52"/>
        <v>8</v>
      </c>
      <c r="U519">
        <f t="shared" si="53"/>
        <v>8</v>
      </c>
    </row>
    <row r="520" spans="1:21">
      <c r="A520" t="s">
        <v>2639</v>
      </c>
      <c r="B520">
        <v>583</v>
      </c>
      <c r="D520" t="s">
        <v>162</v>
      </c>
      <c r="E520" t="s">
        <v>162</v>
      </c>
      <c r="F520">
        <v>1</v>
      </c>
      <c r="G520">
        <f t="shared" si="48"/>
        <v>1</v>
      </c>
      <c r="H520">
        <f t="shared" si="49"/>
        <v>1</v>
      </c>
      <c r="I520">
        <f t="shared" si="50"/>
        <v>0</v>
      </c>
      <c r="J520" cm="1">
        <f t="array" ref="J520">INT(G520)+IF(100-SUM(INT(G$516:G$524))&gt;=RANK(I520,I$516:I$524)+COUNTIF(I$345:I691,I520)-1,1,0)</f>
        <v>1</v>
      </c>
      <c r="K520" t="str">
        <f>_xlfn.XLOOKUP(B520,BugList!A:A,BugList!H:H)</f>
        <v/>
      </c>
      <c r="L520" t="str">
        <f>IF(K520 = "","",_xlfn.XLOOKUP(B520, BugList!A:A,BugList!B:B,""))</f>
        <v/>
      </c>
      <c r="M520">
        <f>_xlfn.XLOOKUP(D520,BugList!C:C,BugList!N:N)</f>
        <v>3</v>
      </c>
      <c r="N520">
        <f>_xlfn.XLOOKUP(B520,BugList!A:A,BugList!R:R)</f>
        <v>3</v>
      </c>
      <c r="O520" t="b">
        <f>_xlfn.XLOOKUP(B520,BugList!A:A,BugList!L:L)</f>
        <v>1</v>
      </c>
      <c r="P520" t="b">
        <f t="shared" si="51"/>
        <v>0</v>
      </c>
      <c r="R520" t="b">
        <f>SUMPRODUCT(COUNTIF(_xlfn.XLOOKUP(B520,BugList!A:A,BugList!P:P), "*SC*"))&gt;0</f>
        <v>0</v>
      </c>
      <c r="S520" t="str">
        <f>_xlfn.XLOOKUP(B520,BugList!A:A,BugList!W:W)</f>
        <v/>
      </c>
      <c r="T520">
        <f t="shared" si="52"/>
        <v>3</v>
      </c>
      <c r="U520">
        <f t="shared" si="53"/>
        <v>3</v>
      </c>
    </row>
    <row r="521" spans="1:21">
      <c r="A521" t="s">
        <v>2639</v>
      </c>
      <c r="B521">
        <v>794</v>
      </c>
      <c r="D521" t="s">
        <v>89</v>
      </c>
      <c r="E521" t="s">
        <v>89</v>
      </c>
      <c r="F521">
        <v>7</v>
      </c>
      <c r="G521">
        <f t="shared" si="48"/>
        <v>7.0000000000000009</v>
      </c>
      <c r="H521">
        <f t="shared" si="49"/>
        <v>7</v>
      </c>
      <c r="I521">
        <f t="shared" si="50"/>
        <v>0</v>
      </c>
      <c r="J521" cm="1">
        <f t="array" ref="J521">INT(G521)+IF(100-SUM(INT(G$516:G$524))&gt;=RANK(I521,I$516:I$524)+COUNTIF(I$346:I691,I521)-1,1,0)</f>
        <v>7</v>
      </c>
      <c r="K521" t="str">
        <f>_xlfn.XLOOKUP(B521,BugList!A:A,BugList!H:H)</f>
        <v>*</v>
      </c>
      <c r="L521" t="str">
        <f>IF(K521 = "","",_xlfn.XLOOKUP(B521, BugList!A:A,BugList!B:B,""))</f>
        <v>Trichoptera</v>
      </c>
      <c r="M521">
        <f>_xlfn.XLOOKUP(D521,BugList!C:C,BugList!N:N)</f>
        <v>4</v>
      </c>
      <c r="N521">
        <f>_xlfn.XLOOKUP(B521,BugList!A:A,BugList!R:R)</f>
        <v>4</v>
      </c>
      <c r="O521" t="b">
        <f>_xlfn.XLOOKUP(B521,BugList!A:A,BugList!L:L)</f>
        <v>1</v>
      </c>
      <c r="P521" t="b">
        <f t="shared" si="51"/>
        <v>0</v>
      </c>
      <c r="R521" t="b">
        <f>SUMPRODUCT(COUNTIF(_xlfn.XLOOKUP(B521,BugList!A:A,BugList!P:P), "*SC*"))&gt;0</f>
        <v>0</v>
      </c>
      <c r="S521" t="str">
        <f>_xlfn.XLOOKUP(B521,BugList!A:A,BugList!W:W)</f>
        <v/>
      </c>
      <c r="T521">
        <f t="shared" si="52"/>
        <v>28</v>
      </c>
      <c r="U521">
        <f t="shared" si="53"/>
        <v>28</v>
      </c>
    </row>
    <row r="522" spans="1:21">
      <c r="A522" t="s">
        <v>2639</v>
      </c>
      <c r="B522">
        <v>842</v>
      </c>
      <c r="D522" t="s">
        <v>163</v>
      </c>
      <c r="E522" t="s">
        <v>163</v>
      </c>
      <c r="F522">
        <v>76</v>
      </c>
      <c r="G522">
        <f t="shared" si="48"/>
        <v>76</v>
      </c>
      <c r="H522">
        <f t="shared" si="49"/>
        <v>76</v>
      </c>
      <c r="I522">
        <f t="shared" si="50"/>
        <v>0</v>
      </c>
      <c r="J522" cm="1">
        <f t="array" ref="J522">INT(G522)+IF(100-SUM(INT(G$516:G$524))&gt;=RANK(I522,I$516:I$524)+COUNTIF(I$347:I691,I522)-1,1,0)</f>
        <v>76</v>
      </c>
      <c r="K522" t="str">
        <f>_xlfn.XLOOKUP(B522,BugList!A:A,BugList!H:H)</f>
        <v>*</v>
      </c>
      <c r="L522" t="str">
        <f>IF(K522 = "","",_xlfn.XLOOKUP(B522, BugList!A:A,BugList!B:B,""))</f>
        <v>Trichoptera</v>
      </c>
      <c r="M522">
        <f>_xlfn.XLOOKUP(D522,BugList!C:C,BugList!N:N)</f>
        <v>6</v>
      </c>
      <c r="N522">
        <f>_xlfn.XLOOKUP(B522,BugList!A:A,BugList!R:R)</f>
        <v>6</v>
      </c>
      <c r="O522" t="b">
        <f>_xlfn.XLOOKUP(B522,BugList!A:A,BugList!L:L)</f>
        <v>1</v>
      </c>
      <c r="P522" t="b">
        <f t="shared" si="51"/>
        <v>1</v>
      </c>
      <c r="R522" t="b">
        <f>SUMPRODUCT(COUNTIF(_xlfn.XLOOKUP(B522,BugList!A:A,BugList!P:P), "*SC*"))&gt;0</f>
        <v>0</v>
      </c>
      <c r="S522" t="str">
        <f>_xlfn.XLOOKUP(B522,BugList!A:A,BugList!W:W)</f>
        <v/>
      </c>
      <c r="T522">
        <f t="shared" si="52"/>
        <v>456</v>
      </c>
      <c r="U522">
        <f t="shared" si="53"/>
        <v>456</v>
      </c>
    </row>
    <row r="523" spans="1:21">
      <c r="A523" t="s">
        <v>2639</v>
      </c>
      <c r="B523">
        <v>1002</v>
      </c>
      <c r="D523" t="s">
        <v>100</v>
      </c>
      <c r="E523" t="s">
        <v>100</v>
      </c>
      <c r="F523">
        <v>3</v>
      </c>
      <c r="G523">
        <f t="shared" si="48"/>
        <v>3</v>
      </c>
      <c r="H523">
        <f t="shared" si="49"/>
        <v>3</v>
      </c>
      <c r="I523">
        <f t="shared" si="50"/>
        <v>0</v>
      </c>
      <c r="J523" cm="1">
        <f t="array" ref="J523">INT(G523)+IF(100-SUM(INT(G$516:G$524))&gt;=RANK(I523,I$516:I$524)+COUNTIF(I$348:I691,I523)-1,1,0)</f>
        <v>3</v>
      </c>
      <c r="K523" t="str">
        <f>_xlfn.XLOOKUP(B523,BugList!A:A,BugList!H:H)</f>
        <v/>
      </c>
      <c r="L523" t="str">
        <f>IF(K523 = "","",_xlfn.XLOOKUP(B523, BugList!A:A,BugList!B:B,""))</f>
        <v/>
      </c>
      <c r="M523">
        <f>_xlfn.XLOOKUP(D523,BugList!C:C,BugList!N:N)</f>
        <v>4</v>
      </c>
      <c r="N523">
        <f>_xlfn.XLOOKUP(B523,BugList!A:A,BugList!R:R)</f>
        <v>4</v>
      </c>
      <c r="O523" t="b">
        <f>_xlfn.XLOOKUP(B523,BugList!A:A,BugList!L:L)</f>
        <v>1</v>
      </c>
      <c r="P523" t="b">
        <f t="shared" si="51"/>
        <v>0</v>
      </c>
      <c r="R523" t="b">
        <f>SUMPRODUCT(COUNTIF(_xlfn.XLOOKUP(B523,BugList!A:A,BugList!P:P), "*SC*"))&gt;0</f>
        <v>1</v>
      </c>
      <c r="S523" t="str">
        <f>_xlfn.XLOOKUP(B523,BugList!A:A,BugList!W:W)</f>
        <v/>
      </c>
      <c r="T523">
        <f t="shared" si="52"/>
        <v>12</v>
      </c>
      <c r="U523">
        <f t="shared" si="53"/>
        <v>12</v>
      </c>
    </row>
    <row r="524" spans="1:21">
      <c r="A524" t="s">
        <v>2639</v>
      </c>
      <c r="B524">
        <v>1497</v>
      </c>
      <c r="D524" t="s">
        <v>108</v>
      </c>
      <c r="E524" t="s">
        <v>108</v>
      </c>
      <c r="F524">
        <v>5</v>
      </c>
      <c r="G524">
        <f t="shared" si="48"/>
        <v>5</v>
      </c>
      <c r="H524">
        <f t="shared" si="49"/>
        <v>5</v>
      </c>
      <c r="I524">
        <f t="shared" si="50"/>
        <v>0</v>
      </c>
      <c r="J524" cm="1">
        <f t="array" ref="J524">INT(G524)+IF(100-SUM(INT(G$516:G$524))&gt;=RANK(I524,I$516:I$524)+COUNTIF(I$349:I691,I524)-1,1,0)</f>
        <v>5</v>
      </c>
      <c r="K524" t="str">
        <f>_xlfn.XLOOKUP(B524,BugList!A:A,BugList!H:H)</f>
        <v/>
      </c>
      <c r="L524" t="str">
        <f>IF(K524 = "","",_xlfn.XLOOKUP(B524, BugList!A:A,BugList!B:B,""))</f>
        <v/>
      </c>
      <c r="M524">
        <f>_xlfn.XLOOKUP(D524,BugList!C:C,BugList!N:N)</f>
        <v>3</v>
      </c>
      <c r="N524">
        <f>_xlfn.XLOOKUP(B524,BugList!A:A,BugList!R:R)</f>
        <v>3</v>
      </c>
      <c r="O524" t="b">
        <f>_xlfn.XLOOKUP(B524,BugList!A:A,BugList!L:L)</f>
        <v>1</v>
      </c>
      <c r="P524" t="b">
        <f t="shared" si="51"/>
        <v>0</v>
      </c>
      <c r="R524" t="b">
        <f>SUMPRODUCT(COUNTIF(_xlfn.XLOOKUP(B524,BugList!A:A,BugList!P:P), "*SC*"))&gt;0</f>
        <v>0</v>
      </c>
      <c r="S524" t="str">
        <f>_xlfn.XLOOKUP(B524,BugList!A:A,BugList!W:W)</f>
        <v/>
      </c>
      <c r="T524">
        <f t="shared" si="52"/>
        <v>15</v>
      </c>
      <c r="U524">
        <f t="shared" si="53"/>
        <v>15</v>
      </c>
    </row>
    <row r="525" spans="1:21">
      <c r="A525" t="s">
        <v>2640</v>
      </c>
      <c r="B525">
        <v>88</v>
      </c>
      <c r="D525" t="s">
        <v>85</v>
      </c>
      <c r="E525" t="s">
        <v>85</v>
      </c>
      <c r="F525">
        <v>4</v>
      </c>
      <c r="G525">
        <f t="shared" si="48"/>
        <v>3.7037037037037033</v>
      </c>
      <c r="H525">
        <f t="shared" si="49"/>
        <v>3</v>
      </c>
      <c r="I525">
        <f t="shared" si="50"/>
        <v>0.70370370370370328</v>
      </c>
      <c r="J525" cm="1">
        <f t="array" ref="J525">INT(G525)+IF(100-SUM(INT(G$525:G$538))&gt;=RANK(I525,I$525:I$538)+COUNTIF(I$525:I525,I525)-1,1,0)</f>
        <v>4</v>
      </c>
      <c r="K525" t="str">
        <f>_xlfn.XLOOKUP(B525,BugList!A:A,BugList!H:H)</f>
        <v/>
      </c>
      <c r="L525" t="str">
        <f>IF(K525 = "","",_xlfn.XLOOKUP(B525, BugList!A:A,BugList!B:B,""))</f>
        <v/>
      </c>
      <c r="M525">
        <f>_xlfn.XLOOKUP(D525,BugList!C:C,BugList!N:N)</f>
        <v>4</v>
      </c>
      <c r="N525">
        <f>_xlfn.XLOOKUP(B525,BugList!A:A,BugList!R:R)</f>
        <v>4</v>
      </c>
      <c r="O525" t="b">
        <f>_xlfn.XLOOKUP(B525,BugList!A:A,BugList!L:L)</f>
        <v>0</v>
      </c>
      <c r="P525" t="b">
        <f t="shared" si="51"/>
        <v>0</v>
      </c>
      <c r="R525" t="b">
        <f>SUMPRODUCT(COUNTIF(_xlfn.XLOOKUP(B525,BugList!A:A,BugList!P:P), "*SC*"))&gt;0</f>
        <v>0</v>
      </c>
      <c r="S525" t="str">
        <f>_xlfn.XLOOKUP(B525,BugList!A:A,BugList!W:W)</f>
        <v/>
      </c>
      <c r="T525">
        <f t="shared" si="52"/>
        <v>16</v>
      </c>
      <c r="U525">
        <f t="shared" si="53"/>
        <v>16</v>
      </c>
    </row>
    <row r="526" spans="1:21">
      <c r="A526" t="s">
        <v>2640</v>
      </c>
      <c r="B526">
        <v>372</v>
      </c>
      <c r="D526" t="s">
        <v>88</v>
      </c>
      <c r="E526" t="s">
        <v>88</v>
      </c>
      <c r="F526">
        <v>2</v>
      </c>
      <c r="G526">
        <f t="shared" si="48"/>
        <v>1.8518518518518516</v>
      </c>
      <c r="H526">
        <f t="shared" si="49"/>
        <v>1</v>
      </c>
      <c r="I526">
        <f t="shared" si="50"/>
        <v>0.85185185185185164</v>
      </c>
      <c r="J526" cm="1">
        <f t="array" ref="J526">INT(G526)+IF(100-SUM(INT(G$525:G$538))&gt;=RANK(I526,I$525:I$538)+COUNTIF(I$525:I526,I526)-1,1,0)</f>
        <v>2</v>
      </c>
      <c r="K526" t="str">
        <f>_xlfn.XLOOKUP(B526,BugList!A:A,BugList!H:H)</f>
        <v/>
      </c>
      <c r="L526" t="str">
        <f>IF(K526 = "","",_xlfn.XLOOKUP(B526, BugList!A:A,BugList!B:B,""))</f>
        <v/>
      </c>
      <c r="M526">
        <f>_xlfn.XLOOKUP(D526,BugList!C:C,BugList!N:N)</f>
        <v>8</v>
      </c>
      <c r="N526">
        <f>_xlfn.XLOOKUP(B526,BugList!A:A,BugList!R:R)</f>
        <v>8</v>
      </c>
      <c r="O526" t="b">
        <f>_xlfn.XLOOKUP(B526,BugList!A:A,BugList!L:L)</f>
        <v>0</v>
      </c>
      <c r="P526" t="b">
        <f t="shared" si="51"/>
        <v>0</v>
      </c>
      <c r="R526" t="b">
        <f>SUMPRODUCT(COUNTIF(_xlfn.XLOOKUP(B526,BugList!A:A,BugList!P:P), "*SC*"))&gt;0</f>
        <v>0</v>
      </c>
      <c r="S526" t="str">
        <f>_xlfn.XLOOKUP(B526,BugList!A:A,BugList!W:W)</f>
        <v/>
      </c>
      <c r="T526">
        <f t="shared" si="52"/>
        <v>16</v>
      </c>
      <c r="U526">
        <f t="shared" si="53"/>
        <v>16</v>
      </c>
    </row>
    <row r="527" spans="1:21">
      <c r="A527" t="s">
        <v>2640</v>
      </c>
      <c r="B527">
        <v>500</v>
      </c>
      <c r="D527" t="s">
        <v>151</v>
      </c>
      <c r="E527" t="s">
        <v>151</v>
      </c>
      <c r="F527">
        <v>1</v>
      </c>
      <c r="G527">
        <f t="shared" si="48"/>
        <v>0.92592592592592582</v>
      </c>
      <c r="H527">
        <f t="shared" si="49"/>
        <v>0</v>
      </c>
      <c r="I527">
        <f t="shared" si="50"/>
        <v>0.92592592592592582</v>
      </c>
      <c r="J527" cm="1">
        <f t="array" ref="J527">INT(G527)+IF(100-SUM(INT(G$525:G$538))&gt;=RANK(I527,I$525:I$538)+COUNTIF(I$525:I527,I527)-1,1,0)</f>
        <v>1</v>
      </c>
      <c r="K527" t="str">
        <f>_xlfn.XLOOKUP(B527,BugList!A:A,BugList!H:H)</f>
        <v>*</v>
      </c>
      <c r="L527" t="str">
        <f>IF(K527 = "","",_xlfn.XLOOKUP(B527, BugList!A:A,BugList!B:B,""))</f>
        <v>Ephemeroptera</v>
      </c>
      <c r="M527">
        <f>_xlfn.XLOOKUP(D527,BugList!C:C,BugList!N:N)</f>
        <v>1</v>
      </c>
      <c r="N527">
        <f>_xlfn.XLOOKUP(B527,BugList!A:A,BugList!R:R)</f>
        <v>1</v>
      </c>
      <c r="O527" t="b">
        <f>_xlfn.XLOOKUP(B527,BugList!A:A,BugList!L:L)</f>
        <v>1</v>
      </c>
      <c r="P527" t="b">
        <f t="shared" si="51"/>
        <v>1</v>
      </c>
      <c r="R527" t="b">
        <f>SUMPRODUCT(COUNTIF(_xlfn.XLOOKUP(B527,BugList!A:A,BugList!P:P), "*SC*"))&gt;0</f>
        <v>1</v>
      </c>
      <c r="S527" t="str">
        <f>_xlfn.XLOOKUP(B527,BugList!A:A,BugList!W:W)</f>
        <v/>
      </c>
      <c r="T527">
        <f t="shared" si="52"/>
        <v>1</v>
      </c>
      <c r="U527">
        <f t="shared" si="53"/>
        <v>1</v>
      </c>
    </row>
    <row r="528" spans="1:21">
      <c r="A528" t="s">
        <v>2640</v>
      </c>
      <c r="B528">
        <v>513</v>
      </c>
      <c r="D528" t="s">
        <v>111</v>
      </c>
      <c r="E528" t="s">
        <v>111</v>
      </c>
      <c r="F528">
        <v>18</v>
      </c>
      <c r="G528">
        <f t="shared" si="48"/>
        <v>16.666666666666664</v>
      </c>
      <c r="H528">
        <f t="shared" si="49"/>
        <v>16</v>
      </c>
      <c r="I528">
        <f t="shared" si="50"/>
        <v>0.6666666666666643</v>
      </c>
      <c r="J528" cm="1">
        <f t="array" ref="J528">INT(G528)+IF(100-SUM(INT(G$525:G$538))&gt;=RANK(I528,I$525:I$538)+COUNTIF(I$525:I528,I528)-1,1,0)</f>
        <v>16</v>
      </c>
      <c r="K528" t="str">
        <f>_xlfn.XLOOKUP(B528,BugList!A:A,BugList!H:H)</f>
        <v>*</v>
      </c>
      <c r="L528" t="str">
        <f>IF(K528 = "","",_xlfn.XLOOKUP(B528, BugList!A:A,BugList!B:B,""))</f>
        <v>Ephemeroptera</v>
      </c>
      <c r="M528">
        <f>_xlfn.XLOOKUP(D528,BugList!C:C,BugList!N:N)</f>
        <v>4</v>
      </c>
      <c r="N528">
        <f>_xlfn.XLOOKUP(B528,BugList!A:A,BugList!R:R)</f>
        <v>4</v>
      </c>
      <c r="O528" t="b">
        <f>_xlfn.XLOOKUP(B528,BugList!A:A,BugList!L:L)</f>
        <v>1</v>
      </c>
      <c r="P528" t="b">
        <f t="shared" si="51"/>
        <v>1</v>
      </c>
      <c r="R528" t="b">
        <f>SUMPRODUCT(COUNTIF(_xlfn.XLOOKUP(B528,BugList!A:A,BugList!P:P), "*SC*"))&gt;0</f>
        <v>1</v>
      </c>
      <c r="S528" t="str">
        <f>_xlfn.XLOOKUP(B528,BugList!A:A,BugList!W:W)</f>
        <v/>
      </c>
      <c r="T528">
        <f t="shared" si="52"/>
        <v>64</v>
      </c>
      <c r="U528">
        <f t="shared" si="53"/>
        <v>64</v>
      </c>
    </row>
    <row r="529" spans="1:21">
      <c r="A529" t="s">
        <v>2640</v>
      </c>
      <c r="B529">
        <v>602</v>
      </c>
      <c r="D529" t="s">
        <v>97</v>
      </c>
      <c r="E529" t="s">
        <v>97</v>
      </c>
      <c r="F529">
        <v>6</v>
      </c>
      <c r="G529">
        <f t="shared" si="48"/>
        <v>5.5555555555555554</v>
      </c>
      <c r="H529">
        <f t="shared" si="49"/>
        <v>5</v>
      </c>
      <c r="I529">
        <f t="shared" si="50"/>
        <v>0.55555555555555536</v>
      </c>
      <c r="J529" cm="1">
        <f t="array" ref="J529">INT(G529)+IF(100-SUM(INT(G$525:G$538))&gt;=RANK(I529,I$525:I$538)+COUNTIF(I$525:I529,I529)-1,1,0)</f>
        <v>5</v>
      </c>
      <c r="K529" t="str">
        <f>_xlfn.XLOOKUP(B529,BugList!A:A,BugList!H:H)</f>
        <v/>
      </c>
      <c r="L529" t="str">
        <f>IF(K529 = "","",_xlfn.XLOOKUP(B529, BugList!A:A,BugList!B:B,""))</f>
        <v/>
      </c>
      <c r="M529">
        <f>_xlfn.XLOOKUP(D529,BugList!C:C,BugList!N:N)</f>
        <v>9</v>
      </c>
      <c r="N529">
        <f>_xlfn.XLOOKUP(B529,BugList!A:A,BugList!R:R)</f>
        <v>9</v>
      </c>
      <c r="O529" t="b">
        <f>_xlfn.XLOOKUP(B529,BugList!A:A,BugList!L:L)</f>
        <v>1</v>
      </c>
      <c r="P529" t="b">
        <f t="shared" si="51"/>
        <v>0</v>
      </c>
      <c r="R529" t="b">
        <f>SUMPRODUCT(COUNTIF(_xlfn.XLOOKUP(B529,BugList!A:A,BugList!P:P), "*SC*"))&gt;0</f>
        <v>0</v>
      </c>
      <c r="S529" t="str">
        <f>_xlfn.XLOOKUP(B529,BugList!A:A,BugList!W:W)</f>
        <v/>
      </c>
      <c r="T529">
        <f t="shared" si="52"/>
        <v>45</v>
      </c>
      <c r="U529">
        <f t="shared" si="53"/>
        <v>45</v>
      </c>
    </row>
    <row r="530" spans="1:21">
      <c r="A530" t="s">
        <v>2640</v>
      </c>
      <c r="B530">
        <v>794</v>
      </c>
      <c r="D530" t="s">
        <v>89</v>
      </c>
      <c r="E530" t="s">
        <v>89</v>
      </c>
      <c r="F530">
        <v>1</v>
      </c>
      <c r="G530">
        <f t="shared" si="48"/>
        <v>0.92592592592592582</v>
      </c>
      <c r="H530">
        <f t="shared" si="49"/>
        <v>0</v>
      </c>
      <c r="I530">
        <f t="shared" si="50"/>
        <v>0.92592592592592582</v>
      </c>
      <c r="J530" cm="1">
        <f t="array" ref="J530">INT(G530)+IF(100-SUM(INT(G$525:G$538))&gt;=RANK(I530,I$525:I$538)+COUNTIF(I$525:I530,I530)-1,1,0)</f>
        <v>1</v>
      </c>
      <c r="K530" t="str">
        <f>_xlfn.XLOOKUP(B530,BugList!A:A,BugList!H:H)</f>
        <v>*</v>
      </c>
      <c r="L530" t="str">
        <f>IF(K530 = "","",_xlfn.XLOOKUP(B530, BugList!A:A,BugList!B:B,""))</f>
        <v>Trichoptera</v>
      </c>
      <c r="M530">
        <f>_xlfn.XLOOKUP(D530,BugList!C:C,BugList!N:N)</f>
        <v>4</v>
      </c>
      <c r="N530">
        <f>_xlfn.XLOOKUP(B530,BugList!A:A,BugList!R:R)</f>
        <v>4</v>
      </c>
      <c r="O530" t="b">
        <f>_xlfn.XLOOKUP(B530,BugList!A:A,BugList!L:L)</f>
        <v>1</v>
      </c>
      <c r="P530" t="b">
        <f t="shared" si="51"/>
        <v>0</v>
      </c>
      <c r="R530" t="b">
        <f>SUMPRODUCT(COUNTIF(_xlfn.XLOOKUP(B530,BugList!A:A,BugList!P:P), "*SC*"))&gt;0</f>
        <v>0</v>
      </c>
      <c r="S530" t="str">
        <f>_xlfn.XLOOKUP(B530,BugList!A:A,BugList!W:W)</f>
        <v/>
      </c>
      <c r="T530">
        <f t="shared" si="52"/>
        <v>4</v>
      </c>
      <c r="U530">
        <f t="shared" si="53"/>
        <v>4</v>
      </c>
    </row>
    <row r="531" spans="1:21">
      <c r="A531" t="s">
        <v>2640</v>
      </c>
      <c r="B531">
        <v>863</v>
      </c>
      <c r="D531" t="s">
        <v>156</v>
      </c>
      <c r="E531" t="s">
        <v>156</v>
      </c>
      <c r="F531">
        <v>4</v>
      </c>
      <c r="G531">
        <f t="shared" si="48"/>
        <v>3.7037037037037033</v>
      </c>
      <c r="H531">
        <f t="shared" si="49"/>
        <v>3</v>
      </c>
      <c r="I531">
        <f t="shared" si="50"/>
        <v>0.70370370370370328</v>
      </c>
      <c r="J531" cm="1">
        <f t="array" ref="J531">INT(G531)+IF(100-SUM(INT(G$525:G$538))&gt;=RANK(I531,I$525:I$538)+COUNTIF(I$525:I531,I531)-1,1,0)</f>
        <v>4</v>
      </c>
      <c r="K531" t="str">
        <f>_xlfn.XLOOKUP(B531,BugList!A:A,BugList!H:H)</f>
        <v>*</v>
      </c>
      <c r="L531" t="str">
        <f>IF(K531 = "","",_xlfn.XLOOKUP(B531, BugList!A:A,BugList!B:B,""))</f>
        <v>Trichoptera</v>
      </c>
      <c r="M531">
        <f>_xlfn.XLOOKUP(D531,BugList!C:C,BugList!N:N)</f>
        <v>0</v>
      </c>
      <c r="N531">
        <f>_xlfn.XLOOKUP(B531,BugList!A:A,BugList!R:R)</f>
        <v>0</v>
      </c>
      <c r="O531" t="b">
        <f>_xlfn.XLOOKUP(B531,BugList!A:A,BugList!L:L)</f>
        <v>1</v>
      </c>
      <c r="P531" t="b">
        <f t="shared" si="51"/>
        <v>1</v>
      </c>
      <c r="R531" t="b">
        <f>SUMPRODUCT(COUNTIF(_xlfn.XLOOKUP(B531,BugList!A:A,BugList!P:P), "*SC*"))&gt;0</f>
        <v>0</v>
      </c>
      <c r="S531" t="str">
        <f>_xlfn.XLOOKUP(B531,BugList!A:A,BugList!W:W)</f>
        <v/>
      </c>
      <c r="T531">
        <f t="shared" si="52"/>
        <v>0</v>
      </c>
      <c r="U531">
        <f t="shared" si="53"/>
        <v>0</v>
      </c>
    </row>
    <row r="532" spans="1:21">
      <c r="A532" t="s">
        <v>2640</v>
      </c>
      <c r="B532">
        <v>935</v>
      </c>
      <c r="D532" t="s">
        <v>98</v>
      </c>
      <c r="E532" t="s">
        <v>98</v>
      </c>
      <c r="F532">
        <v>36</v>
      </c>
      <c r="G532">
        <f t="shared" si="48"/>
        <v>33.333333333333329</v>
      </c>
      <c r="H532">
        <f t="shared" si="49"/>
        <v>33</v>
      </c>
      <c r="I532">
        <f t="shared" si="50"/>
        <v>0.3333333333333286</v>
      </c>
      <c r="J532" cm="1">
        <f t="array" ref="J532">INT(G532)+IF(100-SUM(INT(G$525:G$538))&gt;=RANK(I532,I$525:I$538)+COUNTIF(I$525:I532,I532)-1,1,0)</f>
        <v>33</v>
      </c>
      <c r="K532" t="str">
        <f>_xlfn.XLOOKUP(B532,BugList!A:A,BugList!H:H)</f>
        <v/>
      </c>
      <c r="L532" t="str">
        <f>IF(K532 = "","",_xlfn.XLOOKUP(B532, BugList!A:A,BugList!B:B,""))</f>
        <v/>
      </c>
      <c r="M532">
        <f>_xlfn.XLOOKUP(D532,BugList!C:C,BugList!N:N)</f>
        <v>4</v>
      </c>
      <c r="N532">
        <f>_xlfn.XLOOKUP(B532,BugList!A:A,BugList!R:R)</f>
        <v>4</v>
      </c>
      <c r="O532" t="b">
        <f>_xlfn.XLOOKUP(B532,BugList!A:A,BugList!L:L)</f>
        <v>1</v>
      </c>
      <c r="P532" t="b">
        <f t="shared" si="51"/>
        <v>0</v>
      </c>
      <c r="R532" t="b">
        <f>SUMPRODUCT(COUNTIF(_xlfn.XLOOKUP(B532,BugList!A:A,BugList!P:P), "*SC*"))&gt;0</f>
        <v>1</v>
      </c>
      <c r="S532" t="str">
        <f>_xlfn.XLOOKUP(B532,BugList!A:A,BugList!W:W)</f>
        <v/>
      </c>
      <c r="T532">
        <f t="shared" si="52"/>
        <v>132</v>
      </c>
      <c r="U532">
        <f t="shared" si="53"/>
        <v>132</v>
      </c>
    </row>
    <row r="533" spans="1:21">
      <c r="A533" t="s">
        <v>2640</v>
      </c>
      <c r="B533">
        <v>1002</v>
      </c>
      <c r="D533" t="s">
        <v>100</v>
      </c>
      <c r="E533" t="s">
        <v>100</v>
      </c>
      <c r="F533">
        <v>29</v>
      </c>
      <c r="G533">
        <f t="shared" si="48"/>
        <v>26.851851851851855</v>
      </c>
      <c r="H533">
        <f t="shared" si="49"/>
        <v>26</v>
      </c>
      <c r="I533">
        <f t="shared" si="50"/>
        <v>0.85185185185185475</v>
      </c>
      <c r="J533" cm="1">
        <f t="array" ref="J533">INT(G533)+IF(100-SUM(INT(G$525:G$538))&gt;=RANK(I533,I$525:I$538)+COUNTIF(I$525:I533,I533)-1,1,0)</f>
        <v>27</v>
      </c>
      <c r="K533" t="str">
        <f>_xlfn.XLOOKUP(B533,BugList!A:A,BugList!H:H)</f>
        <v/>
      </c>
      <c r="L533" t="str">
        <f>IF(K533 = "","",_xlfn.XLOOKUP(B533, BugList!A:A,BugList!B:B,""))</f>
        <v/>
      </c>
      <c r="M533">
        <f>_xlfn.XLOOKUP(D533,BugList!C:C,BugList!N:N)</f>
        <v>4</v>
      </c>
      <c r="N533">
        <f>_xlfn.XLOOKUP(B533,BugList!A:A,BugList!R:R)</f>
        <v>4</v>
      </c>
      <c r="O533" t="b">
        <f>_xlfn.XLOOKUP(B533,BugList!A:A,BugList!L:L)</f>
        <v>1</v>
      </c>
      <c r="P533" t="b">
        <f t="shared" si="51"/>
        <v>0</v>
      </c>
      <c r="R533" t="b">
        <f>SUMPRODUCT(COUNTIF(_xlfn.XLOOKUP(B533,BugList!A:A,BugList!P:P), "*SC*"))&gt;0</f>
        <v>1</v>
      </c>
      <c r="S533" t="str">
        <f>_xlfn.XLOOKUP(B533,BugList!A:A,BugList!W:W)</f>
        <v/>
      </c>
      <c r="T533">
        <f t="shared" si="52"/>
        <v>108</v>
      </c>
      <c r="U533">
        <f t="shared" si="53"/>
        <v>108</v>
      </c>
    </row>
    <row r="534" spans="1:21">
      <c r="A534" t="s">
        <v>2640</v>
      </c>
      <c r="B534">
        <v>1088</v>
      </c>
      <c r="D534" t="s">
        <v>90</v>
      </c>
      <c r="E534" t="s">
        <v>90</v>
      </c>
      <c r="F534">
        <v>1</v>
      </c>
      <c r="G534">
        <f t="shared" si="48"/>
        <v>0.92592592592592582</v>
      </c>
      <c r="H534">
        <f t="shared" si="49"/>
        <v>0</v>
      </c>
      <c r="I534">
        <f t="shared" si="50"/>
        <v>0.92592592592592582</v>
      </c>
      <c r="J534" cm="1">
        <f t="array" ref="J534">INT(G534)+IF(100-SUM(INT(G$525:G$538))&gt;=RANK(I534,I$525:I$538)+COUNTIF(I$525:I534,I534)-1,1,0)</f>
        <v>1</v>
      </c>
      <c r="K534" t="str">
        <f>_xlfn.XLOOKUP(B534,BugList!A:A,BugList!H:H)</f>
        <v/>
      </c>
      <c r="L534" t="str">
        <f>IF(K534 = "","",_xlfn.XLOOKUP(B534, BugList!A:A,BugList!B:B,""))</f>
        <v/>
      </c>
      <c r="M534">
        <f>_xlfn.XLOOKUP(D534,BugList!C:C,BugList!N:N)</f>
        <v>6</v>
      </c>
      <c r="N534">
        <f>_xlfn.XLOOKUP(B534,BugList!A:A,BugList!R:R)</f>
        <v>6</v>
      </c>
      <c r="O534" t="b">
        <f>_xlfn.XLOOKUP(B534,BugList!A:A,BugList!L:L)</f>
        <v>1</v>
      </c>
      <c r="P534" t="b">
        <f t="shared" si="51"/>
        <v>0</v>
      </c>
      <c r="R534" t="b">
        <f>SUMPRODUCT(COUNTIF(_xlfn.XLOOKUP(B534,BugList!A:A,BugList!P:P), "*SC*"))&gt;0</f>
        <v>0</v>
      </c>
      <c r="S534" t="str">
        <f>_xlfn.XLOOKUP(B534,BugList!A:A,BugList!W:W)</f>
        <v/>
      </c>
      <c r="T534">
        <f t="shared" si="52"/>
        <v>6</v>
      </c>
      <c r="U534">
        <f t="shared" si="53"/>
        <v>6</v>
      </c>
    </row>
    <row r="535" spans="1:21">
      <c r="A535" t="s">
        <v>2640</v>
      </c>
      <c r="B535">
        <v>1555</v>
      </c>
      <c r="D535" t="s">
        <v>120</v>
      </c>
      <c r="E535" t="s">
        <v>120</v>
      </c>
      <c r="F535">
        <v>3</v>
      </c>
      <c r="G535">
        <f t="shared" si="48"/>
        <v>2.7777777777777777</v>
      </c>
      <c r="H535">
        <f t="shared" si="49"/>
        <v>2</v>
      </c>
      <c r="I535">
        <f t="shared" si="50"/>
        <v>0.77777777777777768</v>
      </c>
      <c r="J535" cm="1">
        <f t="array" ref="J535">INT(G535)+IF(100-SUM(INT(G$525:G$538))&gt;=RANK(I535,I$525:I$538)+COUNTIF(I$525:I535,I535)-1,1,0)</f>
        <v>3</v>
      </c>
      <c r="K535" t="str">
        <f>_xlfn.XLOOKUP(B535,BugList!A:A,BugList!H:H)</f>
        <v/>
      </c>
      <c r="L535" t="str">
        <f>IF(K535 = "","",_xlfn.XLOOKUP(B535, BugList!A:A,BugList!B:B,""))</f>
        <v/>
      </c>
      <c r="M535">
        <f>_xlfn.XLOOKUP(D535,BugList!C:C,BugList!N:N)</f>
        <v>8</v>
      </c>
      <c r="N535">
        <f>_xlfn.XLOOKUP(B535,BugList!A:A,BugList!R:R)</f>
        <v>8</v>
      </c>
      <c r="O535" t="b">
        <f>_xlfn.XLOOKUP(B535,BugList!A:A,BugList!L:L)</f>
        <v>0</v>
      </c>
      <c r="P535" t="b">
        <f t="shared" si="51"/>
        <v>0</v>
      </c>
      <c r="R535" t="b">
        <f>SUMPRODUCT(COUNTIF(_xlfn.XLOOKUP(B535,BugList!A:A,BugList!P:P), "*SC*"))&gt;0</f>
        <v>1</v>
      </c>
      <c r="S535" t="str">
        <f>_xlfn.XLOOKUP(B535,BugList!A:A,BugList!W:W)</f>
        <v/>
      </c>
      <c r="T535">
        <f t="shared" si="52"/>
        <v>24</v>
      </c>
      <c r="U535">
        <f t="shared" si="53"/>
        <v>24</v>
      </c>
    </row>
    <row r="536" spans="1:21">
      <c r="A536" t="s">
        <v>2640</v>
      </c>
      <c r="B536">
        <v>1578</v>
      </c>
      <c r="D536" t="s">
        <v>102</v>
      </c>
      <c r="E536" t="s">
        <v>102</v>
      </c>
      <c r="F536">
        <v>1</v>
      </c>
      <c r="G536">
        <f t="shared" si="48"/>
        <v>0.92592592592592582</v>
      </c>
      <c r="H536">
        <f t="shared" si="49"/>
        <v>0</v>
      </c>
      <c r="I536">
        <f t="shared" si="50"/>
        <v>0.92592592592592582</v>
      </c>
      <c r="J536" cm="1">
        <f t="array" ref="J536">INT(G536)+IF(100-SUM(INT(G$525:G$538))&gt;=RANK(I536,I$525:I$538)+COUNTIF(I$525:I536,I536)-1,1,0)</f>
        <v>1</v>
      </c>
      <c r="K536" t="str">
        <f>_xlfn.XLOOKUP(B536,BugList!A:A,BugList!H:H)</f>
        <v/>
      </c>
      <c r="L536" t="str">
        <f>IF(K536 = "","",_xlfn.XLOOKUP(B536, BugList!A:A,BugList!B:B,""))</f>
        <v/>
      </c>
      <c r="M536">
        <f>_xlfn.XLOOKUP(D536,BugList!C:C,BugList!N:N)</f>
        <v>7</v>
      </c>
      <c r="N536">
        <f>_xlfn.XLOOKUP(B536,BugList!A:A,BugList!R:R)</f>
        <v>7</v>
      </c>
      <c r="O536" t="b">
        <f>_xlfn.XLOOKUP(B536,BugList!A:A,BugList!L:L)</f>
        <v>0</v>
      </c>
      <c r="P536" t="b">
        <f t="shared" si="51"/>
        <v>0</v>
      </c>
      <c r="R536" t="b">
        <f>SUMPRODUCT(COUNTIF(_xlfn.XLOOKUP(B536,BugList!A:A,BugList!P:P), "*SC*"))&gt;0</f>
        <v>0</v>
      </c>
      <c r="S536" t="str">
        <f>_xlfn.XLOOKUP(B536,BugList!A:A,BugList!W:W)</f>
        <v/>
      </c>
      <c r="T536">
        <f t="shared" si="52"/>
        <v>7</v>
      </c>
      <c r="U536">
        <f t="shared" si="53"/>
        <v>7</v>
      </c>
    </row>
    <row r="537" spans="1:21">
      <c r="A537" t="s">
        <v>2640</v>
      </c>
      <c r="B537">
        <v>1582</v>
      </c>
      <c r="D537" t="s">
        <v>121</v>
      </c>
      <c r="E537" t="s">
        <v>121</v>
      </c>
      <c r="F537">
        <v>1</v>
      </c>
      <c r="G537">
        <f t="shared" si="48"/>
        <v>0.92592592592592582</v>
      </c>
      <c r="H537">
        <f t="shared" si="49"/>
        <v>0</v>
      </c>
      <c r="I537">
        <f t="shared" si="50"/>
        <v>0.92592592592592582</v>
      </c>
      <c r="J537" cm="1">
        <f t="array" ref="J537">INT(G537)+IF(100-SUM(INT(G$525:G$538))&gt;=RANK(I537,I$525:I$538)+COUNTIF(I$525:I537,I537)-1,1,0)</f>
        <v>1</v>
      </c>
      <c r="K537" t="str">
        <f>_xlfn.XLOOKUP(B537,BugList!A:A,BugList!H:H)</f>
        <v/>
      </c>
      <c r="L537" t="str">
        <f>IF(K537 = "","",_xlfn.XLOOKUP(B537, BugList!A:A,BugList!B:B,""))</f>
        <v/>
      </c>
      <c r="M537">
        <f>_xlfn.XLOOKUP(D537,BugList!C:C,BugList!N:N)</f>
        <v>6</v>
      </c>
      <c r="N537">
        <f>_xlfn.XLOOKUP(B537,BugList!A:A,BugList!R:R)</f>
        <v>6</v>
      </c>
      <c r="O537" t="b">
        <f>_xlfn.XLOOKUP(B537,BugList!A:A,BugList!L:L)</f>
        <v>0</v>
      </c>
      <c r="P537" t="b">
        <f t="shared" si="51"/>
        <v>0</v>
      </c>
      <c r="R537" t="b">
        <f>SUMPRODUCT(COUNTIF(_xlfn.XLOOKUP(B537,BugList!A:A,BugList!P:P), "*SC*"))&gt;0</f>
        <v>1</v>
      </c>
      <c r="S537" t="str">
        <f>_xlfn.XLOOKUP(B537,BugList!A:A,BugList!W:W)</f>
        <v/>
      </c>
      <c r="T537">
        <f t="shared" si="52"/>
        <v>6</v>
      </c>
      <c r="U537">
        <f t="shared" si="53"/>
        <v>6</v>
      </c>
    </row>
    <row r="538" spans="1:21">
      <c r="A538" t="s">
        <v>2640</v>
      </c>
      <c r="B538">
        <v>1614</v>
      </c>
      <c r="D538" t="s">
        <v>92</v>
      </c>
      <c r="E538" t="s">
        <v>92</v>
      </c>
      <c r="F538">
        <v>1</v>
      </c>
      <c r="G538">
        <f t="shared" si="48"/>
        <v>0.92592592592592582</v>
      </c>
      <c r="H538">
        <f t="shared" si="49"/>
        <v>0</v>
      </c>
      <c r="I538">
        <f t="shared" si="50"/>
        <v>0.92592592592592582</v>
      </c>
      <c r="J538" cm="1">
        <f t="array" ref="J538">INT(G538)+IF(100-SUM(INT(G$525:G$538))&gt;=RANK(I538,I$525:I$538)+COUNTIF(I$525:I538,I538)-1,1,0)</f>
        <v>1</v>
      </c>
      <c r="K538" t="str">
        <f>_xlfn.XLOOKUP(B538,BugList!A:A,BugList!H:H)</f>
        <v/>
      </c>
      <c r="L538" t="str">
        <f>IF(K538 = "","",_xlfn.XLOOKUP(B538, BugList!A:A,BugList!B:B,""))</f>
        <v/>
      </c>
      <c r="M538">
        <f>_xlfn.XLOOKUP(D538,BugList!C:C,BugList!N:N)</f>
        <v>8</v>
      </c>
      <c r="N538">
        <f>_xlfn.XLOOKUP(B538,BugList!A:A,BugList!R:R)</f>
        <v>8</v>
      </c>
      <c r="O538" t="b">
        <f>_xlfn.XLOOKUP(B538,BugList!A:A,BugList!L:L)</f>
        <v>0</v>
      </c>
      <c r="P538" t="b">
        <f t="shared" si="51"/>
        <v>0</v>
      </c>
      <c r="R538" t="b">
        <f>SUMPRODUCT(COUNTIF(_xlfn.XLOOKUP(B538,BugList!A:A,BugList!P:P), "*SC*"))&gt;0</f>
        <v>0</v>
      </c>
      <c r="S538" t="str">
        <f>_xlfn.XLOOKUP(B538,BugList!A:A,BugList!W:W)</f>
        <v/>
      </c>
      <c r="T538">
        <f t="shared" si="52"/>
        <v>8</v>
      </c>
      <c r="U538">
        <f t="shared" si="53"/>
        <v>8</v>
      </c>
    </row>
    <row r="539" spans="1:21">
      <c r="A539" t="s">
        <v>2641</v>
      </c>
      <c r="B539">
        <v>1002</v>
      </c>
      <c r="D539" t="s">
        <v>100</v>
      </c>
      <c r="E539" t="s">
        <v>100</v>
      </c>
      <c r="F539">
        <v>76</v>
      </c>
      <c r="G539">
        <f t="shared" si="48"/>
        <v>55.474452554744524</v>
      </c>
      <c r="H539">
        <f t="shared" si="49"/>
        <v>55</v>
      </c>
      <c r="I539">
        <f t="shared" si="50"/>
        <v>0.47445255474452352</v>
      </c>
      <c r="J539" cm="1">
        <f t="array" ref="J539">INT(G539)+IF(100-SUM(INT(G$539:G$551))&gt;=RANK(I539,I$539:I$551)+COUNTIF(I$539:I539,I539)-1,1,0)</f>
        <v>56</v>
      </c>
      <c r="K539" t="str">
        <f>_xlfn.XLOOKUP(B539,BugList!A:A,BugList!H:H)</f>
        <v/>
      </c>
      <c r="L539" t="str">
        <f>IF(K539 = "","",_xlfn.XLOOKUP(B539, BugList!A:A,BugList!B:B,""))</f>
        <v/>
      </c>
      <c r="M539">
        <f>_xlfn.XLOOKUP(D539,BugList!C:C,BugList!N:N)</f>
        <v>4</v>
      </c>
      <c r="N539">
        <f>_xlfn.XLOOKUP(B539,BugList!A:A,BugList!R:R)</f>
        <v>4</v>
      </c>
      <c r="O539" t="b">
        <f>_xlfn.XLOOKUP(B539,BugList!A:A,BugList!L:L)</f>
        <v>1</v>
      </c>
      <c r="P539" t="b">
        <f t="shared" si="51"/>
        <v>0</v>
      </c>
      <c r="R539" t="b">
        <f>SUMPRODUCT(COUNTIF(_xlfn.XLOOKUP(B539,BugList!A:A,BugList!P:P), "*SC*"))&gt;0</f>
        <v>1</v>
      </c>
      <c r="S539" t="str">
        <f>_xlfn.XLOOKUP(B539,BugList!A:A,BugList!W:W)</f>
        <v/>
      </c>
      <c r="T539">
        <f t="shared" si="52"/>
        <v>224</v>
      </c>
      <c r="U539">
        <f t="shared" si="53"/>
        <v>224</v>
      </c>
    </row>
    <row r="540" spans="1:21">
      <c r="A540" t="s">
        <v>2641</v>
      </c>
      <c r="B540">
        <v>1578</v>
      </c>
      <c r="D540" t="s">
        <v>102</v>
      </c>
      <c r="E540" t="s">
        <v>102</v>
      </c>
      <c r="F540">
        <v>1</v>
      </c>
      <c r="G540">
        <f t="shared" si="48"/>
        <v>0.72992700729927007</v>
      </c>
      <c r="H540">
        <f t="shared" si="49"/>
        <v>0</v>
      </c>
      <c r="I540">
        <f t="shared" si="50"/>
        <v>0.72992700729927007</v>
      </c>
      <c r="J540" cm="1">
        <f t="array" ref="J540">INT(G540)+IF(100-SUM(INT(G$539:G$551))&gt;=RANK(I540,I$539:I$551)+COUNTIF(I$539:I540,I540)-1,1,0)</f>
        <v>1</v>
      </c>
      <c r="K540" t="str">
        <f>_xlfn.XLOOKUP(B540,BugList!A:A,BugList!H:H)</f>
        <v/>
      </c>
      <c r="L540" t="str">
        <f>IF(K540 = "","",_xlfn.XLOOKUP(B540, BugList!A:A,BugList!B:B,""))</f>
        <v/>
      </c>
      <c r="M540">
        <f>_xlfn.XLOOKUP(D540,BugList!C:C,BugList!N:N)</f>
        <v>7</v>
      </c>
      <c r="N540">
        <f>_xlfn.XLOOKUP(B540,BugList!A:A,BugList!R:R)</f>
        <v>7</v>
      </c>
      <c r="O540" t="b">
        <f>_xlfn.XLOOKUP(B540,BugList!A:A,BugList!L:L)</f>
        <v>0</v>
      </c>
      <c r="P540" t="b">
        <f t="shared" si="51"/>
        <v>0</v>
      </c>
      <c r="R540" t="b">
        <f>SUMPRODUCT(COUNTIF(_xlfn.XLOOKUP(B540,BugList!A:A,BugList!P:P), "*SC*"))&gt;0</f>
        <v>0</v>
      </c>
      <c r="S540" t="str">
        <f>_xlfn.XLOOKUP(B540,BugList!A:A,BugList!W:W)</f>
        <v/>
      </c>
      <c r="T540">
        <f t="shared" si="52"/>
        <v>7</v>
      </c>
      <c r="U540">
        <f t="shared" si="53"/>
        <v>7</v>
      </c>
    </row>
    <row r="541" spans="1:21">
      <c r="A541" t="s">
        <v>2641</v>
      </c>
      <c r="B541">
        <v>1582</v>
      </c>
      <c r="D541" t="s">
        <v>121</v>
      </c>
      <c r="E541" t="s">
        <v>121</v>
      </c>
      <c r="F541">
        <v>2</v>
      </c>
      <c r="G541">
        <f t="shared" si="48"/>
        <v>1.4598540145985401</v>
      </c>
      <c r="H541">
        <f t="shared" si="49"/>
        <v>1</v>
      </c>
      <c r="I541">
        <f t="shared" si="50"/>
        <v>0.45985401459854014</v>
      </c>
      <c r="J541" cm="1">
        <f t="array" ref="J541">INT(G541)+IF(100-SUM(INT(G$539:G$551))&gt;=RANK(I541,I$539:I$551)+COUNTIF(I$539:I541,I541)-1,1,0)</f>
        <v>1</v>
      </c>
      <c r="K541" t="str">
        <f>_xlfn.XLOOKUP(B541,BugList!A:A,BugList!H:H)</f>
        <v/>
      </c>
      <c r="L541" t="str">
        <f>IF(K541 = "","",_xlfn.XLOOKUP(B541, BugList!A:A,BugList!B:B,""))</f>
        <v/>
      </c>
      <c r="M541">
        <f>_xlfn.XLOOKUP(D541,BugList!C:C,BugList!N:N)</f>
        <v>6</v>
      </c>
      <c r="N541">
        <f>_xlfn.XLOOKUP(B541,BugList!A:A,BugList!R:R)</f>
        <v>6</v>
      </c>
      <c r="O541" t="b">
        <f>_xlfn.XLOOKUP(B541,BugList!A:A,BugList!L:L)</f>
        <v>0</v>
      </c>
      <c r="P541" t="b">
        <f t="shared" si="51"/>
        <v>0</v>
      </c>
      <c r="R541" t="b">
        <f>SUMPRODUCT(COUNTIF(_xlfn.XLOOKUP(B541,BugList!A:A,BugList!P:P), "*SC*"))&gt;0</f>
        <v>1</v>
      </c>
      <c r="S541" t="str">
        <f>_xlfn.XLOOKUP(B541,BugList!A:A,BugList!W:W)</f>
        <v/>
      </c>
      <c r="T541">
        <f t="shared" si="52"/>
        <v>6</v>
      </c>
      <c r="U541">
        <f t="shared" si="53"/>
        <v>6</v>
      </c>
    </row>
    <row r="542" spans="1:21">
      <c r="A542" t="s">
        <v>2641</v>
      </c>
      <c r="B542">
        <v>1614</v>
      </c>
      <c r="D542" t="s">
        <v>92</v>
      </c>
      <c r="E542" t="s">
        <v>92</v>
      </c>
      <c r="F542">
        <v>2</v>
      </c>
      <c r="G542">
        <f t="shared" si="48"/>
        <v>1.4598540145985401</v>
      </c>
      <c r="H542">
        <f t="shared" si="49"/>
        <v>1</v>
      </c>
      <c r="I542">
        <f t="shared" si="50"/>
        <v>0.45985401459854014</v>
      </c>
      <c r="J542" cm="1">
        <f t="array" ref="J542">INT(G542)+IF(100-SUM(INT(G$539:G$551))&gt;=RANK(I542,I$539:I$551)+COUNTIF(I$539:I542,I542)-1,1,0)</f>
        <v>1</v>
      </c>
      <c r="K542" t="str">
        <f>_xlfn.XLOOKUP(B542,BugList!A:A,BugList!H:H)</f>
        <v/>
      </c>
      <c r="L542" t="str">
        <f>IF(K542 = "","",_xlfn.XLOOKUP(B542, BugList!A:A,BugList!B:B,""))</f>
        <v/>
      </c>
      <c r="M542">
        <f>_xlfn.XLOOKUP(D542,BugList!C:C,BugList!N:N)</f>
        <v>8</v>
      </c>
      <c r="N542">
        <f>_xlfn.XLOOKUP(B542,BugList!A:A,BugList!R:R)</f>
        <v>8</v>
      </c>
      <c r="O542" t="b">
        <f>_xlfn.XLOOKUP(B542,BugList!A:A,BugList!L:L)</f>
        <v>0</v>
      </c>
      <c r="P542" t="b">
        <f t="shared" si="51"/>
        <v>0</v>
      </c>
      <c r="R542" t="b">
        <f>SUMPRODUCT(COUNTIF(_xlfn.XLOOKUP(B542,BugList!A:A,BugList!P:P), "*SC*"))&gt;0</f>
        <v>0</v>
      </c>
      <c r="S542" t="str">
        <f>_xlfn.XLOOKUP(B542,BugList!A:A,BugList!W:W)</f>
        <v/>
      </c>
      <c r="T542">
        <f t="shared" si="52"/>
        <v>8</v>
      </c>
      <c r="U542">
        <f t="shared" si="53"/>
        <v>8</v>
      </c>
    </row>
    <row r="543" spans="1:21">
      <c r="A543" t="s">
        <v>2641</v>
      </c>
      <c r="B543">
        <v>1629</v>
      </c>
      <c r="D543" t="s">
        <v>93</v>
      </c>
      <c r="E543" t="s">
        <v>93</v>
      </c>
      <c r="F543">
        <v>6</v>
      </c>
      <c r="G543">
        <f t="shared" si="48"/>
        <v>4.3795620437956204</v>
      </c>
      <c r="H543">
        <f t="shared" si="49"/>
        <v>4</v>
      </c>
      <c r="I543">
        <f t="shared" si="50"/>
        <v>0.37956204379562042</v>
      </c>
      <c r="J543" cm="1">
        <f t="array" ref="J543">INT(G543)+IF(100-SUM(INT(G$539:G$551))&gt;=RANK(I543,I$539:I$551)+COUNTIF(I$539:I543,I543)-1,1,0)</f>
        <v>4</v>
      </c>
      <c r="K543" t="str">
        <f>_xlfn.XLOOKUP(B543,BugList!A:A,BugList!H:H)</f>
        <v/>
      </c>
      <c r="L543" t="str">
        <f>IF(K543 = "","",_xlfn.XLOOKUP(B543, BugList!A:A,BugList!B:B,""))</f>
        <v/>
      </c>
      <c r="M543">
        <f>_xlfn.XLOOKUP(D543,BugList!C:C,BugList!N:N)</f>
        <v>8</v>
      </c>
      <c r="N543">
        <f>_xlfn.XLOOKUP(B543,BugList!A:A,BugList!R:R)</f>
        <v>8</v>
      </c>
      <c r="O543" t="b">
        <f>_xlfn.XLOOKUP(B543,BugList!A:A,BugList!L:L)</f>
        <v>0</v>
      </c>
      <c r="P543" t="b">
        <f t="shared" si="51"/>
        <v>0</v>
      </c>
      <c r="R543" t="b">
        <f>SUMPRODUCT(COUNTIF(_xlfn.XLOOKUP(B543,BugList!A:A,BugList!P:P), "*SC*"))&gt;0</f>
        <v>0</v>
      </c>
      <c r="S543" t="str">
        <f>_xlfn.XLOOKUP(B543,BugList!A:A,BugList!W:W)</f>
        <v/>
      </c>
      <c r="T543">
        <f t="shared" si="52"/>
        <v>32</v>
      </c>
      <c r="U543">
        <f t="shared" si="53"/>
        <v>32</v>
      </c>
    </row>
    <row r="544" spans="1:21">
      <c r="A544" t="s">
        <v>2641</v>
      </c>
      <c r="B544">
        <v>2781</v>
      </c>
      <c r="D544" t="s">
        <v>109</v>
      </c>
      <c r="E544" t="s">
        <v>109</v>
      </c>
      <c r="F544">
        <v>4</v>
      </c>
      <c r="G544">
        <f t="shared" si="48"/>
        <v>2.9197080291970803</v>
      </c>
      <c r="H544">
        <f t="shared" si="49"/>
        <v>2</v>
      </c>
      <c r="I544">
        <f t="shared" si="50"/>
        <v>0.91970802919708028</v>
      </c>
      <c r="J544" cm="1">
        <f t="array" ref="J544">INT(G544)+IF(100-SUM(INT(G$539:G$551))&gt;=RANK(I544,I$539:I$551)+COUNTIF(I$539:I544,I544)-1,1,0)</f>
        <v>3</v>
      </c>
      <c r="K544" t="str">
        <f>_xlfn.XLOOKUP(B544,BugList!A:A,BugList!H:H)</f>
        <v/>
      </c>
      <c r="L544" t="str">
        <f>IF(K544 = "","",_xlfn.XLOOKUP(B544, BugList!A:A,BugList!B:B,""))</f>
        <v/>
      </c>
      <c r="M544">
        <f>_xlfn.XLOOKUP(D544,BugList!C:C,BugList!N:N)</f>
        <v>6</v>
      </c>
      <c r="N544">
        <f>_xlfn.XLOOKUP(B544,BugList!A:A,BugList!R:R)</f>
        <v>4</v>
      </c>
      <c r="O544" t="b">
        <f>_xlfn.XLOOKUP(B544,BugList!A:A,BugList!L:L)</f>
        <v>0</v>
      </c>
      <c r="P544" t="b">
        <f t="shared" si="51"/>
        <v>0</v>
      </c>
      <c r="R544" t="b">
        <f>SUMPRODUCT(COUNTIF(_xlfn.XLOOKUP(B544,BugList!A:A,BugList!P:P), "*SC*"))&gt;0</f>
        <v>0</v>
      </c>
      <c r="S544" t="str">
        <f>_xlfn.XLOOKUP(B544,BugList!A:A,BugList!W:W)</f>
        <v/>
      </c>
      <c r="T544">
        <f t="shared" si="52"/>
        <v>18</v>
      </c>
      <c r="U544">
        <f t="shared" si="53"/>
        <v>12</v>
      </c>
    </row>
    <row r="545" spans="1:21">
      <c r="A545" t="s">
        <v>2641</v>
      </c>
      <c r="B545">
        <v>88</v>
      </c>
      <c r="D545" t="s">
        <v>85</v>
      </c>
      <c r="E545" t="s">
        <v>85</v>
      </c>
      <c r="F545">
        <v>6</v>
      </c>
      <c r="G545">
        <f t="shared" si="48"/>
        <v>4.3795620437956204</v>
      </c>
      <c r="H545">
        <f t="shared" si="49"/>
        <v>4</v>
      </c>
      <c r="I545">
        <f t="shared" si="50"/>
        <v>0.37956204379562042</v>
      </c>
      <c r="J545" cm="1">
        <f t="array" ref="J545">INT(G545)+IF(100-SUM(INT(G$539:G$551))&gt;=RANK(I545,I$539:I$551)+COUNTIF(I$539:I545,I545)-1,1,0)</f>
        <v>4</v>
      </c>
      <c r="K545" t="str">
        <f>_xlfn.XLOOKUP(B545,BugList!A:A,BugList!H:H)</f>
        <v/>
      </c>
      <c r="L545" t="str">
        <f>IF(K545 = "","",_xlfn.XLOOKUP(B545, BugList!A:A,BugList!B:B,""))</f>
        <v/>
      </c>
      <c r="M545">
        <f>_xlfn.XLOOKUP(D545,BugList!C:C,BugList!N:N)</f>
        <v>4</v>
      </c>
      <c r="N545">
        <f>_xlfn.XLOOKUP(B545,BugList!A:A,BugList!R:R)</f>
        <v>4</v>
      </c>
      <c r="O545" t="b">
        <f>_xlfn.XLOOKUP(B545,BugList!A:A,BugList!L:L)</f>
        <v>0</v>
      </c>
      <c r="P545" t="b">
        <f t="shared" si="51"/>
        <v>0</v>
      </c>
      <c r="R545" t="b">
        <f>SUMPRODUCT(COUNTIF(_xlfn.XLOOKUP(B545,BugList!A:A,BugList!P:P), "*SC*"))&gt;0</f>
        <v>0</v>
      </c>
      <c r="S545" t="str">
        <f>_xlfn.XLOOKUP(B545,BugList!A:A,BugList!W:W)</f>
        <v/>
      </c>
      <c r="T545">
        <f t="shared" si="52"/>
        <v>16</v>
      </c>
      <c r="U545">
        <f t="shared" si="53"/>
        <v>16</v>
      </c>
    </row>
    <row r="546" spans="1:21">
      <c r="A546" t="s">
        <v>2641</v>
      </c>
      <c r="B546">
        <v>372</v>
      </c>
      <c r="D546" t="s">
        <v>88</v>
      </c>
      <c r="E546" t="s">
        <v>88</v>
      </c>
      <c r="F546">
        <v>4</v>
      </c>
      <c r="G546">
        <f t="shared" si="48"/>
        <v>2.9197080291970803</v>
      </c>
      <c r="H546">
        <f t="shared" si="49"/>
        <v>2</v>
      </c>
      <c r="I546">
        <f t="shared" si="50"/>
        <v>0.91970802919708028</v>
      </c>
      <c r="J546" cm="1">
        <f t="array" ref="J546">INT(G546)+IF(100-SUM(INT(G$539:G$551))&gt;=RANK(I546,I$539:I$551)+COUNTIF(I$539:I546,I546)-1,1,0)</f>
        <v>3</v>
      </c>
      <c r="K546" t="str">
        <f>_xlfn.XLOOKUP(B546,BugList!A:A,BugList!H:H)</f>
        <v/>
      </c>
      <c r="L546" t="str">
        <f>IF(K546 = "","",_xlfn.XLOOKUP(B546, BugList!A:A,BugList!B:B,""))</f>
        <v/>
      </c>
      <c r="M546">
        <f>_xlfn.XLOOKUP(D546,BugList!C:C,BugList!N:N)</f>
        <v>8</v>
      </c>
      <c r="N546">
        <f>_xlfn.XLOOKUP(B546,BugList!A:A,BugList!R:R)</f>
        <v>8</v>
      </c>
      <c r="O546" t="b">
        <f>_xlfn.XLOOKUP(B546,BugList!A:A,BugList!L:L)</f>
        <v>0</v>
      </c>
      <c r="P546" t="b">
        <f t="shared" si="51"/>
        <v>0</v>
      </c>
      <c r="R546" t="b">
        <f>SUMPRODUCT(COUNTIF(_xlfn.XLOOKUP(B546,BugList!A:A,BugList!P:P), "*SC*"))&gt;0</f>
        <v>0</v>
      </c>
      <c r="S546" t="str">
        <f>_xlfn.XLOOKUP(B546,BugList!A:A,BugList!W:W)</f>
        <v/>
      </c>
      <c r="T546">
        <f t="shared" si="52"/>
        <v>24</v>
      </c>
      <c r="U546">
        <f t="shared" si="53"/>
        <v>24</v>
      </c>
    </row>
    <row r="547" spans="1:21">
      <c r="A547" t="s">
        <v>2641</v>
      </c>
      <c r="B547">
        <v>500</v>
      </c>
      <c r="D547" t="s">
        <v>151</v>
      </c>
      <c r="E547" t="s">
        <v>151</v>
      </c>
      <c r="F547">
        <v>4</v>
      </c>
      <c r="G547">
        <f t="shared" si="48"/>
        <v>2.9197080291970803</v>
      </c>
      <c r="H547">
        <f t="shared" si="49"/>
        <v>2</v>
      </c>
      <c r="I547">
        <f t="shared" si="50"/>
        <v>0.91970802919708028</v>
      </c>
      <c r="J547" cm="1">
        <f t="array" ref="J547">INT(G547)+IF(100-SUM(INT(G$539:G$551))&gt;=RANK(I547,I$539:I$551)+COUNTIF(I$539:I547,I547)-1,1,0)</f>
        <v>3</v>
      </c>
      <c r="K547" t="str">
        <f>_xlfn.XLOOKUP(B547,BugList!A:A,BugList!H:H)</f>
        <v>*</v>
      </c>
      <c r="L547" t="str">
        <f>IF(K547 = "","",_xlfn.XLOOKUP(B547, BugList!A:A,BugList!B:B,""))</f>
        <v>Ephemeroptera</v>
      </c>
      <c r="M547">
        <f>_xlfn.XLOOKUP(D547,BugList!C:C,BugList!N:N)</f>
        <v>1</v>
      </c>
      <c r="N547">
        <f>_xlfn.XLOOKUP(B547,BugList!A:A,BugList!R:R)</f>
        <v>1</v>
      </c>
      <c r="O547" t="b">
        <f>_xlfn.XLOOKUP(B547,BugList!A:A,BugList!L:L)</f>
        <v>1</v>
      </c>
      <c r="P547" t="b">
        <f t="shared" si="51"/>
        <v>1</v>
      </c>
      <c r="R547" t="b">
        <f>SUMPRODUCT(COUNTIF(_xlfn.XLOOKUP(B547,BugList!A:A,BugList!P:P), "*SC*"))&gt;0</f>
        <v>1</v>
      </c>
      <c r="S547" t="str">
        <f>_xlfn.XLOOKUP(B547,BugList!A:A,BugList!W:W)</f>
        <v/>
      </c>
      <c r="T547">
        <f t="shared" si="52"/>
        <v>3</v>
      </c>
      <c r="U547">
        <f t="shared" si="53"/>
        <v>3</v>
      </c>
    </row>
    <row r="548" spans="1:21">
      <c r="A548" t="s">
        <v>2641</v>
      </c>
      <c r="B548">
        <v>513</v>
      </c>
      <c r="D548" t="s">
        <v>111</v>
      </c>
      <c r="E548" t="s">
        <v>111</v>
      </c>
      <c r="F548">
        <v>13</v>
      </c>
      <c r="G548">
        <f t="shared" si="48"/>
        <v>9.4890510948905096</v>
      </c>
      <c r="H548">
        <f t="shared" si="49"/>
        <v>9</v>
      </c>
      <c r="I548">
        <f t="shared" si="50"/>
        <v>0.48905109489050957</v>
      </c>
      <c r="J548" cm="1">
        <f t="array" ref="J548">INT(G548)+IF(100-SUM(INT(G$539:G$551))&gt;=RANK(I548,I$539:I$551)+COUNTIF(I$539:I548,I548)-1,1,0)</f>
        <v>10</v>
      </c>
      <c r="K548" t="str">
        <f>_xlfn.XLOOKUP(B548,BugList!A:A,BugList!H:H)</f>
        <v>*</v>
      </c>
      <c r="L548" t="str">
        <f>IF(K548 = "","",_xlfn.XLOOKUP(B548, BugList!A:A,BugList!B:B,""))</f>
        <v>Ephemeroptera</v>
      </c>
      <c r="M548">
        <f>_xlfn.XLOOKUP(D548,BugList!C:C,BugList!N:N)</f>
        <v>4</v>
      </c>
      <c r="N548">
        <f>_xlfn.XLOOKUP(B548,BugList!A:A,BugList!R:R)</f>
        <v>4</v>
      </c>
      <c r="O548" t="b">
        <f>_xlfn.XLOOKUP(B548,BugList!A:A,BugList!L:L)</f>
        <v>1</v>
      </c>
      <c r="P548" t="b">
        <f t="shared" si="51"/>
        <v>1</v>
      </c>
      <c r="R548" t="b">
        <f>SUMPRODUCT(COUNTIF(_xlfn.XLOOKUP(B548,BugList!A:A,BugList!P:P), "*SC*"))&gt;0</f>
        <v>1</v>
      </c>
      <c r="S548" t="str">
        <f>_xlfn.XLOOKUP(B548,BugList!A:A,BugList!W:W)</f>
        <v/>
      </c>
      <c r="T548">
        <f t="shared" si="52"/>
        <v>40</v>
      </c>
      <c r="U548">
        <f t="shared" si="53"/>
        <v>40</v>
      </c>
    </row>
    <row r="549" spans="1:21">
      <c r="A549" t="s">
        <v>2641</v>
      </c>
      <c r="B549">
        <v>602</v>
      </c>
      <c r="D549" t="s">
        <v>97</v>
      </c>
      <c r="E549" t="s">
        <v>97</v>
      </c>
      <c r="F549">
        <v>9</v>
      </c>
      <c r="G549">
        <f t="shared" si="48"/>
        <v>6.5693430656934311</v>
      </c>
      <c r="H549">
        <f t="shared" si="49"/>
        <v>6</v>
      </c>
      <c r="I549">
        <f t="shared" si="50"/>
        <v>0.56934306569343107</v>
      </c>
      <c r="J549" cm="1">
        <f t="array" ref="J549">INT(G549)+IF(100-SUM(INT(G$539:G$551))&gt;=RANK(I549,I$539:I$551)+COUNTIF(I$539:I549,I549)-1,1,0)</f>
        <v>7</v>
      </c>
      <c r="K549" t="str">
        <f>_xlfn.XLOOKUP(B549,BugList!A:A,BugList!H:H)</f>
        <v/>
      </c>
      <c r="L549" t="str">
        <f>IF(K549 = "","",_xlfn.XLOOKUP(B549, BugList!A:A,BugList!B:B,""))</f>
        <v/>
      </c>
      <c r="M549">
        <f>_xlfn.XLOOKUP(D549,BugList!C:C,BugList!N:N)</f>
        <v>9</v>
      </c>
      <c r="N549">
        <f>_xlfn.XLOOKUP(B549,BugList!A:A,BugList!R:R)</f>
        <v>9</v>
      </c>
      <c r="O549" t="b">
        <f>_xlfn.XLOOKUP(B549,BugList!A:A,BugList!L:L)</f>
        <v>1</v>
      </c>
      <c r="P549" t="b">
        <f t="shared" si="51"/>
        <v>0</v>
      </c>
      <c r="R549" t="b">
        <f>SUMPRODUCT(COUNTIF(_xlfn.XLOOKUP(B549,BugList!A:A,BugList!P:P), "*SC*"))&gt;0</f>
        <v>0</v>
      </c>
      <c r="S549" t="str">
        <f>_xlfn.XLOOKUP(B549,BugList!A:A,BugList!W:W)</f>
        <v/>
      </c>
      <c r="T549">
        <f t="shared" si="52"/>
        <v>63</v>
      </c>
      <c r="U549">
        <f t="shared" si="53"/>
        <v>63</v>
      </c>
    </row>
    <row r="550" spans="1:21">
      <c r="A550" t="s">
        <v>2641</v>
      </c>
      <c r="B550">
        <v>620</v>
      </c>
      <c r="D550" t="s">
        <v>113</v>
      </c>
      <c r="E550" t="s">
        <v>113</v>
      </c>
      <c r="F550">
        <v>6</v>
      </c>
      <c r="G550">
        <f t="shared" si="48"/>
        <v>4.3795620437956204</v>
      </c>
      <c r="H550">
        <f t="shared" si="49"/>
        <v>4</v>
      </c>
      <c r="I550">
        <f t="shared" si="50"/>
        <v>0.37956204379562042</v>
      </c>
      <c r="J550" cm="1">
        <f t="array" ref="J550">INT(G550)+IF(100-SUM(INT(G$539:G$551))&gt;=RANK(I550,I$539:I$551)+COUNTIF(I$539:I550,I550)-1,1,0)</f>
        <v>4</v>
      </c>
      <c r="K550" t="str">
        <f>_xlfn.XLOOKUP(B550,BugList!A:A,BugList!H:H)</f>
        <v/>
      </c>
      <c r="L550" t="str">
        <f>IF(K550 = "","",_xlfn.XLOOKUP(B550, BugList!A:A,BugList!B:B,""))</f>
        <v/>
      </c>
      <c r="M550">
        <f>_xlfn.XLOOKUP(D550,BugList!C:C,BugList!N:N)</f>
        <v>1</v>
      </c>
      <c r="N550">
        <f>_xlfn.XLOOKUP(B550,BugList!A:A,BugList!R:R)</f>
        <v>1</v>
      </c>
      <c r="O550" t="b">
        <f>_xlfn.XLOOKUP(B550,BugList!A:A,BugList!L:L)</f>
        <v>1</v>
      </c>
      <c r="P550" t="b">
        <f t="shared" si="51"/>
        <v>0</v>
      </c>
      <c r="R550" t="b">
        <f>SUMPRODUCT(COUNTIF(_xlfn.XLOOKUP(B550,BugList!A:A,BugList!P:P), "*SC*"))&gt;0</f>
        <v>0</v>
      </c>
      <c r="S550" t="str">
        <f>_xlfn.XLOOKUP(B550,BugList!A:A,BugList!W:W)</f>
        <v>3</v>
      </c>
      <c r="T550">
        <f t="shared" si="52"/>
        <v>4</v>
      </c>
      <c r="U550">
        <f t="shared" si="53"/>
        <v>4</v>
      </c>
    </row>
    <row r="551" spans="1:21">
      <c r="A551" t="s">
        <v>2641</v>
      </c>
      <c r="B551">
        <v>794</v>
      </c>
      <c r="D551" t="s">
        <v>89</v>
      </c>
      <c r="E551" t="s">
        <v>89</v>
      </c>
      <c r="F551">
        <v>4</v>
      </c>
      <c r="G551">
        <f t="shared" si="48"/>
        <v>2.9197080291970803</v>
      </c>
      <c r="H551">
        <f t="shared" si="49"/>
        <v>2</v>
      </c>
      <c r="I551">
        <f t="shared" si="50"/>
        <v>0.91970802919708028</v>
      </c>
      <c r="J551" cm="1">
        <f t="array" ref="J551">INT(G551)+IF(100-SUM(INT(G$539:G$551))&gt;=RANK(I551,I$539:I$551)+COUNTIF(I$539:I551,I551)-1,1,0)</f>
        <v>3</v>
      </c>
      <c r="K551" t="str">
        <f>_xlfn.XLOOKUP(B551,BugList!A:A,BugList!H:H)</f>
        <v>*</v>
      </c>
      <c r="L551" t="str">
        <f>IF(K551 = "","",_xlfn.XLOOKUP(B551, BugList!A:A,BugList!B:B,""))</f>
        <v>Trichoptera</v>
      </c>
      <c r="M551">
        <f>_xlfn.XLOOKUP(D551,BugList!C:C,BugList!N:N)</f>
        <v>4</v>
      </c>
      <c r="N551">
        <f>_xlfn.XLOOKUP(B551,BugList!A:A,BugList!R:R)</f>
        <v>4</v>
      </c>
      <c r="O551" t="b">
        <f>_xlfn.XLOOKUP(B551,BugList!A:A,BugList!L:L)</f>
        <v>1</v>
      </c>
      <c r="P551" t="b">
        <f t="shared" si="51"/>
        <v>0</v>
      </c>
      <c r="R551" t="b">
        <f>SUMPRODUCT(COUNTIF(_xlfn.XLOOKUP(B551,BugList!A:A,BugList!P:P), "*SC*"))&gt;0</f>
        <v>0</v>
      </c>
      <c r="S551" t="str">
        <f>_xlfn.XLOOKUP(B551,BugList!A:A,BugList!W:W)</f>
        <v/>
      </c>
      <c r="T551">
        <f t="shared" si="52"/>
        <v>12</v>
      </c>
      <c r="U551">
        <f t="shared" si="53"/>
        <v>12</v>
      </c>
    </row>
    <row r="552" spans="1:21">
      <c r="A552" t="s">
        <v>2642</v>
      </c>
      <c r="B552">
        <v>88</v>
      </c>
      <c r="D552" t="s">
        <v>85</v>
      </c>
      <c r="E552" t="s">
        <v>85</v>
      </c>
      <c r="F552">
        <v>28</v>
      </c>
      <c r="G552">
        <f t="shared" si="48"/>
        <v>27.450980392156865</v>
      </c>
      <c r="H552">
        <f t="shared" si="49"/>
        <v>27</v>
      </c>
      <c r="I552">
        <f t="shared" si="50"/>
        <v>0.4509803921568647</v>
      </c>
      <c r="J552" cm="1">
        <f t="array" ref="J552">INT(G552)+IF(100-SUM(INT(G$552:G$563))&gt;=RANK(I552,I$552:I$563)+COUNTIF(I$552:I552,I552)-1,1,0)</f>
        <v>27</v>
      </c>
      <c r="K552" t="str">
        <f>_xlfn.XLOOKUP(B552,BugList!A:A,BugList!H:H)</f>
        <v/>
      </c>
      <c r="L552" t="str">
        <f>IF(K552 = "","",_xlfn.XLOOKUP(B552, BugList!A:A,BugList!B:B,""))</f>
        <v/>
      </c>
      <c r="M552">
        <f>_xlfn.XLOOKUP(D552,BugList!C:C,BugList!N:N)</f>
        <v>4</v>
      </c>
      <c r="N552">
        <f>_xlfn.XLOOKUP(B552,BugList!A:A,BugList!R:R)</f>
        <v>4</v>
      </c>
      <c r="O552" t="b">
        <f>_xlfn.XLOOKUP(B552,BugList!A:A,BugList!L:L)</f>
        <v>0</v>
      </c>
      <c r="P552" t="b">
        <f t="shared" si="51"/>
        <v>0</v>
      </c>
      <c r="R552" t="b">
        <f>SUMPRODUCT(COUNTIF(_xlfn.XLOOKUP(B552,BugList!A:A,BugList!P:P), "*SC*"))&gt;0</f>
        <v>0</v>
      </c>
      <c r="S552" t="str">
        <f>_xlfn.XLOOKUP(B552,BugList!A:A,BugList!W:W)</f>
        <v/>
      </c>
      <c r="T552">
        <f t="shared" si="52"/>
        <v>108</v>
      </c>
      <c r="U552">
        <f t="shared" si="53"/>
        <v>108</v>
      </c>
    </row>
    <row r="553" spans="1:21">
      <c r="A553" t="s">
        <v>2642</v>
      </c>
      <c r="B553">
        <v>99</v>
      </c>
      <c r="D553" t="s">
        <v>169</v>
      </c>
      <c r="E553" t="s">
        <v>169</v>
      </c>
      <c r="F553">
        <v>2</v>
      </c>
      <c r="G553">
        <f t="shared" ref="G553:G573" si="54">(F553/(SUMIFS(F:F,A:A,A553))*100)</f>
        <v>1.9607843137254901</v>
      </c>
      <c r="H553">
        <f t="shared" ref="H553:H573" si="55">INT(G553)</f>
        <v>1</v>
      </c>
      <c r="I553">
        <f t="shared" ref="I553:I573" si="56">G553-H553</f>
        <v>0.96078431372549011</v>
      </c>
      <c r="J553" cm="1">
        <f t="array" ref="J553">INT(G553)+IF(100-SUM(INT(G$552:G$563))&gt;=RANK(I553,I$552:I$563)+COUNTIF(I$552:I553,I553)-1,1,0)</f>
        <v>2</v>
      </c>
      <c r="K553" t="str">
        <f>_xlfn.XLOOKUP(B553,BugList!A:A,BugList!H:H)</f>
        <v/>
      </c>
      <c r="L553" t="str">
        <f>IF(K553 = "","",_xlfn.XLOOKUP(B553, BugList!A:A,BugList!B:B,""))</f>
        <v/>
      </c>
      <c r="M553">
        <f>_xlfn.XLOOKUP(D553,BugList!C:C,BugList!N:N)</f>
        <v>5</v>
      </c>
      <c r="N553">
        <f>_xlfn.XLOOKUP(B553,BugList!A:A,BugList!R:R)</f>
        <v>5</v>
      </c>
      <c r="O553" t="b">
        <f>_xlfn.XLOOKUP(B553,BugList!A:A,BugList!L:L)</f>
        <v>0</v>
      </c>
      <c r="P553" t="b">
        <f t="shared" si="51"/>
        <v>0</v>
      </c>
      <c r="R553" t="b">
        <f>SUMPRODUCT(COUNTIF(_xlfn.XLOOKUP(B553,BugList!A:A,BugList!P:P), "*SC*"))&gt;0</f>
        <v>0</v>
      </c>
      <c r="S553" t="str">
        <f>_xlfn.XLOOKUP(B553,BugList!A:A,BugList!W:W)</f>
        <v/>
      </c>
      <c r="T553">
        <f t="shared" si="52"/>
        <v>10</v>
      </c>
      <c r="U553">
        <f t="shared" si="53"/>
        <v>10</v>
      </c>
    </row>
    <row r="554" spans="1:21">
      <c r="A554" t="s">
        <v>2642</v>
      </c>
      <c r="B554">
        <v>372</v>
      </c>
      <c r="D554" t="s">
        <v>88</v>
      </c>
      <c r="E554" t="s">
        <v>88</v>
      </c>
      <c r="F554">
        <v>8</v>
      </c>
      <c r="G554">
        <f t="shared" si="54"/>
        <v>7.8431372549019605</v>
      </c>
      <c r="H554">
        <f t="shared" si="55"/>
        <v>7</v>
      </c>
      <c r="I554">
        <f t="shared" si="56"/>
        <v>0.84313725490196045</v>
      </c>
      <c r="J554" cm="1">
        <f t="array" ref="J554">INT(G554)+IF(100-SUM(INT(G$552:G$563))&gt;=RANK(I554,I$552:I$563)+COUNTIF(I$552:I554,I554)-1,1,0)</f>
        <v>8</v>
      </c>
      <c r="K554" t="str">
        <f>_xlfn.XLOOKUP(B554,BugList!A:A,BugList!H:H)</f>
        <v/>
      </c>
      <c r="L554" t="str">
        <f>IF(K554 = "","",_xlfn.XLOOKUP(B554, BugList!A:A,BugList!B:B,""))</f>
        <v/>
      </c>
      <c r="M554">
        <f>_xlfn.XLOOKUP(D554,BugList!C:C,BugList!N:N)</f>
        <v>8</v>
      </c>
      <c r="N554">
        <f>_xlfn.XLOOKUP(B554,BugList!A:A,BugList!R:R)</f>
        <v>8</v>
      </c>
      <c r="O554" t="b">
        <f>_xlfn.XLOOKUP(B554,BugList!A:A,BugList!L:L)</f>
        <v>0</v>
      </c>
      <c r="P554" t="b">
        <f t="shared" si="51"/>
        <v>0</v>
      </c>
      <c r="R554" t="b">
        <f>SUMPRODUCT(COUNTIF(_xlfn.XLOOKUP(B554,BugList!A:A,BugList!P:P), "*SC*"))&gt;0</f>
        <v>0</v>
      </c>
      <c r="S554" t="str">
        <f>_xlfn.XLOOKUP(B554,BugList!A:A,BugList!W:W)</f>
        <v/>
      </c>
      <c r="T554">
        <f t="shared" si="52"/>
        <v>64</v>
      </c>
      <c r="U554">
        <f t="shared" si="53"/>
        <v>64</v>
      </c>
    </row>
    <row r="555" spans="1:21">
      <c r="A555" t="s">
        <v>2642</v>
      </c>
      <c r="B555">
        <v>469</v>
      </c>
      <c r="D555" t="s">
        <v>154</v>
      </c>
      <c r="E555" t="s">
        <v>154</v>
      </c>
      <c r="F555">
        <v>1</v>
      </c>
      <c r="G555">
        <f t="shared" si="54"/>
        <v>0.98039215686274506</v>
      </c>
      <c r="H555">
        <f t="shared" si="55"/>
        <v>0</v>
      </c>
      <c r="I555">
        <f t="shared" si="56"/>
        <v>0.98039215686274506</v>
      </c>
      <c r="J555" cm="1">
        <f t="array" ref="J555">INT(G555)+IF(100-SUM(INT(G$552:G$563))&gt;=RANK(I555,I$552:I$563)+COUNTIF(I$552:I555,I555)-1,1,0)</f>
        <v>1</v>
      </c>
      <c r="K555" t="str">
        <f>_xlfn.XLOOKUP(B555,BugList!A:A,BugList!H:H)</f>
        <v>*</v>
      </c>
      <c r="L555" t="str">
        <f>IF(K555 = "","",_xlfn.XLOOKUP(B555, BugList!A:A,BugList!B:B,""))</f>
        <v>Ephemeroptera</v>
      </c>
      <c r="M555">
        <f>_xlfn.XLOOKUP(D555,BugList!C:C,BugList!N:N)</f>
        <v>7</v>
      </c>
      <c r="N555">
        <f>_xlfn.XLOOKUP(B555,BugList!A:A,BugList!R:R)</f>
        <v>7</v>
      </c>
      <c r="O555" t="b">
        <f>_xlfn.XLOOKUP(B555,BugList!A:A,BugList!L:L)</f>
        <v>1</v>
      </c>
      <c r="P555" t="b">
        <f t="shared" si="51"/>
        <v>1</v>
      </c>
      <c r="R555" t="b">
        <f>SUMPRODUCT(COUNTIF(_xlfn.XLOOKUP(B555,BugList!A:A,BugList!P:P), "*SC*"))&gt;0</f>
        <v>0</v>
      </c>
      <c r="S555" t="str">
        <f>_xlfn.XLOOKUP(B555,BugList!A:A,BugList!W:W)</f>
        <v/>
      </c>
      <c r="T555">
        <f t="shared" si="52"/>
        <v>7</v>
      </c>
      <c r="U555">
        <f t="shared" si="53"/>
        <v>7</v>
      </c>
    </row>
    <row r="556" spans="1:21">
      <c r="A556" t="s">
        <v>2642</v>
      </c>
      <c r="B556">
        <v>513</v>
      </c>
      <c r="D556" t="s">
        <v>111</v>
      </c>
      <c r="E556" t="s">
        <v>111</v>
      </c>
      <c r="F556">
        <v>4</v>
      </c>
      <c r="G556">
        <f t="shared" si="54"/>
        <v>3.9215686274509802</v>
      </c>
      <c r="H556">
        <f t="shared" si="55"/>
        <v>3</v>
      </c>
      <c r="I556">
        <f t="shared" si="56"/>
        <v>0.92156862745098023</v>
      </c>
      <c r="J556" cm="1">
        <f t="array" ref="J556">INT(G556)+IF(100-SUM(INT(G$552:G$563))&gt;=RANK(I556,I$552:I$563)+COUNTIF(I$552:I556,I556)-1,1,0)</f>
        <v>4</v>
      </c>
      <c r="K556" t="str">
        <f>_xlfn.XLOOKUP(B556,BugList!A:A,BugList!H:H)</f>
        <v>*</v>
      </c>
      <c r="L556" t="str">
        <f>IF(K556 = "","",_xlfn.XLOOKUP(B556, BugList!A:A,BugList!B:B,""))</f>
        <v>Ephemeroptera</v>
      </c>
      <c r="M556">
        <f>_xlfn.XLOOKUP(D556,BugList!C:C,BugList!N:N)</f>
        <v>4</v>
      </c>
      <c r="N556">
        <f>_xlfn.XLOOKUP(B556,BugList!A:A,BugList!R:R)</f>
        <v>4</v>
      </c>
      <c r="O556" t="b">
        <f>_xlfn.XLOOKUP(B556,BugList!A:A,BugList!L:L)</f>
        <v>1</v>
      </c>
      <c r="P556" t="b">
        <f t="shared" si="51"/>
        <v>1</v>
      </c>
      <c r="R556" t="b">
        <f>SUMPRODUCT(COUNTIF(_xlfn.XLOOKUP(B556,BugList!A:A,BugList!P:P), "*SC*"))&gt;0</f>
        <v>1</v>
      </c>
      <c r="S556" t="str">
        <f>_xlfn.XLOOKUP(B556,BugList!A:A,BugList!W:W)</f>
        <v/>
      </c>
      <c r="T556">
        <f t="shared" si="52"/>
        <v>16</v>
      </c>
      <c r="U556">
        <f t="shared" si="53"/>
        <v>16</v>
      </c>
    </row>
    <row r="557" spans="1:21">
      <c r="A557" t="s">
        <v>2642</v>
      </c>
      <c r="B557">
        <v>935</v>
      </c>
      <c r="D557" t="s">
        <v>98</v>
      </c>
      <c r="E557" t="s">
        <v>98</v>
      </c>
      <c r="F557">
        <v>3</v>
      </c>
      <c r="G557">
        <f t="shared" si="54"/>
        <v>2.9411764705882351</v>
      </c>
      <c r="H557">
        <f t="shared" si="55"/>
        <v>2</v>
      </c>
      <c r="I557">
        <f t="shared" si="56"/>
        <v>0.94117647058823506</v>
      </c>
      <c r="J557" cm="1">
        <f t="array" ref="J557">INT(G557)+IF(100-SUM(INT(G$552:G$563))&gt;=RANK(I557,I$552:I$563)+COUNTIF(I$552:I557,I557)-1,1,0)</f>
        <v>3</v>
      </c>
      <c r="K557" t="str">
        <f>_xlfn.XLOOKUP(B557,BugList!A:A,BugList!H:H)</f>
        <v/>
      </c>
      <c r="L557" t="str">
        <f>IF(K557 = "","",_xlfn.XLOOKUP(B557, BugList!A:A,BugList!B:B,""))</f>
        <v/>
      </c>
      <c r="M557">
        <f>_xlfn.XLOOKUP(D557,BugList!C:C,BugList!N:N)</f>
        <v>4</v>
      </c>
      <c r="N557">
        <f>_xlfn.XLOOKUP(B557,BugList!A:A,BugList!R:R)</f>
        <v>4</v>
      </c>
      <c r="O557" t="b">
        <f>_xlfn.XLOOKUP(B557,BugList!A:A,BugList!L:L)</f>
        <v>1</v>
      </c>
      <c r="P557" t="b">
        <f t="shared" ref="P557:P620" si="57">IF(K557="*",IF(D557="Hydropsychidae", IF(E557="Diplectrona",TRUE,FALSE),TRUE),FALSE)</f>
        <v>0</v>
      </c>
      <c r="R557" t="b">
        <f>SUMPRODUCT(COUNTIF(_xlfn.XLOOKUP(B557,BugList!A:A,BugList!P:P), "*SC*"))&gt;0</f>
        <v>1</v>
      </c>
      <c r="S557" t="str">
        <f>_xlfn.XLOOKUP(B557,BugList!A:A,BugList!W:W)</f>
        <v/>
      </c>
      <c r="T557">
        <f t="shared" si="52"/>
        <v>12</v>
      </c>
      <c r="U557">
        <f t="shared" si="53"/>
        <v>12</v>
      </c>
    </row>
    <row r="558" spans="1:21">
      <c r="A558" t="s">
        <v>2642</v>
      </c>
      <c r="B558">
        <v>1002</v>
      </c>
      <c r="D558" t="s">
        <v>100</v>
      </c>
      <c r="E558" t="s">
        <v>100</v>
      </c>
      <c r="F558">
        <v>36</v>
      </c>
      <c r="G558">
        <f t="shared" si="54"/>
        <v>35.294117647058826</v>
      </c>
      <c r="H558">
        <f t="shared" si="55"/>
        <v>35</v>
      </c>
      <c r="I558">
        <f t="shared" si="56"/>
        <v>0.29411764705882604</v>
      </c>
      <c r="J558" cm="1">
        <f t="array" ref="J558">INT(G558)+IF(100-SUM(INT(G$552:G$563))&gt;=RANK(I558,I$552:I$563)+COUNTIF(I$552:I558,I558)-1,1,0)</f>
        <v>35</v>
      </c>
      <c r="K558" t="str">
        <f>_xlfn.XLOOKUP(B558,BugList!A:A,BugList!H:H)</f>
        <v/>
      </c>
      <c r="L558" t="str">
        <f>IF(K558 = "","",_xlfn.XLOOKUP(B558, BugList!A:A,BugList!B:B,""))</f>
        <v/>
      </c>
      <c r="M558">
        <f>_xlfn.XLOOKUP(D558,BugList!C:C,BugList!N:N)</f>
        <v>4</v>
      </c>
      <c r="N558">
        <f>_xlfn.XLOOKUP(B558,BugList!A:A,BugList!R:R)</f>
        <v>4</v>
      </c>
      <c r="O558" t="b">
        <f>_xlfn.XLOOKUP(B558,BugList!A:A,BugList!L:L)</f>
        <v>1</v>
      </c>
      <c r="P558" t="b">
        <f t="shared" si="57"/>
        <v>0</v>
      </c>
      <c r="R558" t="b">
        <f>SUMPRODUCT(COUNTIF(_xlfn.XLOOKUP(B558,BugList!A:A,BugList!P:P), "*SC*"))&gt;0</f>
        <v>1</v>
      </c>
      <c r="S558" t="str">
        <f>_xlfn.XLOOKUP(B558,BugList!A:A,BugList!W:W)</f>
        <v/>
      </c>
      <c r="T558">
        <f t="shared" si="52"/>
        <v>140</v>
      </c>
      <c r="U558">
        <f t="shared" si="53"/>
        <v>140</v>
      </c>
    </row>
    <row r="559" spans="1:21">
      <c r="A559" t="s">
        <v>2642</v>
      </c>
      <c r="B559">
        <v>1088</v>
      </c>
      <c r="D559" t="s">
        <v>90</v>
      </c>
      <c r="E559" t="s">
        <v>90</v>
      </c>
      <c r="F559">
        <v>5</v>
      </c>
      <c r="G559">
        <f t="shared" si="54"/>
        <v>4.9019607843137258</v>
      </c>
      <c r="H559">
        <f t="shared" si="55"/>
        <v>4</v>
      </c>
      <c r="I559">
        <f t="shared" si="56"/>
        <v>0.90196078431372584</v>
      </c>
      <c r="J559" cm="1">
        <f t="array" ref="J559">INT(G559)+IF(100-SUM(INT(G$552:G$563))&gt;=RANK(I559,I$552:I$563)+COUNTIF(I$552:I559,I559)-1,1,0)</f>
        <v>5</v>
      </c>
      <c r="K559" t="str">
        <f>_xlfn.XLOOKUP(B559,BugList!A:A,BugList!H:H)</f>
        <v/>
      </c>
      <c r="L559" t="str">
        <f>IF(K559 = "","",_xlfn.XLOOKUP(B559, BugList!A:A,BugList!B:B,""))</f>
        <v/>
      </c>
      <c r="M559">
        <f>_xlfn.XLOOKUP(D559,BugList!C:C,BugList!N:N)</f>
        <v>6</v>
      </c>
      <c r="N559">
        <f>_xlfn.XLOOKUP(B559,BugList!A:A,BugList!R:R)</f>
        <v>6</v>
      </c>
      <c r="O559" t="b">
        <f>_xlfn.XLOOKUP(B559,BugList!A:A,BugList!L:L)</f>
        <v>1</v>
      </c>
      <c r="P559" t="b">
        <f t="shared" si="57"/>
        <v>0</v>
      </c>
      <c r="R559" t="b">
        <f>SUMPRODUCT(COUNTIF(_xlfn.XLOOKUP(B559,BugList!A:A,BugList!P:P), "*SC*"))&gt;0</f>
        <v>0</v>
      </c>
      <c r="S559" t="str">
        <f>_xlfn.XLOOKUP(B559,BugList!A:A,BugList!W:W)</f>
        <v/>
      </c>
      <c r="T559">
        <f t="shared" si="52"/>
        <v>30</v>
      </c>
      <c r="U559">
        <f t="shared" si="53"/>
        <v>30</v>
      </c>
    </row>
    <row r="560" spans="1:21">
      <c r="A560" t="s">
        <v>2642</v>
      </c>
      <c r="B560">
        <v>1582</v>
      </c>
      <c r="D560" t="s">
        <v>121</v>
      </c>
      <c r="E560" t="s">
        <v>121</v>
      </c>
      <c r="F560">
        <v>2</v>
      </c>
      <c r="G560">
        <f t="shared" si="54"/>
        <v>1.9607843137254901</v>
      </c>
      <c r="H560">
        <f t="shared" si="55"/>
        <v>1</v>
      </c>
      <c r="I560">
        <f t="shared" si="56"/>
        <v>0.96078431372549011</v>
      </c>
      <c r="J560" cm="1">
        <f t="array" ref="J560">INT(G560)+IF(100-SUM(INT(G$552:G$563))&gt;=RANK(I560,I$552:I$563)+COUNTIF(I$552:I560,I560)-1,1,0)</f>
        <v>2</v>
      </c>
      <c r="K560" t="str">
        <f>_xlfn.XLOOKUP(B560,BugList!A:A,BugList!H:H)</f>
        <v/>
      </c>
      <c r="L560" t="str">
        <f>IF(K560 = "","",_xlfn.XLOOKUP(B560, BugList!A:A,BugList!B:B,""))</f>
        <v/>
      </c>
      <c r="M560">
        <f>_xlfn.XLOOKUP(D560,BugList!C:C,BugList!N:N)</f>
        <v>6</v>
      </c>
      <c r="N560">
        <f>_xlfn.XLOOKUP(B560,BugList!A:A,BugList!R:R)</f>
        <v>6</v>
      </c>
      <c r="O560" t="b">
        <f>_xlfn.XLOOKUP(B560,BugList!A:A,BugList!L:L)</f>
        <v>0</v>
      </c>
      <c r="P560" t="b">
        <f t="shared" si="57"/>
        <v>0</v>
      </c>
      <c r="R560" t="b">
        <f>SUMPRODUCT(COUNTIF(_xlfn.XLOOKUP(B560,BugList!A:A,BugList!P:P), "*SC*"))&gt;0</f>
        <v>1</v>
      </c>
      <c r="S560" t="str">
        <f>_xlfn.XLOOKUP(B560,BugList!A:A,BugList!W:W)</f>
        <v/>
      </c>
      <c r="T560">
        <f t="shared" si="52"/>
        <v>12</v>
      </c>
      <c r="U560">
        <f t="shared" si="53"/>
        <v>12</v>
      </c>
    </row>
    <row r="561" spans="1:21">
      <c r="A561" t="s">
        <v>2642</v>
      </c>
      <c r="B561">
        <v>1614</v>
      </c>
      <c r="D561" t="s">
        <v>92</v>
      </c>
      <c r="E561" t="s">
        <v>92</v>
      </c>
      <c r="F561">
        <v>1</v>
      </c>
      <c r="G561">
        <f t="shared" si="54"/>
        <v>0.98039215686274506</v>
      </c>
      <c r="H561">
        <f t="shared" si="55"/>
        <v>0</v>
      </c>
      <c r="I561">
        <f t="shared" si="56"/>
        <v>0.98039215686274506</v>
      </c>
      <c r="J561" cm="1">
        <f t="array" ref="J561">INT(G561)+IF(100-SUM(INT(G$552:G$563))&gt;=RANK(I561,I$552:I$563)+COUNTIF(I$552:I561,I561)-1,1,0)</f>
        <v>1</v>
      </c>
      <c r="K561" t="str">
        <f>_xlfn.XLOOKUP(B561,BugList!A:A,BugList!H:H)</f>
        <v/>
      </c>
      <c r="L561" t="str">
        <f>IF(K561 = "","",_xlfn.XLOOKUP(B561, BugList!A:A,BugList!B:B,""))</f>
        <v/>
      </c>
      <c r="M561">
        <f>_xlfn.XLOOKUP(D561,BugList!C:C,BugList!N:N)</f>
        <v>8</v>
      </c>
      <c r="N561">
        <f>_xlfn.XLOOKUP(B561,BugList!A:A,BugList!R:R)</f>
        <v>8</v>
      </c>
      <c r="O561" t="b">
        <f>_xlfn.XLOOKUP(B561,BugList!A:A,BugList!L:L)</f>
        <v>0</v>
      </c>
      <c r="P561" t="b">
        <f t="shared" si="57"/>
        <v>0</v>
      </c>
      <c r="R561" t="b">
        <f>SUMPRODUCT(COUNTIF(_xlfn.XLOOKUP(B561,BugList!A:A,BugList!P:P), "*SC*"))&gt;0</f>
        <v>0</v>
      </c>
      <c r="S561" t="str">
        <f>_xlfn.XLOOKUP(B561,BugList!A:A,BugList!W:W)</f>
        <v/>
      </c>
      <c r="T561">
        <f t="shared" si="52"/>
        <v>8</v>
      </c>
      <c r="U561">
        <f t="shared" si="53"/>
        <v>8</v>
      </c>
    </row>
    <row r="562" spans="1:21">
      <c r="A562" t="s">
        <v>2642</v>
      </c>
      <c r="B562">
        <v>1678</v>
      </c>
      <c r="D562" t="s">
        <v>166</v>
      </c>
      <c r="E562" t="s">
        <v>166</v>
      </c>
      <c r="F562">
        <v>8</v>
      </c>
      <c r="G562">
        <f t="shared" si="54"/>
        <v>7.8431372549019605</v>
      </c>
      <c r="H562">
        <f t="shared" si="55"/>
        <v>7</v>
      </c>
      <c r="I562">
        <f t="shared" si="56"/>
        <v>0.84313725490196045</v>
      </c>
      <c r="J562" cm="1">
        <f t="array" ref="J562">INT(G562)+IF(100-SUM(INT(G$552:G$563))&gt;=RANK(I562,I$552:I$563)+COUNTIF(I$552:I562,I562)-1,1,0)</f>
        <v>8</v>
      </c>
      <c r="K562" t="str">
        <f>_xlfn.XLOOKUP(B562,BugList!A:A,BugList!H:H)</f>
        <v/>
      </c>
      <c r="L562" t="str">
        <f>IF(K562 = "","",_xlfn.XLOOKUP(B562, BugList!A:A,BugList!B:B,""))</f>
        <v/>
      </c>
      <c r="M562">
        <f>_xlfn.XLOOKUP(D562,BugList!C:C,BugList!N:N)</f>
        <v>6</v>
      </c>
      <c r="N562">
        <f>_xlfn.XLOOKUP(B562,BugList!A:A,BugList!R:R)</f>
        <v>6</v>
      </c>
      <c r="O562" t="b">
        <f>_xlfn.XLOOKUP(B562,BugList!A:A,BugList!L:L)</f>
        <v>0</v>
      </c>
      <c r="P562" t="b">
        <f t="shared" si="57"/>
        <v>0</v>
      </c>
      <c r="R562" t="b">
        <f>SUMPRODUCT(COUNTIF(_xlfn.XLOOKUP(B562,BugList!A:A,BugList!P:P), "*SC*"))&gt;0</f>
        <v>1</v>
      </c>
      <c r="S562" t="str">
        <f>_xlfn.XLOOKUP(B562,BugList!A:A,BugList!W:W)</f>
        <v/>
      </c>
      <c r="T562">
        <f t="shared" si="52"/>
        <v>48</v>
      </c>
      <c r="U562">
        <f t="shared" si="53"/>
        <v>48</v>
      </c>
    </row>
    <row r="563" spans="1:21">
      <c r="A563" t="s">
        <v>2642</v>
      </c>
      <c r="B563">
        <v>1696</v>
      </c>
      <c r="D563" t="s">
        <v>94</v>
      </c>
      <c r="E563" t="s">
        <v>94</v>
      </c>
      <c r="F563">
        <v>4</v>
      </c>
      <c r="G563">
        <f t="shared" si="54"/>
        <v>3.9215686274509802</v>
      </c>
      <c r="H563">
        <f t="shared" si="55"/>
        <v>3</v>
      </c>
      <c r="I563">
        <f t="shared" si="56"/>
        <v>0.92156862745098023</v>
      </c>
      <c r="J563" cm="1">
        <f t="array" ref="J563">INT(G563)+IF(100-SUM(INT(G$552:G$563))&gt;=RANK(I563,I$552:I$563)+COUNTIF(I$552:I563,I563)-1,1,0)</f>
        <v>4</v>
      </c>
      <c r="K563" t="str">
        <f>_xlfn.XLOOKUP(B563,BugList!A:A,BugList!H:H)</f>
        <v/>
      </c>
      <c r="L563" t="str">
        <f>IF(K563 = "","",_xlfn.XLOOKUP(B563, BugList!A:A,BugList!B:B,""))</f>
        <v/>
      </c>
      <c r="M563">
        <f>_xlfn.XLOOKUP(D563,BugList!C:C,BugList!N:N)</f>
        <v>8</v>
      </c>
      <c r="N563">
        <f>_xlfn.XLOOKUP(B563,BugList!A:A,BugList!R:R)</f>
        <v>8</v>
      </c>
      <c r="O563" t="b">
        <f>_xlfn.XLOOKUP(B563,BugList!A:A,BugList!L:L)</f>
        <v>0</v>
      </c>
      <c r="P563" t="b">
        <f t="shared" si="57"/>
        <v>0</v>
      </c>
      <c r="R563" t="b">
        <f>SUMPRODUCT(COUNTIF(_xlfn.XLOOKUP(B563,BugList!A:A,BugList!P:P), "*SC*"))&gt;0</f>
        <v>0</v>
      </c>
      <c r="S563" t="str">
        <f>_xlfn.XLOOKUP(B563,BugList!A:A,BugList!W:W)</f>
        <v/>
      </c>
      <c r="T563">
        <f t="shared" si="52"/>
        <v>32</v>
      </c>
      <c r="U563">
        <f t="shared" si="53"/>
        <v>32</v>
      </c>
    </row>
    <row r="564" spans="1:21">
      <c r="A564" t="s">
        <v>2643</v>
      </c>
      <c r="B564">
        <v>63</v>
      </c>
      <c r="D564" t="s">
        <v>84</v>
      </c>
      <c r="E564" t="s">
        <v>84</v>
      </c>
      <c r="F564">
        <v>7</v>
      </c>
      <c r="G564">
        <f t="shared" si="54"/>
        <v>6.3636363636363633</v>
      </c>
      <c r="H564">
        <f t="shared" si="55"/>
        <v>6</v>
      </c>
      <c r="I564">
        <f t="shared" si="56"/>
        <v>0.36363636363636331</v>
      </c>
      <c r="J564" cm="1">
        <f t="array" ref="J564">INT(G564)+IF(100-SUM(INT(G$564:G$573))&gt;=RANK(I564,I$564:I$573)+COUNTIF(I$564:I564,I564)-1,1,0)</f>
        <v>6</v>
      </c>
      <c r="K564" t="str">
        <f>_xlfn.XLOOKUP(B564,BugList!A:A,BugList!H:H)</f>
        <v/>
      </c>
      <c r="L564" t="str">
        <f>IF(K564 = "","",_xlfn.XLOOKUP(B564, BugList!A:A,BugList!B:B,""))</f>
        <v/>
      </c>
      <c r="M564">
        <f>_xlfn.XLOOKUP(D564,BugList!C:C,BugList!N:N)</f>
        <v>8</v>
      </c>
      <c r="N564">
        <f>_xlfn.XLOOKUP(B564,BugList!A:A,BugList!R:R)</f>
        <v>8</v>
      </c>
      <c r="O564" t="b">
        <f>_xlfn.XLOOKUP(B564,BugList!A:A,BugList!L:L)</f>
        <v>0</v>
      </c>
      <c r="P564" t="b">
        <f t="shared" si="57"/>
        <v>0</v>
      </c>
      <c r="R564" t="b">
        <f>SUMPRODUCT(COUNTIF(_xlfn.XLOOKUP(B564,BugList!A:A,BugList!P:P), "*SC*"))&gt;0</f>
        <v>0</v>
      </c>
      <c r="S564" t="str">
        <f>_xlfn.XLOOKUP(B564,BugList!A:A,BugList!W:W)</f>
        <v/>
      </c>
      <c r="T564">
        <f t="shared" si="52"/>
        <v>48</v>
      </c>
      <c r="U564">
        <f t="shared" si="53"/>
        <v>48</v>
      </c>
    </row>
    <row r="565" spans="1:21">
      <c r="A565" t="s">
        <v>2643</v>
      </c>
      <c r="B565">
        <v>88</v>
      </c>
      <c r="D565" t="s">
        <v>85</v>
      </c>
      <c r="E565" t="s">
        <v>85</v>
      </c>
      <c r="F565">
        <v>62</v>
      </c>
      <c r="G565">
        <f t="shared" si="54"/>
        <v>56.36363636363636</v>
      </c>
      <c r="H565">
        <f t="shared" si="55"/>
        <v>56</v>
      </c>
      <c r="I565">
        <f t="shared" si="56"/>
        <v>0.36363636363635976</v>
      </c>
      <c r="J565" cm="1">
        <f t="array" ref="J565">INT(G565)+IF(100-SUM(INT(G$564:G$573))&gt;=RANK(I565,I$564:I$573)+COUNTIF(I$564:I565,I565)-1,1,0)</f>
        <v>56</v>
      </c>
      <c r="K565" t="str">
        <f>_xlfn.XLOOKUP(B565,BugList!A:A,BugList!H:H)</f>
        <v/>
      </c>
      <c r="L565" t="str">
        <f>IF(K565 = "","",_xlfn.XLOOKUP(B565, BugList!A:A,BugList!B:B,""))</f>
        <v/>
      </c>
      <c r="M565">
        <f>_xlfn.XLOOKUP(D565,BugList!C:C,BugList!N:N)</f>
        <v>4</v>
      </c>
      <c r="N565">
        <f>_xlfn.XLOOKUP(B565,BugList!A:A,BugList!R:R)</f>
        <v>4</v>
      </c>
      <c r="O565" t="b">
        <f>_xlfn.XLOOKUP(B565,BugList!A:A,BugList!L:L)</f>
        <v>0</v>
      </c>
      <c r="P565" t="b">
        <f t="shared" si="57"/>
        <v>0</v>
      </c>
      <c r="R565" t="b">
        <f>SUMPRODUCT(COUNTIF(_xlfn.XLOOKUP(B565,BugList!A:A,BugList!P:P), "*SC*"))&gt;0</f>
        <v>0</v>
      </c>
      <c r="S565" t="str">
        <f>_xlfn.XLOOKUP(B565,BugList!A:A,BugList!W:W)</f>
        <v/>
      </c>
      <c r="T565">
        <f t="shared" si="52"/>
        <v>224</v>
      </c>
      <c r="U565">
        <f t="shared" si="53"/>
        <v>224</v>
      </c>
    </row>
    <row r="566" spans="1:21">
      <c r="A566" t="s">
        <v>2643</v>
      </c>
      <c r="B566">
        <v>513</v>
      </c>
      <c r="D566" t="s">
        <v>111</v>
      </c>
      <c r="E566" t="s">
        <v>111</v>
      </c>
      <c r="F566">
        <v>2</v>
      </c>
      <c r="G566">
        <f t="shared" si="54"/>
        <v>1.8181818181818181</v>
      </c>
      <c r="H566">
        <f t="shared" si="55"/>
        <v>1</v>
      </c>
      <c r="I566">
        <f t="shared" si="56"/>
        <v>0.81818181818181812</v>
      </c>
      <c r="J566" cm="1">
        <f t="array" ref="J566">INT(G566)+IF(100-SUM(INT(G$564:G$573))&gt;=RANK(I566,I$564:I$573)+COUNTIF(I$564:I566,I566)-1,1,0)</f>
        <v>2</v>
      </c>
      <c r="K566" t="str">
        <f>_xlfn.XLOOKUP(B566,BugList!A:A,BugList!H:H)</f>
        <v>*</v>
      </c>
      <c r="L566" t="str">
        <f>IF(K566 = "","",_xlfn.XLOOKUP(B566, BugList!A:A,BugList!B:B,""))</f>
        <v>Ephemeroptera</v>
      </c>
      <c r="M566">
        <f>_xlfn.XLOOKUP(D566,BugList!C:C,BugList!N:N)</f>
        <v>4</v>
      </c>
      <c r="N566">
        <f>_xlfn.XLOOKUP(B566,BugList!A:A,BugList!R:R)</f>
        <v>4</v>
      </c>
      <c r="O566" t="b">
        <f>_xlfn.XLOOKUP(B566,BugList!A:A,BugList!L:L)</f>
        <v>1</v>
      </c>
      <c r="P566" t="b">
        <f t="shared" si="57"/>
        <v>1</v>
      </c>
      <c r="R566" t="b">
        <f>SUMPRODUCT(COUNTIF(_xlfn.XLOOKUP(B566,BugList!A:A,BugList!P:P), "*SC*"))&gt;0</f>
        <v>1</v>
      </c>
      <c r="S566" t="str">
        <f>_xlfn.XLOOKUP(B566,BugList!A:A,BugList!W:W)</f>
        <v/>
      </c>
      <c r="T566">
        <f t="shared" si="52"/>
        <v>8</v>
      </c>
      <c r="U566">
        <f t="shared" si="53"/>
        <v>8</v>
      </c>
    </row>
    <row r="567" spans="1:21">
      <c r="A567" t="s">
        <v>2643</v>
      </c>
      <c r="B567">
        <v>602</v>
      </c>
      <c r="D567" t="s">
        <v>97</v>
      </c>
      <c r="E567" t="s">
        <v>97</v>
      </c>
      <c r="F567">
        <v>1</v>
      </c>
      <c r="G567">
        <f t="shared" si="54"/>
        <v>0.90909090909090906</v>
      </c>
      <c r="H567">
        <f t="shared" si="55"/>
        <v>0</v>
      </c>
      <c r="I567">
        <f t="shared" si="56"/>
        <v>0.90909090909090906</v>
      </c>
      <c r="J567" cm="1">
        <f t="array" ref="J567">INT(G567)+IF(100-SUM(INT(G$564:G$573))&gt;=RANK(I567,I$564:I$573)+COUNTIF(I$564:I567,I567)-1,1,0)</f>
        <v>1</v>
      </c>
      <c r="K567" t="str">
        <f>_xlfn.XLOOKUP(B567,BugList!A:A,BugList!H:H)</f>
        <v/>
      </c>
      <c r="L567" t="str">
        <f>IF(K567 = "","",_xlfn.XLOOKUP(B567, BugList!A:A,BugList!B:B,""))</f>
        <v/>
      </c>
      <c r="M567">
        <f>_xlfn.XLOOKUP(D567,BugList!C:C,BugList!N:N)</f>
        <v>9</v>
      </c>
      <c r="N567">
        <f>_xlfn.XLOOKUP(B567,BugList!A:A,BugList!R:R)</f>
        <v>9</v>
      </c>
      <c r="O567" t="b">
        <f>_xlfn.XLOOKUP(B567,BugList!A:A,BugList!L:L)</f>
        <v>1</v>
      </c>
      <c r="P567" t="b">
        <f t="shared" si="57"/>
        <v>0</v>
      </c>
      <c r="R567" t="b">
        <f>SUMPRODUCT(COUNTIF(_xlfn.XLOOKUP(B567,BugList!A:A,BugList!P:P), "*SC*"))&gt;0</f>
        <v>0</v>
      </c>
      <c r="S567" t="str">
        <f>_xlfn.XLOOKUP(B567,BugList!A:A,BugList!W:W)</f>
        <v/>
      </c>
      <c r="T567">
        <f t="shared" si="52"/>
        <v>9</v>
      </c>
      <c r="U567">
        <f t="shared" si="53"/>
        <v>9</v>
      </c>
    </row>
    <row r="568" spans="1:21">
      <c r="A568" t="s">
        <v>2643</v>
      </c>
      <c r="B568">
        <v>745</v>
      </c>
      <c r="D568" t="s">
        <v>179</v>
      </c>
      <c r="E568" t="s">
        <v>179</v>
      </c>
      <c r="F568">
        <v>2</v>
      </c>
      <c r="G568">
        <f t="shared" si="54"/>
        <v>1.8181818181818181</v>
      </c>
      <c r="H568">
        <f t="shared" si="55"/>
        <v>1</v>
      </c>
      <c r="I568">
        <f t="shared" si="56"/>
        <v>0.81818181818181812</v>
      </c>
      <c r="J568" cm="1">
        <f t="array" ref="J568">INT(G568)+IF(100-SUM(INT(G$564:G$573))&gt;=RANK(I568,I$564:I$573)+COUNTIF(I$564:I568,I568)-1,1,0)</f>
        <v>2</v>
      </c>
      <c r="K568" t="str">
        <f>_xlfn.XLOOKUP(B568,BugList!A:A,BugList!H:H)</f>
        <v>*</v>
      </c>
      <c r="L568" t="str">
        <f>IF(K568 = "","",_xlfn.XLOOKUP(B568, BugList!A:A,BugList!B:B,""))</f>
        <v>Trichoptera</v>
      </c>
      <c r="M568">
        <f>_xlfn.XLOOKUP(D568,BugList!C:C,BugList!N:N)</f>
        <v>1</v>
      </c>
      <c r="N568">
        <f>_xlfn.XLOOKUP(B568,BugList!A:A,BugList!R:R)</f>
        <v>1</v>
      </c>
      <c r="O568" t="b">
        <f>_xlfn.XLOOKUP(B568,BugList!A:A,BugList!L:L)</f>
        <v>1</v>
      </c>
      <c r="P568" t="b">
        <f t="shared" si="57"/>
        <v>1</v>
      </c>
      <c r="R568" t="b">
        <f>SUMPRODUCT(COUNTIF(_xlfn.XLOOKUP(B568,BugList!A:A,BugList!P:P), "*SC*"))&gt;0</f>
        <v>0</v>
      </c>
      <c r="S568" t="str">
        <f>_xlfn.XLOOKUP(B568,BugList!A:A,BugList!W:W)</f>
        <v/>
      </c>
      <c r="T568">
        <f t="shared" si="52"/>
        <v>2</v>
      </c>
      <c r="U568">
        <f t="shared" si="53"/>
        <v>2</v>
      </c>
    </row>
    <row r="569" spans="1:21">
      <c r="A569" t="s">
        <v>2643</v>
      </c>
      <c r="B569">
        <v>794</v>
      </c>
      <c r="D569" t="s">
        <v>89</v>
      </c>
      <c r="E569" t="s">
        <v>89</v>
      </c>
      <c r="F569">
        <v>10</v>
      </c>
      <c r="G569">
        <f t="shared" si="54"/>
        <v>9.0909090909090917</v>
      </c>
      <c r="H569">
        <f t="shared" si="55"/>
        <v>9</v>
      </c>
      <c r="I569">
        <f t="shared" si="56"/>
        <v>9.0909090909091717E-2</v>
      </c>
      <c r="J569" cm="1">
        <f t="array" ref="J569">INT(G569)+IF(100-SUM(INT(G$564:G$573))&gt;=RANK(I569,I$564:I$573)+COUNTIF(I$564:I569,I569)-1,1,0)</f>
        <v>9</v>
      </c>
      <c r="K569" t="str">
        <f>_xlfn.XLOOKUP(B569,BugList!A:A,BugList!H:H)</f>
        <v>*</v>
      </c>
      <c r="L569" t="str">
        <f>IF(K569 = "","",_xlfn.XLOOKUP(B569, BugList!A:A,BugList!B:B,""))</f>
        <v>Trichoptera</v>
      </c>
      <c r="M569">
        <f>_xlfn.XLOOKUP(D569,BugList!C:C,BugList!N:N)</f>
        <v>4</v>
      </c>
      <c r="N569">
        <f>_xlfn.XLOOKUP(B569,BugList!A:A,BugList!R:R)</f>
        <v>4</v>
      </c>
      <c r="O569" t="b">
        <f>_xlfn.XLOOKUP(B569,BugList!A:A,BugList!L:L)</f>
        <v>1</v>
      </c>
      <c r="P569" t="b">
        <f t="shared" si="57"/>
        <v>0</v>
      </c>
      <c r="R569" t="b">
        <f>SUMPRODUCT(COUNTIF(_xlfn.XLOOKUP(B569,BugList!A:A,BugList!P:P), "*SC*"))&gt;0</f>
        <v>0</v>
      </c>
      <c r="S569" t="str">
        <f>_xlfn.XLOOKUP(B569,BugList!A:A,BugList!W:W)</f>
        <v/>
      </c>
      <c r="T569">
        <f t="shared" si="52"/>
        <v>36</v>
      </c>
      <c r="U569">
        <f t="shared" si="53"/>
        <v>36</v>
      </c>
    </row>
    <row r="570" spans="1:21">
      <c r="A570" t="s">
        <v>2643</v>
      </c>
      <c r="B570">
        <v>1002</v>
      </c>
      <c r="D570" t="s">
        <v>100</v>
      </c>
      <c r="E570" t="s">
        <v>100</v>
      </c>
      <c r="F570">
        <v>14</v>
      </c>
      <c r="G570">
        <f t="shared" si="54"/>
        <v>12.727272727272727</v>
      </c>
      <c r="H570">
        <f t="shared" si="55"/>
        <v>12</v>
      </c>
      <c r="I570">
        <f t="shared" si="56"/>
        <v>0.72727272727272663</v>
      </c>
      <c r="J570" cm="1">
        <f t="array" ref="J570">INT(G570)+IF(100-SUM(INT(G$564:G$573))&gt;=RANK(I570,I$564:I$573)+COUNTIF(I$564:I570,I570)-1,1,0)</f>
        <v>13</v>
      </c>
      <c r="K570" t="str">
        <f>_xlfn.XLOOKUP(B570,BugList!A:A,BugList!H:H)</f>
        <v/>
      </c>
      <c r="L570" t="str">
        <f>IF(K570 = "","",_xlfn.XLOOKUP(B570, BugList!A:A,BugList!B:B,""))</f>
        <v/>
      </c>
      <c r="M570">
        <f>_xlfn.XLOOKUP(D570,BugList!C:C,BugList!N:N)</f>
        <v>4</v>
      </c>
      <c r="N570">
        <f>_xlfn.XLOOKUP(B570,BugList!A:A,BugList!R:R)</f>
        <v>4</v>
      </c>
      <c r="O570" t="b">
        <f>_xlfn.XLOOKUP(B570,BugList!A:A,BugList!L:L)</f>
        <v>1</v>
      </c>
      <c r="P570" t="b">
        <f t="shared" si="57"/>
        <v>0</v>
      </c>
      <c r="R570" t="b">
        <f>SUMPRODUCT(COUNTIF(_xlfn.XLOOKUP(B570,BugList!A:A,BugList!P:P), "*SC*"))&gt;0</f>
        <v>1</v>
      </c>
      <c r="S570" t="str">
        <f>_xlfn.XLOOKUP(B570,BugList!A:A,BugList!W:W)</f>
        <v/>
      </c>
      <c r="T570">
        <f t="shared" si="52"/>
        <v>52</v>
      </c>
      <c r="U570">
        <f t="shared" si="53"/>
        <v>52</v>
      </c>
    </row>
    <row r="571" spans="1:21">
      <c r="A571" t="s">
        <v>2643</v>
      </c>
      <c r="B571">
        <v>1088</v>
      </c>
      <c r="D571" t="s">
        <v>90</v>
      </c>
      <c r="E571" t="s">
        <v>90</v>
      </c>
      <c r="F571">
        <v>1</v>
      </c>
      <c r="G571">
        <f t="shared" si="54"/>
        <v>0.90909090909090906</v>
      </c>
      <c r="H571">
        <f t="shared" si="55"/>
        <v>0</v>
      </c>
      <c r="I571">
        <f t="shared" si="56"/>
        <v>0.90909090909090906</v>
      </c>
      <c r="J571" cm="1">
        <f t="array" ref="J571">INT(G571)+IF(100-SUM(INT(G$564:G$573))&gt;=RANK(I571,I$564:I$573)+COUNTIF(I$564:I571,I571)-1,1,0)</f>
        <v>1</v>
      </c>
      <c r="K571" t="str">
        <f>_xlfn.XLOOKUP(B571,BugList!A:A,BugList!H:H)</f>
        <v/>
      </c>
      <c r="L571" t="str">
        <f>IF(K571 = "","",_xlfn.XLOOKUP(B571, BugList!A:A,BugList!B:B,""))</f>
        <v/>
      </c>
      <c r="M571">
        <f>_xlfn.XLOOKUP(D571,BugList!C:C,BugList!N:N)</f>
        <v>6</v>
      </c>
      <c r="N571">
        <f>_xlfn.XLOOKUP(B571,BugList!A:A,BugList!R:R)</f>
        <v>6</v>
      </c>
      <c r="O571" t="b">
        <f>_xlfn.XLOOKUP(B571,BugList!A:A,BugList!L:L)</f>
        <v>1</v>
      </c>
      <c r="P571" t="b">
        <f t="shared" si="57"/>
        <v>0</v>
      </c>
      <c r="R571" t="b">
        <f>SUMPRODUCT(COUNTIF(_xlfn.XLOOKUP(B571,BugList!A:A,BugList!P:P), "*SC*"))&gt;0</f>
        <v>0</v>
      </c>
      <c r="S571" t="str">
        <f>_xlfn.XLOOKUP(B571,BugList!A:A,BugList!W:W)</f>
        <v/>
      </c>
      <c r="T571">
        <f t="shared" si="52"/>
        <v>6</v>
      </c>
      <c r="U571">
        <f t="shared" si="53"/>
        <v>6</v>
      </c>
    </row>
    <row r="572" spans="1:21">
      <c r="A572" t="s">
        <v>2643</v>
      </c>
      <c r="B572">
        <v>1614</v>
      </c>
      <c r="D572" t="s">
        <v>92</v>
      </c>
      <c r="E572" t="s">
        <v>92</v>
      </c>
      <c r="F572">
        <v>4</v>
      </c>
      <c r="G572">
        <f t="shared" si="54"/>
        <v>3.6363636363636362</v>
      </c>
      <c r="H572">
        <f t="shared" si="55"/>
        <v>3</v>
      </c>
      <c r="I572">
        <f t="shared" si="56"/>
        <v>0.63636363636363624</v>
      </c>
      <c r="J572" cm="1">
        <f t="array" ref="J572">INT(G572)+IF(100-SUM(INT(G$564:G$573))&gt;=RANK(I572,I$564:I$573)+COUNTIF(I$564:I572,I572)-1,1,0)</f>
        <v>4</v>
      </c>
      <c r="K572" t="str">
        <f>_xlfn.XLOOKUP(B572,BugList!A:A,BugList!H:H)</f>
        <v/>
      </c>
      <c r="L572" t="str">
        <f>IF(K572 = "","",_xlfn.XLOOKUP(B572, BugList!A:A,BugList!B:B,""))</f>
        <v/>
      </c>
      <c r="M572">
        <f>_xlfn.XLOOKUP(D572,BugList!C:C,BugList!N:N)</f>
        <v>8</v>
      </c>
      <c r="N572">
        <f>_xlfn.XLOOKUP(B572,BugList!A:A,BugList!R:R)</f>
        <v>8</v>
      </c>
      <c r="O572" t="b">
        <f>_xlfn.XLOOKUP(B572,BugList!A:A,BugList!L:L)</f>
        <v>0</v>
      </c>
      <c r="P572" t="b">
        <f t="shared" si="57"/>
        <v>0</v>
      </c>
      <c r="R572" t="b">
        <f>SUMPRODUCT(COUNTIF(_xlfn.XLOOKUP(B572,BugList!A:A,BugList!P:P), "*SC*"))&gt;0</f>
        <v>0</v>
      </c>
      <c r="S572" t="str">
        <f>_xlfn.XLOOKUP(B572,BugList!A:A,BugList!W:W)</f>
        <v/>
      </c>
      <c r="T572">
        <f t="shared" si="52"/>
        <v>32</v>
      </c>
      <c r="U572">
        <f t="shared" si="53"/>
        <v>32</v>
      </c>
    </row>
    <row r="573" spans="1:21">
      <c r="A573" t="s">
        <v>2643</v>
      </c>
      <c r="B573">
        <v>2781</v>
      </c>
      <c r="D573" t="s">
        <v>109</v>
      </c>
      <c r="E573" t="s">
        <v>109</v>
      </c>
      <c r="F573">
        <v>7</v>
      </c>
      <c r="G573">
        <f t="shared" si="54"/>
        <v>6.3636363636363633</v>
      </c>
      <c r="H573">
        <f t="shared" si="55"/>
        <v>6</v>
      </c>
      <c r="I573">
        <f t="shared" si="56"/>
        <v>0.36363636363636331</v>
      </c>
      <c r="J573" cm="1">
        <f t="array" ref="J573">INT(G573)+IF(100-SUM(INT(G$564:G$573))&gt;=RANK(I573,I$564:I$573)+COUNTIF(I$564:I573,I573)-1,1,0)</f>
        <v>6</v>
      </c>
      <c r="K573" t="str">
        <f>_xlfn.XLOOKUP(B573,BugList!A:A,BugList!H:H)</f>
        <v/>
      </c>
      <c r="L573" t="str">
        <f>IF(K573 = "","",_xlfn.XLOOKUP(B573, BugList!A:A,BugList!B:B,""))</f>
        <v/>
      </c>
      <c r="M573">
        <f>_xlfn.XLOOKUP(D573,BugList!C:C,BugList!N:N)</f>
        <v>6</v>
      </c>
      <c r="N573">
        <f>_xlfn.XLOOKUP(B573,BugList!A:A,BugList!R:R)</f>
        <v>4</v>
      </c>
      <c r="O573" t="b">
        <f>_xlfn.XLOOKUP(B573,BugList!A:A,BugList!L:L)</f>
        <v>0</v>
      </c>
      <c r="P573" t="b">
        <f t="shared" si="57"/>
        <v>0</v>
      </c>
      <c r="R573" t="b">
        <f>SUMPRODUCT(COUNTIF(_xlfn.XLOOKUP(B573,BugList!A:A,BugList!P:P), "*SC*"))&gt;0</f>
        <v>0</v>
      </c>
      <c r="S573" t="str">
        <f>_xlfn.XLOOKUP(B573,BugList!A:A,BugList!W:W)</f>
        <v/>
      </c>
      <c r="T573">
        <f t="shared" si="52"/>
        <v>36</v>
      </c>
      <c r="U573">
        <f t="shared" si="53"/>
        <v>24</v>
      </c>
    </row>
    <row r="574" spans="1:21">
      <c r="A574" t="s">
        <v>2644</v>
      </c>
      <c r="B574">
        <v>63</v>
      </c>
      <c r="D574" t="s">
        <v>84</v>
      </c>
      <c r="E574" t="s">
        <v>84</v>
      </c>
      <c r="F574">
        <v>2</v>
      </c>
      <c r="J574">
        <v>2</v>
      </c>
      <c r="K574" t="str">
        <f>_xlfn.XLOOKUP(B574,BugList!A:A,BugList!H:H)</f>
        <v/>
      </c>
      <c r="L574" t="str">
        <f>IF(K574 = "","",_xlfn.XLOOKUP(B574, BugList!A:A,BugList!B:B,""))</f>
        <v/>
      </c>
      <c r="M574">
        <f>_xlfn.XLOOKUP(D574,BugList!C:C,BugList!N:N)</f>
        <v>8</v>
      </c>
      <c r="N574">
        <f>_xlfn.XLOOKUP(B574,BugList!A:A,BugList!R:R)</f>
        <v>8</v>
      </c>
      <c r="O574" t="b">
        <f>_xlfn.XLOOKUP(B574,BugList!A:A,BugList!L:L)</f>
        <v>0</v>
      </c>
      <c r="P574" t="b">
        <f t="shared" si="57"/>
        <v>0</v>
      </c>
      <c r="R574" t="b">
        <f>SUMPRODUCT(COUNTIF(_xlfn.XLOOKUP(B574,BugList!A:A,BugList!P:P), "*SC*"))&gt;0</f>
        <v>0</v>
      </c>
      <c r="S574" t="str">
        <f>_xlfn.XLOOKUP(B574,BugList!A:A,BugList!W:W)</f>
        <v/>
      </c>
      <c r="T574">
        <f t="shared" si="52"/>
        <v>16</v>
      </c>
      <c r="U574">
        <f t="shared" si="53"/>
        <v>16</v>
      </c>
    </row>
    <row r="575" spans="1:21">
      <c r="A575" t="s">
        <v>2644</v>
      </c>
      <c r="B575">
        <v>88</v>
      </c>
      <c r="D575" t="s">
        <v>85</v>
      </c>
      <c r="E575" t="s">
        <v>85</v>
      </c>
      <c r="F575">
        <v>20</v>
      </c>
      <c r="J575">
        <v>20</v>
      </c>
      <c r="K575" t="str">
        <f>_xlfn.XLOOKUP(B575,BugList!A:A,BugList!H:H)</f>
        <v/>
      </c>
      <c r="L575" t="str">
        <f>IF(K575 = "","",_xlfn.XLOOKUP(B575, BugList!A:A,BugList!B:B,""))</f>
        <v/>
      </c>
      <c r="M575">
        <f>_xlfn.XLOOKUP(D575,BugList!C:C,BugList!N:N)</f>
        <v>4</v>
      </c>
      <c r="N575">
        <f>_xlfn.XLOOKUP(B575,BugList!A:A,BugList!R:R)</f>
        <v>4</v>
      </c>
      <c r="O575" t="b">
        <f>_xlfn.XLOOKUP(B575,BugList!A:A,BugList!L:L)</f>
        <v>0</v>
      </c>
      <c r="P575" t="b">
        <f t="shared" si="57"/>
        <v>0</v>
      </c>
      <c r="R575" t="b">
        <f>SUMPRODUCT(COUNTIF(_xlfn.XLOOKUP(B575,BugList!A:A,BugList!P:P), "*SC*"))&gt;0</f>
        <v>0</v>
      </c>
      <c r="S575" t="str">
        <f>_xlfn.XLOOKUP(B575,BugList!A:A,BugList!W:W)</f>
        <v/>
      </c>
      <c r="T575">
        <f t="shared" si="52"/>
        <v>80</v>
      </c>
      <c r="U575">
        <f t="shared" si="53"/>
        <v>80</v>
      </c>
    </row>
    <row r="576" spans="1:21">
      <c r="A576" t="s">
        <v>2644</v>
      </c>
      <c r="B576">
        <v>247</v>
      </c>
      <c r="D576" t="s">
        <v>87</v>
      </c>
      <c r="E576" t="s">
        <v>87</v>
      </c>
      <c r="F576">
        <v>2</v>
      </c>
      <c r="J576">
        <v>2</v>
      </c>
      <c r="K576" t="str">
        <f>_xlfn.XLOOKUP(B576,BugList!A:A,BugList!H:H)</f>
        <v/>
      </c>
      <c r="L576" t="str">
        <f>IF(K576 = "","",_xlfn.XLOOKUP(B576, BugList!A:A,BugList!B:B,""))</f>
        <v/>
      </c>
      <c r="M576">
        <f>_xlfn.XLOOKUP(D576,BugList!C:C,BugList!N:N)</f>
        <v>4</v>
      </c>
      <c r="N576">
        <f>_xlfn.XLOOKUP(B576,BugList!A:A,BugList!R:R)</f>
        <v>4</v>
      </c>
      <c r="O576" t="b">
        <f>_xlfn.XLOOKUP(B576,BugList!A:A,BugList!L:L)</f>
        <v>0</v>
      </c>
      <c r="P576" t="b">
        <f t="shared" si="57"/>
        <v>0</v>
      </c>
      <c r="R576" t="b">
        <f>SUMPRODUCT(COUNTIF(_xlfn.XLOOKUP(B576,BugList!A:A,BugList!P:P), "*SC*"))&gt;0</f>
        <v>0</v>
      </c>
      <c r="S576" t="str">
        <f>_xlfn.XLOOKUP(B576,BugList!A:A,BugList!W:W)</f>
        <v/>
      </c>
      <c r="T576">
        <f t="shared" si="52"/>
        <v>8</v>
      </c>
      <c r="U576">
        <f t="shared" si="53"/>
        <v>8</v>
      </c>
    </row>
    <row r="577" spans="1:21">
      <c r="A577" t="s">
        <v>2644</v>
      </c>
      <c r="B577">
        <v>450</v>
      </c>
      <c r="D577" t="s">
        <v>96</v>
      </c>
      <c r="E577" t="s">
        <v>96</v>
      </c>
      <c r="F577">
        <v>1</v>
      </c>
      <c r="J577">
        <v>1</v>
      </c>
      <c r="K577" t="str">
        <f>_xlfn.XLOOKUP(B577,BugList!A:A,BugList!H:H)</f>
        <v>*</v>
      </c>
      <c r="L577" t="str">
        <f>IF(K577 = "","",_xlfn.XLOOKUP(B577, BugList!A:A,BugList!B:B,""))</f>
        <v>Ephemeroptera</v>
      </c>
      <c r="M577">
        <f>_xlfn.XLOOKUP(D577,BugList!C:C,BugList!N:N)</f>
        <v>4</v>
      </c>
      <c r="N577">
        <f>_xlfn.XLOOKUP(B577,BugList!A:A,BugList!R:R)</f>
        <v>4</v>
      </c>
      <c r="O577" t="b">
        <f>_xlfn.XLOOKUP(B577,BugList!A:A,BugList!L:L)</f>
        <v>1</v>
      </c>
      <c r="P577" t="b">
        <f t="shared" si="57"/>
        <v>1</v>
      </c>
      <c r="R577" t="b">
        <f>SUMPRODUCT(COUNTIF(_xlfn.XLOOKUP(B577,BugList!A:A,BugList!P:P), "*SC*"))&gt;0</f>
        <v>1</v>
      </c>
      <c r="S577" t="str">
        <f>_xlfn.XLOOKUP(B577,BugList!A:A,BugList!W:W)</f>
        <v>3</v>
      </c>
      <c r="T577">
        <f t="shared" si="52"/>
        <v>4</v>
      </c>
      <c r="U577">
        <f t="shared" si="53"/>
        <v>4</v>
      </c>
    </row>
    <row r="578" spans="1:21">
      <c r="A578" t="s">
        <v>2644</v>
      </c>
      <c r="B578">
        <v>513</v>
      </c>
      <c r="D578" t="s">
        <v>111</v>
      </c>
      <c r="E578" t="s">
        <v>111</v>
      </c>
      <c r="F578">
        <v>30</v>
      </c>
      <c r="J578">
        <v>30</v>
      </c>
      <c r="K578" t="str">
        <f>_xlfn.XLOOKUP(B578,BugList!A:A,BugList!H:H)</f>
        <v>*</v>
      </c>
      <c r="L578" t="str">
        <f>IF(K578 = "","",_xlfn.XLOOKUP(B578, BugList!A:A,BugList!B:B,""))</f>
        <v>Ephemeroptera</v>
      </c>
      <c r="M578">
        <f>_xlfn.XLOOKUP(D578,BugList!C:C,BugList!N:N)</f>
        <v>4</v>
      </c>
      <c r="N578">
        <f>_xlfn.XLOOKUP(B578,BugList!A:A,BugList!R:R)</f>
        <v>4</v>
      </c>
      <c r="O578" t="b">
        <f>_xlfn.XLOOKUP(B578,BugList!A:A,BugList!L:L)</f>
        <v>1</v>
      </c>
      <c r="P578" t="b">
        <f t="shared" si="57"/>
        <v>1</v>
      </c>
      <c r="R578" t="b">
        <f>SUMPRODUCT(COUNTIF(_xlfn.XLOOKUP(B578,BugList!A:A,BugList!P:P), "*SC*"))&gt;0</f>
        <v>1</v>
      </c>
      <c r="S578" t="str">
        <f>_xlfn.XLOOKUP(B578,BugList!A:A,BugList!W:W)</f>
        <v/>
      </c>
      <c r="T578">
        <f t="shared" ref="T578:T641" si="58">J578*M578</f>
        <v>120</v>
      </c>
      <c r="U578">
        <f t="shared" ref="U578:U641" si="59">J578*N578</f>
        <v>120</v>
      </c>
    </row>
    <row r="579" spans="1:21">
      <c r="A579" t="s">
        <v>2644</v>
      </c>
      <c r="B579">
        <v>794</v>
      </c>
      <c r="D579" t="s">
        <v>89</v>
      </c>
      <c r="E579" t="s">
        <v>89</v>
      </c>
      <c r="F579">
        <v>12</v>
      </c>
      <c r="J579">
        <v>12</v>
      </c>
      <c r="K579" t="str">
        <f>_xlfn.XLOOKUP(B579,BugList!A:A,BugList!H:H)</f>
        <v>*</v>
      </c>
      <c r="L579" t="str">
        <f>IF(K579 = "","",_xlfn.XLOOKUP(B579, BugList!A:A,BugList!B:B,""))</f>
        <v>Trichoptera</v>
      </c>
      <c r="M579">
        <f>_xlfn.XLOOKUP(D579,BugList!C:C,BugList!N:N)</f>
        <v>4</v>
      </c>
      <c r="N579">
        <f>_xlfn.XLOOKUP(B579,BugList!A:A,BugList!R:R)</f>
        <v>4</v>
      </c>
      <c r="O579" t="b">
        <f>_xlfn.XLOOKUP(B579,BugList!A:A,BugList!L:L)</f>
        <v>1</v>
      </c>
      <c r="P579" t="b">
        <f t="shared" si="57"/>
        <v>0</v>
      </c>
      <c r="R579" t="b">
        <f>SUMPRODUCT(COUNTIF(_xlfn.XLOOKUP(B579,BugList!A:A,BugList!P:P), "*SC*"))&gt;0</f>
        <v>0</v>
      </c>
      <c r="S579" t="str">
        <f>_xlfn.XLOOKUP(B579,BugList!A:A,BugList!W:W)</f>
        <v/>
      </c>
      <c r="T579">
        <f t="shared" si="58"/>
        <v>48</v>
      </c>
      <c r="U579">
        <f t="shared" si="59"/>
        <v>48</v>
      </c>
    </row>
    <row r="580" spans="1:21">
      <c r="A580" t="s">
        <v>2644</v>
      </c>
      <c r="B580">
        <v>842</v>
      </c>
      <c r="D580" t="s">
        <v>163</v>
      </c>
      <c r="E580" t="s">
        <v>163</v>
      </c>
      <c r="F580">
        <v>12</v>
      </c>
      <c r="J580">
        <v>12</v>
      </c>
      <c r="K580" t="str">
        <f>_xlfn.XLOOKUP(B580,BugList!A:A,BugList!H:H)</f>
        <v>*</v>
      </c>
      <c r="L580" t="str">
        <f>IF(K580 = "","",_xlfn.XLOOKUP(B580, BugList!A:A,BugList!B:B,""))</f>
        <v>Trichoptera</v>
      </c>
      <c r="M580">
        <f>_xlfn.XLOOKUP(D580,BugList!C:C,BugList!N:N)</f>
        <v>6</v>
      </c>
      <c r="N580">
        <f>_xlfn.XLOOKUP(B580,BugList!A:A,BugList!R:R)</f>
        <v>6</v>
      </c>
      <c r="O580" t="b">
        <f>_xlfn.XLOOKUP(B580,BugList!A:A,BugList!L:L)</f>
        <v>1</v>
      </c>
      <c r="P580" t="b">
        <f t="shared" si="57"/>
        <v>1</v>
      </c>
      <c r="R580" t="b">
        <f>SUMPRODUCT(COUNTIF(_xlfn.XLOOKUP(B580,BugList!A:A,BugList!P:P), "*SC*"))&gt;0</f>
        <v>0</v>
      </c>
      <c r="S580" t="str">
        <f>_xlfn.XLOOKUP(B580,BugList!A:A,BugList!W:W)</f>
        <v/>
      </c>
      <c r="T580">
        <f t="shared" si="58"/>
        <v>72</v>
      </c>
      <c r="U580">
        <f t="shared" si="59"/>
        <v>72</v>
      </c>
    </row>
    <row r="581" spans="1:21">
      <c r="A581" t="s">
        <v>2644</v>
      </c>
      <c r="B581">
        <v>935</v>
      </c>
      <c r="D581" t="s">
        <v>98</v>
      </c>
      <c r="E581" t="s">
        <v>98</v>
      </c>
      <c r="F581">
        <v>7</v>
      </c>
      <c r="J581">
        <v>7</v>
      </c>
      <c r="K581" t="str">
        <f>_xlfn.XLOOKUP(B581,BugList!A:A,BugList!H:H)</f>
        <v/>
      </c>
      <c r="L581" t="str">
        <f>IF(K581 = "","",_xlfn.XLOOKUP(B581, BugList!A:A,BugList!B:B,""))</f>
        <v/>
      </c>
      <c r="M581">
        <f>_xlfn.XLOOKUP(D581,BugList!C:C,BugList!N:N)</f>
        <v>4</v>
      </c>
      <c r="N581">
        <f>_xlfn.XLOOKUP(B581,BugList!A:A,BugList!R:R)</f>
        <v>4</v>
      </c>
      <c r="O581" t="b">
        <f>_xlfn.XLOOKUP(B581,BugList!A:A,BugList!L:L)</f>
        <v>1</v>
      </c>
      <c r="P581" t="b">
        <f t="shared" si="57"/>
        <v>0</v>
      </c>
      <c r="R581" t="b">
        <f>SUMPRODUCT(COUNTIF(_xlfn.XLOOKUP(B581,BugList!A:A,BugList!P:P), "*SC*"))&gt;0</f>
        <v>1</v>
      </c>
      <c r="S581" t="str">
        <f>_xlfn.XLOOKUP(B581,BugList!A:A,BugList!W:W)</f>
        <v/>
      </c>
      <c r="T581">
        <f t="shared" si="58"/>
        <v>28</v>
      </c>
      <c r="U581">
        <f t="shared" si="59"/>
        <v>28</v>
      </c>
    </row>
    <row r="582" spans="1:21">
      <c r="A582" t="s">
        <v>2644</v>
      </c>
      <c r="B582">
        <v>961</v>
      </c>
      <c r="D582" t="s">
        <v>99</v>
      </c>
      <c r="E582" t="s">
        <v>99</v>
      </c>
      <c r="F582">
        <v>1</v>
      </c>
      <c r="J582">
        <v>1</v>
      </c>
      <c r="K582" t="str">
        <f>_xlfn.XLOOKUP(B582,BugList!A:A,BugList!H:H)</f>
        <v/>
      </c>
      <c r="L582" t="str">
        <f>IF(K582 = "","",_xlfn.XLOOKUP(B582, BugList!A:A,BugList!B:B,""))</f>
        <v/>
      </c>
      <c r="M582">
        <f>_xlfn.XLOOKUP(D582,BugList!C:C,BugList!N:N)</f>
        <v>5</v>
      </c>
      <c r="N582">
        <f>_xlfn.XLOOKUP(B582,BugList!A:A,BugList!R:R)</f>
        <v>5</v>
      </c>
      <c r="O582" t="b">
        <f>_xlfn.XLOOKUP(B582,BugList!A:A,BugList!L:L)</f>
        <v>1</v>
      </c>
      <c r="P582" t="b">
        <f t="shared" si="57"/>
        <v>0</v>
      </c>
      <c r="R582" t="b">
        <f>SUMPRODUCT(COUNTIF(_xlfn.XLOOKUP(B582,BugList!A:A,BugList!P:P), "*SC*"))&gt;0</f>
        <v>0</v>
      </c>
      <c r="S582" t="str">
        <f>_xlfn.XLOOKUP(B582,BugList!A:A,BugList!W:W)</f>
        <v/>
      </c>
      <c r="T582">
        <f t="shared" si="58"/>
        <v>5</v>
      </c>
      <c r="U582">
        <f t="shared" si="59"/>
        <v>5</v>
      </c>
    </row>
    <row r="583" spans="1:21">
      <c r="A583" t="s">
        <v>2644</v>
      </c>
      <c r="B583">
        <v>1002</v>
      </c>
      <c r="D583" t="s">
        <v>100</v>
      </c>
      <c r="E583" t="s">
        <v>100</v>
      </c>
      <c r="F583">
        <v>8</v>
      </c>
      <c r="J583">
        <v>8</v>
      </c>
      <c r="K583" t="str">
        <f>_xlfn.XLOOKUP(B583,BugList!A:A,BugList!H:H)</f>
        <v/>
      </c>
      <c r="L583" t="str">
        <f>IF(K583 = "","",_xlfn.XLOOKUP(B583, BugList!A:A,BugList!B:B,""))</f>
        <v/>
      </c>
      <c r="M583">
        <f>_xlfn.XLOOKUP(D583,BugList!C:C,BugList!N:N)</f>
        <v>4</v>
      </c>
      <c r="N583">
        <f>_xlfn.XLOOKUP(B583,BugList!A:A,BugList!R:R)</f>
        <v>4</v>
      </c>
      <c r="O583" t="b">
        <f>_xlfn.XLOOKUP(B583,BugList!A:A,BugList!L:L)</f>
        <v>1</v>
      </c>
      <c r="P583" t="b">
        <f t="shared" si="57"/>
        <v>0</v>
      </c>
      <c r="R583" t="b">
        <f>SUMPRODUCT(COUNTIF(_xlfn.XLOOKUP(B583,BugList!A:A,BugList!P:P), "*SC*"))&gt;0</f>
        <v>1</v>
      </c>
      <c r="S583" t="str">
        <f>_xlfn.XLOOKUP(B583,BugList!A:A,BugList!W:W)</f>
        <v/>
      </c>
      <c r="T583">
        <f t="shared" si="58"/>
        <v>32</v>
      </c>
      <c r="U583">
        <f t="shared" si="59"/>
        <v>32</v>
      </c>
    </row>
    <row r="584" spans="1:21">
      <c r="A584" t="s">
        <v>2644</v>
      </c>
      <c r="B584">
        <v>1052</v>
      </c>
      <c r="D584" t="s">
        <v>1697</v>
      </c>
      <c r="E584" t="s">
        <v>1697</v>
      </c>
      <c r="F584">
        <v>3</v>
      </c>
      <c r="J584">
        <v>3</v>
      </c>
      <c r="K584" t="str">
        <f>_xlfn.XLOOKUP(B584,BugList!A:A,BugList!H:H)</f>
        <v/>
      </c>
      <c r="L584" t="str">
        <f>IF(K584 = "","",_xlfn.XLOOKUP(B584, BugList!A:A,BugList!B:B,""))</f>
        <v/>
      </c>
      <c r="M584">
        <f>_xlfn.XLOOKUP(D584,BugList!C:C,BugList!N:N)</f>
        <v>2</v>
      </c>
      <c r="N584">
        <f>_xlfn.XLOOKUP(B584,BugList!A:A,BugList!R:R)</f>
        <v>2</v>
      </c>
      <c r="O584" t="b">
        <f>_xlfn.XLOOKUP(B584,BugList!A:A,BugList!L:L)</f>
        <v>1</v>
      </c>
      <c r="P584" t="b">
        <f t="shared" si="57"/>
        <v>0</v>
      </c>
      <c r="R584" t="b">
        <f>SUMPRODUCT(COUNTIF(_xlfn.XLOOKUP(B584,BugList!A:A,BugList!P:P), "*SC*"))&gt;0</f>
        <v>0</v>
      </c>
      <c r="S584" t="str">
        <f>_xlfn.XLOOKUP(B584,BugList!A:A,BugList!W:W)</f>
        <v/>
      </c>
      <c r="T584">
        <f t="shared" si="58"/>
        <v>6</v>
      </c>
      <c r="U584">
        <f t="shared" si="59"/>
        <v>6</v>
      </c>
    </row>
    <row r="585" spans="1:21">
      <c r="A585" t="s">
        <v>2645</v>
      </c>
      <c r="B585">
        <v>88</v>
      </c>
      <c r="D585" t="s">
        <v>85</v>
      </c>
      <c r="E585" t="s">
        <v>85</v>
      </c>
      <c r="F585">
        <v>6</v>
      </c>
      <c r="G585">
        <f t="shared" ref="G585:G616" si="60">(F585/(SUMIFS(F:F,A:A,A585))*100)</f>
        <v>5.7142857142857144</v>
      </c>
      <c r="H585">
        <f t="shared" ref="H585:H616" si="61">INT(G585)</f>
        <v>5</v>
      </c>
      <c r="I585">
        <f t="shared" ref="I585:I616" si="62">G585-H585</f>
        <v>0.71428571428571441</v>
      </c>
      <c r="J585" cm="1">
        <f t="array" ref="J585">INT(G585)+IF(100-SUM(INT(G$585:G$594))&gt;=RANK(I585,I$585:I$594)+COUNTIF(I585:I$585,I585)-1,1,0)</f>
        <v>6</v>
      </c>
      <c r="K585" t="str">
        <f>_xlfn.XLOOKUP(B585,BugList!A:A,BugList!H:H)</f>
        <v/>
      </c>
      <c r="L585" t="str">
        <f>IF(K585 = "","",_xlfn.XLOOKUP(B585, BugList!A:A,BugList!B:B,""))</f>
        <v/>
      </c>
      <c r="M585">
        <f>_xlfn.XLOOKUP(D585,BugList!C:C,BugList!N:N)</f>
        <v>4</v>
      </c>
      <c r="N585">
        <f>_xlfn.XLOOKUP(B585,BugList!A:A,BugList!R:R)</f>
        <v>4</v>
      </c>
      <c r="O585" t="b">
        <f>_xlfn.XLOOKUP(B585,BugList!A:A,BugList!L:L)</f>
        <v>0</v>
      </c>
      <c r="P585" t="b">
        <f t="shared" si="57"/>
        <v>0</v>
      </c>
      <c r="R585" t="b">
        <f>SUMPRODUCT(COUNTIF(_xlfn.XLOOKUP(B585,BugList!A:A,BugList!P:P), "*SC*"))&gt;0</f>
        <v>0</v>
      </c>
      <c r="S585" t="str">
        <f>_xlfn.XLOOKUP(B585,BugList!A:A,BugList!W:W)</f>
        <v/>
      </c>
      <c r="T585">
        <f t="shared" si="58"/>
        <v>24</v>
      </c>
      <c r="U585">
        <f t="shared" si="59"/>
        <v>24</v>
      </c>
    </row>
    <row r="586" spans="1:21">
      <c r="A586" t="s">
        <v>2645</v>
      </c>
      <c r="B586">
        <v>372</v>
      </c>
      <c r="D586" t="s">
        <v>88</v>
      </c>
      <c r="E586" t="s">
        <v>88</v>
      </c>
      <c r="F586">
        <v>8</v>
      </c>
      <c r="G586">
        <f t="shared" si="60"/>
        <v>7.6190476190476195</v>
      </c>
      <c r="H586">
        <f t="shared" si="61"/>
        <v>7</v>
      </c>
      <c r="I586">
        <f t="shared" si="62"/>
        <v>0.61904761904761951</v>
      </c>
      <c r="J586" cm="1">
        <f t="array" ref="J586">INT(G586)+IF(100-SUM(INT(G$585:G$594))&gt;=RANK(I586,I$585:I$594)+COUNTIF(I$585:I586,I586)-1,1,0)</f>
        <v>7</v>
      </c>
      <c r="K586" t="str">
        <f>_xlfn.XLOOKUP(B586,BugList!A:A,BugList!H:H)</f>
        <v/>
      </c>
      <c r="L586" t="str">
        <f>IF(K586 = "","",_xlfn.XLOOKUP(B586, BugList!A:A,BugList!B:B,""))</f>
        <v/>
      </c>
      <c r="M586">
        <f>_xlfn.XLOOKUP(D586,BugList!C:C,BugList!N:N)</f>
        <v>8</v>
      </c>
      <c r="N586">
        <f>_xlfn.XLOOKUP(B586,BugList!A:A,BugList!R:R)</f>
        <v>8</v>
      </c>
      <c r="O586" t="b">
        <f>_xlfn.XLOOKUP(B586,BugList!A:A,BugList!L:L)</f>
        <v>0</v>
      </c>
      <c r="P586" t="b">
        <f t="shared" si="57"/>
        <v>0</v>
      </c>
      <c r="R586" t="b">
        <f>SUMPRODUCT(COUNTIF(_xlfn.XLOOKUP(B586,BugList!A:A,BugList!P:P), "*SC*"))&gt;0</f>
        <v>0</v>
      </c>
      <c r="S586" t="str">
        <f>_xlfn.XLOOKUP(B586,BugList!A:A,BugList!W:W)</f>
        <v/>
      </c>
      <c r="T586">
        <f t="shared" si="58"/>
        <v>56</v>
      </c>
      <c r="U586">
        <f t="shared" si="59"/>
        <v>56</v>
      </c>
    </row>
    <row r="587" spans="1:21">
      <c r="A587" t="s">
        <v>2645</v>
      </c>
      <c r="B587">
        <v>620</v>
      </c>
      <c r="D587" t="s">
        <v>113</v>
      </c>
      <c r="E587" t="s">
        <v>113</v>
      </c>
      <c r="F587">
        <v>4</v>
      </c>
      <c r="G587">
        <f t="shared" si="60"/>
        <v>3.8095238095238098</v>
      </c>
      <c r="H587">
        <f t="shared" si="61"/>
        <v>3</v>
      </c>
      <c r="I587">
        <f t="shared" si="62"/>
        <v>0.80952380952380976</v>
      </c>
      <c r="J587" cm="1">
        <f t="array" ref="J587">INT(G587)+IF(100-SUM(INT(G$585:G$594))&gt;=RANK(I587,I$585:I$594)+COUNTIF(I$585:I587,I587)-1,1,0)</f>
        <v>4</v>
      </c>
      <c r="K587" t="str">
        <f>_xlfn.XLOOKUP(B587,BugList!A:A,BugList!H:H)</f>
        <v/>
      </c>
      <c r="L587" t="str">
        <f>IF(K587 = "","",_xlfn.XLOOKUP(B587, BugList!A:A,BugList!B:B,""))</f>
        <v/>
      </c>
      <c r="M587">
        <f>_xlfn.XLOOKUP(D587,BugList!C:C,BugList!N:N)</f>
        <v>1</v>
      </c>
      <c r="N587">
        <f>_xlfn.XLOOKUP(B587,BugList!A:A,BugList!R:R)</f>
        <v>1</v>
      </c>
      <c r="O587" t="b">
        <f>_xlfn.XLOOKUP(B587,BugList!A:A,BugList!L:L)</f>
        <v>1</v>
      </c>
      <c r="P587" t="b">
        <f t="shared" si="57"/>
        <v>0</v>
      </c>
      <c r="R587" t="b">
        <f>SUMPRODUCT(COUNTIF(_xlfn.XLOOKUP(B587,BugList!A:A,BugList!P:P), "*SC*"))&gt;0</f>
        <v>0</v>
      </c>
      <c r="S587" t="str">
        <f>_xlfn.XLOOKUP(B587,BugList!A:A,BugList!W:W)</f>
        <v>3</v>
      </c>
      <c r="T587">
        <f t="shared" si="58"/>
        <v>4</v>
      </c>
      <c r="U587">
        <f t="shared" si="59"/>
        <v>4</v>
      </c>
    </row>
    <row r="588" spans="1:21">
      <c r="A588" t="s">
        <v>2645</v>
      </c>
      <c r="B588">
        <v>777</v>
      </c>
      <c r="D588" t="s">
        <v>149</v>
      </c>
      <c r="E588" t="s">
        <v>149</v>
      </c>
      <c r="F588">
        <v>14</v>
      </c>
      <c r="G588">
        <f t="shared" si="60"/>
        <v>13.333333333333334</v>
      </c>
      <c r="H588">
        <f t="shared" si="61"/>
        <v>13</v>
      </c>
      <c r="I588">
        <f t="shared" si="62"/>
        <v>0.33333333333333393</v>
      </c>
      <c r="J588" cm="1">
        <f t="array" ref="J588">INT(G588)+IF(100-SUM(INT(G$585:G$594))&gt;=RANK(I588,I$585:I$594)+COUNTIF(I$585:I588,I588)-1,1,0)</f>
        <v>13</v>
      </c>
      <c r="K588" t="str">
        <f>_xlfn.XLOOKUP(B588,BugList!A:A,BugList!H:H)</f>
        <v>*</v>
      </c>
      <c r="L588" t="str">
        <f>IF(K588 = "","",_xlfn.XLOOKUP(B588, BugList!A:A,BugList!B:B,""))</f>
        <v>Trichoptera</v>
      </c>
      <c r="M588">
        <f>_xlfn.XLOOKUP(D588,BugList!C:C,BugList!N:N)</f>
        <v>3</v>
      </c>
      <c r="N588">
        <f>_xlfn.XLOOKUP(B588,BugList!A:A,BugList!R:R)</f>
        <v>3</v>
      </c>
      <c r="O588" t="b">
        <f>_xlfn.XLOOKUP(B588,BugList!A:A,BugList!L:L)</f>
        <v>1</v>
      </c>
      <c r="P588" t="b">
        <f t="shared" si="57"/>
        <v>1</v>
      </c>
      <c r="R588" t="b">
        <f>SUMPRODUCT(COUNTIF(_xlfn.XLOOKUP(B588,BugList!A:A,BugList!P:P), "*SC*"))&gt;0</f>
        <v>1</v>
      </c>
      <c r="S588" t="str">
        <f>_xlfn.XLOOKUP(B588,BugList!A:A,BugList!W:W)</f>
        <v/>
      </c>
      <c r="T588">
        <f t="shared" si="58"/>
        <v>39</v>
      </c>
      <c r="U588">
        <f t="shared" si="59"/>
        <v>39</v>
      </c>
    </row>
    <row r="589" spans="1:21">
      <c r="A589" t="s">
        <v>2645</v>
      </c>
      <c r="B589">
        <v>794</v>
      </c>
      <c r="D589" t="s">
        <v>89</v>
      </c>
      <c r="E589" t="s">
        <v>89</v>
      </c>
      <c r="F589">
        <v>14</v>
      </c>
      <c r="G589">
        <f t="shared" si="60"/>
        <v>13.333333333333334</v>
      </c>
      <c r="H589">
        <f t="shared" si="61"/>
        <v>13</v>
      </c>
      <c r="I589">
        <f t="shared" si="62"/>
        <v>0.33333333333333393</v>
      </c>
      <c r="J589" cm="1">
        <f t="array" ref="J589">INT(G589)+IF(100-SUM(INT(G$585:G$594))&gt;=RANK(I589,I$585:I$594)+COUNTIF(I$585:I589,I589)-1,1,0)</f>
        <v>13</v>
      </c>
      <c r="K589" t="str">
        <f>_xlfn.XLOOKUP(B589,BugList!A:A,BugList!H:H)</f>
        <v>*</v>
      </c>
      <c r="L589" t="str">
        <f>IF(K589 = "","",_xlfn.XLOOKUP(B589, BugList!A:A,BugList!B:B,""))</f>
        <v>Trichoptera</v>
      </c>
      <c r="M589">
        <f>_xlfn.XLOOKUP(D589,BugList!C:C,BugList!N:N)</f>
        <v>4</v>
      </c>
      <c r="N589">
        <f>_xlfn.XLOOKUP(B589,BugList!A:A,BugList!R:R)</f>
        <v>4</v>
      </c>
      <c r="O589" t="b">
        <f>_xlfn.XLOOKUP(B589,BugList!A:A,BugList!L:L)</f>
        <v>1</v>
      </c>
      <c r="P589" t="b">
        <f t="shared" si="57"/>
        <v>0</v>
      </c>
      <c r="R589" t="b">
        <f>SUMPRODUCT(COUNTIF(_xlfn.XLOOKUP(B589,BugList!A:A,BugList!P:P), "*SC*"))&gt;0</f>
        <v>0</v>
      </c>
      <c r="S589" t="str">
        <f>_xlfn.XLOOKUP(B589,BugList!A:A,BugList!W:W)</f>
        <v/>
      </c>
      <c r="T589">
        <f t="shared" si="58"/>
        <v>52</v>
      </c>
      <c r="U589">
        <f t="shared" si="59"/>
        <v>52</v>
      </c>
    </row>
    <row r="590" spans="1:21">
      <c r="A590" t="s">
        <v>2645</v>
      </c>
      <c r="B590">
        <v>1002</v>
      </c>
      <c r="D590" t="s">
        <v>100</v>
      </c>
      <c r="E590" t="s">
        <v>100</v>
      </c>
      <c r="F590">
        <v>22</v>
      </c>
      <c r="G590">
        <f t="shared" si="60"/>
        <v>20.952380952380953</v>
      </c>
      <c r="H590">
        <f t="shared" si="61"/>
        <v>20</v>
      </c>
      <c r="I590">
        <f t="shared" si="62"/>
        <v>0.95238095238095255</v>
      </c>
      <c r="J590" cm="1">
        <f t="array" ref="J590">INT(G590)+IF(100-SUM(INT(G$585:G$594))&gt;=RANK(I590,I$585:I$594)+COUNTIF(I$585:I590,I590)-1,1,0)</f>
        <v>21</v>
      </c>
      <c r="K590" t="str">
        <f>_xlfn.XLOOKUP(B590,BugList!A:A,BugList!H:H)</f>
        <v/>
      </c>
      <c r="L590" t="str">
        <f>IF(K590 = "","",_xlfn.XLOOKUP(B590, BugList!A:A,BugList!B:B,""))</f>
        <v/>
      </c>
      <c r="M590">
        <f>_xlfn.XLOOKUP(D590,BugList!C:C,BugList!N:N)</f>
        <v>4</v>
      </c>
      <c r="N590">
        <f>_xlfn.XLOOKUP(B590,BugList!A:A,BugList!R:R)</f>
        <v>4</v>
      </c>
      <c r="O590" t="b">
        <f>_xlfn.XLOOKUP(B590,BugList!A:A,BugList!L:L)</f>
        <v>1</v>
      </c>
      <c r="P590" t="b">
        <f t="shared" si="57"/>
        <v>0</v>
      </c>
      <c r="R590" t="b">
        <f>SUMPRODUCT(COUNTIF(_xlfn.XLOOKUP(B590,BugList!A:A,BugList!P:P), "*SC*"))&gt;0</f>
        <v>1</v>
      </c>
      <c r="S590" t="str">
        <f>_xlfn.XLOOKUP(B590,BugList!A:A,BugList!W:W)</f>
        <v/>
      </c>
      <c r="T590">
        <f t="shared" si="58"/>
        <v>84</v>
      </c>
      <c r="U590">
        <f t="shared" si="59"/>
        <v>84</v>
      </c>
    </row>
    <row r="591" spans="1:21">
      <c r="A591" t="s">
        <v>2645</v>
      </c>
      <c r="B591">
        <v>1088</v>
      </c>
      <c r="D591" t="s">
        <v>90</v>
      </c>
      <c r="E591" t="s">
        <v>90</v>
      </c>
      <c r="F591">
        <v>3</v>
      </c>
      <c r="G591">
        <f t="shared" si="60"/>
        <v>2.8571428571428572</v>
      </c>
      <c r="H591">
        <f t="shared" si="61"/>
        <v>2</v>
      </c>
      <c r="I591">
        <f t="shared" si="62"/>
        <v>0.85714285714285721</v>
      </c>
      <c r="J591" cm="1">
        <f t="array" ref="J591">INT(G591)+IF(100-SUM(INT(G$585:G$594))&gt;=RANK(I591,I$585:I$594)+COUNTIF(I$585:I591,I591)-1,1,0)</f>
        <v>3</v>
      </c>
      <c r="K591" t="str">
        <f>_xlfn.XLOOKUP(B591,BugList!A:A,BugList!H:H)</f>
        <v/>
      </c>
      <c r="L591" t="str">
        <f>IF(K591 = "","",_xlfn.XLOOKUP(B591, BugList!A:A,BugList!B:B,""))</f>
        <v/>
      </c>
      <c r="M591">
        <f>_xlfn.XLOOKUP(D591,BugList!C:C,BugList!N:N)</f>
        <v>6</v>
      </c>
      <c r="N591">
        <f>_xlfn.XLOOKUP(B591,BugList!A:A,BugList!R:R)</f>
        <v>6</v>
      </c>
      <c r="O591" t="b">
        <f>_xlfn.XLOOKUP(B591,BugList!A:A,BugList!L:L)</f>
        <v>1</v>
      </c>
      <c r="P591" t="b">
        <f t="shared" si="57"/>
        <v>0</v>
      </c>
      <c r="R591" t="b">
        <f>SUMPRODUCT(COUNTIF(_xlfn.XLOOKUP(B591,BugList!A:A,BugList!P:P), "*SC*"))&gt;0</f>
        <v>0</v>
      </c>
      <c r="S591" t="str">
        <f>_xlfn.XLOOKUP(B591,BugList!A:A,BugList!W:W)</f>
        <v/>
      </c>
      <c r="T591">
        <f t="shared" si="58"/>
        <v>18</v>
      </c>
      <c r="U591">
        <f t="shared" si="59"/>
        <v>18</v>
      </c>
    </row>
    <row r="592" spans="1:21">
      <c r="A592" t="s">
        <v>2645</v>
      </c>
      <c r="B592">
        <v>1436</v>
      </c>
      <c r="D592" t="s">
        <v>101</v>
      </c>
      <c r="E592" t="s">
        <v>101</v>
      </c>
      <c r="F592">
        <v>28</v>
      </c>
      <c r="G592">
        <f t="shared" si="60"/>
        <v>26.666666666666668</v>
      </c>
      <c r="H592">
        <f t="shared" si="61"/>
        <v>26</v>
      </c>
      <c r="I592">
        <f t="shared" si="62"/>
        <v>0.66666666666666785</v>
      </c>
      <c r="J592" cm="1">
        <f t="array" ref="J592">INT(G592)+IF(100-SUM(INT(G$585:G$594))&gt;=RANK(I592,I$585:I$594)+COUNTIF(I$585:I592,I592)-1,1,0)</f>
        <v>27</v>
      </c>
      <c r="K592" t="str">
        <f>_xlfn.XLOOKUP(B592,BugList!A:A,BugList!H:H)</f>
        <v/>
      </c>
      <c r="L592" t="str">
        <f>IF(K592 = "","",_xlfn.XLOOKUP(B592, BugList!A:A,BugList!B:B,""))</f>
        <v/>
      </c>
      <c r="M592">
        <f>_xlfn.XLOOKUP(D592,BugList!C:C,BugList!N:N)</f>
        <v>6</v>
      </c>
      <c r="N592">
        <f>_xlfn.XLOOKUP(B592,BugList!A:A,BugList!R:R)</f>
        <v>6</v>
      </c>
      <c r="O592" t="b">
        <f>_xlfn.XLOOKUP(B592,BugList!A:A,BugList!L:L)</f>
        <v>1</v>
      </c>
      <c r="P592" t="b">
        <f t="shared" si="57"/>
        <v>0</v>
      </c>
      <c r="R592" t="b">
        <f>SUMPRODUCT(COUNTIF(_xlfn.XLOOKUP(B592,BugList!A:A,BugList!P:P), "*SC*"))&gt;0</f>
        <v>0</v>
      </c>
      <c r="S592" t="str">
        <f>_xlfn.XLOOKUP(B592,BugList!A:A,BugList!W:W)</f>
        <v/>
      </c>
      <c r="T592">
        <f t="shared" si="58"/>
        <v>162</v>
      </c>
      <c r="U592">
        <f t="shared" si="59"/>
        <v>162</v>
      </c>
    </row>
    <row r="593" spans="1:21">
      <c r="A593" t="s">
        <v>2645</v>
      </c>
      <c r="B593">
        <v>1629</v>
      </c>
      <c r="D593" t="s">
        <v>93</v>
      </c>
      <c r="E593" t="s">
        <v>93</v>
      </c>
      <c r="F593">
        <v>5</v>
      </c>
      <c r="G593">
        <f t="shared" si="60"/>
        <v>4.7619047619047619</v>
      </c>
      <c r="H593">
        <f t="shared" si="61"/>
        <v>4</v>
      </c>
      <c r="I593">
        <f t="shared" si="62"/>
        <v>0.76190476190476186</v>
      </c>
      <c r="J593" cm="1">
        <f t="array" ref="J593">INT(G593)+IF(100-SUM(INT(G$585:G$594))&gt;=RANK(I593,I$585:I$594)+COUNTIF(I$585:I593,I593)-1,1,0)</f>
        <v>5</v>
      </c>
      <c r="K593" t="str">
        <f>_xlfn.XLOOKUP(B593,BugList!A:A,BugList!H:H)</f>
        <v/>
      </c>
      <c r="L593" t="str">
        <f>IF(K593 = "","",_xlfn.XLOOKUP(B593, BugList!A:A,BugList!B:B,""))</f>
        <v/>
      </c>
      <c r="M593">
        <f>_xlfn.XLOOKUP(D593,BugList!C:C,BugList!N:N)</f>
        <v>8</v>
      </c>
      <c r="N593">
        <f>_xlfn.XLOOKUP(B593,BugList!A:A,BugList!R:R)</f>
        <v>8</v>
      </c>
      <c r="O593" t="b">
        <f>_xlfn.XLOOKUP(B593,BugList!A:A,BugList!L:L)</f>
        <v>0</v>
      </c>
      <c r="P593" t="b">
        <f t="shared" si="57"/>
        <v>0</v>
      </c>
      <c r="R593" t="b">
        <f>SUMPRODUCT(COUNTIF(_xlfn.XLOOKUP(B593,BugList!A:A,BugList!P:P), "*SC*"))&gt;0</f>
        <v>0</v>
      </c>
      <c r="S593" t="str">
        <f>_xlfn.XLOOKUP(B593,BugList!A:A,BugList!W:W)</f>
        <v/>
      </c>
      <c r="T593">
        <f t="shared" si="58"/>
        <v>40</v>
      </c>
      <c r="U593">
        <f t="shared" si="59"/>
        <v>40</v>
      </c>
    </row>
    <row r="594" spans="1:21">
      <c r="A594" t="s">
        <v>2645</v>
      </c>
      <c r="B594">
        <v>1678</v>
      </c>
      <c r="D594" t="s">
        <v>166</v>
      </c>
      <c r="E594" t="s">
        <v>166</v>
      </c>
      <c r="F594">
        <v>1</v>
      </c>
      <c r="G594">
        <f t="shared" si="60"/>
        <v>0.95238095238095244</v>
      </c>
      <c r="H594">
        <f t="shared" si="61"/>
        <v>0</v>
      </c>
      <c r="I594">
        <f t="shared" si="62"/>
        <v>0.95238095238095244</v>
      </c>
      <c r="J594" cm="1">
        <f t="array" ref="J594">INT(G594)+IF(100-SUM(INT(G$585:G$594))&gt;=RANK(I594,I$585:I$594)+COUNTIF(I$585:I594,I594)-1,1,0)</f>
        <v>1</v>
      </c>
      <c r="K594" t="str">
        <f>_xlfn.XLOOKUP(B594,BugList!A:A,BugList!H:H)</f>
        <v/>
      </c>
      <c r="L594" t="str">
        <f>IF(K594 = "","",_xlfn.XLOOKUP(B594, BugList!A:A,BugList!B:B,""))</f>
        <v/>
      </c>
      <c r="M594">
        <f>_xlfn.XLOOKUP(D594,BugList!C:C,BugList!N:N)</f>
        <v>6</v>
      </c>
      <c r="N594">
        <f>_xlfn.XLOOKUP(B594,BugList!A:A,BugList!R:R)</f>
        <v>6</v>
      </c>
      <c r="O594" t="b">
        <f>_xlfn.XLOOKUP(B594,BugList!A:A,BugList!L:L)</f>
        <v>0</v>
      </c>
      <c r="P594" t="b">
        <f t="shared" si="57"/>
        <v>0</v>
      </c>
      <c r="R594" t="b">
        <f>SUMPRODUCT(COUNTIF(_xlfn.XLOOKUP(B594,BugList!A:A,BugList!P:P), "*SC*"))&gt;0</f>
        <v>1</v>
      </c>
      <c r="S594" t="str">
        <f>_xlfn.XLOOKUP(B594,BugList!A:A,BugList!W:W)</f>
        <v/>
      </c>
      <c r="T594">
        <f t="shared" si="58"/>
        <v>6</v>
      </c>
      <c r="U594">
        <f t="shared" si="59"/>
        <v>6</v>
      </c>
    </row>
    <row r="595" spans="1:21">
      <c r="A595" t="s">
        <v>2646</v>
      </c>
      <c r="B595">
        <v>88</v>
      </c>
      <c r="D595" t="s">
        <v>85</v>
      </c>
      <c r="E595" t="s">
        <v>85</v>
      </c>
      <c r="F595">
        <v>2</v>
      </c>
      <c r="G595">
        <f t="shared" si="60"/>
        <v>1.8518518518518516</v>
      </c>
      <c r="H595">
        <f t="shared" si="61"/>
        <v>1</v>
      </c>
      <c r="I595">
        <f t="shared" si="62"/>
        <v>0.85185185185185164</v>
      </c>
      <c r="J595" cm="1">
        <f t="array" ref="J595">INT(G595)+IF(100-SUM(INT(G$595:G$612))&gt;=RANK(I595,I$595:I$612)+COUNTIF(I$595:I595,I595)-1,1,0)</f>
        <v>2</v>
      </c>
      <c r="K595" t="str">
        <f>_xlfn.XLOOKUP(B595,BugList!A:A,BugList!H:H)</f>
        <v/>
      </c>
      <c r="L595" t="str">
        <f>IF(K595 = "","",_xlfn.XLOOKUP(B595, BugList!A:A,BugList!B:B,""))</f>
        <v/>
      </c>
      <c r="M595">
        <f>_xlfn.XLOOKUP(D595,BugList!C:C,BugList!N:N)</f>
        <v>4</v>
      </c>
      <c r="N595">
        <f>_xlfn.XLOOKUP(B595,BugList!A:A,BugList!R:R)</f>
        <v>4</v>
      </c>
      <c r="O595" t="b">
        <f>_xlfn.XLOOKUP(B595,BugList!A:A,BugList!L:L)</f>
        <v>0</v>
      </c>
      <c r="P595" t="b">
        <f t="shared" si="57"/>
        <v>0</v>
      </c>
      <c r="R595" t="b">
        <f>SUMPRODUCT(COUNTIF(_xlfn.XLOOKUP(B595,BugList!A:A,BugList!P:P), "*SC*"))&gt;0</f>
        <v>0</v>
      </c>
      <c r="S595" t="str">
        <f>_xlfn.XLOOKUP(B595,BugList!A:A,BugList!W:W)</f>
        <v/>
      </c>
      <c r="T595">
        <f t="shared" si="58"/>
        <v>8</v>
      </c>
      <c r="U595">
        <f t="shared" si="59"/>
        <v>8</v>
      </c>
    </row>
    <row r="596" spans="1:21">
      <c r="A596" t="s">
        <v>2646</v>
      </c>
      <c r="B596">
        <v>187</v>
      </c>
      <c r="D596" t="s">
        <v>498</v>
      </c>
      <c r="E596" t="s">
        <v>498</v>
      </c>
      <c r="F596">
        <v>1</v>
      </c>
      <c r="G596">
        <f t="shared" si="60"/>
        <v>0.92592592592592582</v>
      </c>
      <c r="H596">
        <f t="shared" si="61"/>
        <v>0</v>
      </c>
      <c r="I596">
        <f t="shared" si="62"/>
        <v>0.92592592592592582</v>
      </c>
      <c r="J596" cm="1">
        <f t="array" ref="J596">INT(G596)+IF(100-SUM(INT(G$595:G$612))&gt;=RANK(I596,I$595:I$612)+COUNTIF(I$595:I596,I596)-1,1,0)</f>
        <v>1</v>
      </c>
      <c r="K596" t="str">
        <f>_xlfn.XLOOKUP(B596,BugList!A:A,BugList!H:H)</f>
        <v>*</v>
      </c>
      <c r="L596" t="str">
        <f>IF(K596 = "","",_xlfn.XLOOKUP(B596, BugList!A:A,BugList!B:B,""))</f>
        <v>Plecoptera</v>
      </c>
      <c r="M596">
        <f>_xlfn.XLOOKUP(D596,BugList!C:C,BugList!N:N)</f>
        <v>1</v>
      </c>
      <c r="N596">
        <f>_xlfn.XLOOKUP(B596,BugList!A:A,BugList!R:R)</f>
        <v>1</v>
      </c>
      <c r="O596" t="b">
        <f>_xlfn.XLOOKUP(B596,BugList!A:A,BugList!L:L)</f>
        <v>1</v>
      </c>
      <c r="P596" t="b">
        <f t="shared" si="57"/>
        <v>1</v>
      </c>
      <c r="R596" t="b">
        <f>SUMPRODUCT(COUNTIF(_xlfn.XLOOKUP(B596,BugList!A:A,BugList!P:P), "*SC*"))&gt;0</f>
        <v>0</v>
      </c>
      <c r="S596" t="str">
        <f>_xlfn.XLOOKUP(B596,BugList!A:A,BugList!W:W)</f>
        <v>2</v>
      </c>
      <c r="T596">
        <f t="shared" si="58"/>
        <v>1</v>
      </c>
      <c r="U596">
        <f t="shared" si="59"/>
        <v>1</v>
      </c>
    </row>
    <row r="597" spans="1:21">
      <c r="A597" t="s">
        <v>2646</v>
      </c>
      <c r="B597">
        <v>372</v>
      </c>
      <c r="D597" t="s">
        <v>88</v>
      </c>
      <c r="E597" t="s">
        <v>88</v>
      </c>
      <c r="F597">
        <v>1</v>
      </c>
      <c r="G597">
        <f t="shared" si="60"/>
        <v>0.92592592592592582</v>
      </c>
      <c r="H597">
        <f t="shared" si="61"/>
        <v>0</v>
      </c>
      <c r="I597">
        <f t="shared" si="62"/>
        <v>0.92592592592592582</v>
      </c>
      <c r="J597" cm="1">
        <f t="array" ref="J597">INT(G597)+IF(100-SUM(INT(G$595:G$612))&gt;=RANK(I597,I$595:I$612)+COUNTIF(I$595:I597,I597)-1,1,0)</f>
        <v>1</v>
      </c>
      <c r="K597" t="str">
        <f>_xlfn.XLOOKUP(B597,BugList!A:A,BugList!H:H)</f>
        <v/>
      </c>
      <c r="L597" t="str">
        <f>IF(K597 = "","",_xlfn.XLOOKUP(B597, BugList!A:A,BugList!B:B,""))</f>
        <v/>
      </c>
      <c r="M597">
        <f>_xlfn.XLOOKUP(D597,BugList!C:C,BugList!N:N)</f>
        <v>8</v>
      </c>
      <c r="N597">
        <f>_xlfn.XLOOKUP(B597,BugList!A:A,BugList!R:R)</f>
        <v>8</v>
      </c>
      <c r="O597" t="b">
        <f>_xlfn.XLOOKUP(B597,BugList!A:A,BugList!L:L)</f>
        <v>0</v>
      </c>
      <c r="P597" t="b">
        <f t="shared" si="57"/>
        <v>0</v>
      </c>
      <c r="R597" t="b">
        <f>SUMPRODUCT(COUNTIF(_xlfn.XLOOKUP(B597,BugList!A:A,BugList!P:P), "*SC*"))&gt;0</f>
        <v>0</v>
      </c>
      <c r="S597" t="str">
        <f>_xlfn.XLOOKUP(B597,BugList!A:A,BugList!W:W)</f>
        <v/>
      </c>
      <c r="T597">
        <f t="shared" si="58"/>
        <v>8</v>
      </c>
      <c r="U597">
        <f t="shared" si="59"/>
        <v>8</v>
      </c>
    </row>
    <row r="598" spans="1:21">
      <c r="A598" t="s">
        <v>2646</v>
      </c>
      <c r="B598">
        <v>421</v>
      </c>
      <c r="D598" t="s">
        <v>105</v>
      </c>
      <c r="E598" t="s">
        <v>105</v>
      </c>
      <c r="F598">
        <v>2</v>
      </c>
      <c r="G598">
        <f t="shared" si="60"/>
        <v>1.8518518518518516</v>
      </c>
      <c r="H598">
        <f t="shared" si="61"/>
        <v>1</v>
      </c>
      <c r="I598">
        <f t="shared" si="62"/>
        <v>0.85185185185185164</v>
      </c>
      <c r="J598" cm="1">
        <f t="array" ref="J598">INT(G598)+IF(100-SUM(INT(G$595:G$612))&gt;=RANK(I598,I$595:I$612)+COUNTIF(I$595:I598,I598)-1,1,0)</f>
        <v>2</v>
      </c>
      <c r="K598" t="str">
        <f>_xlfn.XLOOKUP(B598,BugList!A:A,BugList!H:H)</f>
        <v>*</v>
      </c>
      <c r="L598" t="str">
        <f>IF(K598 = "","",_xlfn.XLOOKUP(B598, BugList!A:A,BugList!B:B,""))</f>
        <v>Plecoptera</v>
      </c>
      <c r="M598">
        <f>_xlfn.XLOOKUP(D598,BugList!C:C,BugList!N:N)</f>
        <v>1</v>
      </c>
      <c r="N598">
        <f>_xlfn.XLOOKUP(B598,BugList!A:A,BugList!R:R)</f>
        <v>1</v>
      </c>
      <c r="O598" t="b">
        <f>_xlfn.XLOOKUP(B598,BugList!A:A,BugList!L:L)</f>
        <v>1</v>
      </c>
      <c r="P598" t="b">
        <f t="shared" si="57"/>
        <v>1</v>
      </c>
      <c r="R598" t="b">
        <f>SUMPRODUCT(COUNTIF(_xlfn.XLOOKUP(B598,BugList!A:A,BugList!P:P), "*SC*"))&gt;0</f>
        <v>0</v>
      </c>
      <c r="S598" t="str">
        <f>_xlfn.XLOOKUP(B598,BugList!A:A,BugList!W:W)</f>
        <v/>
      </c>
      <c r="T598">
        <f t="shared" si="58"/>
        <v>2</v>
      </c>
      <c r="U598">
        <f t="shared" si="59"/>
        <v>2</v>
      </c>
    </row>
    <row r="599" spans="1:21">
      <c r="A599" t="s">
        <v>2646</v>
      </c>
      <c r="B599">
        <v>436</v>
      </c>
      <c r="D599" t="s">
        <v>106</v>
      </c>
      <c r="E599" t="s">
        <v>106</v>
      </c>
      <c r="F599">
        <v>12</v>
      </c>
      <c r="G599">
        <f t="shared" si="60"/>
        <v>11.111111111111111</v>
      </c>
      <c r="H599">
        <f t="shared" si="61"/>
        <v>11</v>
      </c>
      <c r="I599">
        <f t="shared" si="62"/>
        <v>0.11111111111111072</v>
      </c>
      <c r="J599" cm="1">
        <f t="array" ref="J599">INT(G599)+IF(100-SUM(INT(G$595:G$612))&gt;=RANK(I599,I$595:I$612)+COUNTIF(I$595:I599,I599)-1,1,0)</f>
        <v>11</v>
      </c>
      <c r="K599" t="str">
        <f>_xlfn.XLOOKUP(B599,BugList!A:A,BugList!H:H)</f>
        <v>*</v>
      </c>
      <c r="L599" t="str">
        <f>IF(K599 = "","",_xlfn.XLOOKUP(B599, BugList!A:A,BugList!B:B,""))</f>
        <v>Plecoptera</v>
      </c>
      <c r="M599">
        <f>_xlfn.XLOOKUP(D599,BugList!C:C,BugList!N:N)</f>
        <v>2</v>
      </c>
      <c r="N599">
        <f>_xlfn.XLOOKUP(B599,BugList!A:A,BugList!R:R)</f>
        <v>2</v>
      </c>
      <c r="O599" t="b">
        <f>_xlfn.XLOOKUP(B599,BugList!A:A,BugList!L:L)</f>
        <v>1</v>
      </c>
      <c r="P599" t="b">
        <f t="shared" si="57"/>
        <v>1</v>
      </c>
      <c r="R599" t="b">
        <f>SUMPRODUCT(COUNTIF(_xlfn.XLOOKUP(B599,BugList!A:A,BugList!P:P), "*SC*"))&gt;0</f>
        <v>0</v>
      </c>
      <c r="S599" t="str">
        <f>_xlfn.XLOOKUP(B599,BugList!A:A,BugList!W:W)</f>
        <v/>
      </c>
      <c r="T599">
        <f t="shared" si="58"/>
        <v>22</v>
      </c>
      <c r="U599">
        <f t="shared" si="59"/>
        <v>22</v>
      </c>
    </row>
    <row r="600" spans="1:21">
      <c r="A600" t="s">
        <v>2646</v>
      </c>
      <c r="B600">
        <v>545</v>
      </c>
      <c r="D600" t="s">
        <v>969</v>
      </c>
      <c r="E600" t="s">
        <v>969</v>
      </c>
      <c r="F600">
        <v>4</v>
      </c>
      <c r="G600">
        <f t="shared" si="60"/>
        <v>3.7037037037037033</v>
      </c>
      <c r="H600">
        <f t="shared" si="61"/>
        <v>3</v>
      </c>
      <c r="I600">
        <f t="shared" si="62"/>
        <v>0.70370370370370328</v>
      </c>
      <c r="J600" cm="1">
        <f t="array" ref="J600">INT(G600)+IF(100-SUM(INT(G$595:G$612))&gt;=RANK(I600,I$595:I$612)+COUNTIF(I$595:I600,I600)-1,1,0)</f>
        <v>4</v>
      </c>
      <c r="K600" t="str">
        <f>_xlfn.XLOOKUP(B600,BugList!A:A,BugList!H:H)</f>
        <v>*</v>
      </c>
      <c r="L600" t="str">
        <f>IF(K600 = "","",_xlfn.XLOOKUP(B600, BugList!A:A,BugList!B:B,""))</f>
        <v>Ephemeroptera</v>
      </c>
      <c r="M600">
        <f>_xlfn.XLOOKUP(D600,BugList!C:C,BugList!N:N)</f>
        <v>7</v>
      </c>
      <c r="N600">
        <f>_xlfn.XLOOKUP(B600,BugList!A:A,BugList!R:R)</f>
        <v>7</v>
      </c>
      <c r="O600" t="b">
        <f>_xlfn.XLOOKUP(B600,BugList!A:A,BugList!L:L)</f>
        <v>1</v>
      </c>
      <c r="P600" t="b">
        <f t="shared" si="57"/>
        <v>1</v>
      </c>
      <c r="R600" t="b">
        <f>SUMPRODUCT(COUNTIF(_xlfn.XLOOKUP(B600,BugList!A:A,BugList!P:P), "*SC*"))&gt;0</f>
        <v>0</v>
      </c>
      <c r="S600" t="str">
        <f>_xlfn.XLOOKUP(B600,BugList!A:A,BugList!W:W)</f>
        <v/>
      </c>
      <c r="T600">
        <f t="shared" si="58"/>
        <v>28</v>
      </c>
      <c r="U600">
        <f t="shared" si="59"/>
        <v>28</v>
      </c>
    </row>
    <row r="601" spans="1:21">
      <c r="A601" t="s">
        <v>2646</v>
      </c>
      <c r="B601">
        <v>620</v>
      </c>
      <c r="D601" t="s">
        <v>113</v>
      </c>
      <c r="E601" t="s">
        <v>113</v>
      </c>
      <c r="F601">
        <v>2</v>
      </c>
      <c r="G601">
        <f t="shared" si="60"/>
        <v>1.8518518518518516</v>
      </c>
      <c r="H601">
        <f t="shared" si="61"/>
        <v>1</v>
      </c>
      <c r="I601">
        <f t="shared" si="62"/>
        <v>0.85185185185185164</v>
      </c>
      <c r="J601" cm="1">
        <f t="array" ref="J601">INT(G601)+IF(100-SUM(INT(G$595:G$612))&gt;=RANK(I601,I$595:I$612)+COUNTIF(I$595:I601,I601)-1,1,0)</f>
        <v>2</v>
      </c>
      <c r="K601" t="str">
        <f>_xlfn.XLOOKUP(B601,BugList!A:A,BugList!H:H)</f>
        <v/>
      </c>
      <c r="L601" t="str">
        <f>IF(K601 = "","",_xlfn.XLOOKUP(B601, BugList!A:A,BugList!B:B,""))</f>
        <v/>
      </c>
      <c r="M601">
        <f>_xlfn.XLOOKUP(D601,BugList!C:C,BugList!N:N)</f>
        <v>1</v>
      </c>
      <c r="N601">
        <f>_xlfn.XLOOKUP(B601,BugList!A:A,BugList!R:R)</f>
        <v>1</v>
      </c>
      <c r="O601" t="b">
        <f>_xlfn.XLOOKUP(B601,BugList!A:A,BugList!L:L)</f>
        <v>1</v>
      </c>
      <c r="P601" t="b">
        <f t="shared" si="57"/>
        <v>0</v>
      </c>
      <c r="R601" t="b">
        <f>SUMPRODUCT(COUNTIF(_xlfn.XLOOKUP(B601,BugList!A:A,BugList!P:P), "*SC*"))&gt;0</f>
        <v>0</v>
      </c>
      <c r="S601" t="str">
        <f>_xlfn.XLOOKUP(B601,BugList!A:A,BugList!W:W)</f>
        <v>3</v>
      </c>
      <c r="T601">
        <f t="shared" si="58"/>
        <v>2</v>
      </c>
      <c r="U601">
        <f t="shared" si="59"/>
        <v>2</v>
      </c>
    </row>
    <row r="602" spans="1:21">
      <c r="A602" t="s">
        <v>2646</v>
      </c>
      <c r="B602">
        <v>794</v>
      </c>
      <c r="D602" t="s">
        <v>89</v>
      </c>
      <c r="E602" t="s">
        <v>89</v>
      </c>
      <c r="F602">
        <v>11</v>
      </c>
      <c r="G602">
        <f t="shared" si="60"/>
        <v>10.185185185185185</v>
      </c>
      <c r="H602">
        <f t="shared" si="61"/>
        <v>10</v>
      </c>
      <c r="I602">
        <f t="shared" si="62"/>
        <v>0.18518518518518512</v>
      </c>
      <c r="J602" cm="1">
        <f t="array" ref="J602">INT(G602)+IF(100-SUM(INT(G$595:G$612))&gt;=RANK(I602,I$595:I$612)+COUNTIF(I$595:I602,I602)-1,1,0)</f>
        <v>10</v>
      </c>
      <c r="K602" t="str">
        <f>_xlfn.XLOOKUP(B602,BugList!A:A,BugList!H:H)</f>
        <v>*</v>
      </c>
      <c r="L602" t="str">
        <f>IF(K602 = "","",_xlfn.XLOOKUP(B602, BugList!A:A,BugList!B:B,""))</f>
        <v>Trichoptera</v>
      </c>
      <c r="M602">
        <f>_xlfn.XLOOKUP(D602,BugList!C:C,BugList!N:N)</f>
        <v>4</v>
      </c>
      <c r="N602">
        <f>_xlfn.XLOOKUP(B602,BugList!A:A,BugList!R:R)</f>
        <v>4</v>
      </c>
      <c r="O602" t="b">
        <f>_xlfn.XLOOKUP(B602,BugList!A:A,BugList!L:L)</f>
        <v>1</v>
      </c>
      <c r="P602" t="b">
        <f t="shared" si="57"/>
        <v>0</v>
      </c>
      <c r="R602" t="b">
        <f>SUMPRODUCT(COUNTIF(_xlfn.XLOOKUP(B602,BugList!A:A,BugList!P:P), "*SC*"))&gt;0</f>
        <v>0</v>
      </c>
      <c r="S602" t="str">
        <f>_xlfn.XLOOKUP(B602,BugList!A:A,BugList!W:W)</f>
        <v/>
      </c>
      <c r="T602">
        <f t="shared" si="58"/>
        <v>40</v>
      </c>
      <c r="U602">
        <f t="shared" si="59"/>
        <v>40</v>
      </c>
    </row>
    <row r="603" spans="1:21">
      <c r="A603" t="s">
        <v>2646</v>
      </c>
      <c r="B603">
        <v>837</v>
      </c>
      <c r="D603" t="s">
        <v>107</v>
      </c>
      <c r="E603" t="s">
        <v>107</v>
      </c>
      <c r="F603">
        <v>19</v>
      </c>
      <c r="G603">
        <f t="shared" si="60"/>
        <v>17.592592592592592</v>
      </c>
      <c r="H603">
        <f t="shared" si="61"/>
        <v>17</v>
      </c>
      <c r="I603">
        <f t="shared" si="62"/>
        <v>0.59259259259259167</v>
      </c>
      <c r="J603" cm="1">
        <f t="array" ref="J603">INT(G603)+IF(100-SUM(INT(G$595:G$612))&gt;=RANK(I603,I$595:I$612)+COUNTIF(I$595:I603,I603)-1,1,0)</f>
        <v>17</v>
      </c>
      <c r="K603" t="str">
        <f>_xlfn.XLOOKUP(B603,BugList!A:A,BugList!H:H)</f>
        <v>*</v>
      </c>
      <c r="L603" t="str">
        <f>IF(K603 = "","",_xlfn.XLOOKUP(B603, BugList!A:A,BugList!B:B,""))</f>
        <v>Trichoptera</v>
      </c>
      <c r="M603">
        <f>_xlfn.XLOOKUP(D603,BugList!C:C,BugList!N:N)</f>
        <v>3</v>
      </c>
      <c r="N603">
        <f>_xlfn.XLOOKUP(B603,BugList!A:A,BugList!R:R)</f>
        <v>3</v>
      </c>
      <c r="O603" t="b">
        <f>_xlfn.XLOOKUP(B603,BugList!A:A,BugList!L:L)</f>
        <v>1</v>
      </c>
      <c r="P603" t="b">
        <f t="shared" si="57"/>
        <v>1</v>
      </c>
      <c r="R603" t="b">
        <f>SUMPRODUCT(COUNTIF(_xlfn.XLOOKUP(B603,BugList!A:A,BugList!P:P), "*SC*"))&gt;0</f>
        <v>0</v>
      </c>
      <c r="S603" t="str">
        <f>_xlfn.XLOOKUP(B603,BugList!A:A,BugList!W:W)</f>
        <v/>
      </c>
      <c r="T603">
        <f t="shared" si="58"/>
        <v>51</v>
      </c>
      <c r="U603">
        <f t="shared" si="59"/>
        <v>51</v>
      </c>
    </row>
    <row r="604" spans="1:21">
      <c r="A604" t="s">
        <v>2646</v>
      </c>
      <c r="B604">
        <v>935</v>
      </c>
      <c r="D604" t="s">
        <v>98</v>
      </c>
      <c r="E604" t="s">
        <v>98</v>
      </c>
      <c r="F604">
        <v>1</v>
      </c>
      <c r="G604">
        <f t="shared" si="60"/>
        <v>0.92592592592592582</v>
      </c>
      <c r="H604">
        <f t="shared" si="61"/>
        <v>0</v>
      </c>
      <c r="I604">
        <f t="shared" si="62"/>
        <v>0.92592592592592582</v>
      </c>
      <c r="J604" cm="1">
        <f t="array" ref="J604">INT(G604)+IF(100-SUM(INT(G$595:G$612))&gt;=RANK(I604,I$595:I$612)+COUNTIF(I$595:I604,I604)-1,1,0)</f>
        <v>1</v>
      </c>
      <c r="K604" t="str">
        <f>_xlfn.XLOOKUP(B604,BugList!A:A,BugList!H:H)</f>
        <v/>
      </c>
      <c r="L604" t="str">
        <f>IF(K604 = "","",_xlfn.XLOOKUP(B604, BugList!A:A,BugList!B:B,""))</f>
        <v/>
      </c>
      <c r="M604">
        <f>_xlfn.XLOOKUP(D604,BugList!C:C,BugList!N:N)</f>
        <v>4</v>
      </c>
      <c r="N604">
        <f>_xlfn.XLOOKUP(B604,BugList!A:A,BugList!R:R)</f>
        <v>4</v>
      </c>
      <c r="O604" t="b">
        <f>_xlfn.XLOOKUP(B604,BugList!A:A,BugList!L:L)</f>
        <v>1</v>
      </c>
      <c r="P604" t="b">
        <f t="shared" si="57"/>
        <v>0</v>
      </c>
      <c r="R604" t="b">
        <f>SUMPRODUCT(COUNTIF(_xlfn.XLOOKUP(B604,BugList!A:A,BugList!P:P), "*SC*"))&gt;0</f>
        <v>1</v>
      </c>
      <c r="S604" t="str">
        <f>_xlfn.XLOOKUP(B604,BugList!A:A,BugList!W:W)</f>
        <v/>
      </c>
      <c r="T604">
        <f t="shared" si="58"/>
        <v>4</v>
      </c>
      <c r="U604">
        <f t="shared" si="59"/>
        <v>4</v>
      </c>
    </row>
    <row r="605" spans="1:21">
      <c r="A605" t="s">
        <v>2646</v>
      </c>
      <c r="B605">
        <v>1002</v>
      </c>
      <c r="D605" t="s">
        <v>100</v>
      </c>
      <c r="E605" t="s">
        <v>100</v>
      </c>
      <c r="F605">
        <v>23</v>
      </c>
      <c r="G605">
        <f t="shared" si="60"/>
        <v>21.296296296296298</v>
      </c>
      <c r="H605">
        <f t="shared" si="61"/>
        <v>21</v>
      </c>
      <c r="I605">
        <f t="shared" si="62"/>
        <v>0.29629629629629761</v>
      </c>
      <c r="J605" cm="1">
        <f t="array" ref="J605">INT(G605)+IF(100-SUM(INT(G$595:G$612))&gt;=RANK(I605,I$595:I$612)+COUNTIF(I$595:I605,I605)-1,1,0)</f>
        <v>21</v>
      </c>
      <c r="K605" t="str">
        <f>_xlfn.XLOOKUP(B605,BugList!A:A,BugList!H:H)</f>
        <v/>
      </c>
      <c r="L605" t="str">
        <f>IF(K605 = "","",_xlfn.XLOOKUP(B605, BugList!A:A,BugList!B:B,""))</f>
        <v/>
      </c>
      <c r="M605">
        <f>_xlfn.XLOOKUP(D605,BugList!C:C,BugList!N:N)</f>
        <v>4</v>
      </c>
      <c r="N605">
        <f>_xlfn.XLOOKUP(B605,BugList!A:A,BugList!R:R)</f>
        <v>4</v>
      </c>
      <c r="O605" t="b">
        <f>_xlfn.XLOOKUP(B605,BugList!A:A,BugList!L:L)</f>
        <v>1</v>
      </c>
      <c r="P605" t="b">
        <f t="shared" si="57"/>
        <v>0</v>
      </c>
      <c r="R605" t="b">
        <f>SUMPRODUCT(COUNTIF(_xlfn.XLOOKUP(B605,BugList!A:A,BugList!P:P), "*SC*"))&gt;0</f>
        <v>1</v>
      </c>
      <c r="S605" t="str">
        <f>_xlfn.XLOOKUP(B605,BugList!A:A,BugList!W:W)</f>
        <v/>
      </c>
      <c r="T605">
        <f t="shared" si="58"/>
        <v>84</v>
      </c>
      <c r="U605">
        <f t="shared" si="59"/>
        <v>84</v>
      </c>
    </row>
    <row r="606" spans="1:21">
      <c r="A606" t="s">
        <v>2646</v>
      </c>
      <c r="B606">
        <v>1088</v>
      </c>
      <c r="D606" t="s">
        <v>90</v>
      </c>
      <c r="E606" t="s">
        <v>90</v>
      </c>
      <c r="F606">
        <v>5</v>
      </c>
      <c r="G606">
        <f t="shared" si="60"/>
        <v>4.6296296296296298</v>
      </c>
      <c r="H606">
        <f t="shared" si="61"/>
        <v>4</v>
      </c>
      <c r="I606">
        <f t="shared" si="62"/>
        <v>0.62962962962962976</v>
      </c>
      <c r="J606" cm="1">
        <f t="array" ref="J606">INT(G606)+IF(100-SUM(INT(G$595:G$612))&gt;=RANK(I606,I$595:I$612)+COUNTIF(I$595:I606,I606)-1,1,0)</f>
        <v>5</v>
      </c>
      <c r="K606" t="str">
        <f>_xlfn.XLOOKUP(B606,BugList!A:A,BugList!H:H)</f>
        <v/>
      </c>
      <c r="L606" t="str">
        <f>IF(K606 = "","",_xlfn.XLOOKUP(B606, BugList!A:A,BugList!B:B,""))</f>
        <v/>
      </c>
      <c r="M606">
        <f>_xlfn.XLOOKUP(D606,BugList!C:C,BugList!N:N)</f>
        <v>6</v>
      </c>
      <c r="N606">
        <f>_xlfn.XLOOKUP(B606,BugList!A:A,BugList!R:R)</f>
        <v>6</v>
      </c>
      <c r="O606" t="b">
        <f>_xlfn.XLOOKUP(B606,BugList!A:A,BugList!L:L)</f>
        <v>1</v>
      </c>
      <c r="P606" t="b">
        <f t="shared" si="57"/>
        <v>0</v>
      </c>
      <c r="R606" t="b">
        <f>SUMPRODUCT(COUNTIF(_xlfn.XLOOKUP(B606,BugList!A:A,BugList!P:P), "*SC*"))&gt;0</f>
        <v>0</v>
      </c>
      <c r="S606" t="str">
        <f>_xlfn.XLOOKUP(B606,BugList!A:A,BugList!W:W)</f>
        <v/>
      </c>
      <c r="T606">
        <f t="shared" si="58"/>
        <v>30</v>
      </c>
      <c r="U606">
        <f t="shared" si="59"/>
        <v>30</v>
      </c>
    </row>
    <row r="607" spans="1:21">
      <c r="A607" t="s">
        <v>2646</v>
      </c>
      <c r="B607">
        <v>1089</v>
      </c>
      <c r="D607" t="s">
        <v>126</v>
      </c>
      <c r="E607" t="s">
        <v>127</v>
      </c>
      <c r="F607">
        <v>1</v>
      </c>
      <c r="G607">
        <f t="shared" si="60"/>
        <v>0.92592592592592582</v>
      </c>
      <c r="H607">
        <f t="shared" si="61"/>
        <v>0</v>
      </c>
      <c r="I607">
        <f t="shared" si="62"/>
        <v>0.92592592592592582</v>
      </c>
      <c r="J607" cm="1">
        <f t="array" ref="J607">INT(G607)+IF(100-SUM(INT(G$595:G$612))&gt;=RANK(I607,I$595:I$612)+COUNTIF(I$595:I607,I607)-1,1,0)</f>
        <v>1</v>
      </c>
      <c r="K607" t="str">
        <f>_xlfn.XLOOKUP(B607,BugList!A:A,BugList!H:H)</f>
        <v/>
      </c>
      <c r="L607" t="str">
        <f>IF(K607 = "","",_xlfn.XLOOKUP(B607, BugList!A:A,BugList!B:B,""))</f>
        <v/>
      </c>
      <c r="M607">
        <f>_xlfn.XLOOKUP(D607,BugList!C:C,BugList!N:N)</f>
        <v>8</v>
      </c>
      <c r="N607">
        <f>_xlfn.XLOOKUP(B607,BugList!A:A,BugList!R:R)</f>
        <v>10</v>
      </c>
      <c r="O607" t="b">
        <f>_xlfn.XLOOKUP(B607,BugList!A:A,BugList!L:L)</f>
        <v>1</v>
      </c>
      <c r="P607" t="b">
        <f t="shared" si="57"/>
        <v>0</v>
      </c>
      <c r="R607" t="b">
        <f>SUMPRODUCT(COUNTIF(_xlfn.XLOOKUP(B607,BugList!A:A,BugList!P:P), "*SC*"))&gt;0</f>
        <v>0</v>
      </c>
      <c r="S607" t="str">
        <f>_xlfn.XLOOKUP(B607,BugList!A:A,BugList!W:W)</f>
        <v/>
      </c>
      <c r="T607">
        <f t="shared" si="58"/>
        <v>8</v>
      </c>
      <c r="U607">
        <f t="shared" si="59"/>
        <v>10</v>
      </c>
    </row>
    <row r="608" spans="1:21">
      <c r="A608" t="s">
        <v>2646</v>
      </c>
      <c r="B608">
        <v>1199</v>
      </c>
      <c r="D608" t="s">
        <v>131</v>
      </c>
      <c r="E608" t="s">
        <v>131</v>
      </c>
      <c r="F608">
        <v>1</v>
      </c>
      <c r="G608">
        <f t="shared" si="60"/>
        <v>0.92592592592592582</v>
      </c>
      <c r="H608">
        <f t="shared" si="61"/>
        <v>0</v>
      </c>
      <c r="I608">
        <f t="shared" si="62"/>
        <v>0.92592592592592582</v>
      </c>
      <c r="J608" cm="1">
        <f t="array" ref="J608">INT(G608)+IF(100-SUM(INT(G$595:G$612))&gt;=RANK(I608,I$595:I$612)+COUNTIF(I$595:I608,I608)-1,1,0)</f>
        <v>1</v>
      </c>
      <c r="K608" t="str">
        <f>_xlfn.XLOOKUP(B608,BugList!A:A,BugList!H:H)</f>
        <v/>
      </c>
      <c r="L608" t="str">
        <f>IF(K608 = "","",_xlfn.XLOOKUP(B608, BugList!A:A,BugList!B:B,""))</f>
        <v/>
      </c>
      <c r="M608">
        <f>_xlfn.XLOOKUP(D608,BugList!C:C,BugList!N:N)</f>
        <v>6</v>
      </c>
      <c r="N608">
        <f>_xlfn.XLOOKUP(B608,BugList!A:A,BugList!R:R)</f>
        <v>6</v>
      </c>
      <c r="O608" t="b">
        <f>_xlfn.XLOOKUP(B608,BugList!A:A,BugList!L:L)</f>
        <v>1</v>
      </c>
      <c r="P608" t="b">
        <f t="shared" si="57"/>
        <v>0</v>
      </c>
      <c r="R608" t="b">
        <f>SUMPRODUCT(COUNTIF(_xlfn.XLOOKUP(B608,BugList!A:A,BugList!P:P), "*SC*"))&gt;0</f>
        <v>0</v>
      </c>
      <c r="S608" t="str">
        <f>_xlfn.XLOOKUP(B608,BugList!A:A,BugList!W:W)</f>
        <v/>
      </c>
      <c r="T608">
        <f t="shared" si="58"/>
        <v>6</v>
      </c>
      <c r="U608">
        <f t="shared" si="59"/>
        <v>6</v>
      </c>
    </row>
    <row r="609" spans="1:21">
      <c r="A609" t="s">
        <v>2646</v>
      </c>
      <c r="B609">
        <v>1436</v>
      </c>
      <c r="D609" t="s">
        <v>101</v>
      </c>
      <c r="E609" t="s">
        <v>101</v>
      </c>
      <c r="F609">
        <v>11</v>
      </c>
      <c r="G609">
        <f t="shared" si="60"/>
        <v>10.185185185185185</v>
      </c>
      <c r="H609">
        <f t="shared" si="61"/>
        <v>10</v>
      </c>
      <c r="I609">
        <f t="shared" si="62"/>
        <v>0.18518518518518512</v>
      </c>
      <c r="J609" cm="1">
        <f t="array" ref="J609">INT(G609)+IF(100-SUM(INT(G$595:G$612))&gt;=RANK(I609,I$595:I$612)+COUNTIF(I$595:I609,I609)-1,1,0)</f>
        <v>10</v>
      </c>
      <c r="K609" t="str">
        <f>_xlfn.XLOOKUP(B609,BugList!A:A,BugList!H:H)</f>
        <v/>
      </c>
      <c r="L609" t="str">
        <f>IF(K609 = "","",_xlfn.XLOOKUP(B609, BugList!A:A,BugList!B:B,""))</f>
        <v/>
      </c>
      <c r="M609">
        <f>_xlfn.XLOOKUP(D609,BugList!C:C,BugList!N:N)</f>
        <v>6</v>
      </c>
      <c r="N609">
        <f>_xlfn.XLOOKUP(B609,BugList!A:A,BugList!R:R)</f>
        <v>6</v>
      </c>
      <c r="O609" t="b">
        <f>_xlfn.XLOOKUP(B609,BugList!A:A,BugList!L:L)</f>
        <v>1</v>
      </c>
      <c r="P609" t="b">
        <f t="shared" si="57"/>
        <v>0</v>
      </c>
      <c r="R609" t="b">
        <f>SUMPRODUCT(COUNTIF(_xlfn.XLOOKUP(B609,BugList!A:A,BugList!P:P), "*SC*"))&gt;0</f>
        <v>0</v>
      </c>
      <c r="S609" t="str">
        <f>_xlfn.XLOOKUP(B609,BugList!A:A,BugList!W:W)</f>
        <v/>
      </c>
      <c r="T609">
        <f t="shared" si="58"/>
        <v>60</v>
      </c>
      <c r="U609">
        <f t="shared" si="59"/>
        <v>60</v>
      </c>
    </row>
    <row r="610" spans="1:21">
      <c r="A610" t="s">
        <v>2646</v>
      </c>
      <c r="B610">
        <v>1497</v>
      </c>
      <c r="D610" t="s">
        <v>108</v>
      </c>
      <c r="E610" t="s">
        <v>108</v>
      </c>
      <c r="F610">
        <v>6</v>
      </c>
      <c r="G610">
        <f t="shared" si="60"/>
        <v>5.5555555555555554</v>
      </c>
      <c r="H610">
        <f t="shared" si="61"/>
        <v>5</v>
      </c>
      <c r="I610">
        <f t="shared" si="62"/>
        <v>0.55555555555555536</v>
      </c>
      <c r="J610" cm="1">
        <f t="array" ref="J610">INT(G610)+IF(100-SUM(INT(G$595:G$612))&gt;=RANK(I610,I$595:I$612)+COUNTIF(I$595:I610,I610)-1,1,0)</f>
        <v>5</v>
      </c>
      <c r="K610" t="str">
        <f>_xlfn.XLOOKUP(B610,BugList!A:A,BugList!H:H)</f>
        <v/>
      </c>
      <c r="L610" t="str">
        <f>IF(K610 = "","",_xlfn.XLOOKUP(B610, BugList!A:A,BugList!B:B,""))</f>
        <v/>
      </c>
      <c r="M610">
        <f>_xlfn.XLOOKUP(D610,BugList!C:C,BugList!N:N)</f>
        <v>3</v>
      </c>
      <c r="N610">
        <f>_xlfn.XLOOKUP(B610,BugList!A:A,BugList!R:R)</f>
        <v>3</v>
      </c>
      <c r="O610" t="b">
        <f>_xlfn.XLOOKUP(B610,BugList!A:A,BugList!L:L)</f>
        <v>1</v>
      </c>
      <c r="P610" t="b">
        <f t="shared" si="57"/>
        <v>0</v>
      </c>
      <c r="R610" t="b">
        <f>SUMPRODUCT(COUNTIF(_xlfn.XLOOKUP(B610,BugList!A:A,BugList!P:P), "*SC*"))&gt;0</f>
        <v>0</v>
      </c>
      <c r="S610" t="str">
        <f>_xlfn.XLOOKUP(B610,BugList!A:A,BugList!W:W)</f>
        <v/>
      </c>
      <c r="T610">
        <f t="shared" si="58"/>
        <v>15</v>
      </c>
      <c r="U610">
        <f t="shared" si="59"/>
        <v>15</v>
      </c>
    </row>
    <row r="611" spans="1:21">
      <c r="A611" t="s">
        <v>2646</v>
      </c>
      <c r="B611">
        <v>1696</v>
      </c>
      <c r="D611" t="s">
        <v>94</v>
      </c>
      <c r="E611" t="s">
        <v>94</v>
      </c>
      <c r="F611">
        <v>5</v>
      </c>
      <c r="G611">
        <f t="shared" si="60"/>
        <v>4.6296296296296298</v>
      </c>
      <c r="H611">
        <f t="shared" si="61"/>
        <v>4</v>
      </c>
      <c r="I611">
        <f t="shared" si="62"/>
        <v>0.62962962962962976</v>
      </c>
      <c r="J611" cm="1">
        <f t="array" ref="J611">INT(G611)+IF(100-SUM(INT(G$595:G$612))&gt;=RANK(I611,I$595:I$612)+COUNTIF(I$595:I611,I611)-1,1,0)</f>
        <v>5</v>
      </c>
      <c r="K611" t="str">
        <f>_xlfn.XLOOKUP(B611,BugList!A:A,BugList!H:H)</f>
        <v/>
      </c>
      <c r="L611" t="str">
        <f>IF(K611 = "","",_xlfn.XLOOKUP(B611, BugList!A:A,BugList!B:B,""))</f>
        <v/>
      </c>
      <c r="M611">
        <f>_xlfn.XLOOKUP(D611,BugList!C:C,BugList!N:N)</f>
        <v>8</v>
      </c>
      <c r="N611">
        <f>_xlfn.XLOOKUP(B611,BugList!A:A,BugList!R:R)</f>
        <v>8</v>
      </c>
      <c r="O611" t="b">
        <f>_xlfn.XLOOKUP(B611,BugList!A:A,BugList!L:L)</f>
        <v>0</v>
      </c>
      <c r="P611" t="b">
        <f t="shared" si="57"/>
        <v>0</v>
      </c>
      <c r="R611" t="b">
        <f>SUMPRODUCT(COUNTIF(_xlfn.XLOOKUP(B611,BugList!A:A,BugList!P:P), "*SC*"))&gt;0</f>
        <v>0</v>
      </c>
      <c r="S611" t="str">
        <f>_xlfn.XLOOKUP(B611,BugList!A:A,BugList!W:W)</f>
        <v/>
      </c>
      <c r="T611">
        <f t="shared" si="58"/>
        <v>40</v>
      </c>
      <c r="U611">
        <f t="shared" si="59"/>
        <v>40</v>
      </c>
    </row>
    <row r="612" spans="1:21">
      <c r="A612" t="s">
        <v>2646</v>
      </c>
      <c r="B612">
        <v>2781</v>
      </c>
      <c r="D612" t="s">
        <v>109</v>
      </c>
      <c r="E612" t="s">
        <v>109</v>
      </c>
      <c r="F612">
        <v>1</v>
      </c>
      <c r="G612">
        <f t="shared" si="60"/>
        <v>0.92592592592592582</v>
      </c>
      <c r="H612">
        <f t="shared" si="61"/>
        <v>0</v>
      </c>
      <c r="I612">
        <f t="shared" si="62"/>
        <v>0.92592592592592582</v>
      </c>
      <c r="J612" cm="1">
        <f t="array" ref="J612">INT(G612)+IF(100-SUM(INT(G$595:G$612))&gt;=RANK(I612,I$595:I$612)+COUNTIF(I$595:I612,I612)-1,1,0)</f>
        <v>1</v>
      </c>
      <c r="K612" t="str">
        <f>_xlfn.XLOOKUP(B612,BugList!A:A,BugList!H:H)</f>
        <v/>
      </c>
      <c r="L612" t="str">
        <f>IF(K612 = "","",_xlfn.XLOOKUP(B612, BugList!A:A,BugList!B:B,""))</f>
        <v/>
      </c>
      <c r="M612">
        <f>_xlfn.XLOOKUP(D612,BugList!C:C,BugList!N:N)</f>
        <v>6</v>
      </c>
      <c r="N612">
        <f>_xlfn.XLOOKUP(B612,BugList!A:A,BugList!R:R)</f>
        <v>4</v>
      </c>
      <c r="O612" t="b">
        <f>_xlfn.XLOOKUP(B612,BugList!A:A,BugList!L:L)</f>
        <v>0</v>
      </c>
      <c r="P612" t="b">
        <f t="shared" si="57"/>
        <v>0</v>
      </c>
      <c r="R612" t="b">
        <f>SUMPRODUCT(COUNTIF(_xlfn.XLOOKUP(B612,BugList!A:A,BugList!P:P), "*SC*"))&gt;0</f>
        <v>0</v>
      </c>
      <c r="S612" t="str">
        <f>_xlfn.XLOOKUP(B612,BugList!A:A,BugList!W:W)</f>
        <v/>
      </c>
      <c r="T612">
        <f t="shared" si="58"/>
        <v>6</v>
      </c>
      <c r="U612">
        <f t="shared" si="59"/>
        <v>4</v>
      </c>
    </row>
    <row r="613" spans="1:21">
      <c r="A613" t="s">
        <v>2647</v>
      </c>
      <c r="B613">
        <v>63</v>
      </c>
      <c r="D613" t="s">
        <v>84</v>
      </c>
      <c r="E613" t="s">
        <v>84</v>
      </c>
      <c r="F613">
        <v>4</v>
      </c>
      <c r="G613">
        <f t="shared" si="60"/>
        <v>3.4188034188034191</v>
      </c>
      <c r="H613">
        <f t="shared" si="61"/>
        <v>3</v>
      </c>
      <c r="I613">
        <f t="shared" si="62"/>
        <v>0.41880341880341909</v>
      </c>
      <c r="J613" cm="1">
        <f t="array" ref="J613">INT(G613)+IF(100-SUM(INT(G$613:G$628))&gt;=RANK(I613,I$613:I$628)+COUNTIF(I$568:I658,I613)-1,1,0)</f>
        <v>3</v>
      </c>
      <c r="K613" t="str">
        <f>_xlfn.XLOOKUP(B613,BugList!A:A,BugList!H:H)</f>
        <v/>
      </c>
      <c r="L613" t="str">
        <f>IF(K613 = "","",_xlfn.XLOOKUP(B613, BugList!A:A,BugList!B:B,""))</f>
        <v/>
      </c>
      <c r="M613">
        <f>_xlfn.XLOOKUP(D613,BugList!C:C,BugList!N:N)</f>
        <v>8</v>
      </c>
      <c r="N613">
        <f>_xlfn.XLOOKUP(B613,BugList!A:A,BugList!R:R)</f>
        <v>8</v>
      </c>
      <c r="O613" t="b">
        <f>_xlfn.XLOOKUP(B613,BugList!A:A,BugList!L:L)</f>
        <v>0</v>
      </c>
      <c r="P613" t="b">
        <f t="shared" si="57"/>
        <v>0</v>
      </c>
      <c r="R613" t="b">
        <f>SUMPRODUCT(COUNTIF(_xlfn.XLOOKUP(B613,BugList!A:A,BugList!P:P), "*SC*"))&gt;0</f>
        <v>0</v>
      </c>
      <c r="S613" t="str">
        <f>_xlfn.XLOOKUP(B613,BugList!A:A,BugList!W:W)</f>
        <v/>
      </c>
      <c r="T613">
        <f t="shared" si="58"/>
        <v>24</v>
      </c>
      <c r="U613">
        <f t="shared" si="59"/>
        <v>24</v>
      </c>
    </row>
    <row r="614" spans="1:21">
      <c r="A614" t="s">
        <v>2647</v>
      </c>
      <c r="B614">
        <v>88</v>
      </c>
      <c r="D614" t="s">
        <v>85</v>
      </c>
      <c r="E614" t="s">
        <v>85</v>
      </c>
      <c r="F614">
        <v>12</v>
      </c>
      <c r="G614">
        <f t="shared" si="60"/>
        <v>10.256410256410255</v>
      </c>
      <c r="H614">
        <f t="shared" si="61"/>
        <v>10</v>
      </c>
      <c r="I614">
        <f t="shared" si="62"/>
        <v>0.2564102564102555</v>
      </c>
      <c r="J614" cm="1">
        <f t="array" ref="J614">INT(G614)+IF(100-SUM(INT(G$613:G$628))&gt;=RANK(I614,I$613:I$628)+COUNTIF(I$569:I658,I614)-1,1,0)</f>
        <v>10</v>
      </c>
      <c r="K614" t="str">
        <f>_xlfn.XLOOKUP(B614,BugList!A:A,BugList!H:H)</f>
        <v/>
      </c>
      <c r="L614" t="str">
        <f>IF(K614 = "","",_xlfn.XLOOKUP(B614, BugList!A:A,BugList!B:B,""))</f>
        <v/>
      </c>
      <c r="M614">
        <f>_xlfn.XLOOKUP(D614,BugList!C:C,BugList!N:N)</f>
        <v>4</v>
      </c>
      <c r="N614">
        <f>_xlfn.XLOOKUP(B614,BugList!A:A,BugList!R:R)</f>
        <v>4</v>
      </c>
      <c r="O614" t="b">
        <f>_xlfn.XLOOKUP(B614,BugList!A:A,BugList!L:L)</f>
        <v>0</v>
      </c>
      <c r="P614" t="b">
        <f t="shared" si="57"/>
        <v>0</v>
      </c>
      <c r="R614" t="b">
        <f>SUMPRODUCT(COUNTIF(_xlfn.XLOOKUP(B614,BugList!A:A,BugList!P:P), "*SC*"))&gt;0</f>
        <v>0</v>
      </c>
      <c r="S614" t="str">
        <f>_xlfn.XLOOKUP(B614,BugList!A:A,BugList!W:W)</f>
        <v/>
      </c>
      <c r="T614">
        <f t="shared" si="58"/>
        <v>40</v>
      </c>
      <c r="U614">
        <f t="shared" si="59"/>
        <v>40</v>
      </c>
    </row>
    <row r="615" spans="1:21">
      <c r="A615" t="s">
        <v>2647</v>
      </c>
      <c r="B615">
        <v>372</v>
      </c>
      <c r="D615" t="s">
        <v>88</v>
      </c>
      <c r="E615" t="s">
        <v>88</v>
      </c>
      <c r="F615">
        <v>2</v>
      </c>
      <c r="G615">
        <f t="shared" si="60"/>
        <v>1.7094017094017095</v>
      </c>
      <c r="H615">
        <f t="shared" si="61"/>
        <v>1</v>
      </c>
      <c r="I615">
        <f t="shared" si="62"/>
        <v>0.70940170940170955</v>
      </c>
      <c r="J615" cm="1">
        <f t="array" ref="J615">INT(G615)+IF(100-SUM(INT(G$613:G$628))&gt;=RANK(I615,I$613:I$628)+COUNTIF(I$570:I658,I615)-1,1,0)</f>
        <v>2</v>
      </c>
      <c r="K615" t="str">
        <f>_xlfn.XLOOKUP(B615,BugList!A:A,BugList!H:H)</f>
        <v/>
      </c>
      <c r="L615" t="str">
        <f>IF(K615 = "","",_xlfn.XLOOKUP(B615, BugList!A:A,BugList!B:B,""))</f>
        <v/>
      </c>
      <c r="M615">
        <f>_xlfn.XLOOKUP(D615,BugList!C:C,BugList!N:N)</f>
        <v>8</v>
      </c>
      <c r="N615">
        <f>_xlfn.XLOOKUP(B615,BugList!A:A,BugList!R:R)</f>
        <v>8</v>
      </c>
      <c r="O615" t="b">
        <f>_xlfn.XLOOKUP(B615,BugList!A:A,BugList!L:L)</f>
        <v>0</v>
      </c>
      <c r="P615" t="b">
        <f t="shared" si="57"/>
        <v>0</v>
      </c>
      <c r="R615" t="b">
        <f>SUMPRODUCT(COUNTIF(_xlfn.XLOOKUP(B615,BugList!A:A,BugList!P:P), "*SC*"))&gt;0</f>
        <v>0</v>
      </c>
      <c r="S615" t="str">
        <f>_xlfn.XLOOKUP(B615,BugList!A:A,BugList!W:W)</f>
        <v/>
      </c>
      <c r="T615">
        <f t="shared" si="58"/>
        <v>16</v>
      </c>
      <c r="U615">
        <f t="shared" si="59"/>
        <v>16</v>
      </c>
    </row>
    <row r="616" spans="1:21">
      <c r="A616" t="s">
        <v>2647</v>
      </c>
      <c r="B616">
        <v>500</v>
      </c>
      <c r="D616" t="s">
        <v>151</v>
      </c>
      <c r="E616" t="s">
        <v>151</v>
      </c>
      <c r="F616">
        <v>1</v>
      </c>
      <c r="G616">
        <f t="shared" si="60"/>
        <v>0.85470085470085477</v>
      </c>
      <c r="H616">
        <f t="shared" si="61"/>
        <v>0</v>
      </c>
      <c r="I616">
        <f t="shared" si="62"/>
        <v>0.85470085470085477</v>
      </c>
      <c r="J616" cm="1">
        <f t="array" ref="J616">INT(G616)+IF(100-SUM(INT(G$613:G$628))&gt;=RANK(I616,I$613:I$628)+COUNTIF(I$571:I658,I616)-1,1,0)</f>
        <v>1</v>
      </c>
      <c r="K616" t="str">
        <f>_xlfn.XLOOKUP(B616,BugList!A:A,BugList!H:H)</f>
        <v>*</v>
      </c>
      <c r="L616" t="str">
        <f>IF(K616 = "","",_xlfn.XLOOKUP(B616, BugList!A:A,BugList!B:B,""))</f>
        <v>Ephemeroptera</v>
      </c>
      <c r="M616">
        <f>_xlfn.XLOOKUP(D616,BugList!C:C,BugList!N:N)</f>
        <v>1</v>
      </c>
      <c r="N616">
        <f>_xlfn.XLOOKUP(B616,BugList!A:A,BugList!R:R)</f>
        <v>1</v>
      </c>
      <c r="O616" t="b">
        <f>_xlfn.XLOOKUP(B616,BugList!A:A,BugList!L:L)</f>
        <v>1</v>
      </c>
      <c r="P616" t="b">
        <f t="shared" si="57"/>
        <v>1</v>
      </c>
      <c r="R616" t="b">
        <f>SUMPRODUCT(COUNTIF(_xlfn.XLOOKUP(B616,BugList!A:A,BugList!P:P), "*SC*"))&gt;0</f>
        <v>1</v>
      </c>
      <c r="S616" t="str">
        <f>_xlfn.XLOOKUP(B616,BugList!A:A,BugList!W:W)</f>
        <v/>
      </c>
      <c r="T616">
        <f t="shared" si="58"/>
        <v>1</v>
      </c>
      <c r="U616">
        <f t="shared" si="59"/>
        <v>1</v>
      </c>
    </row>
    <row r="617" spans="1:21">
      <c r="A617" t="s">
        <v>2647</v>
      </c>
      <c r="B617">
        <v>513</v>
      </c>
      <c r="D617" t="s">
        <v>111</v>
      </c>
      <c r="E617" t="s">
        <v>111</v>
      </c>
      <c r="F617">
        <v>1</v>
      </c>
      <c r="G617">
        <f t="shared" ref="G617:G648" si="63">(F617/(SUMIFS(F:F,A:A,A617))*100)</f>
        <v>0.85470085470085477</v>
      </c>
      <c r="H617">
        <f t="shared" ref="H617:H648" si="64">INT(G617)</f>
        <v>0</v>
      </c>
      <c r="I617">
        <f t="shared" ref="I617:I648" si="65">G617-H617</f>
        <v>0.85470085470085477</v>
      </c>
      <c r="J617" cm="1">
        <f t="array" ref="J617">INT(G617)+IF(100-SUM(INT(G$613:G$628))&gt;=RANK(I617,I$613:I$628)+COUNTIF(I$572:I658,I617)-1,1,0)</f>
        <v>1</v>
      </c>
      <c r="K617" t="str">
        <f>_xlfn.XLOOKUP(B617,BugList!A:A,BugList!H:H)</f>
        <v>*</v>
      </c>
      <c r="L617" t="str">
        <f>IF(K617 = "","",_xlfn.XLOOKUP(B617, BugList!A:A,BugList!B:B,""))</f>
        <v>Ephemeroptera</v>
      </c>
      <c r="M617">
        <f>_xlfn.XLOOKUP(D617,BugList!C:C,BugList!N:N)</f>
        <v>4</v>
      </c>
      <c r="N617">
        <f>_xlfn.XLOOKUP(B617,BugList!A:A,BugList!R:R)</f>
        <v>4</v>
      </c>
      <c r="O617" t="b">
        <f>_xlfn.XLOOKUP(B617,BugList!A:A,BugList!L:L)</f>
        <v>1</v>
      </c>
      <c r="P617" t="b">
        <f t="shared" si="57"/>
        <v>1</v>
      </c>
      <c r="R617" t="b">
        <f>SUMPRODUCT(COUNTIF(_xlfn.XLOOKUP(B617,BugList!A:A,BugList!P:P), "*SC*"))&gt;0</f>
        <v>1</v>
      </c>
      <c r="S617" t="str">
        <f>_xlfn.XLOOKUP(B617,BugList!A:A,BugList!W:W)</f>
        <v/>
      </c>
      <c r="T617">
        <f t="shared" si="58"/>
        <v>4</v>
      </c>
      <c r="U617">
        <f t="shared" si="59"/>
        <v>4</v>
      </c>
    </row>
    <row r="618" spans="1:21">
      <c r="A618" t="s">
        <v>2647</v>
      </c>
      <c r="B618">
        <v>863</v>
      </c>
      <c r="D618" t="s">
        <v>156</v>
      </c>
      <c r="E618" t="s">
        <v>156</v>
      </c>
      <c r="F618">
        <v>1</v>
      </c>
      <c r="G618">
        <f t="shared" si="63"/>
        <v>0.85470085470085477</v>
      </c>
      <c r="H618">
        <f t="shared" si="64"/>
        <v>0</v>
      </c>
      <c r="I618">
        <f t="shared" si="65"/>
        <v>0.85470085470085477</v>
      </c>
      <c r="J618" cm="1">
        <f t="array" ref="J618">INT(G618)+IF(100-SUM(INT(G$613:G$628))&gt;=RANK(I618,I$613:I$628)+COUNTIF(I$573:I658,I618)-1,1,0)</f>
        <v>1</v>
      </c>
      <c r="K618" t="str">
        <f>_xlfn.XLOOKUP(B618,BugList!A:A,BugList!H:H)</f>
        <v>*</v>
      </c>
      <c r="L618" t="str">
        <f>IF(K618 = "","",_xlfn.XLOOKUP(B618, BugList!A:A,BugList!B:B,""))</f>
        <v>Trichoptera</v>
      </c>
      <c r="M618">
        <f>_xlfn.XLOOKUP(D618,BugList!C:C,BugList!N:N)</f>
        <v>0</v>
      </c>
      <c r="N618">
        <f>_xlfn.XLOOKUP(B618,BugList!A:A,BugList!R:R)</f>
        <v>0</v>
      </c>
      <c r="O618" t="b">
        <f>_xlfn.XLOOKUP(B618,BugList!A:A,BugList!L:L)</f>
        <v>1</v>
      </c>
      <c r="P618" t="b">
        <f t="shared" si="57"/>
        <v>1</v>
      </c>
      <c r="R618" t="b">
        <f>SUMPRODUCT(COUNTIF(_xlfn.XLOOKUP(B618,BugList!A:A,BugList!P:P), "*SC*"))&gt;0</f>
        <v>0</v>
      </c>
      <c r="S618" t="str">
        <f>_xlfn.XLOOKUP(B618,BugList!A:A,BugList!W:W)</f>
        <v/>
      </c>
      <c r="T618">
        <f t="shared" si="58"/>
        <v>0</v>
      </c>
      <c r="U618">
        <f t="shared" si="59"/>
        <v>0</v>
      </c>
    </row>
    <row r="619" spans="1:21">
      <c r="A619" t="s">
        <v>2647</v>
      </c>
      <c r="B619">
        <v>1002</v>
      </c>
      <c r="D619" t="s">
        <v>100</v>
      </c>
      <c r="E619" t="s">
        <v>100</v>
      </c>
      <c r="F619">
        <v>11</v>
      </c>
      <c r="G619">
        <f t="shared" si="63"/>
        <v>9.4017094017094021</v>
      </c>
      <c r="H619">
        <f t="shared" si="64"/>
        <v>9</v>
      </c>
      <c r="I619">
        <f t="shared" si="65"/>
        <v>0.40170940170940206</v>
      </c>
      <c r="J619" cm="1">
        <f t="array" ref="J619">INT(G619)+IF(100-SUM(INT(G$613:G$628))&gt;=RANK(I619,I$613:I$628)+COUNTIF(I$574:I658,I619)-1,1,0)</f>
        <v>9</v>
      </c>
      <c r="K619" t="str">
        <f>_xlfn.XLOOKUP(B619,BugList!A:A,BugList!H:H)</f>
        <v/>
      </c>
      <c r="L619" t="str">
        <f>IF(K619 = "","",_xlfn.XLOOKUP(B619, BugList!A:A,BugList!B:B,""))</f>
        <v/>
      </c>
      <c r="M619">
        <f>_xlfn.XLOOKUP(D619,BugList!C:C,BugList!N:N)</f>
        <v>4</v>
      </c>
      <c r="N619">
        <f>_xlfn.XLOOKUP(B619,BugList!A:A,BugList!R:R)</f>
        <v>4</v>
      </c>
      <c r="O619" t="b">
        <f>_xlfn.XLOOKUP(B619,BugList!A:A,BugList!L:L)</f>
        <v>1</v>
      </c>
      <c r="P619" t="b">
        <f t="shared" si="57"/>
        <v>0</v>
      </c>
      <c r="R619" t="b">
        <f>SUMPRODUCT(COUNTIF(_xlfn.XLOOKUP(B619,BugList!A:A,BugList!P:P), "*SC*"))&gt;0</f>
        <v>1</v>
      </c>
      <c r="S619" t="str">
        <f>_xlfn.XLOOKUP(B619,BugList!A:A,BugList!W:W)</f>
        <v/>
      </c>
      <c r="T619">
        <f t="shared" si="58"/>
        <v>36</v>
      </c>
      <c r="U619">
        <f t="shared" si="59"/>
        <v>36</v>
      </c>
    </row>
    <row r="620" spans="1:21">
      <c r="A620" t="s">
        <v>2647</v>
      </c>
      <c r="B620">
        <v>1088</v>
      </c>
      <c r="D620" t="s">
        <v>90</v>
      </c>
      <c r="E620" t="s">
        <v>90</v>
      </c>
      <c r="F620">
        <v>33</v>
      </c>
      <c r="G620">
        <f t="shared" si="63"/>
        <v>28.205128205128204</v>
      </c>
      <c r="H620">
        <f t="shared" si="64"/>
        <v>28</v>
      </c>
      <c r="I620">
        <f t="shared" si="65"/>
        <v>0.2051282051282044</v>
      </c>
      <c r="J620" cm="1">
        <f t="array" ref="J620">INT(G620)+IF(100-SUM(INT(G$613:G$628))&gt;=RANK(I620,I$613:I$628)+COUNTIF(I$575:I658,I620)-1,1,0)</f>
        <v>28</v>
      </c>
      <c r="K620" t="str">
        <f>_xlfn.XLOOKUP(B620,BugList!A:A,BugList!H:H)</f>
        <v/>
      </c>
      <c r="L620" t="str">
        <f>IF(K620 = "","",_xlfn.XLOOKUP(B620, BugList!A:A,BugList!B:B,""))</f>
        <v/>
      </c>
      <c r="M620">
        <f>_xlfn.XLOOKUP(D620,BugList!C:C,BugList!N:N)</f>
        <v>6</v>
      </c>
      <c r="N620">
        <f>_xlfn.XLOOKUP(B620,BugList!A:A,BugList!R:R)</f>
        <v>6</v>
      </c>
      <c r="O620" t="b">
        <f>_xlfn.XLOOKUP(B620,BugList!A:A,BugList!L:L)</f>
        <v>1</v>
      </c>
      <c r="P620" t="b">
        <f t="shared" si="57"/>
        <v>0</v>
      </c>
      <c r="R620" t="b">
        <f>SUMPRODUCT(COUNTIF(_xlfn.XLOOKUP(B620,BugList!A:A,BugList!P:P), "*SC*"))&gt;0</f>
        <v>0</v>
      </c>
      <c r="S620" t="str">
        <f>_xlfn.XLOOKUP(B620,BugList!A:A,BugList!W:W)</f>
        <v/>
      </c>
      <c r="T620">
        <f t="shared" si="58"/>
        <v>168</v>
      </c>
      <c r="U620">
        <f t="shared" si="59"/>
        <v>168</v>
      </c>
    </row>
    <row r="621" spans="1:21">
      <c r="A621" t="s">
        <v>2647</v>
      </c>
      <c r="B621">
        <v>1089</v>
      </c>
      <c r="D621" t="s">
        <v>126</v>
      </c>
      <c r="E621" t="s">
        <v>127</v>
      </c>
      <c r="F621">
        <v>33</v>
      </c>
      <c r="G621">
        <f t="shared" si="63"/>
        <v>28.205128205128204</v>
      </c>
      <c r="H621">
        <f t="shared" si="64"/>
        <v>28</v>
      </c>
      <c r="I621">
        <f t="shared" si="65"/>
        <v>0.2051282051282044</v>
      </c>
      <c r="J621" cm="1">
        <f t="array" ref="J621">INT(G621)+IF(100-SUM(INT(G$613:G$628))&gt;=RANK(I621,I$613:I$628)+COUNTIF(I$576:I658,I621)-1,1,0)</f>
        <v>28</v>
      </c>
      <c r="K621" t="str">
        <f>_xlfn.XLOOKUP(B621,BugList!A:A,BugList!H:H)</f>
        <v/>
      </c>
      <c r="L621" t="str">
        <f>IF(K621 = "","",_xlfn.XLOOKUP(B621, BugList!A:A,BugList!B:B,""))</f>
        <v/>
      </c>
      <c r="M621">
        <f>_xlfn.XLOOKUP(D621,BugList!C:C,BugList!N:N)</f>
        <v>8</v>
      </c>
      <c r="N621">
        <f>_xlfn.XLOOKUP(B621,BugList!A:A,BugList!R:R)</f>
        <v>10</v>
      </c>
      <c r="O621" t="b">
        <f>_xlfn.XLOOKUP(B621,BugList!A:A,BugList!L:L)</f>
        <v>1</v>
      </c>
      <c r="P621" t="b">
        <f t="shared" ref="P621:P684" si="66">IF(K621="*",IF(D621="Hydropsychidae", IF(E621="Diplectrona",TRUE,FALSE),TRUE),FALSE)</f>
        <v>0</v>
      </c>
      <c r="R621" t="b">
        <f>SUMPRODUCT(COUNTIF(_xlfn.XLOOKUP(B621,BugList!A:A,BugList!P:P), "*SC*"))&gt;0</f>
        <v>0</v>
      </c>
      <c r="S621" t="str">
        <f>_xlfn.XLOOKUP(B621,BugList!A:A,BugList!W:W)</f>
        <v/>
      </c>
      <c r="T621">
        <f t="shared" si="58"/>
        <v>224</v>
      </c>
      <c r="U621">
        <f t="shared" si="59"/>
        <v>280</v>
      </c>
    </row>
    <row r="622" spans="1:21">
      <c r="A622" t="s">
        <v>2647</v>
      </c>
      <c r="B622">
        <v>1199</v>
      </c>
      <c r="D622" t="s">
        <v>131</v>
      </c>
      <c r="E622" t="s">
        <v>131</v>
      </c>
      <c r="F622">
        <v>1</v>
      </c>
      <c r="G622">
        <f t="shared" si="63"/>
        <v>0.85470085470085477</v>
      </c>
      <c r="H622">
        <f t="shared" si="64"/>
        <v>0</v>
      </c>
      <c r="I622">
        <f t="shared" si="65"/>
        <v>0.85470085470085477</v>
      </c>
      <c r="J622" cm="1">
        <f t="array" ref="J622">INT(G622)+IF(100-SUM(INT(G$613:G$628))&gt;=RANK(I622,I$613:I$628)+COUNTIF(I$577:I658,I622)-1,1,0)</f>
        <v>1</v>
      </c>
      <c r="K622" t="str">
        <f>_xlfn.XLOOKUP(B622,BugList!A:A,BugList!H:H)</f>
        <v/>
      </c>
      <c r="L622" t="str">
        <f>IF(K622 = "","",_xlfn.XLOOKUP(B622, BugList!A:A,BugList!B:B,""))</f>
        <v/>
      </c>
      <c r="M622">
        <f>_xlfn.XLOOKUP(D622,BugList!C:C,BugList!N:N)</f>
        <v>6</v>
      </c>
      <c r="N622">
        <f>_xlfn.XLOOKUP(B622,BugList!A:A,BugList!R:R)</f>
        <v>6</v>
      </c>
      <c r="O622" t="b">
        <f>_xlfn.XLOOKUP(B622,BugList!A:A,BugList!L:L)</f>
        <v>1</v>
      </c>
      <c r="P622" t="b">
        <f t="shared" si="66"/>
        <v>0</v>
      </c>
      <c r="R622" t="b">
        <f>SUMPRODUCT(COUNTIF(_xlfn.XLOOKUP(B622,BugList!A:A,BugList!P:P), "*SC*"))&gt;0</f>
        <v>0</v>
      </c>
      <c r="S622" t="str">
        <f>_xlfn.XLOOKUP(B622,BugList!A:A,BugList!W:W)</f>
        <v/>
      </c>
      <c r="T622">
        <f t="shared" si="58"/>
        <v>6</v>
      </c>
      <c r="U622">
        <f t="shared" si="59"/>
        <v>6</v>
      </c>
    </row>
    <row r="623" spans="1:21">
      <c r="A623" t="s">
        <v>2647</v>
      </c>
      <c r="B623">
        <v>1436</v>
      </c>
      <c r="D623" t="s">
        <v>101</v>
      </c>
      <c r="E623" t="s">
        <v>101</v>
      </c>
      <c r="F623">
        <v>9</v>
      </c>
      <c r="G623">
        <f t="shared" si="63"/>
        <v>7.6923076923076925</v>
      </c>
      <c r="H623">
        <f t="shared" si="64"/>
        <v>7</v>
      </c>
      <c r="I623">
        <f t="shared" si="65"/>
        <v>0.69230769230769251</v>
      </c>
      <c r="J623" cm="1">
        <f t="array" ref="J623">INT(G623)+IF(100-SUM(INT(G$613:G$628))&gt;=RANK(I623,I$613:I$628)+COUNTIF(I$578:I658,I623)-1,1,0)</f>
        <v>8</v>
      </c>
      <c r="K623" t="str">
        <f>_xlfn.XLOOKUP(B623,BugList!A:A,BugList!H:H)</f>
        <v/>
      </c>
      <c r="L623" t="str">
        <f>IF(K623 = "","",_xlfn.XLOOKUP(B623, BugList!A:A,BugList!B:B,""))</f>
        <v/>
      </c>
      <c r="M623">
        <f>_xlfn.XLOOKUP(D623,BugList!C:C,BugList!N:N)</f>
        <v>6</v>
      </c>
      <c r="N623">
        <f>_xlfn.XLOOKUP(B623,BugList!A:A,BugList!R:R)</f>
        <v>6</v>
      </c>
      <c r="O623" t="b">
        <f>_xlfn.XLOOKUP(B623,BugList!A:A,BugList!L:L)</f>
        <v>1</v>
      </c>
      <c r="P623" t="b">
        <f t="shared" si="66"/>
        <v>0</v>
      </c>
      <c r="R623" t="b">
        <f>SUMPRODUCT(COUNTIF(_xlfn.XLOOKUP(B623,BugList!A:A,BugList!P:P), "*SC*"))&gt;0</f>
        <v>0</v>
      </c>
      <c r="S623" t="str">
        <f>_xlfn.XLOOKUP(B623,BugList!A:A,BugList!W:W)</f>
        <v/>
      </c>
      <c r="T623">
        <f t="shared" si="58"/>
        <v>48</v>
      </c>
      <c r="U623">
        <f t="shared" si="59"/>
        <v>48</v>
      </c>
    </row>
    <row r="624" spans="1:21">
      <c r="A624" t="s">
        <v>2647</v>
      </c>
      <c r="B624">
        <v>1471</v>
      </c>
      <c r="D624" t="s">
        <v>1758</v>
      </c>
      <c r="E624" t="s">
        <v>1758</v>
      </c>
      <c r="F624">
        <v>1</v>
      </c>
      <c r="G624">
        <f t="shared" si="63"/>
        <v>0.85470085470085477</v>
      </c>
      <c r="H624">
        <f t="shared" si="64"/>
        <v>0</v>
      </c>
      <c r="I624">
        <f t="shared" si="65"/>
        <v>0.85470085470085477</v>
      </c>
      <c r="J624" cm="1">
        <f t="array" ref="J624">INT(G624)+IF(100-SUM(INT(G$613:G$628))&gt;=RANK(I624,I$613:I$628)+COUNTIF(I$579:I658,I624)-1,1,0)</f>
        <v>1</v>
      </c>
      <c r="K624" t="str">
        <f>_xlfn.XLOOKUP(B624,BugList!A:A,BugList!H:H)</f>
        <v/>
      </c>
      <c r="L624" t="str">
        <f>IF(K624 = "","",_xlfn.XLOOKUP(B624, BugList!A:A,BugList!B:B,""))</f>
        <v/>
      </c>
      <c r="M624">
        <f>_xlfn.XLOOKUP(D624,BugList!C:C,BugList!N:N)</f>
        <v>6</v>
      </c>
      <c r="N624">
        <f>_xlfn.XLOOKUP(B624,BugList!A:A,BugList!R:R)</f>
        <v>6</v>
      </c>
      <c r="O624" t="b">
        <f>_xlfn.XLOOKUP(B624,BugList!A:A,BugList!L:L)</f>
        <v>1</v>
      </c>
      <c r="P624" t="b">
        <f t="shared" si="66"/>
        <v>0</v>
      </c>
      <c r="R624" t="b">
        <f>SUMPRODUCT(COUNTIF(_xlfn.XLOOKUP(B624,BugList!A:A,BugList!P:P), "*SC*"))&gt;0</f>
        <v>0</v>
      </c>
      <c r="S624" t="str">
        <f>_xlfn.XLOOKUP(B624,BugList!A:A,BugList!W:W)</f>
        <v/>
      </c>
      <c r="T624">
        <f t="shared" si="58"/>
        <v>6</v>
      </c>
      <c r="U624">
        <f t="shared" si="59"/>
        <v>6</v>
      </c>
    </row>
    <row r="625" spans="1:21">
      <c r="A625" t="s">
        <v>2647</v>
      </c>
      <c r="B625">
        <v>1497</v>
      </c>
      <c r="D625" t="s">
        <v>108</v>
      </c>
      <c r="E625" t="s">
        <v>108</v>
      </c>
      <c r="F625">
        <v>1</v>
      </c>
      <c r="G625">
        <f t="shared" si="63"/>
        <v>0.85470085470085477</v>
      </c>
      <c r="H625">
        <f t="shared" si="64"/>
        <v>0</v>
      </c>
      <c r="I625">
        <f t="shared" si="65"/>
        <v>0.85470085470085477</v>
      </c>
      <c r="J625" cm="1">
        <f t="array" ref="J625">INT(G625)+IF(100-SUM(INT(G$613:G$628))&gt;=RANK(I625,I$613:I$628)+COUNTIF(I$580:I658,I625)-1,1,0)</f>
        <v>1</v>
      </c>
      <c r="K625" t="str">
        <f>_xlfn.XLOOKUP(B625,BugList!A:A,BugList!H:H)</f>
        <v/>
      </c>
      <c r="L625" t="str">
        <f>IF(K625 = "","",_xlfn.XLOOKUP(B625, BugList!A:A,BugList!B:B,""))</f>
        <v/>
      </c>
      <c r="M625">
        <f>_xlfn.XLOOKUP(D625,BugList!C:C,BugList!N:N)</f>
        <v>3</v>
      </c>
      <c r="N625">
        <f>_xlfn.XLOOKUP(B625,BugList!A:A,BugList!R:R)</f>
        <v>3</v>
      </c>
      <c r="O625" t="b">
        <f>_xlfn.XLOOKUP(B625,BugList!A:A,BugList!L:L)</f>
        <v>1</v>
      </c>
      <c r="P625" t="b">
        <f t="shared" si="66"/>
        <v>0</v>
      </c>
      <c r="R625" t="b">
        <f>SUMPRODUCT(COUNTIF(_xlfn.XLOOKUP(B625,BugList!A:A,BugList!P:P), "*SC*"))&gt;0</f>
        <v>0</v>
      </c>
      <c r="S625" t="str">
        <f>_xlfn.XLOOKUP(B625,BugList!A:A,BugList!W:W)</f>
        <v/>
      </c>
      <c r="T625">
        <f t="shared" si="58"/>
        <v>3</v>
      </c>
      <c r="U625">
        <f t="shared" si="59"/>
        <v>3</v>
      </c>
    </row>
    <row r="626" spans="1:21">
      <c r="A626" t="s">
        <v>2647</v>
      </c>
      <c r="B626">
        <v>1555</v>
      </c>
      <c r="D626" t="s">
        <v>120</v>
      </c>
      <c r="E626" t="s">
        <v>120</v>
      </c>
      <c r="F626">
        <v>1</v>
      </c>
      <c r="G626">
        <f t="shared" si="63"/>
        <v>0.85470085470085477</v>
      </c>
      <c r="H626">
        <f t="shared" si="64"/>
        <v>0</v>
      </c>
      <c r="I626">
        <f t="shared" si="65"/>
        <v>0.85470085470085477</v>
      </c>
      <c r="J626" cm="1">
        <f t="array" ref="J626">INT(G626)+IF(100-SUM(INT(G$613:G$628))&gt;=RANK(I626,I$613:I$628)+COUNTIF(I$581:I658,I626)-1,1,0)</f>
        <v>1</v>
      </c>
      <c r="K626" t="str">
        <f>_xlfn.XLOOKUP(B626,BugList!A:A,BugList!H:H)</f>
        <v/>
      </c>
      <c r="L626" t="str">
        <f>IF(K626 = "","",_xlfn.XLOOKUP(B626, BugList!A:A,BugList!B:B,""))</f>
        <v/>
      </c>
      <c r="M626">
        <f>_xlfn.XLOOKUP(D626,BugList!C:C,BugList!N:N)</f>
        <v>8</v>
      </c>
      <c r="N626">
        <f>_xlfn.XLOOKUP(B626,BugList!A:A,BugList!R:R)</f>
        <v>8</v>
      </c>
      <c r="O626" t="b">
        <f>_xlfn.XLOOKUP(B626,BugList!A:A,BugList!L:L)</f>
        <v>0</v>
      </c>
      <c r="P626" t="b">
        <f t="shared" si="66"/>
        <v>0</v>
      </c>
      <c r="R626" t="b">
        <f>SUMPRODUCT(COUNTIF(_xlfn.XLOOKUP(B626,BugList!A:A,BugList!P:P), "*SC*"))&gt;0</f>
        <v>1</v>
      </c>
      <c r="S626" t="str">
        <f>_xlfn.XLOOKUP(B626,BugList!A:A,BugList!W:W)</f>
        <v/>
      </c>
      <c r="T626">
        <f t="shared" si="58"/>
        <v>8</v>
      </c>
      <c r="U626">
        <f t="shared" si="59"/>
        <v>8</v>
      </c>
    </row>
    <row r="627" spans="1:21">
      <c r="A627" t="s">
        <v>2647</v>
      </c>
      <c r="B627">
        <v>1696</v>
      </c>
      <c r="D627" t="s">
        <v>94</v>
      </c>
      <c r="E627" t="s">
        <v>94</v>
      </c>
      <c r="F627">
        <v>1</v>
      </c>
      <c r="G627">
        <f t="shared" si="63"/>
        <v>0.85470085470085477</v>
      </c>
      <c r="H627">
        <f t="shared" si="64"/>
        <v>0</v>
      </c>
      <c r="I627">
        <f t="shared" si="65"/>
        <v>0.85470085470085477</v>
      </c>
      <c r="J627" cm="1">
        <f t="array" ref="J627">INT(G627)+IF(100-SUM(INT(G$613:G$628))&gt;=RANK(I627,I$613:I$628)+COUNTIF(I$582:I658,I627)-1,1,0)</f>
        <v>1</v>
      </c>
      <c r="K627" t="str">
        <f>_xlfn.XLOOKUP(B627,BugList!A:A,BugList!H:H)</f>
        <v/>
      </c>
      <c r="L627" t="str">
        <f>IF(K627 = "","",_xlfn.XLOOKUP(B627, BugList!A:A,BugList!B:B,""))</f>
        <v/>
      </c>
      <c r="M627">
        <f>_xlfn.XLOOKUP(D627,BugList!C:C,BugList!N:N)</f>
        <v>8</v>
      </c>
      <c r="N627">
        <f>_xlfn.XLOOKUP(B627,BugList!A:A,BugList!R:R)</f>
        <v>8</v>
      </c>
      <c r="O627" t="b">
        <f>_xlfn.XLOOKUP(B627,BugList!A:A,BugList!L:L)</f>
        <v>0</v>
      </c>
      <c r="P627" t="b">
        <f t="shared" si="66"/>
        <v>0</v>
      </c>
      <c r="R627" t="b">
        <f>SUMPRODUCT(COUNTIF(_xlfn.XLOOKUP(B627,BugList!A:A,BugList!P:P), "*SC*"))&gt;0</f>
        <v>0</v>
      </c>
      <c r="S627" t="str">
        <f>_xlfn.XLOOKUP(B627,BugList!A:A,BugList!W:W)</f>
        <v/>
      </c>
      <c r="T627">
        <f t="shared" si="58"/>
        <v>8</v>
      </c>
      <c r="U627">
        <f t="shared" si="59"/>
        <v>8</v>
      </c>
    </row>
    <row r="628" spans="1:21">
      <c r="A628" t="s">
        <v>2647</v>
      </c>
      <c r="B628">
        <v>2781</v>
      </c>
      <c r="D628" t="s">
        <v>109</v>
      </c>
      <c r="E628" t="s">
        <v>109</v>
      </c>
      <c r="F628">
        <v>5</v>
      </c>
      <c r="G628">
        <f t="shared" si="63"/>
        <v>4.2735042735042734</v>
      </c>
      <c r="H628">
        <f t="shared" si="64"/>
        <v>4</v>
      </c>
      <c r="I628">
        <f t="shared" si="65"/>
        <v>0.27350427350427342</v>
      </c>
      <c r="J628" cm="1">
        <f t="array" ref="J628">INT(G628)+IF(100-SUM(INT(G$613:G$628))&gt;=RANK(I628,I$613:I$628)+COUNTIF(I$583:I658,I628)-1,1,0)</f>
        <v>4</v>
      </c>
      <c r="K628" t="str">
        <f>_xlfn.XLOOKUP(B628,BugList!A:A,BugList!H:H)</f>
        <v/>
      </c>
      <c r="L628" t="str">
        <f>IF(K628 = "","",_xlfn.XLOOKUP(B628, BugList!A:A,BugList!B:B,""))</f>
        <v/>
      </c>
      <c r="M628">
        <f>_xlfn.XLOOKUP(D628,BugList!C:C,BugList!N:N)</f>
        <v>6</v>
      </c>
      <c r="N628">
        <f>_xlfn.XLOOKUP(B628,BugList!A:A,BugList!R:R)</f>
        <v>4</v>
      </c>
      <c r="O628" t="b">
        <f>_xlfn.XLOOKUP(B628,BugList!A:A,BugList!L:L)</f>
        <v>0</v>
      </c>
      <c r="P628" t="b">
        <f t="shared" si="66"/>
        <v>0</v>
      </c>
      <c r="R628" t="b">
        <f>SUMPRODUCT(COUNTIF(_xlfn.XLOOKUP(B628,BugList!A:A,BugList!P:P), "*SC*"))&gt;0</f>
        <v>0</v>
      </c>
      <c r="S628" t="str">
        <f>_xlfn.XLOOKUP(B628,BugList!A:A,BugList!W:W)</f>
        <v/>
      </c>
      <c r="T628">
        <f t="shared" si="58"/>
        <v>24</v>
      </c>
      <c r="U628">
        <f t="shared" si="59"/>
        <v>16</v>
      </c>
    </row>
    <row r="629" spans="1:21">
      <c r="A629" t="s">
        <v>2648</v>
      </c>
      <c r="B629">
        <v>63</v>
      </c>
      <c r="D629" t="s">
        <v>84</v>
      </c>
      <c r="E629" t="s">
        <v>84</v>
      </c>
      <c r="F629">
        <v>2</v>
      </c>
      <c r="G629">
        <f t="shared" si="63"/>
        <v>1.8181818181818181</v>
      </c>
      <c r="H629">
        <f t="shared" si="64"/>
        <v>1</v>
      </c>
      <c r="I629">
        <f t="shared" si="65"/>
        <v>0.81818181818181812</v>
      </c>
      <c r="J629" cm="1">
        <f t="array" ref="J629">INT(G629)+IF(100-SUM(INT(G$629:G$641))&gt;=RANK(I629,I$629:I$641)+COUNTIF(I$629:I629,I629)-1,1,0)</f>
        <v>2</v>
      </c>
      <c r="K629" t="str">
        <f>_xlfn.XLOOKUP(B629,BugList!A:A,BugList!H:H)</f>
        <v/>
      </c>
      <c r="L629" t="str">
        <f>IF(K629 = "","",_xlfn.XLOOKUP(B629, BugList!A:A,BugList!B:B,""))</f>
        <v/>
      </c>
      <c r="M629">
        <f>_xlfn.XLOOKUP(D629,BugList!C:C,BugList!N:N)</f>
        <v>8</v>
      </c>
      <c r="N629">
        <f>_xlfn.XLOOKUP(B629,BugList!A:A,BugList!R:R)</f>
        <v>8</v>
      </c>
      <c r="O629" t="b">
        <f>_xlfn.XLOOKUP(B629,BugList!A:A,BugList!L:L)</f>
        <v>0</v>
      </c>
      <c r="P629" t="b">
        <f t="shared" si="66"/>
        <v>0</v>
      </c>
      <c r="R629" t="b">
        <f>SUMPRODUCT(COUNTIF(_xlfn.XLOOKUP(B629,BugList!A:A,BugList!P:P), "*SC*"))&gt;0</f>
        <v>0</v>
      </c>
      <c r="S629" t="str">
        <f>_xlfn.XLOOKUP(B629,BugList!A:A,BugList!W:W)</f>
        <v/>
      </c>
      <c r="T629">
        <f t="shared" si="58"/>
        <v>16</v>
      </c>
      <c r="U629">
        <f t="shared" si="59"/>
        <v>16</v>
      </c>
    </row>
    <row r="630" spans="1:21">
      <c r="A630" t="s">
        <v>2648</v>
      </c>
      <c r="B630">
        <v>88</v>
      </c>
      <c r="D630" t="s">
        <v>85</v>
      </c>
      <c r="E630" t="s">
        <v>85</v>
      </c>
      <c r="F630">
        <v>42</v>
      </c>
      <c r="G630">
        <f t="shared" si="63"/>
        <v>38.181818181818187</v>
      </c>
      <c r="H630">
        <f t="shared" si="64"/>
        <v>38</v>
      </c>
      <c r="I630">
        <f t="shared" si="65"/>
        <v>0.18181818181818699</v>
      </c>
      <c r="J630" cm="1">
        <f t="array" ref="J630">INT(G630)+IF(100-SUM(INT(G$629:G$641))&gt;=RANK(I630,I$629:I$641)+COUNTIF(I$629:I630,I630)-1,1,0)</f>
        <v>38</v>
      </c>
      <c r="K630" t="str">
        <f>_xlfn.XLOOKUP(B630,BugList!A:A,BugList!H:H)</f>
        <v/>
      </c>
      <c r="L630" t="str">
        <f>IF(K630 = "","",_xlfn.XLOOKUP(B630, BugList!A:A,BugList!B:B,""))</f>
        <v/>
      </c>
      <c r="M630">
        <f>_xlfn.XLOOKUP(D630,BugList!C:C,BugList!N:N)</f>
        <v>4</v>
      </c>
      <c r="N630">
        <f>_xlfn.XLOOKUP(B630,BugList!A:A,BugList!R:R)</f>
        <v>4</v>
      </c>
      <c r="O630" t="b">
        <f>_xlfn.XLOOKUP(B630,BugList!A:A,BugList!L:L)</f>
        <v>0</v>
      </c>
      <c r="P630" t="b">
        <f t="shared" si="66"/>
        <v>0</v>
      </c>
      <c r="R630" t="b">
        <f>SUMPRODUCT(COUNTIF(_xlfn.XLOOKUP(B630,BugList!A:A,BugList!P:P), "*SC*"))&gt;0</f>
        <v>0</v>
      </c>
      <c r="S630" t="str">
        <f>_xlfn.XLOOKUP(B630,BugList!A:A,BugList!W:W)</f>
        <v/>
      </c>
      <c r="T630">
        <f t="shared" si="58"/>
        <v>152</v>
      </c>
      <c r="U630">
        <f t="shared" si="59"/>
        <v>152</v>
      </c>
    </row>
    <row r="631" spans="1:21">
      <c r="A631" t="s">
        <v>2648</v>
      </c>
      <c r="B631">
        <v>99</v>
      </c>
      <c r="D631" t="s">
        <v>169</v>
      </c>
      <c r="E631" t="s">
        <v>169</v>
      </c>
      <c r="F631">
        <v>2</v>
      </c>
      <c r="G631">
        <f t="shared" si="63"/>
        <v>1.8181818181818181</v>
      </c>
      <c r="H631">
        <f t="shared" si="64"/>
        <v>1</v>
      </c>
      <c r="I631">
        <f t="shared" si="65"/>
        <v>0.81818181818181812</v>
      </c>
      <c r="J631" cm="1">
        <f t="array" ref="J631">INT(G631)+IF(100-SUM(INT(G$629:G$641))&gt;=RANK(I631,I$629:I$641)+COUNTIF(I$629:I631,I631)-1,1,0)</f>
        <v>2</v>
      </c>
      <c r="K631" t="str">
        <f>_xlfn.XLOOKUP(B631,BugList!A:A,BugList!H:H)</f>
        <v/>
      </c>
      <c r="L631" t="str">
        <f>IF(K631 = "","",_xlfn.XLOOKUP(B631, BugList!A:A,BugList!B:B,""))</f>
        <v/>
      </c>
      <c r="M631">
        <f>_xlfn.XLOOKUP(D631,BugList!C:C,BugList!N:N)</f>
        <v>5</v>
      </c>
      <c r="N631">
        <f>_xlfn.XLOOKUP(B631,BugList!A:A,BugList!R:R)</f>
        <v>5</v>
      </c>
      <c r="O631" t="b">
        <f>_xlfn.XLOOKUP(B631,BugList!A:A,BugList!L:L)</f>
        <v>0</v>
      </c>
      <c r="P631" t="b">
        <f t="shared" si="66"/>
        <v>0</v>
      </c>
      <c r="R631" t="b">
        <f>SUMPRODUCT(COUNTIF(_xlfn.XLOOKUP(B631,BugList!A:A,BugList!P:P), "*SC*"))&gt;0</f>
        <v>0</v>
      </c>
      <c r="S631" t="str">
        <f>_xlfn.XLOOKUP(B631,BugList!A:A,BugList!W:W)</f>
        <v/>
      </c>
      <c r="T631">
        <f t="shared" si="58"/>
        <v>10</v>
      </c>
      <c r="U631">
        <f t="shared" si="59"/>
        <v>10</v>
      </c>
    </row>
    <row r="632" spans="1:21">
      <c r="A632" t="s">
        <v>2648</v>
      </c>
      <c r="B632">
        <v>372</v>
      </c>
      <c r="D632" t="s">
        <v>88</v>
      </c>
      <c r="E632" t="s">
        <v>88</v>
      </c>
      <c r="F632">
        <v>2</v>
      </c>
      <c r="G632">
        <f t="shared" si="63"/>
        <v>1.8181818181818181</v>
      </c>
      <c r="H632">
        <f t="shared" si="64"/>
        <v>1</v>
      </c>
      <c r="I632">
        <f t="shared" si="65"/>
        <v>0.81818181818181812</v>
      </c>
      <c r="J632" cm="1">
        <f t="array" ref="J632">INT(G632)+IF(100-SUM(INT(G$629:G$641))&gt;=RANK(I632,I$629:I$641)+COUNTIF(I$629:I632,I632)-1,1,0)</f>
        <v>2</v>
      </c>
      <c r="K632" t="str">
        <f>_xlfn.XLOOKUP(B632,BugList!A:A,BugList!H:H)</f>
        <v/>
      </c>
      <c r="L632" t="str">
        <f>IF(K632 = "","",_xlfn.XLOOKUP(B632, BugList!A:A,BugList!B:B,""))</f>
        <v/>
      </c>
      <c r="M632">
        <f>_xlfn.XLOOKUP(D632,BugList!C:C,BugList!N:N)</f>
        <v>8</v>
      </c>
      <c r="N632">
        <f>_xlfn.XLOOKUP(B632,BugList!A:A,BugList!R:R)</f>
        <v>8</v>
      </c>
      <c r="O632" t="b">
        <f>_xlfn.XLOOKUP(B632,BugList!A:A,BugList!L:L)</f>
        <v>0</v>
      </c>
      <c r="P632" t="b">
        <f t="shared" si="66"/>
        <v>0</v>
      </c>
      <c r="R632" t="b">
        <f>SUMPRODUCT(COUNTIF(_xlfn.XLOOKUP(B632,BugList!A:A,BugList!P:P), "*SC*"))&gt;0</f>
        <v>0</v>
      </c>
      <c r="S632" t="str">
        <f>_xlfn.XLOOKUP(B632,BugList!A:A,BugList!W:W)</f>
        <v/>
      </c>
      <c r="T632">
        <f t="shared" si="58"/>
        <v>16</v>
      </c>
      <c r="U632">
        <f t="shared" si="59"/>
        <v>16</v>
      </c>
    </row>
    <row r="633" spans="1:21">
      <c r="A633" t="s">
        <v>2648</v>
      </c>
      <c r="B633">
        <v>425</v>
      </c>
      <c r="D633" t="s">
        <v>153</v>
      </c>
      <c r="E633" t="s">
        <v>153</v>
      </c>
      <c r="F633">
        <v>1</v>
      </c>
      <c r="G633">
        <f t="shared" si="63"/>
        <v>0.90909090909090906</v>
      </c>
      <c r="H633">
        <f t="shared" si="64"/>
        <v>0</v>
      </c>
      <c r="I633">
        <f t="shared" si="65"/>
        <v>0.90909090909090906</v>
      </c>
      <c r="J633" cm="1">
        <f t="array" ref="J633">INT(G633)+IF(100-SUM(INT(G$629:G$641))&gt;=RANK(I633,I$629:I$641)+COUNTIF(I$629:I633,I633)-1,1,0)</f>
        <v>1</v>
      </c>
      <c r="K633" t="str">
        <f>_xlfn.XLOOKUP(B633,BugList!A:A,BugList!H:H)</f>
        <v>*</v>
      </c>
      <c r="L633" t="str">
        <f>IF(K633 = "","",_xlfn.XLOOKUP(B633, BugList!A:A,BugList!B:B,""))</f>
        <v>Plecoptera</v>
      </c>
      <c r="M633">
        <f>_xlfn.XLOOKUP(D633,BugList!C:C,BugList!N:N)</f>
        <v>2</v>
      </c>
      <c r="N633">
        <f>_xlfn.XLOOKUP(B633,BugList!A:A,BugList!R:R)</f>
        <v>2</v>
      </c>
      <c r="O633" t="b">
        <f>_xlfn.XLOOKUP(B633,BugList!A:A,BugList!L:L)</f>
        <v>1</v>
      </c>
      <c r="P633" t="b">
        <f t="shared" si="66"/>
        <v>1</v>
      </c>
      <c r="R633" t="b">
        <f>SUMPRODUCT(COUNTIF(_xlfn.XLOOKUP(B633,BugList!A:A,BugList!P:P), "*SC*"))&gt;0</f>
        <v>0</v>
      </c>
      <c r="S633" t="str">
        <f>_xlfn.XLOOKUP(B633,BugList!A:A,BugList!W:W)</f>
        <v>2</v>
      </c>
      <c r="T633">
        <f t="shared" si="58"/>
        <v>2</v>
      </c>
      <c r="U633">
        <f t="shared" si="59"/>
        <v>2</v>
      </c>
    </row>
    <row r="634" spans="1:21">
      <c r="A634" t="s">
        <v>2648</v>
      </c>
      <c r="B634">
        <v>513</v>
      </c>
      <c r="D634" t="s">
        <v>111</v>
      </c>
      <c r="E634" t="s">
        <v>111</v>
      </c>
      <c r="F634">
        <v>3</v>
      </c>
      <c r="G634">
        <f t="shared" si="63"/>
        <v>2.7272727272727271</v>
      </c>
      <c r="H634">
        <f t="shared" si="64"/>
        <v>2</v>
      </c>
      <c r="I634">
        <f t="shared" si="65"/>
        <v>0.72727272727272707</v>
      </c>
      <c r="J634" cm="1">
        <f t="array" ref="J634">INT(G634)+IF(100-SUM(INT(G$629:G$641))&gt;=RANK(I634,I$629:I$641)+COUNTIF(I$629:I634,I634)-1,1,0)</f>
        <v>3</v>
      </c>
      <c r="K634" t="str">
        <f>_xlfn.XLOOKUP(B634,BugList!A:A,BugList!H:H)</f>
        <v>*</v>
      </c>
      <c r="L634" t="str">
        <f>IF(K634 = "","",_xlfn.XLOOKUP(B634, BugList!A:A,BugList!B:B,""))</f>
        <v>Ephemeroptera</v>
      </c>
      <c r="M634">
        <f>_xlfn.XLOOKUP(D634,BugList!C:C,BugList!N:N)</f>
        <v>4</v>
      </c>
      <c r="N634">
        <f>_xlfn.XLOOKUP(B634,BugList!A:A,BugList!R:R)</f>
        <v>4</v>
      </c>
      <c r="O634" t="b">
        <f>_xlfn.XLOOKUP(B634,BugList!A:A,BugList!L:L)</f>
        <v>1</v>
      </c>
      <c r="P634" t="b">
        <f t="shared" si="66"/>
        <v>1</v>
      </c>
      <c r="R634" t="b">
        <f>SUMPRODUCT(COUNTIF(_xlfn.XLOOKUP(B634,BugList!A:A,BugList!P:P), "*SC*"))&gt;0</f>
        <v>1</v>
      </c>
      <c r="S634" t="str">
        <f>_xlfn.XLOOKUP(B634,BugList!A:A,BugList!W:W)</f>
        <v/>
      </c>
      <c r="T634">
        <f t="shared" si="58"/>
        <v>12</v>
      </c>
      <c r="U634">
        <f t="shared" si="59"/>
        <v>12</v>
      </c>
    </row>
    <row r="635" spans="1:21">
      <c r="A635" t="s">
        <v>2648</v>
      </c>
      <c r="B635">
        <v>1002</v>
      </c>
      <c r="D635" t="s">
        <v>100</v>
      </c>
      <c r="E635" t="s">
        <v>100</v>
      </c>
      <c r="F635">
        <v>4</v>
      </c>
      <c r="G635">
        <f t="shared" si="63"/>
        <v>3.6363636363636362</v>
      </c>
      <c r="H635">
        <f t="shared" si="64"/>
        <v>3</v>
      </c>
      <c r="I635">
        <f t="shared" si="65"/>
        <v>0.63636363636363624</v>
      </c>
      <c r="J635" cm="1">
        <f t="array" ref="J635">INT(G635)+IF(100-SUM(INT(G$629:G$641))&gt;=RANK(I635,I$629:I$641)+COUNTIF(I$629:I635,I635)-1,1,0)</f>
        <v>3</v>
      </c>
      <c r="K635" t="str">
        <f>_xlfn.XLOOKUP(B635,BugList!A:A,BugList!H:H)</f>
        <v/>
      </c>
      <c r="L635" t="str">
        <f>IF(K635 = "","",_xlfn.XLOOKUP(B635, BugList!A:A,BugList!B:B,""))</f>
        <v/>
      </c>
      <c r="M635">
        <f>_xlfn.XLOOKUP(D635,BugList!C:C,BugList!N:N)</f>
        <v>4</v>
      </c>
      <c r="N635">
        <f>_xlfn.XLOOKUP(B635,BugList!A:A,BugList!R:R)</f>
        <v>4</v>
      </c>
      <c r="O635" t="b">
        <f>_xlfn.XLOOKUP(B635,BugList!A:A,BugList!L:L)</f>
        <v>1</v>
      </c>
      <c r="P635" t="b">
        <f t="shared" si="66"/>
        <v>0</v>
      </c>
      <c r="R635" t="b">
        <f>SUMPRODUCT(COUNTIF(_xlfn.XLOOKUP(B635,BugList!A:A,BugList!P:P), "*SC*"))&gt;0</f>
        <v>1</v>
      </c>
      <c r="S635" t="str">
        <f>_xlfn.XLOOKUP(B635,BugList!A:A,BugList!W:W)</f>
        <v/>
      </c>
      <c r="T635">
        <f t="shared" si="58"/>
        <v>12</v>
      </c>
      <c r="U635">
        <f t="shared" si="59"/>
        <v>12</v>
      </c>
    </row>
    <row r="636" spans="1:21">
      <c r="A636" t="s">
        <v>2648</v>
      </c>
      <c r="B636">
        <v>1088</v>
      </c>
      <c r="D636" t="s">
        <v>90</v>
      </c>
      <c r="E636" t="s">
        <v>90</v>
      </c>
      <c r="F636">
        <v>45</v>
      </c>
      <c r="G636">
        <f t="shared" si="63"/>
        <v>40.909090909090914</v>
      </c>
      <c r="H636">
        <f t="shared" si="64"/>
        <v>40</v>
      </c>
      <c r="I636">
        <f t="shared" si="65"/>
        <v>0.90909090909091361</v>
      </c>
      <c r="J636" cm="1">
        <f t="array" ref="J636">INT(G636)+IF(100-SUM(INT(G$629:G$641))&gt;=RANK(I636,I$629:I$641)+COUNTIF(I$629:I636,I636)-1,1,0)</f>
        <v>41</v>
      </c>
      <c r="K636" t="str">
        <f>_xlfn.XLOOKUP(B636,BugList!A:A,BugList!H:H)</f>
        <v/>
      </c>
      <c r="L636" t="str">
        <f>IF(K636 = "","",_xlfn.XLOOKUP(B636, BugList!A:A,BugList!B:B,""))</f>
        <v/>
      </c>
      <c r="M636">
        <f>_xlfn.XLOOKUP(D636,BugList!C:C,BugList!N:N)</f>
        <v>6</v>
      </c>
      <c r="N636">
        <f>_xlfn.XLOOKUP(B636,BugList!A:A,BugList!R:R)</f>
        <v>6</v>
      </c>
      <c r="O636" t="b">
        <f>_xlfn.XLOOKUP(B636,BugList!A:A,BugList!L:L)</f>
        <v>1</v>
      </c>
      <c r="P636" t="b">
        <f t="shared" si="66"/>
        <v>0</v>
      </c>
      <c r="R636" t="b">
        <f>SUMPRODUCT(COUNTIF(_xlfn.XLOOKUP(B636,BugList!A:A,BugList!P:P), "*SC*"))&gt;0</f>
        <v>0</v>
      </c>
      <c r="S636" t="str">
        <f>_xlfn.XLOOKUP(B636,BugList!A:A,BugList!W:W)</f>
        <v/>
      </c>
      <c r="T636">
        <f t="shared" si="58"/>
        <v>246</v>
      </c>
      <c r="U636">
        <f t="shared" si="59"/>
        <v>246</v>
      </c>
    </row>
    <row r="637" spans="1:21">
      <c r="A637" t="s">
        <v>2648</v>
      </c>
      <c r="B637">
        <v>1436</v>
      </c>
      <c r="D637" t="s">
        <v>101</v>
      </c>
      <c r="E637" t="s">
        <v>101</v>
      </c>
      <c r="F637">
        <v>2</v>
      </c>
      <c r="G637">
        <f t="shared" si="63"/>
        <v>1.8181818181818181</v>
      </c>
      <c r="H637">
        <f t="shared" si="64"/>
        <v>1</v>
      </c>
      <c r="I637">
        <f t="shared" si="65"/>
        <v>0.81818181818181812</v>
      </c>
      <c r="J637" cm="1">
        <f t="array" ref="J637">INT(G637)+IF(100-SUM(INT(G$629:G$641))&gt;=RANK(I637,I$629:I$641)+COUNTIF(I$629:I637,I637)-1,1,0)</f>
        <v>2</v>
      </c>
      <c r="K637" t="str">
        <f>_xlfn.XLOOKUP(B637,BugList!A:A,BugList!H:H)</f>
        <v/>
      </c>
      <c r="L637" t="str">
        <f>IF(K637 = "","",_xlfn.XLOOKUP(B637, BugList!A:A,BugList!B:B,""))</f>
        <v/>
      </c>
      <c r="M637">
        <f>_xlfn.XLOOKUP(D637,BugList!C:C,BugList!N:N)</f>
        <v>6</v>
      </c>
      <c r="N637">
        <f>_xlfn.XLOOKUP(B637,BugList!A:A,BugList!R:R)</f>
        <v>6</v>
      </c>
      <c r="O637" t="b">
        <f>_xlfn.XLOOKUP(B637,BugList!A:A,BugList!L:L)</f>
        <v>1</v>
      </c>
      <c r="P637" t="b">
        <f t="shared" si="66"/>
        <v>0</v>
      </c>
      <c r="R637" t="b">
        <f>SUMPRODUCT(COUNTIF(_xlfn.XLOOKUP(B637,BugList!A:A,BugList!P:P), "*SC*"))&gt;0</f>
        <v>0</v>
      </c>
      <c r="S637" t="str">
        <f>_xlfn.XLOOKUP(B637,BugList!A:A,BugList!W:W)</f>
        <v/>
      </c>
      <c r="T637">
        <f t="shared" si="58"/>
        <v>12</v>
      </c>
      <c r="U637">
        <f t="shared" si="59"/>
        <v>12</v>
      </c>
    </row>
    <row r="638" spans="1:21">
      <c r="A638" t="s">
        <v>2648</v>
      </c>
      <c r="B638">
        <v>1497</v>
      </c>
      <c r="D638" t="s">
        <v>108</v>
      </c>
      <c r="E638" t="s">
        <v>108</v>
      </c>
      <c r="F638">
        <v>1</v>
      </c>
      <c r="G638">
        <f t="shared" si="63"/>
        <v>0.90909090909090906</v>
      </c>
      <c r="H638">
        <f t="shared" si="64"/>
        <v>0</v>
      </c>
      <c r="I638">
        <f t="shared" si="65"/>
        <v>0.90909090909090906</v>
      </c>
      <c r="J638" cm="1">
        <f t="array" ref="J638">INT(G638)+IF(100-SUM(INT(G$629:G$641))&gt;=RANK(I638,I$629:I$641)+COUNTIF(I$629:I638,I638)-1,1,0)</f>
        <v>1</v>
      </c>
      <c r="K638" t="str">
        <f>_xlfn.XLOOKUP(B638,BugList!A:A,BugList!H:H)</f>
        <v/>
      </c>
      <c r="L638" t="str">
        <f>IF(K638 = "","",_xlfn.XLOOKUP(B638, BugList!A:A,BugList!B:B,""))</f>
        <v/>
      </c>
      <c r="M638">
        <f>_xlfn.XLOOKUP(D638,BugList!C:C,BugList!N:N)</f>
        <v>3</v>
      </c>
      <c r="N638">
        <f>_xlfn.XLOOKUP(B638,BugList!A:A,BugList!R:R)</f>
        <v>3</v>
      </c>
      <c r="O638" t="b">
        <f>_xlfn.XLOOKUP(B638,BugList!A:A,BugList!L:L)</f>
        <v>1</v>
      </c>
      <c r="P638" t="b">
        <f t="shared" si="66"/>
        <v>0</v>
      </c>
      <c r="R638" t="b">
        <f>SUMPRODUCT(COUNTIF(_xlfn.XLOOKUP(B638,BugList!A:A,BugList!P:P), "*SC*"))&gt;0</f>
        <v>0</v>
      </c>
      <c r="S638" t="str">
        <f>_xlfn.XLOOKUP(B638,BugList!A:A,BugList!W:W)</f>
        <v/>
      </c>
      <c r="T638">
        <f t="shared" si="58"/>
        <v>3</v>
      </c>
      <c r="U638">
        <f t="shared" si="59"/>
        <v>3</v>
      </c>
    </row>
    <row r="639" spans="1:21">
      <c r="A639" t="s">
        <v>2648</v>
      </c>
      <c r="B639">
        <v>1614</v>
      </c>
      <c r="D639" t="s">
        <v>92</v>
      </c>
      <c r="E639" t="s">
        <v>92</v>
      </c>
      <c r="F639">
        <v>1</v>
      </c>
      <c r="G639">
        <f t="shared" si="63"/>
        <v>0.90909090909090906</v>
      </c>
      <c r="H639">
        <f t="shared" si="64"/>
        <v>0</v>
      </c>
      <c r="I639">
        <f t="shared" si="65"/>
        <v>0.90909090909090906</v>
      </c>
      <c r="J639" cm="1">
        <f t="array" ref="J639">INT(G639)+IF(100-SUM(INT(G$629:G$641))&gt;=RANK(I639,I$629:I$641)+COUNTIF(I$629:I639,I639)-1,1,0)</f>
        <v>1</v>
      </c>
      <c r="K639" t="str">
        <f>_xlfn.XLOOKUP(B639,BugList!A:A,BugList!H:H)</f>
        <v/>
      </c>
      <c r="L639" t="str">
        <f>IF(K639 = "","",_xlfn.XLOOKUP(B639, BugList!A:A,BugList!B:B,""))</f>
        <v/>
      </c>
      <c r="M639">
        <f>_xlfn.XLOOKUP(D639,BugList!C:C,BugList!N:N)</f>
        <v>8</v>
      </c>
      <c r="N639">
        <f>_xlfn.XLOOKUP(B639,BugList!A:A,BugList!R:R)</f>
        <v>8</v>
      </c>
      <c r="O639" t="b">
        <f>_xlfn.XLOOKUP(B639,BugList!A:A,BugList!L:L)</f>
        <v>0</v>
      </c>
      <c r="P639" t="b">
        <f t="shared" si="66"/>
        <v>0</v>
      </c>
      <c r="R639" t="b">
        <f>SUMPRODUCT(COUNTIF(_xlfn.XLOOKUP(B639,BugList!A:A,BugList!P:P), "*SC*"))&gt;0</f>
        <v>0</v>
      </c>
      <c r="S639" t="str">
        <f>_xlfn.XLOOKUP(B639,BugList!A:A,BugList!W:W)</f>
        <v/>
      </c>
      <c r="T639">
        <f t="shared" si="58"/>
        <v>8</v>
      </c>
      <c r="U639">
        <f t="shared" si="59"/>
        <v>8</v>
      </c>
    </row>
    <row r="640" spans="1:21">
      <c r="A640" t="s">
        <v>2648</v>
      </c>
      <c r="B640">
        <v>1678</v>
      </c>
      <c r="D640" t="s">
        <v>166</v>
      </c>
      <c r="E640" t="s">
        <v>166</v>
      </c>
      <c r="F640">
        <v>2</v>
      </c>
      <c r="G640">
        <f t="shared" si="63"/>
        <v>1.8181818181818181</v>
      </c>
      <c r="H640">
        <f t="shared" si="64"/>
        <v>1</v>
      </c>
      <c r="I640">
        <f t="shared" si="65"/>
        <v>0.81818181818181812</v>
      </c>
      <c r="J640" cm="1">
        <f t="array" ref="J640">INT(G640)+IF(100-SUM(INT(G$629:G$641))&gt;=RANK(I640,I$629:I$641)+COUNTIF(I$629:I640,I640)-1,1,0)</f>
        <v>2</v>
      </c>
      <c r="K640" t="str">
        <f>_xlfn.XLOOKUP(B640,BugList!A:A,BugList!H:H)</f>
        <v/>
      </c>
      <c r="L640" t="str">
        <f>IF(K640 = "","",_xlfn.XLOOKUP(B640, BugList!A:A,BugList!B:B,""))</f>
        <v/>
      </c>
      <c r="M640">
        <f>_xlfn.XLOOKUP(D640,BugList!C:C,BugList!N:N)</f>
        <v>6</v>
      </c>
      <c r="N640">
        <f>_xlfn.XLOOKUP(B640,BugList!A:A,BugList!R:R)</f>
        <v>6</v>
      </c>
      <c r="O640" t="b">
        <f>_xlfn.XLOOKUP(B640,BugList!A:A,BugList!L:L)</f>
        <v>0</v>
      </c>
      <c r="P640" t="b">
        <f t="shared" si="66"/>
        <v>0</v>
      </c>
      <c r="R640" t="b">
        <f>SUMPRODUCT(COUNTIF(_xlfn.XLOOKUP(B640,BugList!A:A,BugList!P:P), "*SC*"))&gt;0</f>
        <v>1</v>
      </c>
      <c r="S640" t="str">
        <f>_xlfn.XLOOKUP(B640,BugList!A:A,BugList!W:W)</f>
        <v/>
      </c>
      <c r="T640">
        <f t="shared" si="58"/>
        <v>12</v>
      </c>
      <c r="U640">
        <f t="shared" si="59"/>
        <v>12</v>
      </c>
    </row>
    <row r="641" spans="1:21">
      <c r="A641" t="s">
        <v>2648</v>
      </c>
      <c r="B641">
        <v>1696</v>
      </c>
      <c r="D641" t="s">
        <v>94</v>
      </c>
      <c r="E641" t="s">
        <v>94</v>
      </c>
      <c r="F641">
        <v>3</v>
      </c>
      <c r="G641">
        <f t="shared" si="63"/>
        <v>2.7272727272727271</v>
      </c>
      <c r="H641">
        <f t="shared" si="64"/>
        <v>2</v>
      </c>
      <c r="I641">
        <f t="shared" si="65"/>
        <v>0.72727272727272707</v>
      </c>
      <c r="J641" cm="1">
        <f t="array" ref="J641">INT(G641)+IF(100-SUM(INT(G$629:G$641))&gt;=RANK(I641,I$629:I$641)+COUNTIF(I$629:I641,I641)-1,1,0)</f>
        <v>2</v>
      </c>
      <c r="K641" t="str">
        <f>_xlfn.XLOOKUP(B641,BugList!A:A,BugList!H:H)</f>
        <v/>
      </c>
      <c r="L641" t="str">
        <f>IF(K641 = "","",_xlfn.XLOOKUP(B641, BugList!A:A,BugList!B:B,""))</f>
        <v/>
      </c>
      <c r="M641">
        <f>_xlfn.XLOOKUP(D641,BugList!C:C,BugList!N:N)</f>
        <v>8</v>
      </c>
      <c r="N641">
        <f>_xlfn.XLOOKUP(B641,BugList!A:A,BugList!R:R)</f>
        <v>8</v>
      </c>
      <c r="O641" t="b">
        <f>_xlfn.XLOOKUP(B641,BugList!A:A,BugList!L:L)</f>
        <v>0</v>
      </c>
      <c r="P641" t="b">
        <f t="shared" si="66"/>
        <v>0</v>
      </c>
      <c r="R641" t="b">
        <f>SUMPRODUCT(COUNTIF(_xlfn.XLOOKUP(B641,BugList!A:A,BugList!P:P), "*SC*"))&gt;0</f>
        <v>0</v>
      </c>
      <c r="S641" t="str">
        <f>_xlfn.XLOOKUP(B641,BugList!A:A,BugList!W:W)</f>
        <v/>
      </c>
      <c r="T641">
        <f t="shared" si="58"/>
        <v>16</v>
      </c>
      <c r="U641">
        <f t="shared" si="59"/>
        <v>16</v>
      </c>
    </row>
    <row r="642" spans="1:21">
      <c r="A642" t="s">
        <v>2649</v>
      </c>
      <c r="B642">
        <v>88</v>
      </c>
      <c r="D642" t="s">
        <v>85</v>
      </c>
      <c r="E642" t="s">
        <v>85</v>
      </c>
      <c r="F642">
        <v>4</v>
      </c>
      <c r="G642">
        <f t="shared" si="63"/>
        <v>3.3057851239669422</v>
      </c>
      <c r="H642">
        <f t="shared" si="64"/>
        <v>3</v>
      </c>
      <c r="I642">
        <f t="shared" si="65"/>
        <v>0.30578512396694224</v>
      </c>
      <c r="J642" cm="1">
        <f t="array" ref="J642">INT(G642)+IF(100-SUM(INT(G$642:G$652))&gt;=RANK(I642,I$642:I$652)+COUNTIF(I$642:I642,I642)-1,1,0)</f>
        <v>3</v>
      </c>
      <c r="K642" t="str">
        <f>_xlfn.XLOOKUP(B642,BugList!A:A,BugList!H:H)</f>
        <v/>
      </c>
      <c r="L642" t="str">
        <f>IF(K642 = "","",_xlfn.XLOOKUP(B642, BugList!A:A,BugList!B:B,""))</f>
        <v/>
      </c>
      <c r="M642">
        <f>_xlfn.XLOOKUP(D642,BugList!C:C,BugList!N:N)</f>
        <v>4</v>
      </c>
      <c r="N642">
        <f>_xlfn.XLOOKUP(B642,BugList!A:A,BugList!R:R)</f>
        <v>4</v>
      </c>
      <c r="O642" t="b">
        <f>_xlfn.XLOOKUP(B642,BugList!A:A,BugList!L:L)</f>
        <v>0</v>
      </c>
      <c r="P642" t="b">
        <f t="shared" si="66"/>
        <v>0</v>
      </c>
      <c r="R642" t="b">
        <f>SUMPRODUCT(COUNTIF(_xlfn.XLOOKUP(B642,BugList!A:A,BugList!P:P), "*SC*"))&gt;0</f>
        <v>0</v>
      </c>
      <c r="S642" t="str">
        <f>_xlfn.XLOOKUP(B642,BugList!A:A,BugList!W:W)</f>
        <v/>
      </c>
      <c r="T642">
        <f t="shared" ref="T642:T705" si="67">J642*M642</f>
        <v>12</v>
      </c>
      <c r="U642">
        <f t="shared" ref="U642:U705" si="68">J642*N642</f>
        <v>12</v>
      </c>
    </row>
    <row r="643" spans="1:21">
      <c r="A643" t="s">
        <v>2649</v>
      </c>
      <c r="B643">
        <v>372</v>
      </c>
      <c r="D643" t="s">
        <v>88</v>
      </c>
      <c r="E643" t="s">
        <v>88</v>
      </c>
      <c r="F643">
        <v>4</v>
      </c>
      <c r="G643">
        <f t="shared" si="63"/>
        <v>3.3057851239669422</v>
      </c>
      <c r="H643">
        <f t="shared" si="64"/>
        <v>3</v>
      </c>
      <c r="I643">
        <f t="shared" si="65"/>
        <v>0.30578512396694224</v>
      </c>
      <c r="J643" cm="1">
        <f t="array" ref="J643">INT(G643)+IF(100-SUM(INT(G$642:G$652))&gt;=RANK(I643,I$642:I$652)+COUNTIF(I$642:I643,I643)-1,1,0)</f>
        <v>3</v>
      </c>
      <c r="K643" t="str">
        <f>_xlfn.XLOOKUP(B643,BugList!A:A,BugList!H:H)</f>
        <v/>
      </c>
      <c r="L643" t="str">
        <f>IF(K643 = "","",_xlfn.XLOOKUP(B643, BugList!A:A,BugList!B:B,""))</f>
        <v/>
      </c>
      <c r="M643">
        <f>_xlfn.XLOOKUP(D643,BugList!C:C,BugList!N:N)</f>
        <v>8</v>
      </c>
      <c r="N643">
        <f>_xlfn.XLOOKUP(B643,BugList!A:A,BugList!R:R)</f>
        <v>8</v>
      </c>
      <c r="O643" t="b">
        <f>_xlfn.XLOOKUP(B643,BugList!A:A,BugList!L:L)</f>
        <v>0</v>
      </c>
      <c r="P643" t="b">
        <f t="shared" si="66"/>
        <v>0</v>
      </c>
      <c r="R643" t="b">
        <f>SUMPRODUCT(COUNTIF(_xlfn.XLOOKUP(B643,BugList!A:A,BugList!P:P), "*SC*"))&gt;0</f>
        <v>0</v>
      </c>
      <c r="S643" t="str">
        <f>_xlfn.XLOOKUP(B643,BugList!A:A,BugList!W:W)</f>
        <v/>
      </c>
      <c r="T643">
        <f t="shared" si="67"/>
        <v>24</v>
      </c>
      <c r="U643">
        <f t="shared" si="68"/>
        <v>24</v>
      </c>
    </row>
    <row r="644" spans="1:21">
      <c r="A644" t="s">
        <v>2649</v>
      </c>
      <c r="B644">
        <v>436</v>
      </c>
      <c r="D644" t="s">
        <v>106</v>
      </c>
      <c r="E644" t="s">
        <v>106</v>
      </c>
      <c r="F644">
        <v>2</v>
      </c>
      <c r="G644">
        <f t="shared" si="63"/>
        <v>1.6528925619834711</v>
      </c>
      <c r="H644">
        <f t="shared" si="64"/>
        <v>1</v>
      </c>
      <c r="I644">
        <f t="shared" si="65"/>
        <v>0.65289256198347112</v>
      </c>
      <c r="J644" cm="1">
        <f t="array" ref="J644">INT(G644)+IF(100-SUM(INT(G$642:G$652))&gt;=RANK(I644,I$642:I$652)+COUNTIF(I$642:I644,I644)-1,1,0)</f>
        <v>2</v>
      </c>
      <c r="K644" t="str">
        <f>_xlfn.XLOOKUP(B644,BugList!A:A,BugList!H:H)</f>
        <v>*</v>
      </c>
      <c r="L644" t="str">
        <f>IF(K644 = "","",_xlfn.XLOOKUP(B644, BugList!A:A,BugList!B:B,""))</f>
        <v>Plecoptera</v>
      </c>
      <c r="M644">
        <f>_xlfn.XLOOKUP(D644,BugList!C:C,BugList!N:N)</f>
        <v>2</v>
      </c>
      <c r="N644">
        <f>_xlfn.XLOOKUP(B644,BugList!A:A,BugList!R:R)</f>
        <v>2</v>
      </c>
      <c r="O644" t="b">
        <f>_xlfn.XLOOKUP(B644,BugList!A:A,BugList!L:L)</f>
        <v>1</v>
      </c>
      <c r="P644" t="b">
        <f t="shared" si="66"/>
        <v>1</v>
      </c>
      <c r="R644" t="b">
        <f>SUMPRODUCT(COUNTIF(_xlfn.XLOOKUP(B644,BugList!A:A,BugList!P:P), "*SC*"))&gt;0</f>
        <v>0</v>
      </c>
      <c r="S644" t="str">
        <f>_xlfn.XLOOKUP(B644,BugList!A:A,BugList!W:W)</f>
        <v/>
      </c>
      <c r="T644">
        <f t="shared" si="67"/>
        <v>4</v>
      </c>
      <c r="U644">
        <f t="shared" si="68"/>
        <v>4</v>
      </c>
    </row>
    <row r="645" spans="1:21">
      <c r="A645" t="s">
        <v>2649</v>
      </c>
      <c r="B645">
        <v>513</v>
      </c>
      <c r="D645" t="s">
        <v>111</v>
      </c>
      <c r="E645" t="s">
        <v>111</v>
      </c>
      <c r="F645">
        <v>1</v>
      </c>
      <c r="G645">
        <f t="shared" si="63"/>
        <v>0.82644628099173556</v>
      </c>
      <c r="H645">
        <f t="shared" si="64"/>
        <v>0</v>
      </c>
      <c r="I645">
        <f t="shared" si="65"/>
        <v>0.82644628099173556</v>
      </c>
      <c r="J645" cm="1">
        <f t="array" ref="J645">INT(G645)+IF(100-SUM(INT(G$642:G$652))&gt;=RANK(I645,I$642:I$652)+COUNTIF(I$642:I645,I645)-1,1,0)</f>
        <v>1</v>
      </c>
      <c r="K645" t="str">
        <f>_xlfn.XLOOKUP(B645,BugList!A:A,BugList!H:H)</f>
        <v>*</v>
      </c>
      <c r="L645" t="str">
        <f>IF(K645 = "","",_xlfn.XLOOKUP(B645, BugList!A:A,BugList!B:B,""))</f>
        <v>Ephemeroptera</v>
      </c>
      <c r="M645">
        <f>_xlfn.XLOOKUP(D645,BugList!C:C,BugList!N:N)</f>
        <v>4</v>
      </c>
      <c r="N645">
        <f>_xlfn.XLOOKUP(B645,BugList!A:A,BugList!R:R)</f>
        <v>4</v>
      </c>
      <c r="O645" t="b">
        <f>_xlfn.XLOOKUP(B645,BugList!A:A,BugList!L:L)</f>
        <v>1</v>
      </c>
      <c r="P645" t="b">
        <f t="shared" si="66"/>
        <v>1</v>
      </c>
      <c r="R645" t="b">
        <f>SUMPRODUCT(COUNTIF(_xlfn.XLOOKUP(B645,BugList!A:A,BugList!P:P), "*SC*"))&gt;0</f>
        <v>1</v>
      </c>
      <c r="S645" t="str">
        <f>_xlfn.XLOOKUP(B645,BugList!A:A,BugList!W:W)</f>
        <v/>
      </c>
      <c r="T645">
        <f t="shared" si="67"/>
        <v>4</v>
      </c>
      <c r="U645">
        <f t="shared" si="68"/>
        <v>4</v>
      </c>
    </row>
    <row r="646" spans="1:21">
      <c r="A646" t="s">
        <v>2649</v>
      </c>
      <c r="B646">
        <v>545</v>
      </c>
      <c r="D646" t="s">
        <v>969</v>
      </c>
      <c r="E646" t="s">
        <v>969</v>
      </c>
      <c r="F646">
        <v>1</v>
      </c>
      <c r="G646">
        <f t="shared" si="63"/>
        <v>0.82644628099173556</v>
      </c>
      <c r="H646">
        <f t="shared" si="64"/>
        <v>0</v>
      </c>
      <c r="I646">
        <f t="shared" si="65"/>
        <v>0.82644628099173556</v>
      </c>
      <c r="J646" cm="1">
        <f t="array" ref="J646">INT(G646)+IF(100-SUM(INT(G$642:G$652))&gt;=RANK(I646,I$642:I$652)+COUNTIF(I$642:I646,I646)-1,1,0)</f>
        <v>1</v>
      </c>
      <c r="K646" t="str">
        <f>_xlfn.XLOOKUP(B646,BugList!A:A,BugList!H:H)</f>
        <v>*</v>
      </c>
      <c r="L646" t="str">
        <f>IF(K646 = "","",_xlfn.XLOOKUP(B646, BugList!A:A,BugList!B:B,""))</f>
        <v>Ephemeroptera</v>
      </c>
      <c r="M646">
        <f>_xlfn.XLOOKUP(D646,BugList!C:C,BugList!N:N)</f>
        <v>7</v>
      </c>
      <c r="N646">
        <f>_xlfn.XLOOKUP(B646,BugList!A:A,BugList!R:R)</f>
        <v>7</v>
      </c>
      <c r="O646" t="b">
        <f>_xlfn.XLOOKUP(B646,BugList!A:A,BugList!L:L)</f>
        <v>1</v>
      </c>
      <c r="P646" t="b">
        <f t="shared" si="66"/>
        <v>1</v>
      </c>
      <c r="R646" t="b">
        <f>SUMPRODUCT(COUNTIF(_xlfn.XLOOKUP(B646,BugList!A:A,BugList!P:P), "*SC*"))&gt;0</f>
        <v>0</v>
      </c>
      <c r="S646" t="str">
        <f>_xlfn.XLOOKUP(B646,BugList!A:A,BugList!W:W)</f>
        <v/>
      </c>
      <c r="T646">
        <f t="shared" si="67"/>
        <v>7</v>
      </c>
      <c r="U646">
        <f t="shared" si="68"/>
        <v>7</v>
      </c>
    </row>
    <row r="647" spans="1:21">
      <c r="A647" t="s">
        <v>2649</v>
      </c>
      <c r="B647">
        <v>1002</v>
      </c>
      <c r="D647" t="s">
        <v>100</v>
      </c>
      <c r="E647" t="s">
        <v>100</v>
      </c>
      <c r="F647">
        <v>3</v>
      </c>
      <c r="G647">
        <f t="shared" si="63"/>
        <v>2.4793388429752068</v>
      </c>
      <c r="H647">
        <f t="shared" si="64"/>
        <v>2</v>
      </c>
      <c r="I647">
        <f t="shared" si="65"/>
        <v>0.47933884297520679</v>
      </c>
      <c r="J647" cm="1">
        <f t="array" ref="J647">INT(G647)+IF(100-SUM(INT(G$642:G$652))&gt;=RANK(I647,I$642:I$652)+COUNTIF(I$642:I647,I647)-1,1,0)</f>
        <v>2</v>
      </c>
      <c r="K647" t="str">
        <f>_xlfn.XLOOKUP(B647,BugList!A:A,BugList!H:H)</f>
        <v/>
      </c>
      <c r="L647" t="str">
        <f>IF(K647 = "","",_xlfn.XLOOKUP(B647, BugList!A:A,BugList!B:B,""))</f>
        <v/>
      </c>
      <c r="M647">
        <f>_xlfn.XLOOKUP(D647,BugList!C:C,BugList!N:N)</f>
        <v>4</v>
      </c>
      <c r="N647">
        <f>_xlfn.XLOOKUP(B647,BugList!A:A,BugList!R:R)</f>
        <v>4</v>
      </c>
      <c r="O647" t="b">
        <f>_xlfn.XLOOKUP(B647,BugList!A:A,BugList!L:L)</f>
        <v>1</v>
      </c>
      <c r="P647" t="b">
        <f t="shared" si="66"/>
        <v>0</v>
      </c>
      <c r="R647" t="b">
        <f>SUMPRODUCT(COUNTIF(_xlfn.XLOOKUP(B647,BugList!A:A,BugList!P:P), "*SC*"))&gt;0</f>
        <v>1</v>
      </c>
      <c r="S647" t="str">
        <f>_xlfn.XLOOKUP(B647,BugList!A:A,BugList!W:W)</f>
        <v/>
      </c>
      <c r="T647">
        <f t="shared" si="67"/>
        <v>8</v>
      </c>
      <c r="U647">
        <f t="shared" si="68"/>
        <v>8</v>
      </c>
    </row>
    <row r="648" spans="1:21">
      <c r="A648" t="s">
        <v>2649</v>
      </c>
      <c r="B648">
        <v>1088</v>
      </c>
      <c r="D648" t="s">
        <v>90</v>
      </c>
      <c r="E648" t="s">
        <v>90</v>
      </c>
      <c r="F648">
        <v>99</v>
      </c>
      <c r="G648">
        <f t="shared" si="63"/>
        <v>81.818181818181827</v>
      </c>
      <c r="H648">
        <f t="shared" si="64"/>
        <v>81</v>
      </c>
      <c r="I648">
        <f t="shared" si="65"/>
        <v>0.81818181818182723</v>
      </c>
      <c r="J648" cm="1">
        <f t="array" ref="J648">INT(G648)+IF(100-SUM(INT(G$642:G$652))&gt;=RANK(I648,I$642:I$652)+COUNTIF(I$642:I648,I648)-1,1,0)</f>
        <v>82</v>
      </c>
      <c r="K648" t="str">
        <f>_xlfn.XLOOKUP(B648,BugList!A:A,BugList!H:H)</f>
        <v/>
      </c>
      <c r="L648" t="str">
        <f>IF(K648 = "","",_xlfn.XLOOKUP(B648, BugList!A:A,BugList!B:B,""))</f>
        <v/>
      </c>
      <c r="M648">
        <f>_xlfn.XLOOKUP(D648,BugList!C:C,BugList!N:N)</f>
        <v>6</v>
      </c>
      <c r="N648">
        <f>_xlfn.XLOOKUP(B648,BugList!A:A,BugList!R:R)</f>
        <v>6</v>
      </c>
      <c r="O648" t="b">
        <f>_xlfn.XLOOKUP(B648,BugList!A:A,BugList!L:L)</f>
        <v>1</v>
      </c>
      <c r="P648" t="b">
        <f t="shared" si="66"/>
        <v>0</v>
      </c>
      <c r="R648" t="b">
        <f>SUMPRODUCT(COUNTIF(_xlfn.XLOOKUP(B648,BugList!A:A,BugList!P:P), "*SC*"))&gt;0</f>
        <v>0</v>
      </c>
      <c r="S648" t="str">
        <f>_xlfn.XLOOKUP(B648,BugList!A:A,BugList!W:W)</f>
        <v/>
      </c>
      <c r="T648">
        <f t="shared" si="67"/>
        <v>492</v>
      </c>
      <c r="U648">
        <f t="shared" si="68"/>
        <v>492</v>
      </c>
    </row>
    <row r="649" spans="1:21">
      <c r="A649" t="s">
        <v>2649</v>
      </c>
      <c r="B649">
        <v>1089</v>
      </c>
      <c r="D649" t="s">
        <v>126</v>
      </c>
      <c r="E649" t="s">
        <v>127</v>
      </c>
      <c r="F649">
        <v>1</v>
      </c>
      <c r="G649">
        <f t="shared" ref="G649:G652" si="69">(F649/(SUMIFS(F:F,A:A,A649))*100)</f>
        <v>0.82644628099173556</v>
      </c>
      <c r="H649">
        <f t="shared" ref="H649:H652" si="70">INT(G649)</f>
        <v>0</v>
      </c>
      <c r="I649">
        <f t="shared" ref="I649:I652" si="71">G649-H649</f>
        <v>0.82644628099173556</v>
      </c>
      <c r="J649" cm="1">
        <f t="array" ref="J649">INT(G649)+IF(100-SUM(INT(G$642:G$652))&gt;=RANK(I649,I$642:I$652)+COUNTIF(I$642:I649,I649)-1,1,0)</f>
        <v>1</v>
      </c>
      <c r="K649" t="str">
        <f>_xlfn.XLOOKUP(B649,BugList!A:A,BugList!H:H)</f>
        <v/>
      </c>
      <c r="L649" t="str">
        <f>IF(K649 = "","",_xlfn.XLOOKUP(B649, BugList!A:A,BugList!B:B,""))</f>
        <v/>
      </c>
      <c r="M649">
        <f>_xlfn.XLOOKUP(D649,BugList!C:C,BugList!N:N)</f>
        <v>8</v>
      </c>
      <c r="N649">
        <f>_xlfn.XLOOKUP(B649,BugList!A:A,BugList!R:R)</f>
        <v>10</v>
      </c>
      <c r="O649" t="b">
        <f>_xlfn.XLOOKUP(B649,BugList!A:A,BugList!L:L)</f>
        <v>1</v>
      </c>
      <c r="P649" t="b">
        <f t="shared" si="66"/>
        <v>0</v>
      </c>
      <c r="R649" t="b">
        <f>SUMPRODUCT(COUNTIF(_xlfn.XLOOKUP(B649,BugList!A:A,BugList!P:P), "*SC*"))&gt;0</f>
        <v>0</v>
      </c>
      <c r="S649" t="str">
        <f>_xlfn.XLOOKUP(B649,BugList!A:A,BugList!W:W)</f>
        <v/>
      </c>
      <c r="T649">
        <f t="shared" si="67"/>
        <v>8</v>
      </c>
      <c r="U649">
        <f t="shared" si="68"/>
        <v>10</v>
      </c>
    </row>
    <row r="650" spans="1:21">
      <c r="A650" t="s">
        <v>2649</v>
      </c>
      <c r="B650">
        <v>1497</v>
      </c>
      <c r="D650" t="s">
        <v>108</v>
      </c>
      <c r="E650" t="s">
        <v>108</v>
      </c>
      <c r="F650">
        <v>1</v>
      </c>
      <c r="G650">
        <f t="shared" si="69"/>
        <v>0.82644628099173556</v>
      </c>
      <c r="H650">
        <f t="shared" si="70"/>
        <v>0</v>
      </c>
      <c r="I650">
        <f t="shared" si="71"/>
        <v>0.82644628099173556</v>
      </c>
      <c r="J650" cm="1">
        <f t="array" ref="J650">INT(G650)+IF(100-SUM(INT(G$642:G$652))&gt;=RANK(I650,I$642:I$652)+COUNTIF(I$642:I650,I650)-1,1,0)</f>
        <v>1</v>
      </c>
      <c r="K650" t="str">
        <f>_xlfn.XLOOKUP(B650,BugList!A:A,BugList!H:H)</f>
        <v/>
      </c>
      <c r="L650" t="str">
        <f>IF(K650 = "","",_xlfn.XLOOKUP(B650, BugList!A:A,BugList!B:B,""))</f>
        <v/>
      </c>
      <c r="M650">
        <f>_xlfn.XLOOKUP(D650,BugList!C:C,BugList!N:N)</f>
        <v>3</v>
      </c>
      <c r="N650">
        <f>_xlfn.XLOOKUP(B650,BugList!A:A,BugList!R:R)</f>
        <v>3</v>
      </c>
      <c r="O650" t="b">
        <f>_xlfn.XLOOKUP(B650,BugList!A:A,BugList!L:L)</f>
        <v>1</v>
      </c>
      <c r="P650" t="b">
        <f t="shared" si="66"/>
        <v>0</v>
      </c>
      <c r="R650" t="b">
        <f>SUMPRODUCT(COUNTIF(_xlfn.XLOOKUP(B650,BugList!A:A,BugList!P:P), "*SC*"))&gt;0</f>
        <v>0</v>
      </c>
      <c r="S650" t="str">
        <f>_xlfn.XLOOKUP(B650,BugList!A:A,BugList!W:W)</f>
        <v/>
      </c>
      <c r="T650">
        <f t="shared" si="67"/>
        <v>3</v>
      </c>
      <c r="U650">
        <f t="shared" si="68"/>
        <v>3</v>
      </c>
    </row>
    <row r="651" spans="1:21">
      <c r="A651" t="s">
        <v>2649</v>
      </c>
      <c r="B651">
        <v>1696</v>
      </c>
      <c r="D651" t="s">
        <v>94</v>
      </c>
      <c r="E651" t="s">
        <v>94</v>
      </c>
      <c r="F651">
        <v>3</v>
      </c>
      <c r="G651">
        <f t="shared" si="69"/>
        <v>2.4793388429752068</v>
      </c>
      <c r="H651">
        <f t="shared" si="70"/>
        <v>2</v>
      </c>
      <c r="I651">
        <f t="shared" si="71"/>
        <v>0.47933884297520679</v>
      </c>
      <c r="J651" cm="1">
        <f t="array" ref="J651">INT(G651)+IF(100-SUM(INT(G$642:G$652))&gt;=RANK(I651,I$642:I$652)+COUNTIF(I$642:I651,I651)-1,1,0)</f>
        <v>2</v>
      </c>
      <c r="K651" t="str">
        <f>_xlfn.XLOOKUP(B651,BugList!A:A,BugList!H:H)</f>
        <v/>
      </c>
      <c r="L651" t="str">
        <f>IF(K651 = "","",_xlfn.XLOOKUP(B651, BugList!A:A,BugList!B:B,""))</f>
        <v/>
      </c>
      <c r="M651">
        <f>_xlfn.XLOOKUP(D651,BugList!C:C,BugList!N:N)</f>
        <v>8</v>
      </c>
      <c r="N651">
        <f>_xlfn.XLOOKUP(B651,BugList!A:A,BugList!R:R)</f>
        <v>8</v>
      </c>
      <c r="O651" t="b">
        <f>_xlfn.XLOOKUP(B651,BugList!A:A,BugList!L:L)</f>
        <v>0</v>
      </c>
      <c r="P651" t="b">
        <f t="shared" si="66"/>
        <v>0</v>
      </c>
      <c r="R651" t="b">
        <f>SUMPRODUCT(COUNTIF(_xlfn.XLOOKUP(B651,BugList!A:A,BugList!P:P), "*SC*"))&gt;0</f>
        <v>0</v>
      </c>
      <c r="S651" t="str">
        <f>_xlfn.XLOOKUP(B651,BugList!A:A,BugList!W:W)</f>
        <v/>
      </c>
      <c r="T651">
        <f t="shared" si="67"/>
        <v>16</v>
      </c>
      <c r="U651">
        <f t="shared" si="68"/>
        <v>16</v>
      </c>
    </row>
    <row r="652" spans="1:21">
      <c r="A652" t="s">
        <v>2649</v>
      </c>
      <c r="B652">
        <v>2781</v>
      </c>
      <c r="D652" t="s">
        <v>109</v>
      </c>
      <c r="E652" t="s">
        <v>109</v>
      </c>
      <c r="F652">
        <v>2</v>
      </c>
      <c r="G652">
        <f t="shared" si="69"/>
        <v>1.6528925619834711</v>
      </c>
      <c r="H652">
        <f t="shared" si="70"/>
        <v>1</v>
      </c>
      <c r="I652">
        <f t="shared" si="71"/>
        <v>0.65289256198347112</v>
      </c>
      <c r="J652" cm="1">
        <f t="array" ref="J652">INT(G652)+IF(100-SUM(INT(G$642:G$652))&gt;=RANK(I652,I$642:I$652)+COUNTIF(I$642:I652,I652)-1,1,0)</f>
        <v>2</v>
      </c>
      <c r="K652" t="str">
        <f>_xlfn.XLOOKUP(B652,BugList!A:A,BugList!H:H)</f>
        <v/>
      </c>
      <c r="L652" t="str">
        <f>IF(K652 = "","",_xlfn.XLOOKUP(B652, BugList!A:A,BugList!B:B,""))</f>
        <v/>
      </c>
      <c r="M652">
        <f>_xlfn.XLOOKUP(D652,BugList!C:C,BugList!N:N)</f>
        <v>6</v>
      </c>
      <c r="N652">
        <f>_xlfn.XLOOKUP(B652,BugList!A:A,BugList!R:R)</f>
        <v>4</v>
      </c>
      <c r="O652" t="b">
        <f>_xlfn.XLOOKUP(B652,BugList!A:A,BugList!L:L)</f>
        <v>0</v>
      </c>
      <c r="P652" t="b">
        <f t="shared" si="66"/>
        <v>0</v>
      </c>
      <c r="R652" t="b">
        <f>SUMPRODUCT(COUNTIF(_xlfn.XLOOKUP(B652,BugList!A:A,BugList!P:P), "*SC*"))&gt;0</f>
        <v>0</v>
      </c>
      <c r="S652" t="str">
        <f>_xlfn.XLOOKUP(B652,BugList!A:A,BugList!W:W)</f>
        <v/>
      </c>
      <c r="T652">
        <f t="shared" si="67"/>
        <v>12</v>
      </c>
      <c r="U652">
        <f t="shared" si="68"/>
        <v>8</v>
      </c>
    </row>
    <row r="653" spans="1:21">
      <c r="A653" t="s">
        <v>2650</v>
      </c>
      <c r="B653">
        <v>63</v>
      </c>
      <c r="D653" t="s">
        <v>84</v>
      </c>
      <c r="E653" t="s">
        <v>84</v>
      </c>
      <c r="F653">
        <v>1</v>
      </c>
      <c r="K653" t="str">
        <f>_xlfn.XLOOKUP(B653,BugList!A:A,BugList!H:H)</f>
        <v/>
      </c>
      <c r="L653" t="str">
        <f>IF(K653 = "","",_xlfn.XLOOKUP(B653, BugList!A:A,BugList!B:B,""))</f>
        <v/>
      </c>
      <c r="M653">
        <f>_xlfn.XLOOKUP(D653,BugList!C:C,BugList!N:N)</f>
        <v>8</v>
      </c>
      <c r="N653">
        <f>_xlfn.XLOOKUP(B653,BugList!A:A,BugList!R:R)</f>
        <v>8</v>
      </c>
      <c r="O653" t="b">
        <f>_xlfn.XLOOKUP(B653,BugList!A:A,BugList!L:L)</f>
        <v>0</v>
      </c>
      <c r="P653" t="b">
        <f t="shared" si="66"/>
        <v>0</v>
      </c>
      <c r="R653" t="b">
        <f>SUMPRODUCT(COUNTIF(_xlfn.XLOOKUP(B653,BugList!A:A,BugList!P:P), "*SC*"))&gt;0</f>
        <v>0</v>
      </c>
      <c r="S653" t="str">
        <f>_xlfn.XLOOKUP(B653,BugList!A:A,BugList!W:W)</f>
        <v/>
      </c>
      <c r="T653">
        <f t="shared" si="67"/>
        <v>0</v>
      </c>
      <c r="U653">
        <f t="shared" si="68"/>
        <v>0</v>
      </c>
    </row>
    <row r="654" spans="1:21">
      <c r="A654" t="s">
        <v>2650</v>
      </c>
      <c r="B654">
        <v>88</v>
      </c>
      <c r="D654" t="s">
        <v>85</v>
      </c>
      <c r="E654" t="s">
        <v>85</v>
      </c>
      <c r="F654">
        <v>10</v>
      </c>
      <c r="K654" t="str">
        <f>_xlfn.XLOOKUP(B654,BugList!A:A,BugList!H:H)</f>
        <v/>
      </c>
      <c r="L654" t="str">
        <f>IF(K654 = "","",_xlfn.XLOOKUP(B654, BugList!A:A,BugList!B:B,""))</f>
        <v/>
      </c>
      <c r="M654">
        <f>_xlfn.XLOOKUP(D654,BugList!C:C,BugList!N:N)</f>
        <v>4</v>
      </c>
      <c r="N654">
        <f>_xlfn.XLOOKUP(B654,BugList!A:A,BugList!R:R)</f>
        <v>4</v>
      </c>
      <c r="O654" t="b">
        <f>_xlfn.XLOOKUP(B654,BugList!A:A,BugList!L:L)</f>
        <v>0</v>
      </c>
      <c r="P654" t="b">
        <f t="shared" si="66"/>
        <v>0</v>
      </c>
      <c r="R654" t="b">
        <f>SUMPRODUCT(COUNTIF(_xlfn.XLOOKUP(B654,BugList!A:A,BugList!P:P), "*SC*"))&gt;0</f>
        <v>0</v>
      </c>
      <c r="S654" t="str">
        <f>_xlfn.XLOOKUP(B654,BugList!A:A,BugList!W:W)</f>
        <v/>
      </c>
      <c r="T654">
        <f t="shared" si="67"/>
        <v>0</v>
      </c>
      <c r="U654">
        <f t="shared" si="68"/>
        <v>0</v>
      </c>
    </row>
    <row r="655" spans="1:21">
      <c r="A655" t="s">
        <v>2650</v>
      </c>
      <c r="B655">
        <v>245</v>
      </c>
      <c r="D655" t="s">
        <v>87</v>
      </c>
      <c r="E655" t="s">
        <v>119</v>
      </c>
      <c r="F655">
        <v>1</v>
      </c>
      <c r="K655" t="str">
        <f>_xlfn.XLOOKUP(B655,BugList!A:A,BugList!H:H)</f>
        <v/>
      </c>
      <c r="L655" t="str">
        <f>IF(K655 = "","",_xlfn.XLOOKUP(B655, BugList!A:A,BugList!B:B,""))</f>
        <v/>
      </c>
      <c r="M655">
        <f>_xlfn.XLOOKUP(D655,BugList!C:C,BugList!N:N)</f>
        <v>4</v>
      </c>
      <c r="N655">
        <f>_xlfn.XLOOKUP(B655,BugList!A:A,BugList!R:R)</f>
        <v>4</v>
      </c>
      <c r="O655" t="b">
        <f>_xlfn.XLOOKUP(B655,BugList!A:A,BugList!L:L)</f>
        <v>0</v>
      </c>
      <c r="P655" t="b">
        <f t="shared" si="66"/>
        <v>0</v>
      </c>
      <c r="R655" t="b">
        <f>SUMPRODUCT(COUNTIF(_xlfn.XLOOKUP(B655,BugList!A:A,BugList!P:P), "*SC*"))&gt;0</f>
        <v>0</v>
      </c>
      <c r="S655" t="str">
        <f>_xlfn.XLOOKUP(B655,BugList!A:A,BugList!W:W)</f>
        <v/>
      </c>
      <c r="T655">
        <f t="shared" si="67"/>
        <v>0</v>
      </c>
      <c r="U655">
        <f t="shared" si="68"/>
        <v>0</v>
      </c>
    </row>
    <row r="656" spans="1:21">
      <c r="A656" t="s">
        <v>2650</v>
      </c>
      <c r="B656">
        <v>513</v>
      </c>
      <c r="D656" t="s">
        <v>111</v>
      </c>
      <c r="E656" t="s">
        <v>111</v>
      </c>
      <c r="F656">
        <v>11</v>
      </c>
      <c r="K656" t="str">
        <f>_xlfn.XLOOKUP(B656,BugList!A:A,BugList!H:H)</f>
        <v>*</v>
      </c>
      <c r="L656" t="str">
        <f>IF(K656 = "","",_xlfn.XLOOKUP(B656, BugList!A:A,BugList!B:B,""))</f>
        <v>Ephemeroptera</v>
      </c>
      <c r="M656">
        <f>_xlfn.XLOOKUP(D656,BugList!C:C,BugList!N:N)</f>
        <v>4</v>
      </c>
      <c r="N656">
        <f>_xlfn.XLOOKUP(B656,BugList!A:A,BugList!R:R)</f>
        <v>4</v>
      </c>
      <c r="O656" t="b">
        <f>_xlfn.XLOOKUP(B656,BugList!A:A,BugList!L:L)</f>
        <v>1</v>
      </c>
      <c r="P656" t="b">
        <f t="shared" si="66"/>
        <v>1</v>
      </c>
      <c r="R656" t="b">
        <f>SUMPRODUCT(COUNTIF(_xlfn.XLOOKUP(B656,BugList!A:A,BugList!P:P), "*SC*"))&gt;0</f>
        <v>1</v>
      </c>
      <c r="S656" t="str">
        <f>_xlfn.XLOOKUP(B656,BugList!A:A,BugList!W:W)</f>
        <v/>
      </c>
      <c r="T656">
        <f t="shared" si="67"/>
        <v>0</v>
      </c>
      <c r="U656">
        <f t="shared" si="68"/>
        <v>0</v>
      </c>
    </row>
    <row r="657" spans="1:21">
      <c r="A657" t="s">
        <v>2650</v>
      </c>
      <c r="B657">
        <v>745</v>
      </c>
      <c r="D657" t="s">
        <v>179</v>
      </c>
      <c r="E657" t="s">
        <v>179</v>
      </c>
      <c r="F657">
        <v>1</v>
      </c>
      <c r="K657" t="str">
        <f>_xlfn.XLOOKUP(B657,BugList!A:A,BugList!H:H)</f>
        <v>*</v>
      </c>
      <c r="L657" t="str">
        <f>IF(K657 = "","",_xlfn.XLOOKUP(B657, BugList!A:A,BugList!B:B,""))</f>
        <v>Trichoptera</v>
      </c>
      <c r="M657">
        <f>_xlfn.XLOOKUP(D657,BugList!C:C,BugList!N:N)</f>
        <v>1</v>
      </c>
      <c r="N657">
        <f>_xlfn.XLOOKUP(B657,BugList!A:A,BugList!R:R)</f>
        <v>1</v>
      </c>
      <c r="O657" t="b">
        <f>_xlfn.XLOOKUP(B657,BugList!A:A,BugList!L:L)</f>
        <v>1</v>
      </c>
      <c r="P657" t="b">
        <f t="shared" si="66"/>
        <v>1</v>
      </c>
      <c r="R657" t="b">
        <f>SUMPRODUCT(COUNTIF(_xlfn.XLOOKUP(B657,BugList!A:A,BugList!P:P), "*SC*"))&gt;0</f>
        <v>0</v>
      </c>
      <c r="S657" t="str">
        <f>_xlfn.XLOOKUP(B657,BugList!A:A,BugList!W:W)</f>
        <v/>
      </c>
      <c r="T657">
        <f t="shared" si="67"/>
        <v>0</v>
      </c>
      <c r="U657">
        <f t="shared" si="68"/>
        <v>0</v>
      </c>
    </row>
    <row r="658" spans="1:21">
      <c r="A658" t="s">
        <v>2650</v>
      </c>
      <c r="B658">
        <v>794</v>
      </c>
      <c r="D658" t="s">
        <v>89</v>
      </c>
      <c r="E658" t="s">
        <v>89</v>
      </c>
      <c r="F658">
        <v>6</v>
      </c>
      <c r="K658" t="str">
        <f>_xlfn.XLOOKUP(B658,BugList!A:A,BugList!H:H)</f>
        <v>*</v>
      </c>
      <c r="L658" t="str">
        <f>IF(K658 = "","",_xlfn.XLOOKUP(B658, BugList!A:A,BugList!B:B,""))</f>
        <v>Trichoptera</v>
      </c>
      <c r="M658">
        <f>_xlfn.XLOOKUP(D658,BugList!C:C,BugList!N:N)</f>
        <v>4</v>
      </c>
      <c r="N658">
        <f>_xlfn.XLOOKUP(B658,BugList!A:A,BugList!R:R)</f>
        <v>4</v>
      </c>
      <c r="O658" t="b">
        <f>_xlfn.XLOOKUP(B658,BugList!A:A,BugList!L:L)</f>
        <v>1</v>
      </c>
      <c r="P658" t="b">
        <f t="shared" si="66"/>
        <v>0</v>
      </c>
      <c r="R658" t="b">
        <f>SUMPRODUCT(COUNTIF(_xlfn.XLOOKUP(B658,BugList!A:A,BugList!P:P), "*SC*"))&gt;0</f>
        <v>0</v>
      </c>
      <c r="S658" t="str">
        <f>_xlfn.XLOOKUP(B658,BugList!A:A,BugList!W:W)</f>
        <v/>
      </c>
      <c r="T658">
        <f t="shared" si="67"/>
        <v>0</v>
      </c>
      <c r="U658">
        <f t="shared" si="68"/>
        <v>0</v>
      </c>
    </row>
    <row r="659" spans="1:21">
      <c r="A659" t="s">
        <v>2650</v>
      </c>
      <c r="B659">
        <v>837</v>
      </c>
      <c r="D659" t="s">
        <v>107</v>
      </c>
      <c r="E659" t="s">
        <v>107</v>
      </c>
      <c r="F659">
        <v>4</v>
      </c>
      <c r="K659" t="str">
        <f>_xlfn.XLOOKUP(B659,BugList!A:A,BugList!H:H)</f>
        <v>*</v>
      </c>
      <c r="L659" t="str">
        <f>IF(K659 = "","",_xlfn.XLOOKUP(B659, BugList!A:A,BugList!B:B,""))</f>
        <v>Trichoptera</v>
      </c>
      <c r="M659">
        <f>_xlfn.XLOOKUP(D659,BugList!C:C,BugList!N:N)</f>
        <v>3</v>
      </c>
      <c r="N659">
        <f>_xlfn.XLOOKUP(B659,BugList!A:A,BugList!R:R)</f>
        <v>3</v>
      </c>
      <c r="O659" t="b">
        <f>_xlfn.XLOOKUP(B659,BugList!A:A,BugList!L:L)</f>
        <v>1</v>
      </c>
      <c r="P659" t="b">
        <f t="shared" si="66"/>
        <v>1</v>
      </c>
      <c r="R659" t="b">
        <f>SUMPRODUCT(COUNTIF(_xlfn.XLOOKUP(B659,BugList!A:A,BugList!P:P), "*SC*"))&gt;0</f>
        <v>0</v>
      </c>
      <c r="S659" t="str">
        <f>_xlfn.XLOOKUP(B659,BugList!A:A,BugList!W:W)</f>
        <v/>
      </c>
      <c r="T659">
        <f t="shared" si="67"/>
        <v>0</v>
      </c>
      <c r="U659">
        <f t="shared" si="68"/>
        <v>0</v>
      </c>
    </row>
    <row r="660" spans="1:21">
      <c r="A660" t="s">
        <v>2650</v>
      </c>
      <c r="B660">
        <v>935</v>
      </c>
      <c r="D660" t="s">
        <v>98</v>
      </c>
      <c r="E660" t="s">
        <v>98</v>
      </c>
      <c r="F660">
        <v>1</v>
      </c>
      <c r="K660" t="str">
        <f>_xlfn.XLOOKUP(B660,BugList!A:A,BugList!H:H)</f>
        <v/>
      </c>
      <c r="L660" t="str">
        <f>IF(K660 = "","",_xlfn.XLOOKUP(B660, BugList!A:A,BugList!B:B,""))</f>
        <v/>
      </c>
      <c r="M660">
        <f>_xlfn.XLOOKUP(D660,BugList!C:C,BugList!N:N)</f>
        <v>4</v>
      </c>
      <c r="N660">
        <f>_xlfn.XLOOKUP(B660,BugList!A:A,BugList!R:R)</f>
        <v>4</v>
      </c>
      <c r="O660" t="b">
        <f>_xlfn.XLOOKUP(B660,BugList!A:A,BugList!L:L)</f>
        <v>1</v>
      </c>
      <c r="P660" t="b">
        <f t="shared" si="66"/>
        <v>0</v>
      </c>
      <c r="R660" t="b">
        <f>SUMPRODUCT(COUNTIF(_xlfn.XLOOKUP(B660,BugList!A:A,BugList!P:P), "*SC*"))&gt;0</f>
        <v>1</v>
      </c>
      <c r="S660" t="str">
        <f>_xlfn.XLOOKUP(B660,BugList!A:A,BugList!W:W)</f>
        <v/>
      </c>
      <c r="T660">
        <f t="shared" si="67"/>
        <v>0</v>
      </c>
      <c r="U660">
        <f t="shared" si="68"/>
        <v>0</v>
      </c>
    </row>
    <row r="661" spans="1:21">
      <c r="A661" t="s">
        <v>2650</v>
      </c>
      <c r="B661">
        <v>1002</v>
      </c>
      <c r="D661" t="s">
        <v>100</v>
      </c>
      <c r="E661" t="s">
        <v>100</v>
      </c>
      <c r="F661">
        <v>15</v>
      </c>
      <c r="K661" t="str">
        <f>_xlfn.XLOOKUP(B661,BugList!A:A,BugList!H:H)</f>
        <v/>
      </c>
      <c r="L661" t="str">
        <f>IF(K661 = "","",_xlfn.XLOOKUP(B661, BugList!A:A,BugList!B:B,""))</f>
        <v/>
      </c>
      <c r="M661">
        <f>_xlfn.XLOOKUP(D661,BugList!C:C,BugList!N:N)</f>
        <v>4</v>
      </c>
      <c r="N661">
        <f>_xlfn.XLOOKUP(B661,BugList!A:A,BugList!R:R)</f>
        <v>4</v>
      </c>
      <c r="O661" t="b">
        <f>_xlfn.XLOOKUP(B661,BugList!A:A,BugList!L:L)</f>
        <v>1</v>
      </c>
      <c r="P661" t="b">
        <f t="shared" si="66"/>
        <v>0</v>
      </c>
      <c r="R661" t="b">
        <f>SUMPRODUCT(COUNTIF(_xlfn.XLOOKUP(B661,BugList!A:A,BugList!P:P), "*SC*"))&gt;0</f>
        <v>1</v>
      </c>
      <c r="S661" t="str">
        <f>_xlfn.XLOOKUP(B661,BugList!A:A,BugList!W:W)</f>
        <v/>
      </c>
      <c r="T661">
        <f t="shared" si="67"/>
        <v>0</v>
      </c>
      <c r="U661">
        <f t="shared" si="68"/>
        <v>0</v>
      </c>
    </row>
    <row r="662" spans="1:21">
      <c r="A662" t="s">
        <v>2650</v>
      </c>
      <c r="B662">
        <v>1088</v>
      </c>
      <c r="D662" t="s">
        <v>90</v>
      </c>
      <c r="E662" t="s">
        <v>90</v>
      </c>
      <c r="F662">
        <v>29</v>
      </c>
      <c r="K662" t="str">
        <f>_xlfn.XLOOKUP(B662,BugList!A:A,BugList!H:H)</f>
        <v/>
      </c>
      <c r="L662" t="str">
        <f>IF(K662 = "","",_xlfn.XLOOKUP(B662, BugList!A:A,BugList!B:B,""))</f>
        <v/>
      </c>
      <c r="M662">
        <f>_xlfn.XLOOKUP(D662,BugList!C:C,BugList!N:N)</f>
        <v>6</v>
      </c>
      <c r="N662">
        <f>_xlfn.XLOOKUP(B662,BugList!A:A,BugList!R:R)</f>
        <v>6</v>
      </c>
      <c r="O662" t="b">
        <f>_xlfn.XLOOKUP(B662,BugList!A:A,BugList!L:L)</f>
        <v>1</v>
      </c>
      <c r="P662" t="b">
        <f t="shared" si="66"/>
        <v>0</v>
      </c>
      <c r="R662" t="b">
        <f>SUMPRODUCT(COUNTIF(_xlfn.XLOOKUP(B662,BugList!A:A,BugList!P:P), "*SC*"))&gt;0</f>
        <v>0</v>
      </c>
      <c r="S662" t="str">
        <f>_xlfn.XLOOKUP(B662,BugList!A:A,BugList!W:W)</f>
        <v/>
      </c>
      <c r="T662">
        <f t="shared" si="67"/>
        <v>0</v>
      </c>
      <c r="U662">
        <f t="shared" si="68"/>
        <v>0</v>
      </c>
    </row>
    <row r="663" spans="1:21">
      <c r="A663" t="s">
        <v>2650</v>
      </c>
      <c r="B663">
        <v>1471</v>
      </c>
      <c r="D663" t="s">
        <v>1758</v>
      </c>
      <c r="E663" t="s">
        <v>1758</v>
      </c>
      <c r="F663">
        <v>5</v>
      </c>
      <c r="K663" t="str">
        <f>_xlfn.XLOOKUP(B663,BugList!A:A,BugList!H:H)</f>
        <v/>
      </c>
      <c r="L663" t="str">
        <f>IF(K663 = "","",_xlfn.XLOOKUP(B663, BugList!A:A,BugList!B:B,""))</f>
        <v/>
      </c>
      <c r="M663">
        <f>_xlfn.XLOOKUP(D663,BugList!C:C,BugList!N:N)</f>
        <v>6</v>
      </c>
      <c r="N663">
        <f>_xlfn.XLOOKUP(B663,BugList!A:A,BugList!R:R)</f>
        <v>6</v>
      </c>
      <c r="O663" t="b">
        <f>_xlfn.XLOOKUP(B663,BugList!A:A,BugList!L:L)</f>
        <v>1</v>
      </c>
      <c r="P663" t="b">
        <f t="shared" si="66"/>
        <v>0</v>
      </c>
      <c r="R663" t="b">
        <f>SUMPRODUCT(COUNTIF(_xlfn.XLOOKUP(B663,BugList!A:A,BugList!P:P), "*SC*"))&gt;0</f>
        <v>0</v>
      </c>
      <c r="S663" t="str">
        <f>_xlfn.XLOOKUP(B663,BugList!A:A,BugList!W:W)</f>
        <v/>
      </c>
      <c r="T663">
        <f t="shared" si="67"/>
        <v>0</v>
      </c>
      <c r="U663">
        <f t="shared" si="68"/>
        <v>0</v>
      </c>
    </row>
    <row r="664" spans="1:21">
      <c r="A664" t="s">
        <v>2650</v>
      </c>
      <c r="B664">
        <v>1497</v>
      </c>
      <c r="D664" t="s">
        <v>108</v>
      </c>
      <c r="E664" t="s">
        <v>108</v>
      </c>
      <c r="F664">
        <v>1</v>
      </c>
      <c r="K664" t="str">
        <f>_xlfn.XLOOKUP(B664,BugList!A:A,BugList!H:H)</f>
        <v/>
      </c>
      <c r="L664" t="str">
        <f>IF(K664 = "","",_xlfn.XLOOKUP(B664, BugList!A:A,BugList!B:B,""))</f>
        <v/>
      </c>
      <c r="M664">
        <f>_xlfn.XLOOKUP(D664,BugList!C:C,BugList!N:N)</f>
        <v>3</v>
      </c>
      <c r="N664">
        <f>_xlfn.XLOOKUP(B664,BugList!A:A,BugList!R:R)</f>
        <v>3</v>
      </c>
      <c r="O664" t="b">
        <f>_xlfn.XLOOKUP(B664,BugList!A:A,BugList!L:L)</f>
        <v>1</v>
      </c>
      <c r="P664" t="b">
        <f t="shared" si="66"/>
        <v>0</v>
      </c>
      <c r="R664" t="b">
        <f>SUMPRODUCT(COUNTIF(_xlfn.XLOOKUP(B664,BugList!A:A,BugList!P:P), "*SC*"))&gt;0</f>
        <v>0</v>
      </c>
      <c r="S664" t="str">
        <f>_xlfn.XLOOKUP(B664,BugList!A:A,BugList!W:W)</f>
        <v/>
      </c>
      <c r="T664">
        <f t="shared" si="67"/>
        <v>0</v>
      </c>
      <c r="U664">
        <f t="shared" si="68"/>
        <v>0</v>
      </c>
    </row>
    <row r="665" spans="1:21">
      <c r="A665" t="s">
        <v>2650</v>
      </c>
      <c r="B665">
        <v>1696</v>
      </c>
      <c r="D665" t="s">
        <v>94</v>
      </c>
      <c r="E665" t="s">
        <v>94</v>
      </c>
      <c r="F665">
        <v>1</v>
      </c>
      <c r="K665" t="str">
        <f>_xlfn.XLOOKUP(B665,BugList!A:A,BugList!H:H)</f>
        <v/>
      </c>
      <c r="L665" t="str">
        <f>IF(K665 = "","",_xlfn.XLOOKUP(B665, BugList!A:A,BugList!B:B,""))</f>
        <v/>
      </c>
      <c r="M665">
        <f>_xlfn.XLOOKUP(D665,BugList!C:C,BugList!N:N)</f>
        <v>8</v>
      </c>
      <c r="N665">
        <f>_xlfn.XLOOKUP(B665,BugList!A:A,BugList!R:R)</f>
        <v>8</v>
      </c>
      <c r="O665" t="b">
        <f>_xlfn.XLOOKUP(B665,BugList!A:A,BugList!L:L)</f>
        <v>0</v>
      </c>
      <c r="P665" t="b">
        <f t="shared" si="66"/>
        <v>0</v>
      </c>
      <c r="R665" t="b">
        <f>SUMPRODUCT(COUNTIF(_xlfn.XLOOKUP(B665,BugList!A:A,BugList!P:P), "*SC*"))&gt;0</f>
        <v>0</v>
      </c>
      <c r="S665" t="str">
        <f>_xlfn.XLOOKUP(B665,BugList!A:A,BugList!W:W)</f>
        <v/>
      </c>
      <c r="T665">
        <f t="shared" si="67"/>
        <v>0</v>
      </c>
      <c r="U665">
        <f t="shared" si="68"/>
        <v>0</v>
      </c>
    </row>
    <row r="666" spans="1:21">
      <c r="A666" t="s">
        <v>2651</v>
      </c>
      <c r="B666">
        <v>88</v>
      </c>
      <c r="D666" t="s">
        <v>85</v>
      </c>
      <c r="E666" t="s">
        <v>85</v>
      </c>
      <c r="F666">
        <v>5</v>
      </c>
      <c r="G666">
        <f t="shared" ref="G666:G697" si="72">(F666/(SUMIFS(F:F,A:A,A666))*100)</f>
        <v>3.9370078740157481</v>
      </c>
      <c r="H666">
        <f t="shared" ref="H666:H697" si="73">INT(G666)</f>
        <v>3</v>
      </c>
      <c r="I666">
        <f t="shared" ref="I666:I697" si="74">G666-H666</f>
        <v>0.93700787401574814</v>
      </c>
      <c r="J666" cm="1">
        <f t="array" ref="J666">INT(G666)+IF(100-SUM(INT(G$666:G$677))&gt;=RANK(I666,I$666:I$677)+COUNTIF(I$666:I666,I666)-1,1,0)</f>
        <v>4</v>
      </c>
      <c r="K666" t="str">
        <f>_xlfn.XLOOKUP(B666,BugList!A:A,BugList!H:H)</f>
        <v/>
      </c>
      <c r="L666" t="str">
        <f>IF(K666 = "","",_xlfn.XLOOKUP(B666, BugList!A:A,BugList!B:B,""))</f>
        <v/>
      </c>
      <c r="M666">
        <f>_xlfn.XLOOKUP(D666,BugList!C:C,BugList!N:N)</f>
        <v>4</v>
      </c>
      <c r="N666">
        <f>_xlfn.XLOOKUP(B666,BugList!A:A,BugList!R:R)</f>
        <v>4</v>
      </c>
      <c r="O666" t="b">
        <f>_xlfn.XLOOKUP(B666,BugList!A:A,BugList!L:L)</f>
        <v>0</v>
      </c>
      <c r="P666" t="b">
        <f t="shared" si="66"/>
        <v>0</v>
      </c>
      <c r="R666" t="b">
        <f>SUMPRODUCT(COUNTIF(_xlfn.XLOOKUP(B666,BugList!A:A,BugList!P:P), "*SC*"))&gt;0</f>
        <v>0</v>
      </c>
      <c r="S666" t="str">
        <f>_xlfn.XLOOKUP(B666,BugList!A:A,BugList!W:W)</f>
        <v/>
      </c>
      <c r="T666">
        <f t="shared" si="67"/>
        <v>16</v>
      </c>
      <c r="U666">
        <f t="shared" si="68"/>
        <v>16</v>
      </c>
    </row>
    <row r="667" spans="1:21">
      <c r="A667" t="s">
        <v>2651</v>
      </c>
      <c r="B667">
        <v>372</v>
      </c>
      <c r="D667" t="s">
        <v>88</v>
      </c>
      <c r="E667" t="s">
        <v>88</v>
      </c>
      <c r="F667">
        <v>4</v>
      </c>
      <c r="G667">
        <f t="shared" si="72"/>
        <v>3.1496062992125982</v>
      </c>
      <c r="H667">
        <f t="shared" si="73"/>
        <v>3</v>
      </c>
      <c r="I667">
        <f t="shared" si="74"/>
        <v>0.14960629921259816</v>
      </c>
      <c r="J667" cm="1">
        <f t="array" ref="J667">INT(G667)+IF(100-SUM(INT(G$666:G$677))&gt;=RANK(I667,I$666:I$677)+COUNTIF(I$666:I667,I667)-1,1,0)</f>
        <v>3</v>
      </c>
      <c r="K667" t="str">
        <f>_xlfn.XLOOKUP(B667,BugList!A:A,BugList!H:H)</f>
        <v/>
      </c>
      <c r="L667" t="str">
        <f>IF(K667 = "","",_xlfn.XLOOKUP(B667, BugList!A:A,BugList!B:B,""))</f>
        <v/>
      </c>
      <c r="M667">
        <f>_xlfn.XLOOKUP(D667,BugList!C:C,BugList!N:N)</f>
        <v>8</v>
      </c>
      <c r="N667">
        <f>_xlfn.XLOOKUP(B667,BugList!A:A,BugList!R:R)</f>
        <v>8</v>
      </c>
      <c r="O667" t="b">
        <f>_xlfn.XLOOKUP(B667,BugList!A:A,BugList!L:L)</f>
        <v>0</v>
      </c>
      <c r="P667" t="b">
        <f t="shared" si="66"/>
        <v>0</v>
      </c>
      <c r="R667" t="b">
        <f>SUMPRODUCT(COUNTIF(_xlfn.XLOOKUP(B667,BugList!A:A,BugList!P:P), "*SC*"))&gt;0</f>
        <v>0</v>
      </c>
      <c r="S667" t="str">
        <f>_xlfn.XLOOKUP(B667,BugList!A:A,BugList!W:W)</f>
        <v/>
      </c>
      <c r="T667">
        <f t="shared" si="67"/>
        <v>24</v>
      </c>
      <c r="U667">
        <f t="shared" si="68"/>
        <v>24</v>
      </c>
    </row>
    <row r="668" spans="1:21">
      <c r="A668" t="s">
        <v>2651</v>
      </c>
      <c r="B668">
        <v>513</v>
      </c>
      <c r="D668" t="s">
        <v>111</v>
      </c>
      <c r="E668" t="s">
        <v>111</v>
      </c>
      <c r="F668">
        <v>8</v>
      </c>
      <c r="G668">
        <f t="shared" si="72"/>
        <v>6.2992125984251963</v>
      </c>
      <c r="H668">
        <f t="shared" si="73"/>
        <v>6</v>
      </c>
      <c r="I668">
        <f t="shared" si="74"/>
        <v>0.29921259842519632</v>
      </c>
      <c r="J668" cm="1">
        <f t="array" ref="J668">INT(G668)+IF(100-SUM(INT(G$666:G$677))&gt;=RANK(I668,I$666:I$677)+COUNTIF(I$666:I668,I668)-1,1,0)</f>
        <v>6</v>
      </c>
      <c r="K668" t="str">
        <f>_xlfn.XLOOKUP(B668,BugList!A:A,BugList!H:H)</f>
        <v>*</v>
      </c>
      <c r="L668" t="str">
        <f>IF(K668 = "","",_xlfn.XLOOKUP(B668, BugList!A:A,BugList!B:B,""))</f>
        <v>Ephemeroptera</v>
      </c>
      <c r="M668">
        <f>_xlfn.XLOOKUP(D668,BugList!C:C,BugList!N:N)</f>
        <v>4</v>
      </c>
      <c r="N668">
        <f>_xlfn.XLOOKUP(B668,BugList!A:A,BugList!R:R)</f>
        <v>4</v>
      </c>
      <c r="O668" t="b">
        <f>_xlfn.XLOOKUP(B668,BugList!A:A,BugList!L:L)</f>
        <v>1</v>
      </c>
      <c r="P668" t="b">
        <f t="shared" si="66"/>
        <v>1</v>
      </c>
      <c r="R668" t="b">
        <f>SUMPRODUCT(COUNTIF(_xlfn.XLOOKUP(B668,BugList!A:A,BugList!P:P), "*SC*"))&gt;0</f>
        <v>1</v>
      </c>
      <c r="S668" t="str">
        <f>_xlfn.XLOOKUP(B668,BugList!A:A,BugList!W:W)</f>
        <v/>
      </c>
      <c r="T668">
        <f t="shared" si="67"/>
        <v>24</v>
      </c>
      <c r="U668">
        <f t="shared" si="68"/>
        <v>24</v>
      </c>
    </row>
    <row r="669" spans="1:21">
      <c r="A669" t="s">
        <v>2651</v>
      </c>
      <c r="B669">
        <v>602</v>
      </c>
      <c r="D669" t="s">
        <v>97</v>
      </c>
      <c r="E669" t="s">
        <v>97</v>
      </c>
      <c r="F669">
        <v>1</v>
      </c>
      <c r="G669">
        <f t="shared" si="72"/>
        <v>0.78740157480314954</v>
      </c>
      <c r="H669">
        <f t="shared" si="73"/>
        <v>0</v>
      </c>
      <c r="I669">
        <f t="shared" si="74"/>
        <v>0.78740157480314954</v>
      </c>
      <c r="J669" cm="1">
        <f t="array" ref="J669">INT(G669)+IF(100-SUM(INT(G$666:G$677))&gt;=RANK(I669,I$666:I$677)+COUNTIF(I$666:I669,I669)-1,1,0)</f>
        <v>1</v>
      </c>
      <c r="K669" t="str">
        <f>_xlfn.XLOOKUP(B669,BugList!A:A,BugList!H:H)</f>
        <v/>
      </c>
      <c r="L669" t="str">
        <f>IF(K669 = "","",_xlfn.XLOOKUP(B669, BugList!A:A,BugList!B:B,""))</f>
        <v/>
      </c>
      <c r="M669">
        <f>_xlfn.XLOOKUP(D669,BugList!C:C,BugList!N:N)</f>
        <v>9</v>
      </c>
      <c r="N669">
        <f>_xlfn.XLOOKUP(B669,BugList!A:A,BugList!R:R)</f>
        <v>9</v>
      </c>
      <c r="O669" t="b">
        <f>_xlfn.XLOOKUP(B669,BugList!A:A,BugList!L:L)</f>
        <v>1</v>
      </c>
      <c r="P669" t="b">
        <f t="shared" si="66"/>
        <v>0</v>
      </c>
      <c r="R669" t="b">
        <f>SUMPRODUCT(COUNTIF(_xlfn.XLOOKUP(B669,BugList!A:A,BugList!P:P), "*SC*"))&gt;0</f>
        <v>0</v>
      </c>
      <c r="S669" t="str">
        <f>_xlfn.XLOOKUP(B669,BugList!A:A,BugList!W:W)</f>
        <v/>
      </c>
      <c r="T669">
        <f t="shared" si="67"/>
        <v>9</v>
      </c>
      <c r="U669">
        <f t="shared" si="68"/>
        <v>9</v>
      </c>
    </row>
    <row r="670" spans="1:21">
      <c r="A670" t="s">
        <v>2651</v>
      </c>
      <c r="B670">
        <v>620</v>
      </c>
      <c r="D670" t="s">
        <v>113</v>
      </c>
      <c r="E670" t="s">
        <v>113</v>
      </c>
      <c r="F670">
        <v>1</v>
      </c>
      <c r="G670">
        <f t="shared" si="72"/>
        <v>0.78740157480314954</v>
      </c>
      <c r="H670">
        <f t="shared" si="73"/>
        <v>0</v>
      </c>
      <c r="I670">
        <f t="shared" si="74"/>
        <v>0.78740157480314954</v>
      </c>
      <c r="J670" cm="1">
        <f t="array" ref="J670">INT(G670)+IF(100-SUM(INT(G$666:G$677))&gt;=RANK(I670,I$666:I$677)+COUNTIF(I$666:I670,I670)-1,1,0)</f>
        <v>1</v>
      </c>
      <c r="K670" t="str">
        <f>_xlfn.XLOOKUP(B670,BugList!A:A,BugList!H:H)</f>
        <v/>
      </c>
      <c r="L670" t="str">
        <f>IF(K670 = "","",_xlfn.XLOOKUP(B670, BugList!A:A,BugList!B:B,""))</f>
        <v/>
      </c>
      <c r="M670">
        <f>_xlfn.XLOOKUP(D670,BugList!C:C,BugList!N:N)</f>
        <v>1</v>
      </c>
      <c r="N670">
        <f>_xlfn.XLOOKUP(B670,BugList!A:A,BugList!R:R)</f>
        <v>1</v>
      </c>
      <c r="O670" t="b">
        <f>_xlfn.XLOOKUP(B670,BugList!A:A,BugList!L:L)</f>
        <v>1</v>
      </c>
      <c r="P670" t="b">
        <f t="shared" si="66"/>
        <v>0</v>
      </c>
      <c r="R670" t="b">
        <f>SUMPRODUCT(COUNTIF(_xlfn.XLOOKUP(B670,BugList!A:A,BugList!P:P), "*SC*"))&gt;0</f>
        <v>0</v>
      </c>
      <c r="S670" t="str">
        <f>_xlfn.XLOOKUP(B670,BugList!A:A,BugList!W:W)</f>
        <v>3</v>
      </c>
      <c r="T670">
        <f t="shared" si="67"/>
        <v>1</v>
      </c>
      <c r="U670">
        <f t="shared" si="68"/>
        <v>1</v>
      </c>
    </row>
    <row r="671" spans="1:21">
      <c r="A671" t="s">
        <v>2651</v>
      </c>
      <c r="B671">
        <v>719</v>
      </c>
      <c r="D671" t="s">
        <v>1226</v>
      </c>
      <c r="E671" t="s">
        <v>1226</v>
      </c>
      <c r="F671">
        <v>5</v>
      </c>
      <c r="G671">
        <f t="shared" si="72"/>
        <v>3.9370078740157481</v>
      </c>
      <c r="H671">
        <f t="shared" si="73"/>
        <v>3</v>
      </c>
      <c r="I671">
        <f t="shared" si="74"/>
        <v>0.93700787401574814</v>
      </c>
      <c r="J671" cm="1">
        <f t="array" ref="J671">INT(G671)+IF(100-SUM(INT(G$666:G$677))&gt;=RANK(I671,I$666:I$677)+COUNTIF(I$666:I671,I671)-1,1,0)</f>
        <v>4</v>
      </c>
      <c r="K671" t="str">
        <f>_xlfn.XLOOKUP(B671,BugList!A:A,BugList!H:H)</f>
        <v/>
      </c>
      <c r="L671" t="str">
        <f>IF(K671 = "","",_xlfn.XLOOKUP(B671, BugList!A:A,BugList!B:B,""))</f>
        <v/>
      </c>
      <c r="M671">
        <f>_xlfn.XLOOKUP(D671,BugList!C:C,BugList!N:N)</f>
        <v>0</v>
      </c>
      <c r="N671">
        <f>_xlfn.XLOOKUP(B671,BugList!A:A,BugList!R:R)</f>
        <v>0</v>
      </c>
      <c r="O671" t="b">
        <f>_xlfn.XLOOKUP(B671,BugList!A:A,BugList!L:L)</f>
        <v>1</v>
      </c>
      <c r="P671" t="b">
        <f t="shared" si="66"/>
        <v>0</v>
      </c>
      <c r="R671" t="b">
        <f>SUMPRODUCT(COUNTIF(_xlfn.XLOOKUP(B671,BugList!A:A,BugList!P:P), "*SC*"))&gt;0</f>
        <v>0</v>
      </c>
      <c r="S671" t="str">
        <f>_xlfn.XLOOKUP(B671,BugList!A:A,BugList!W:W)</f>
        <v/>
      </c>
      <c r="T671">
        <f t="shared" si="67"/>
        <v>0</v>
      </c>
      <c r="U671">
        <f t="shared" si="68"/>
        <v>0</v>
      </c>
    </row>
    <row r="672" spans="1:21">
      <c r="A672" t="s">
        <v>2651</v>
      </c>
      <c r="B672">
        <v>794</v>
      </c>
      <c r="D672" t="s">
        <v>89</v>
      </c>
      <c r="E672" t="s">
        <v>89</v>
      </c>
      <c r="F672">
        <v>44</v>
      </c>
      <c r="G672">
        <f t="shared" si="72"/>
        <v>34.645669291338585</v>
      </c>
      <c r="H672">
        <f t="shared" si="73"/>
        <v>34</v>
      </c>
      <c r="I672">
        <f t="shared" si="74"/>
        <v>0.64566929133858508</v>
      </c>
      <c r="J672" cm="1">
        <f t="array" ref="J672">INT(G672)+IF(100-SUM(INT(G$666:G$677))&gt;=RANK(I672,I$666:I$677)+COUNTIF(I$666:I672,I672)-1,1,0)</f>
        <v>34</v>
      </c>
      <c r="K672" t="str">
        <f>_xlfn.XLOOKUP(B672,BugList!A:A,BugList!H:H)</f>
        <v>*</v>
      </c>
      <c r="L672" t="str">
        <f>IF(K672 = "","",_xlfn.XLOOKUP(B672, BugList!A:A,BugList!B:B,""))</f>
        <v>Trichoptera</v>
      </c>
      <c r="M672">
        <f>_xlfn.XLOOKUP(D672,BugList!C:C,BugList!N:N)</f>
        <v>4</v>
      </c>
      <c r="N672">
        <f>_xlfn.XLOOKUP(B672,BugList!A:A,BugList!R:R)</f>
        <v>4</v>
      </c>
      <c r="O672" t="b">
        <f>_xlfn.XLOOKUP(B672,BugList!A:A,BugList!L:L)</f>
        <v>1</v>
      </c>
      <c r="P672" t="b">
        <f t="shared" si="66"/>
        <v>0</v>
      </c>
      <c r="R672" t="b">
        <f>SUMPRODUCT(COUNTIF(_xlfn.XLOOKUP(B672,BugList!A:A,BugList!P:P), "*SC*"))&gt;0</f>
        <v>0</v>
      </c>
      <c r="S672" t="str">
        <f>_xlfn.XLOOKUP(B672,BugList!A:A,BugList!W:W)</f>
        <v/>
      </c>
      <c r="T672">
        <f t="shared" si="67"/>
        <v>136</v>
      </c>
      <c r="U672">
        <f t="shared" si="68"/>
        <v>136</v>
      </c>
    </row>
    <row r="673" spans="1:21">
      <c r="A673" t="s">
        <v>2651</v>
      </c>
      <c r="B673">
        <v>837</v>
      </c>
      <c r="D673" t="s">
        <v>107</v>
      </c>
      <c r="E673" t="s">
        <v>107</v>
      </c>
      <c r="F673">
        <v>23</v>
      </c>
      <c r="G673">
        <f t="shared" si="72"/>
        <v>18.110236220472441</v>
      </c>
      <c r="H673">
        <f t="shared" si="73"/>
        <v>18</v>
      </c>
      <c r="I673">
        <f t="shared" si="74"/>
        <v>0.11023622047244075</v>
      </c>
      <c r="J673" cm="1">
        <f t="array" ref="J673">INT(G673)+IF(100-SUM(INT(G$666:G$677))&gt;=RANK(I673,I$666:I$677)+COUNTIF(I$666:I673,I673)-1,1,0)</f>
        <v>18</v>
      </c>
      <c r="K673" t="str">
        <f>_xlfn.XLOOKUP(B673,BugList!A:A,BugList!H:H)</f>
        <v>*</v>
      </c>
      <c r="L673" t="str">
        <f>IF(K673 = "","",_xlfn.XLOOKUP(B673, BugList!A:A,BugList!B:B,""))</f>
        <v>Trichoptera</v>
      </c>
      <c r="M673">
        <f>_xlfn.XLOOKUP(D673,BugList!C:C,BugList!N:N)</f>
        <v>3</v>
      </c>
      <c r="N673">
        <f>_xlfn.XLOOKUP(B673,BugList!A:A,BugList!R:R)</f>
        <v>3</v>
      </c>
      <c r="O673" t="b">
        <f>_xlfn.XLOOKUP(B673,BugList!A:A,BugList!L:L)</f>
        <v>1</v>
      </c>
      <c r="P673" t="b">
        <f t="shared" si="66"/>
        <v>1</v>
      </c>
      <c r="R673" t="b">
        <f>SUMPRODUCT(COUNTIF(_xlfn.XLOOKUP(B673,BugList!A:A,BugList!P:P), "*SC*"))&gt;0</f>
        <v>0</v>
      </c>
      <c r="S673" t="str">
        <f>_xlfn.XLOOKUP(B673,BugList!A:A,BugList!W:W)</f>
        <v/>
      </c>
      <c r="T673">
        <f t="shared" si="67"/>
        <v>54</v>
      </c>
      <c r="U673">
        <f t="shared" si="68"/>
        <v>54</v>
      </c>
    </row>
    <row r="674" spans="1:21">
      <c r="A674" t="s">
        <v>2651</v>
      </c>
      <c r="B674">
        <v>935</v>
      </c>
      <c r="D674" t="s">
        <v>98</v>
      </c>
      <c r="E674" t="s">
        <v>98</v>
      </c>
      <c r="F674">
        <v>10</v>
      </c>
      <c r="G674">
        <f t="shared" si="72"/>
        <v>7.8740157480314963</v>
      </c>
      <c r="H674">
        <f t="shared" si="73"/>
        <v>7</v>
      </c>
      <c r="I674">
        <f t="shared" si="74"/>
        <v>0.87401574803149629</v>
      </c>
      <c r="J674" cm="1">
        <f t="array" ref="J674">INT(G674)+IF(100-SUM(INT(G$666:G$677))&gt;=RANK(I674,I$666:I$677)+COUNTIF(I$666:I674,I674)-1,1,0)</f>
        <v>8</v>
      </c>
      <c r="K674" t="str">
        <f>_xlfn.XLOOKUP(B674,BugList!A:A,BugList!H:H)</f>
        <v/>
      </c>
      <c r="L674" t="str">
        <f>IF(K674 = "","",_xlfn.XLOOKUP(B674, BugList!A:A,BugList!B:B,""))</f>
        <v/>
      </c>
      <c r="M674">
        <f>_xlfn.XLOOKUP(D674,BugList!C:C,BugList!N:N)</f>
        <v>4</v>
      </c>
      <c r="N674">
        <f>_xlfn.XLOOKUP(B674,BugList!A:A,BugList!R:R)</f>
        <v>4</v>
      </c>
      <c r="O674" t="b">
        <f>_xlfn.XLOOKUP(B674,BugList!A:A,BugList!L:L)</f>
        <v>1</v>
      </c>
      <c r="P674" t="b">
        <f t="shared" si="66"/>
        <v>0</v>
      </c>
      <c r="R674" t="b">
        <f>SUMPRODUCT(COUNTIF(_xlfn.XLOOKUP(B674,BugList!A:A,BugList!P:P), "*SC*"))&gt;0</f>
        <v>1</v>
      </c>
      <c r="S674" t="str">
        <f>_xlfn.XLOOKUP(B674,BugList!A:A,BugList!W:W)</f>
        <v/>
      </c>
      <c r="T674">
        <f t="shared" si="67"/>
        <v>32</v>
      </c>
      <c r="U674">
        <f t="shared" si="68"/>
        <v>32</v>
      </c>
    </row>
    <row r="675" spans="1:21">
      <c r="A675" t="s">
        <v>2651</v>
      </c>
      <c r="B675">
        <v>1002</v>
      </c>
      <c r="D675" t="s">
        <v>100</v>
      </c>
      <c r="E675" t="s">
        <v>100</v>
      </c>
      <c r="F675">
        <v>19</v>
      </c>
      <c r="G675">
        <f t="shared" si="72"/>
        <v>14.960629921259844</v>
      </c>
      <c r="H675">
        <f t="shared" si="73"/>
        <v>14</v>
      </c>
      <c r="I675">
        <f t="shared" si="74"/>
        <v>0.96062992125984437</v>
      </c>
      <c r="J675" cm="1">
        <f t="array" ref="J675">INT(G675)+IF(100-SUM(INT(G$666:G$677))&gt;=RANK(I675,I$666:I$677)+COUNTIF(I$666:I675,I675)-1,1,0)</f>
        <v>15</v>
      </c>
      <c r="K675" t="str">
        <f>_xlfn.XLOOKUP(B675,BugList!A:A,BugList!H:H)</f>
        <v/>
      </c>
      <c r="L675" t="str">
        <f>IF(K675 = "","",_xlfn.XLOOKUP(B675, BugList!A:A,BugList!B:B,""))</f>
        <v/>
      </c>
      <c r="M675">
        <f>_xlfn.XLOOKUP(D675,BugList!C:C,BugList!N:N)</f>
        <v>4</v>
      </c>
      <c r="N675">
        <f>_xlfn.XLOOKUP(B675,BugList!A:A,BugList!R:R)</f>
        <v>4</v>
      </c>
      <c r="O675" t="b">
        <f>_xlfn.XLOOKUP(B675,BugList!A:A,BugList!L:L)</f>
        <v>1</v>
      </c>
      <c r="P675" t="b">
        <f t="shared" si="66"/>
        <v>0</v>
      </c>
      <c r="R675" t="b">
        <f>SUMPRODUCT(COUNTIF(_xlfn.XLOOKUP(B675,BugList!A:A,BugList!P:P), "*SC*"))&gt;0</f>
        <v>1</v>
      </c>
      <c r="S675" t="str">
        <f>_xlfn.XLOOKUP(B675,BugList!A:A,BugList!W:W)</f>
        <v/>
      </c>
      <c r="T675">
        <f t="shared" si="67"/>
        <v>60</v>
      </c>
      <c r="U675">
        <f t="shared" si="68"/>
        <v>60</v>
      </c>
    </row>
    <row r="676" spans="1:21">
      <c r="A676" t="s">
        <v>2651</v>
      </c>
      <c r="B676">
        <v>1088</v>
      </c>
      <c r="D676" t="s">
        <v>90</v>
      </c>
      <c r="E676" t="s">
        <v>90</v>
      </c>
      <c r="F676">
        <v>6</v>
      </c>
      <c r="G676">
        <f t="shared" si="72"/>
        <v>4.7244094488188972</v>
      </c>
      <c r="H676">
        <f t="shared" si="73"/>
        <v>4</v>
      </c>
      <c r="I676">
        <f t="shared" si="74"/>
        <v>0.72440944881889724</v>
      </c>
      <c r="J676" cm="1">
        <f t="array" ref="J676">INT(G676)+IF(100-SUM(INT(G$666:G$677))&gt;=RANK(I676,I$666:I$677)+COUNTIF(I$666:I676,I676)-1,1,0)</f>
        <v>5</v>
      </c>
      <c r="K676" t="str">
        <f>_xlfn.XLOOKUP(B676,BugList!A:A,BugList!H:H)</f>
        <v/>
      </c>
      <c r="L676" t="str">
        <f>IF(K676 = "","",_xlfn.XLOOKUP(B676, BugList!A:A,BugList!B:B,""))</f>
        <v/>
      </c>
      <c r="M676">
        <f>_xlfn.XLOOKUP(D676,BugList!C:C,BugList!N:N)</f>
        <v>6</v>
      </c>
      <c r="N676">
        <f>_xlfn.XLOOKUP(B676,BugList!A:A,BugList!R:R)</f>
        <v>6</v>
      </c>
      <c r="O676" t="b">
        <f>_xlfn.XLOOKUP(B676,BugList!A:A,BugList!L:L)</f>
        <v>1</v>
      </c>
      <c r="P676" t="b">
        <f t="shared" si="66"/>
        <v>0</v>
      </c>
      <c r="R676" t="b">
        <f>SUMPRODUCT(COUNTIF(_xlfn.XLOOKUP(B676,BugList!A:A,BugList!P:P), "*SC*"))&gt;0</f>
        <v>0</v>
      </c>
      <c r="S676" t="str">
        <f>_xlfn.XLOOKUP(B676,BugList!A:A,BugList!W:W)</f>
        <v/>
      </c>
      <c r="T676">
        <f t="shared" si="67"/>
        <v>30</v>
      </c>
      <c r="U676">
        <f t="shared" si="68"/>
        <v>30</v>
      </c>
    </row>
    <row r="677" spans="1:21">
      <c r="A677" t="s">
        <v>2651</v>
      </c>
      <c r="B677">
        <v>1696</v>
      </c>
      <c r="D677" t="s">
        <v>94</v>
      </c>
      <c r="E677" t="s">
        <v>94</v>
      </c>
      <c r="F677">
        <v>1</v>
      </c>
      <c r="G677">
        <f t="shared" si="72"/>
        <v>0.78740157480314954</v>
      </c>
      <c r="H677">
        <f t="shared" si="73"/>
        <v>0</v>
      </c>
      <c r="I677">
        <f t="shared" si="74"/>
        <v>0.78740157480314954</v>
      </c>
      <c r="J677" cm="1">
        <f t="array" ref="J677">INT(G677)+IF(100-SUM(INT(G$666:G$677))&gt;=RANK(I677,I$666:I$677)+COUNTIF(I$666:I677,I677)-1,1,0)</f>
        <v>1</v>
      </c>
      <c r="K677" t="str">
        <f>_xlfn.XLOOKUP(B677,BugList!A:A,BugList!H:H)</f>
        <v/>
      </c>
      <c r="L677" t="str">
        <f>IF(K677 = "","",_xlfn.XLOOKUP(B677, BugList!A:A,BugList!B:B,""))</f>
        <v/>
      </c>
      <c r="M677">
        <f>_xlfn.XLOOKUP(D677,BugList!C:C,BugList!N:N)</f>
        <v>8</v>
      </c>
      <c r="N677">
        <f>_xlfn.XLOOKUP(B677,BugList!A:A,BugList!R:R)</f>
        <v>8</v>
      </c>
      <c r="O677" t="b">
        <f>_xlfn.XLOOKUP(B677,BugList!A:A,BugList!L:L)</f>
        <v>0</v>
      </c>
      <c r="P677" t="b">
        <f t="shared" si="66"/>
        <v>0</v>
      </c>
      <c r="R677" t="b">
        <f>SUMPRODUCT(COUNTIF(_xlfn.XLOOKUP(B677,BugList!A:A,BugList!P:P), "*SC*"))&gt;0</f>
        <v>0</v>
      </c>
      <c r="S677" t="str">
        <f>_xlfn.XLOOKUP(B677,BugList!A:A,BugList!W:W)</f>
        <v/>
      </c>
      <c r="T677">
        <f t="shared" si="67"/>
        <v>8</v>
      </c>
      <c r="U677">
        <f t="shared" si="68"/>
        <v>8</v>
      </c>
    </row>
    <row r="678" spans="1:21">
      <c r="A678" t="s">
        <v>2652</v>
      </c>
      <c r="B678">
        <v>450</v>
      </c>
      <c r="D678" t="s">
        <v>96</v>
      </c>
      <c r="E678" t="s">
        <v>96</v>
      </c>
      <c r="F678">
        <v>1</v>
      </c>
      <c r="G678">
        <f t="shared" si="72"/>
        <v>0.82644628099173556</v>
      </c>
      <c r="H678">
        <f t="shared" si="73"/>
        <v>0</v>
      </c>
      <c r="I678">
        <f t="shared" si="74"/>
        <v>0.82644628099173556</v>
      </c>
      <c r="J678" cm="1">
        <f t="array" ref="J678">INT(G678)+IF(100-SUM(INT(G$678:G$689))&gt;=RANK(I678,I$678:I$689)+COUNTIF(I$678:I678,I678)-1,1,0)</f>
        <v>1</v>
      </c>
      <c r="K678" t="str">
        <f>_xlfn.XLOOKUP(B678,BugList!A:A,BugList!H:H)</f>
        <v>*</v>
      </c>
      <c r="L678" t="str">
        <f>IF(K678 = "","",_xlfn.XLOOKUP(B678, BugList!A:A,BugList!B:B,""))</f>
        <v>Ephemeroptera</v>
      </c>
      <c r="M678">
        <f>_xlfn.XLOOKUP(D678,BugList!C:C,BugList!N:N)</f>
        <v>4</v>
      </c>
      <c r="N678">
        <f>_xlfn.XLOOKUP(B678,BugList!A:A,BugList!R:R)</f>
        <v>4</v>
      </c>
      <c r="O678" t="b">
        <f>_xlfn.XLOOKUP(B678,BugList!A:A,BugList!L:L)</f>
        <v>1</v>
      </c>
      <c r="P678" t="b">
        <f t="shared" si="66"/>
        <v>1</v>
      </c>
      <c r="R678" t="b">
        <f>SUMPRODUCT(COUNTIF(_xlfn.XLOOKUP(B678,BugList!A:A,BugList!P:P), "*SC*"))&gt;0</f>
        <v>1</v>
      </c>
      <c r="S678" t="str">
        <f>_xlfn.XLOOKUP(B678,BugList!A:A,BugList!W:W)</f>
        <v>3</v>
      </c>
      <c r="T678">
        <f t="shared" si="67"/>
        <v>4</v>
      </c>
      <c r="U678">
        <f t="shared" si="68"/>
        <v>4</v>
      </c>
    </row>
    <row r="679" spans="1:21">
      <c r="A679" t="s">
        <v>2652</v>
      </c>
      <c r="B679">
        <v>469</v>
      </c>
      <c r="D679" t="s">
        <v>154</v>
      </c>
      <c r="E679" t="s">
        <v>154</v>
      </c>
      <c r="F679">
        <v>1</v>
      </c>
      <c r="G679">
        <f t="shared" si="72"/>
        <v>0.82644628099173556</v>
      </c>
      <c r="H679">
        <f t="shared" si="73"/>
        <v>0</v>
      </c>
      <c r="I679">
        <f t="shared" si="74"/>
        <v>0.82644628099173556</v>
      </c>
      <c r="J679" cm="1">
        <f t="array" ref="J679">INT(G679)+IF(100-SUM(INT(G$678:G$689))&gt;=RANK(I679,I$678:I$689)+COUNTIF(I$678:I679,I679)-1,1,0)</f>
        <v>1</v>
      </c>
      <c r="K679" t="str">
        <f>_xlfn.XLOOKUP(B679,BugList!A:A,BugList!H:H)</f>
        <v>*</v>
      </c>
      <c r="L679" t="str">
        <f>IF(K679 = "","",_xlfn.XLOOKUP(B679, BugList!A:A,BugList!B:B,""))</f>
        <v>Ephemeroptera</v>
      </c>
      <c r="M679">
        <f>_xlfn.XLOOKUP(D679,BugList!C:C,BugList!N:N)</f>
        <v>7</v>
      </c>
      <c r="N679">
        <f>_xlfn.XLOOKUP(B679,BugList!A:A,BugList!R:R)</f>
        <v>7</v>
      </c>
      <c r="O679" t="b">
        <f>_xlfn.XLOOKUP(B679,BugList!A:A,BugList!L:L)</f>
        <v>1</v>
      </c>
      <c r="P679" t="b">
        <f t="shared" si="66"/>
        <v>1</v>
      </c>
      <c r="R679" t="b">
        <f>SUMPRODUCT(COUNTIF(_xlfn.XLOOKUP(B679,BugList!A:A,BugList!P:P), "*SC*"))&gt;0</f>
        <v>0</v>
      </c>
      <c r="S679" t="str">
        <f>_xlfn.XLOOKUP(B679,BugList!A:A,BugList!W:W)</f>
        <v/>
      </c>
      <c r="T679">
        <f t="shared" si="67"/>
        <v>7</v>
      </c>
      <c r="U679">
        <f t="shared" si="68"/>
        <v>7</v>
      </c>
    </row>
    <row r="680" spans="1:21">
      <c r="A680" t="s">
        <v>2652</v>
      </c>
      <c r="B680">
        <v>513</v>
      </c>
      <c r="D680" t="s">
        <v>111</v>
      </c>
      <c r="E680" t="s">
        <v>111</v>
      </c>
      <c r="F680">
        <v>5</v>
      </c>
      <c r="G680">
        <f t="shared" si="72"/>
        <v>4.1322314049586781</v>
      </c>
      <c r="H680">
        <f t="shared" si="73"/>
        <v>4</v>
      </c>
      <c r="I680">
        <f t="shared" si="74"/>
        <v>0.13223140495867813</v>
      </c>
      <c r="J680" cm="1">
        <f t="array" ref="J680">INT(G680)+IF(100-SUM(INT(G$678:G$689))&gt;=RANK(I680,I$678:I$689)+COUNTIF(I$678:I680,I680)-1,1,0)</f>
        <v>4</v>
      </c>
      <c r="K680" t="str">
        <f>_xlfn.XLOOKUP(B680,BugList!A:A,BugList!H:H)</f>
        <v>*</v>
      </c>
      <c r="L680" t="str">
        <f>IF(K680 = "","",_xlfn.XLOOKUP(B680, BugList!A:A,BugList!B:B,""))</f>
        <v>Ephemeroptera</v>
      </c>
      <c r="M680">
        <f>_xlfn.XLOOKUP(D680,BugList!C:C,BugList!N:N)</f>
        <v>4</v>
      </c>
      <c r="N680">
        <f>_xlfn.XLOOKUP(B680,BugList!A:A,BugList!R:R)</f>
        <v>4</v>
      </c>
      <c r="O680" t="b">
        <f>_xlfn.XLOOKUP(B680,BugList!A:A,BugList!L:L)</f>
        <v>1</v>
      </c>
      <c r="P680" t="b">
        <f t="shared" si="66"/>
        <v>1</v>
      </c>
      <c r="R680" t="b">
        <f>SUMPRODUCT(COUNTIF(_xlfn.XLOOKUP(B680,BugList!A:A,BugList!P:P), "*SC*"))&gt;0</f>
        <v>1</v>
      </c>
      <c r="S680" t="str">
        <f>_xlfn.XLOOKUP(B680,BugList!A:A,BugList!W:W)</f>
        <v/>
      </c>
      <c r="T680">
        <f t="shared" si="67"/>
        <v>16</v>
      </c>
      <c r="U680">
        <f t="shared" si="68"/>
        <v>16</v>
      </c>
    </row>
    <row r="681" spans="1:21">
      <c r="A681" t="s">
        <v>2652</v>
      </c>
      <c r="B681">
        <v>620</v>
      </c>
      <c r="D681" t="s">
        <v>113</v>
      </c>
      <c r="E681" t="s">
        <v>113</v>
      </c>
      <c r="F681">
        <v>3</v>
      </c>
      <c r="G681">
        <f t="shared" si="72"/>
        <v>2.4793388429752068</v>
      </c>
      <c r="H681">
        <f t="shared" si="73"/>
        <v>2</v>
      </c>
      <c r="I681">
        <f t="shared" si="74"/>
        <v>0.47933884297520679</v>
      </c>
      <c r="J681" cm="1">
        <f t="array" ref="J681">INT(G681)+IF(100-SUM(INT(G$678:G$689))&gt;=RANK(I681,I$678:I$689)+COUNTIF(I$678:I681,I681)-1,1,0)</f>
        <v>2</v>
      </c>
      <c r="K681" t="str">
        <f>_xlfn.XLOOKUP(B681,BugList!A:A,BugList!H:H)</f>
        <v/>
      </c>
      <c r="L681" t="str">
        <f>IF(K681 = "","",_xlfn.XLOOKUP(B681, BugList!A:A,BugList!B:B,""))</f>
        <v/>
      </c>
      <c r="M681">
        <f>_xlfn.XLOOKUP(D681,BugList!C:C,BugList!N:N)</f>
        <v>1</v>
      </c>
      <c r="N681">
        <f>_xlfn.XLOOKUP(B681,BugList!A:A,BugList!R:R)</f>
        <v>1</v>
      </c>
      <c r="O681" t="b">
        <f>_xlfn.XLOOKUP(B681,BugList!A:A,BugList!L:L)</f>
        <v>1</v>
      </c>
      <c r="P681" t="b">
        <f t="shared" si="66"/>
        <v>0</v>
      </c>
      <c r="R681" t="b">
        <f>SUMPRODUCT(COUNTIF(_xlfn.XLOOKUP(B681,BugList!A:A,BugList!P:P), "*SC*"))&gt;0</f>
        <v>0</v>
      </c>
      <c r="S681" t="str">
        <f>_xlfn.XLOOKUP(B681,BugList!A:A,BugList!W:W)</f>
        <v>3</v>
      </c>
      <c r="T681">
        <f t="shared" si="67"/>
        <v>2</v>
      </c>
      <c r="U681">
        <f t="shared" si="68"/>
        <v>2</v>
      </c>
    </row>
    <row r="682" spans="1:21">
      <c r="A682" t="s">
        <v>2652</v>
      </c>
      <c r="B682">
        <v>794</v>
      </c>
      <c r="D682" t="s">
        <v>89</v>
      </c>
      <c r="E682" t="s">
        <v>89</v>
      </c>
      <c r="F682">
        <v>41</v>
      </c>
      <c r="G682">
        <f t="shared" si="72"/>
        <v>33.884297520661157</v>
      </c>
      <c r="H682">
        <f t="shared" si="73"/>
        <v>33</v>
      </c>
      <c r="I682">
        <f t="shared" si="74"/>
        <v>0.88429752066115697</v>
      </c>
      <c r="J682" cm="1">
        <f t="array" ref="J682">INT(G682)+IF(100-SUM(INT(G$678:G$689))&gt;=RANK(I682,I$678:I$689)+COUNTIF(I$678:I682,I682)-1,1,0)</f>
        <v>34</v>
      </c>
      <c r="K682" t="str">
        <f>_xlfn.XLOOKUP(B682,BugList!A:A,BugList!H:H)</f>
        <v>*</v>
      </c>
      <c r="L682" t="str">
        <f>IF(K682 = "","",_xlfn.XLOOKUP(B682, BugList!A:A,BugList!B:B,""))</f>
        <v>Trichoptera</v>
      </c>
      <c r="M682">
        <f>_xlfn.XLOOKUP(D682,BugList!C:C,BugList!N:N)</f>
        <v>4</v>
      </c>
      <c r="N682">
        <f>_xlfn.XLOOKUP(B682,BugList!A:A,BugList!R:R)</f>
        <v>4</v>
      </c>
      <c r="O682" t="b">
        <f>_xlfn.XLOOKUP(B682,BugList!A:A,BugList!L:L)</f>
        <v>1</v>
      </c>
      <c r="P682" t="b">
        <f t="shared" si="66"/>
        <v>0</v>
      </c>
      <c r="R682" t="b">
        <f>SUMPRODUCT(COUNTIF(_xlfn.XLOOKUP(B682,BugList!A:A,BugList!P:P), "*SC*"))&gt;0</f>
        <v>0</v>
      </c>
      <c r="S682" t="str">
        <f>_xlfn.XLOOKUP(B682,BugList!A:A,BugList!W:W)</f>
        <v/>
      </c>
      <c r="T682">
        <f t="shared" si="67"/>
        <v>136</v>
      </c>
      <c r="U682">
        <f t="shared" si="68"/>
        <v>136</v>
      </c>
    </row>
    <row r="683" spans="1:21">
      <c r="A683" t="s">
        <v>2652</v>
      </c>
      <c r="B683">
        <v>837</v>
      </c>
      <c r="D683" t="s">
        <v>107</v>
      </c>
      <c r="E683" t="s">
        <v>107</v>
      </c>
      <c r="F683">
        <v>21</v>
      </c>
      <c r="G683">
        <f t="shared" si="72"/>
        <v>17.355371900826448</v>
      </c>
      <c r="H683">
        <f t="shared" si="73"/>
        <v>17</v>
      </c>
      <c r="I683">
        <f t="shared" si="74"/>
        <v>0.35537190082644798</v>
      </c>
      <c r="J683" cm="1">
        <f t="array" ref="J683">INT(G683)+IF(100-SUM(INT(G$678:G$689))&gt;=RANK(I683,I$678:I$689)+COUNTIF(I$678:I683,I683)-1,1,0)</f>
        <v>17</v>
      </c>
      <c r="K683" t="str">
        <f>_xlfn.XLOOKUP(B683,BugList!A:A,BugList!H:H)</f>
        <v>*</v>
      </c>
      <c r="L683" t="str">
        <f>IF(K683 = "","",_xlfn.XLOOKUP(B683, BugList!A:A,BugList!B:B,""))</f>
        <v>Trichoptera</v>
      </c>
      <c r="M683">
        <f>_xlfn.XLOOKUP(D683,BugList!C:C,BugList!N:N)</f>
        <v>3</v>
      </c>
      <c r="N683">
        <f>_xlfn.XLOOKUP(B683,BugList!A:A,BugList!R:R)</f>
        <v>3</v>
      </c>
      <c r="O683" t="b">
        <f>_xlfn.XLOOKUP(B683,BugList!A:A,BugList!L:L)</f>
        <v>1</v>
      </c>
      <c r="P683" t="b">
        <f t="shared" si="66"/>
        <v>1</v>
      </c>
      <c r="R683" t="b">
        <f>SUMPRODUCT(COUNTIF(_xlfn.XLOOKUP(B683,BugList!A:A,BugList!P:P), "*SC*"))&gt;0</f>
        <v>0</v>
      </c>
      <c r="S683" t="str">
        <f>_xlfn.XLOOKUP(B683,BugList!A:A,BugList!W:W)</f>
        <v/>
      </c>
      <c r="T683">
        <f t="shared" si="67"/>
        <v>51</v>
      </c>
      <c r="U683">
        <f t="shared" si="68"/>
        <v>51</v>
      </c>
    </row>
    <row r="684" spans="1:21">
      <c r="A684" t="s">
        <v>2652</v>
      </c>
      <c r="B684">
        <v>842</v>
      </c>
      <c r="D684" t="s">
        <v>163</v>
      </c>
      <c r="E684" t="s">
        <v>163</v>
      </c>
      <c r="F684">
        <v>2</v>
      </c>
      <c r="G684">
        <f t="shared" si="72"/>
        <v>1.6528925619834711</v>
      </c>
      <c r="H684">
        <f t="shared" si="73"/>
        <v>1</v>
      </c>
      <c r="I684">
        <f t="shared" si="74"/>
        <v>0.65289256198347112</v>
      </c>
      <c r="J684" cm="1">
        <f t="array" ref="J684">INT(G684)+IF(100-SUM(INT(G$678:G$689))&gt;=RANK(I684,I$678:I$689)+COUNTIF(I$678:I684,I684)-1,1,0)</f>
        <v>2</v>
      </c>
      <c r="K684" t="str">
        <f>_xlfn.XLOOKUP(B684,BugList!A:A,BugList!H:H)</f>
        <v>*</v>
      </c>
      <c r="L684" t="str">
        <f>IF(K684 = "","",_xlfn.XLOOKUP(B684, BugList!A:A,BugList!B:B,""))</f>
        <v>Trichoptera</v>
      </c>
      <c r="M684">
        <f>_xlfn.XLOOKUP(D684,BugList!C:C,BugList!N:N)</f>
        <v>6</v>
      </c>
      <c r="N684">
        <f>_xlfn.XLOOKUP(B684,BugList!A:A,BugList!R:R)</f>
        <v>6</v>
      </c>
      <c r="O684" t="b">
        <f>_xlfn.XLOOKUP(B684,BugList!A:A,BugList!L:L)</f>
        <v>1</v>
      </c>
      <c r="P684" t="b">
        <f t="shared" si="66"/>
        <v>1</v>
      </c>
      <c r="R684" t="b">
        <f>SUMPRODUCT(COUNTIF(_xlfn.XLOOKUP(B684,BugList!A:A,BugList!P:P), "*SC*"))&gt;0</f>
        <v>0</v>
      </c>
      <c r="S684" t="str">
        <f>_xlfn.XLOOKUP(B684,BugList!A:A,BugList!W:W)</f>
        <v/>
      </c>
      <c r="T684">
        <f t="shared" si="67"/>
        <v>12</v>
      </c>
      <c r="U684">
        <f t="shared" si="68"/>
        <v>12</v>
      </c>
    </row>
    <row r="685" spans="1:21">
      <c r="A685" t="s">
        <v>2652</v>
      </c>
      <c r="B685">
        <v>935</v>
      </c>
      <c r="D685" t="s">
        <v>98</v>
      </c>
      <c r="E685" t="s">
        <v>98</v>
      </c>
      <c r="F685">
        <v>1</v>
      </c>
      <c r="G685">
        <f t="shared" si="72"/>
        <v>0.82644628099173556</v>
      </c>
      <c r="H685">
        <f t="shared" si="73"/>
        <v>0</v>
      </c>
      <c r="I685">
        <f t="shared" si="74"/>
        <v>0.82644628099173556</v>
      </c>
      <c r="J685" cm="1">
        <f t="array" ref="J685">INT(G685)+IF(100-SUM(INT(G$678:G$689))&gt;=RANK(I685,I$678:I$689)+COUNTIF(I$678:I685,I685)-1,1,0)</f>
        <v>1</v>
      </c>
      <c r="K685" t="str">
        <f>_xlfn.XLOOKUP(B685,BugList!A:A,BugList!H:H)</f>
        <v/>
      </c>
      <c r="L685" t="str">
        <f>IF(K685 = "","",_xlfn.XLOOKUP(B685, BugList!A:A,BugList!B:B,""))</f>
        <v/>
      </c>
      <c r="M685">
        <f>_xlfn.XLOOKUP(D685,BugList!C:C,BugList!N:N)</f>
        <v>4</v>
      </c>
      <c r="N685">
        <f>_xlfn.XLOOKUP(B685,BugList!A:A,BugList!R:R)</f>
        <v>4</v>
      </c>
      <c r="O685" t="b">
        <f>_xlfn.XLOOKUP(B685,BugList!A:A,BugList!L:L)</f>
        <v>1</v>
      </c>
      <c r="P685" t="b">
        <f t="shared" ref="P685:P748" si="75">IF(K685="*",IF(D685="Hydropsychidae", IF(E685="Diplectrona",TRUE,FALSE),TRUE),FALSE)</f>
        <v>0</v>
      </c>
      <c r="R685" t="b">
        <f>SUMPRODUCT(COUNTIF(_xlfn.XLOOKUP(B685,BugList!A:A,BugList!P:P), "*SC*"))&gt;0</f>
        <v>1</v>
      </c>
      <c r="S685" t="str">
        <f>_xlfn.XLOOKUP(B685,BugList!A:A,BugList!W:W)</f>
        <v/>
      </c>
      <c r="T685">
        <f t="shared" si="67"/>
        <v>4</v>
      </c>
      <c r="U685">
        <f t="shared" si="68"/>
        <v>4</v>
      </c>
    </row>
    <row r="686" spans="1:21">
      <c r="A686" t="s">
        <v>2652</v>
      </c>
      <c r="B686">
        <v>961</v>
      </c>
      <c r="D686" t="s">
        <v>99</v>
      </c>
      <c r="E686" t="s">
        <v>99</v>
      </c>
      <c r="F686">
        <v>1</v>
      </c>
      <c r="G686">
        <f t="shared" si="72"/>
        <v>0.82644628099173556</v>
      </c>
      <c r="H686">
        <f t="shared" si="73"/>
        <v>0</v>
      </c>
      <c r="I686">
        <f t="shared" si="74"/>
        <v>0.82644628099173556</v>
      </c>
      <c r="J686" cm="1">
        <f t="array" ref="J686">INT(G686)+IF(100-SUM(INT(G$678:G$689))&gt;=RANK(I686,I$678:I$689)+COUNTIF(I$678:I686,I686)-1,1,0)</f>
        <v>1</v>
      </c>
      <c r="K686" t="str">
        <f>_xlfn.XLOOKUP(B686,BugList!A:A,BugList!H:H)</f>
        <v/>
      </c>
      <c r="L686" t="str">
        <f>IF(K686 = "","",_xlfn.XLOOKUP(B686, BugList!A:A,BugList!B:B,""))</f>
        <v/>
      </c>
      <c r="M686">
        <f>_xlfn.XLOOKUP(D686,BugList!C:C,BugList!N:N)</f>
        <v>5</v>
      </c>
      <c r="N686">
        <f>_xlfn.XLOOKUP(B686,BugList!A:A,BugList!R:R)</f>
        <v>5</v>
      </c>
      <c r="O686" t="b">
        <f>_xlfn.XLOOKUP(B686,BugList!A:A,BugList!L:L)</f>
        <v>1</v>
      </c>
      <c r="P686" t="b">
        <f t="shared" si="75"/>
        <v>0</v>
      </c>
      <c r="R686" t="b">
        <f>SUMPRODUCT(COUNTIF(_xlfn.XLOOKUP(B686,BugList!A:A,BugList!P:P), "*SC*"))&gt;0</f>
        <v>0</v>
      </c>
      <c r="S686" t="str">
        <f>_xlfn.XLOOKUP(B686,BugList!A:A,BugList!W:W)</f>
        <v/>
      </c>
      <c r="T686">
        <f t="shared" si="67"/>
        <v>5</v>
      </c>
      <c r="U686">
        <f t="shared" si="68"/>
        <v>5</v>
      </c>
    </row>
    <row r="687" spans="1:21">
      <c r="A687" t="s">
        <v>2652</v>
      </c>
      <c r="B687">
        <v>1002</v>
      </c>
      <c r="D687" t="s">
        <v>100</v>
      </c>
      <c r="E687" t="s">
        <v>100</v>
      </c>
      <c r="F687">
        <v>38</v>
      </c>
      <c r="G687">
        <f t="shared" si="72"/>
        <v>31.404958677685951</v>
      </c>
      <c r="H687">
        <f t="shared" si="73"/>
        <v>31</v>
      </c>
      <c r="I687">
        <f t="shared" si="74"/>
        <v>0.40495867768595062</v>
      </c>
      <c r="J687" cm="1">
        <f t="array" ref="J687">INT(G687)+IF(100-SUM(INT(G$678:G$689))&gt;=RANK(I687,I$678:I$689)+COUNTIF(I$678:I687,I687)-1,1,0)</f>
        <v>31</v>
      </c>
      <c r="K687" t="str">
        <f>_xlfn.XLOOKUP(B687,BugList!A:A,BugList!H:H)</f>
        <v/>
      </c>
      <c r="L687" t="str">
        <f>IF(K687 = "","",_xlfn.XLOOKUP(B687, BugList!A:A,BugList!B:B,""))</f>
        <v/>
      </c>
      <c r="M687">
        <f>_xlfn.XLOOKUP(D687,BugList!C:C,BugList!N:N)</f>
        <v>4</v>
      </c>
      <c r="N687">
        <f>_xlfn.XLOOKUP(B687,BugList!A:A,BugList!R:R)</f>
        <v>4</v>
      </c>
      <c r="O687" t="b">
        <f>_xlfn.XLOOKUP(B687,BugList!A:A,BugList!L:L)</f>
        <v>1</v>
      </c>
      <c r="P687" t="b">
        <f t="shared" si="75"/>
        <v>0</v>
      </c>
      <c r="R687" t="b">
        <f>SUMPRODUCT(COUNTIF(_xlfn.XLOOKUP(B687,BugList!A:A,BugList!P:P), "*SC*"))&gt;0</f>
        <v>1</v>
      </c>
      <c r="S687" t="str">
        <f>_xlfn.XLOOKUP(B687,BugList!A:A,BugList!W:W)</f>
        <v/>
      </c>
      <c r="T687">
        <f t="shared" si="67"/>
        <v>124</v>
      </c>
      <c r="U687">
        <f t="shared" si="68"/>
        <v>124</v>
      </c>
    </row>
    <row r="688" spans="1:21">
      <c r="A688" t="s">
        <v>2652</v>
      </c>
      <c r="B688">
        <v>1089</v>
      </c>
      <c r="D688" t="s">
        <v>126</v>
      </c>
      <c r="E688" t="s">
        <v>127</v>
      </c>
      <c r="F688">
        <v>1</v>
      </c>
      <c r="G688">
        <f t="shared" si="72"/>
        <v>0.82644628099173556</v>
      </c>
      <c r="H688">
        <f t="shared" si="73"/>
        <v>0</v>
      </c>
      <c r="I688">
        <f t="shared" si="74"/>
        <v>0.82644628099173556</v>
      </c>
      <c r="J688" cm="1">
        <f t="array" ref="J688">INT(G688)+IF(100-SUM(INT(G$678:G$689))&gt;=RANK(I688,I$678:I$689)+COUNTIF(I$678:I688,I688)-1,1,0)</f>
        <v>1</v>
      </c>
      <c r="K688" t="str">
        <f>_xlfn.XLOOKUP(B688,BugList!A:A,BugList!H:H)</f>
        <v/>
      </c>
      <c r="L688" t="str">
        <f>IF(K688 = "","",_xlfn.XLOOKUP(B688, BugList!A:A,BugList!B:B,""))</f>
        <v/>
      </c>
      <c r="M688">
        <f>_xlfn.XLOOKUP(D688,BugList!C:C,BugList!N:N)</f>
        <v>8</v>
      </c>
      <c r="N688">
        <f>_xlfn.XLOOKUP(B688,BugList!A:A,BugList!R:R)</f>
        <v>10</v>
      </c>
      <c r="O688" t="b">
        <f>_xlfn.XLOOKUP(B688,BugList!A:A,BugList!L:L)</f>
        <v>1</v>
      </c>
      <c r="P688" t="b">
        <f t="shared" si="75"/>
        <v>0</v>
      </c>
      <c r="R688" t="b">
        <f>SUMPRODUCT(COUNTIF(_xlfn.XLOOKUP(B688,BugList!A:A,BugList!P:P), "*SC*"))&gt;0</f>
        <v>0</v>
      </c>
      <c r="S688" t="str">
        <f>_xlfn.XLOOKUP(B688,BugList!A:A,BugList!W:W)</f>
        <v/>
      </c>
      <c r="T688">
        <f t="shared" si="67"/>
        <v>8</v>
      </c>
      <c r="U688">
        <f t="shared" si="68"/>
        <v>10</v>
      </c>
    </row>
    <row r="689" spans="1:21">
      <c r="A689" t="s">
        <v>2652</v>
      </c>
      <c r="B689">
        <v>1497</v>
      </c>
      <c r="D689" t="s">
        <v>108</v>
      </c>
      <c r="E689" t="s">
        <v>108</v>
      </c>
      <c r="F689">
        <v>6</v>
      </c>
      <c r="G689">
        <f t="shared" si="72"/>
        <v>4.9586776859504136</v>
      </c>
      <c r="H689">
        <f t="shared" si="73"/>
        <v>4</v>
      </c>
      <c r="I689">
        <f t="shared" si="74"/>
        <v>0.95867768595041358</v>
      </c>
      <c r="J689" cm="1">
        <f t="array" ref="J689">INT(G689)+IF(100-SUM(INT(G$678:G$689))&gt;=RANK(I689,I$678:I$689)+COUNTIF(I$678:I689,I689)-1,1,0)</f>
        <v>5</v>
      </c>
      <c r="K689" t="str">
        <f>_xlfn.XLOOKUP(B689,BugList!A:A,BugList!H:H)</f>
        <v/>
      </c>
      <c r="L689" t="str">
        <f>IF(K689 = "","",_xlfn.XLOOKUP(B689, BugList!A:A,BugList!B:B,""))</f>
        <v/>
      </c>
      <c r="M689">
        <f>_xlfn.XLOOKUP(D689,BugList!C:C,BugList!N:N)</f>
        <v>3</v>
      </c>
      <c r="N689">
        <f>_xlfn.XLOOKUP(B689,BugList!A:A,BugList!R:R)</f>
        <v>3</v>
      </c>
      <c r="O689" t="b">
        <f>_xlfn.XLOOKUP(B689,BugList!A:A,BugList!L:L)</f>
        <v>1</v>
      </c>
      <c r="P689" t="b">
        <f t="shared" si="75"/>
        <v>0</v>
      </c>
      <c r="R689" t="b">
        <f>SUMPRODUCT(COUNTIF(_xlfn.XLOOKUP(B689,BugList!A:A,BugList!P:P), "*SC*"))&gt;0</f>
        <v>0</v>
      </c>
      <c r="S689" t="str">
        <f>_xlfn.XLOOKUP(B689,BugList!A:A,BugList!W:W)</f>
        <v/>
      </c>
      <c r="T689">
        <f t="shared" si="67"/>
        <v>15</v>
      </c>
      <c r="U689">
        <f t="shared" si="68"/>
        <v>15</v>
      </c>
    </row>
    <row r="690" spans="1:21">
      <c r="A690" t="s">
        <v>2653</v>
      </c>
      <c r="B690">
        <v>513</v>
      </c>
      <c r="D690" t="s">
        <v>111</v>
      </c>
      <c r="E690" t="s">
        <v>111</v>
      </c>
      <c r="F690">
        <v>3</v>
      </c>
      <c r="G690">
        <f t="shared" si="72"/>
        <v>2.3622047244094486</v>
      </c>
      <c r="H690">
        <f t="shared" si="73"/>
        <v>2</v>
      </c>
      <c r="I690">
        <f t="shared" si="74"/>
        <v>0.36220472440944862</v>
      </c>
      <c r="J690" cm="1">
        <f t="array" ref="J690">INT(G690)+IF(100-SUM(INT(G$690:G$699))&gt;=RANK(I690,I$690:I$699)+COUNTIF(I$690:I690,I690)-1,1,0)</f>
        <v>2</v>
      </c>
      <c r="K690" t="str">
        <f>_xlfn.XLOOKUP(B690,BugList!A:A,BugList!H:H)</f>
        <v>*</v>
      </c>
      <c r="L690" t="str">
        <f>IF(K690 = "","",_xlfn.XLOOKUP(B690, BugList!A:A,BugList!B:B,""))</f>
        <v>Ephemeroptera</v>
      </c>
      <c r="M690">
        <f>_xlfn.XLOOKUP(D690,BugList!C:C,BugList!N:N)</f>
        <v>4</v>
      </c>
      <c r="N690">
        <f>_xlfn.XLOOKUP(B690,BugList!A:A,BugList!R:R)</f>
        <v>4</v>
      </c>
      <c r="O690" t="b">
        <f>_xlfn.XLOOKUP(B690,BugList!A:A,BugList!L:L)</f>
        <v>1</v>
      </c>
      <c r="P690" t="b">
        <f t="shared" si="75"/>
        <v>1</v>
      </c>
      <c r="R690" t="b">
        <f>SUMPRODUCT(COUNTIF(_xlfn.XLOOKUP(B690,BugList!A:A,BugList!P:P), "*SC*"))&gt;0</f>
        <v>1</v>
      </c>
      <c r="S690" t="str">
        <f>_xlfn.XLOOKUP(B690,BugList!A:A,BugList!W:W)</f>
        <v/>
      </c>
      <c r="T690">
        <f t="shared" si="67"/>
        <v>8</v>
      </c>
      <c r="U690">
        <f t="shared" si="68"/>
        <v>8</v>
      </c>
    </row>
    <row r="691" spans="1:21">
      <c r="A691" t="s">
        <v>2653</v>
      </c>
      <c r="B691">
        <v>583</v>
      </c>
      <c r="D691" t="s">
        <v>162</v>
      </c>
      <c r="E691" t="s">
        <v>162</v>
      </c>
      <c r="F691">
        <v>1</v>
      </c>
      <c r="G691">
        <f t="shared" si="72"/>
        <v>0.78740157480314954</v>
      </c>
      <c r="H691">
        <f t="shared" si="73"/>
        <v>0</v>
      </c>
      <c r="I691">
        <f t="shared" si="74"/>
        <v>0.78740157480314954</v>
      </c>
      <c r="J691" cm="1">
        <f t="array" ref="J691">INT(G691)+IF(100-SUM(INT(G$690:G$699))&gt;=RANK(I691,I$690:I$699)+COUNTIF(I$690:I691,I691)-1,1,0)</f>
        <v>1</v>
      </c>
      <c r="K691" t="str">
        <f>_xlfn.XLOOKUP(B691,BugList!A:A,BugList!H:H)</f>
        <v/>
      </c>
      <c r="L691" t="str">
        <f>IF(K691 = "","",_xlfn.XLOOKUP(B691, BugList!A:A,BugList!B:B,""))</f>
        <v/>
      </c>
      <c r="M691">
        <f>_xlfn.XLOOKUP(D691,BugList!C:C,BugList!N:N)</f>
        <v>3</v>
      </c>
      <c r="N691">
        <f>_xlfn.XLOOKUP(B691,BugList!A:A,BugList!R:R)</f>
        <v>3</v>
      </c>
      <c r="O691" t="b">
        <f>_xlfn.XLOOKUP(B691,BugList!A:A,BugList!L:L)</f>
        <v>1</v>
      </c>
      <c r="P691" t="b">
        <f t="shared" si="75"/>
        <v>0</v>
      </c>
      <c r="R691" t="b">
        <f>SUMPRODUCT(COUNTIF(_xlfn.XLOOKUP(B691,BugList!A:A,BugList!P:P), "*SC*"))&gt;0</f>
        <v>0</v>
      </c>
      <c r="S691" t="str">
        <f>_xlfn.XLOOKUP(B691,BugList!A:A,BugList!W:W)</f>
        <v/>
      </c>
      <c r="T691">
        <f t="shared" si="67"/>
        <v>3</v>
      </c>
      <c r="U691">
        <f t="shared" si="68"/>
        <v>3</v>
      </c>
    </row>
    <row r="692" spans="1:21">
      <c r="A692" t="s">
        <v>2653</v>
      </c>
      <c r="B692">
        <v>620</v>
      </c>
      <c r="D692" t="s">
        <v>113</v>
      </c>
      <c r="E692" t="s">
        <v>113</v>
      </c>
      <c r="F692">
        <v>2</v>
      </c>
      <c r="G692">
        <f t="shared" si="72"/>
        <v>1.5748031496062991</v>
      </c>
      <c r="H692">
        <f t="shared" si="73"/>
        <v>1</v>
      </c>
      <c r="I692">
        <f t="shared" si="74"/>
        <v>0.57480314960629908</v>
      </c>
      <c r="J692" cm="1">
        <f t="array" ref="J692">INT(G692)+IF(100-SUM(INT(G$690:G$699))&gt;=RANK(I692,I$690:I$699)+COUNTIF(I$690:I692,I692)-1,1,0)</f>
        <v>2</v>
      </c>
      <c r="K692" t="str">
        <f>_xlfn.XLOOKUP(B692,BugList!A:A,BugList!H:H)</f>
        <v/>
      </c>
      <c r="L692" t="str">
        <f>IF(K692 = "","",_xlfn.XLOOKUP(B692, BugList!A:A,BugList!B:B,""))</f>
        <v/>
      </c>
      <c r="M692">
        <f>_xlfn.XLOOKUP(D692,BugList!C:C,BugList!N:N)</f>
        <v>1</v>
      </c>
      <c r="N692">
        <f>_xlfn.XLOOKUP(B692,BugList!A:A,BugList!R:R)</f>
        <v>1</v>
      </c>
      <c r="O692" t="b">
        <f>_xlfn.XLOOKUP(B692,BugList!A:A,BugList!L:L)</f>
        <v>1</v>
      </c>
      <c r="P692" t="b">
        <f t="shared" si="75"/>
        <v>0</v>
      </c>
      <c r="R692" t="b">
        <f>SUMPRODUCT(COUNTIF(_xlfn.XLOOKUP(B692,BugList!A:A,BugList!P:P), "*SC*"))&gt;0</f>
        <v>0</v>
      </c>
      <c r="S692" t="str">
        <f>_xlfn.XLOOKUP(B692,BugList!A:A,BugList!W:W)</f>
        <v>3</v>
      </c>
      <c r="T692">
        <f t="shared" si="67"/>
        <v>2</v>
      </c>
      <c r="U692">
        <f t="shared" si="68"/>
        <v>2</v>
      </c>
    </row>
    <row r="693" spans="1:21">
      <c r="A693" t="s">
        <v>2653</v>
      </c>
      <c r="B693">
        <v>640</v>
      </c>
      <c r="D693" t="s">
        <v>1117</v>
      </c>
      <c r="E693" t="s">
        <v>1117</v>
      </c>
      <c r="F693">
        <v>3</v>
      </c>
      <c r="G693">
        <f t="shared" si="72"/>
        <v>2.3622047244094486</v>
      </c>
      <c r="H693">
        <f t="shared" si="73"/>
        <v>2</v>
      </c>
      <c r="I693">
        <f t="shared" si="74"/>
        <v>0.36220472440944862</v>
      </c>
      <c r="J693" cm="1">
        <f t="array" ref="J693">INT(G693)+IF(100-SUM(INT(G$690:G$699))&gt;=RANK(I693,I$690:I$699)+COUNTIF(I$690:I693,I693)-1,1,0)</f>
        <v>2</v>
      </c>
      <c r="K693" t="str">
        <f>_xlfn.XLOOKUP(B693,BugList!A:A,BugList!H:H)</f>
        <v/>
      </c>
      <c r="L693" t="str">
        <f>IF(K693 = "","",_xlfn.XLOOKUP(B693, BugList!A:A,BugList!B:B,""))</f>
        <v/>
      </c>
      <c r="M693">
        <f>_xlfn.XLOOKUP(D693,BugList!C:C,BugList!N:N)</f>
        <v>9</v>
      </c>
      <c r="N693">
        <f>_xlfn.XLOOKUP(B693,BugList!A:A,BugList!R:R)</f>
        <v>9</v>
      </c>
      <c r="O693" t="b">
        <f>_xlfn.XLOOKUP(B693,BugList!A:A,BugList!L:L)</f>
        <v>1</v>
      </c>
      <c r="P693" t="b">
        <f t="shared" si="75"/>
        <v>0</v>
      </c>
      <c r="R693" t="b">
        <f>SUMPRODUCT(COUNTIF(_xlfn.XLOOKUP(B693,BugList!A:A,BugList!P:P), "*SC*"))&gt;0</f>
        <v>0</v>
      </c>
      <c r="S693" t="str">
        <f>_xlfn.XLOOKUP(B693,BugList!A:A,BugList!W:W)</f>
        <v/>
      </c>
      <c r="T693">
        <f t="shared" si="67"/>
        <v>18</v>
      </c>
      <c r="U693">
        <f t="shared" si="68"/>
        <v>18</v>
      </c>
    </row>
    <row r="694" spans="1:21">
      <c r="A694" t="s">
        <v>2653</v>
      </c>
      <c r="B694">
        <v>794</v>
      </c>
      <c r="D694" t="s">
        <v>89</v>
      </c>
      <c r="E694" t="s">
        <v>89</v>
      </c>
      <c r="F694">
        <v>18</v>
      </c>
      <c r="G694">
        <f t="shared" si="72"/>
        <v>14.173228346456693</v>
      </c>
      <c r="H694">
        <f t="shared" si="73"/>
        <v>14</v>
      </c>
      <c r="I694">
        <f t="shared" si="74"/>
        <v>0.17322834645669261</v>
      </c>
      <c r="J694" cm="1">
        <f t="array" ref="J694">INT(G694)+IF(100-SUM(INT(G$690:G$699))&gt;=RANK(I694,I$690:I$699)+COUNTIF(I$690:I694,I694)-1,1,0)</f>
        <v>14</v>
      </c>
      <c r="K694" t="str">
        <f>_xlfn.XLOOKUP(B694,BugList!A:A,BugList!H:H)</f>
        <v>*</v>
      </c>
      <c r="L694" t="str">
        <f>IF(K694 = "","",_xlfn.XLOOKUP(B694, BugList!A:A,BugList!B:B,""))</f>
        <v>Trichoptera</v>
      </c>
      <c r="M694">
        <f>_xlfn.XLOOKUP(D694,BugList!C:C,BugList!N:N)</f>
        <v>4</v>
      </c>
      <c r="N694">
        <f>_xlfn.XLOOKUP(B694,BugList!A:A,BugList!R:R)</f>
        <v>4</v>
      </c>
      <c r="O694" t="b">
        <f>_xlfn.XLOOKUP(B694,BugList!A:A,BugList!L:L)</f>
        <v>1</v>
      </c>
      <c r="P694" t="b">
        <f t="shared" si="75"/>
        <v>0</v>
      </c>
      <c r="R694" t="b">
        <f>SUMPRODUCT(COUNTIF(_xlfn.XLOOKUP(B694,BugList!A:A,BugList!P:P), "*SC*"))&gt;0</f>
        <v>0</v>
      </c>
      <c r="S694" t="str">
        <f>_xlfn.XLOOKUP(B694,BugList!A:A,BugList!W:W)</f>
        <v/>
      </c>
      <c r="T694">
        <f t="shared" si="67"/>
        <v>56</v>
      </c>
      <c r="U694">
        <f t="shared" si="68"/>
        <v>56</v>
      </c>
    </row>
    <row r="695" spans="1:21">
      <c r="A695" t="s">
        <v>2653</v>
      </c>
      <c r="B695">
        <v>837</v>
      </c>
      <c r="D695" t="s">
        <v>107</v>
      </c>
      <c r="E695" t="s">
        <v>107</v>
      </c>
      <c r="F695">
        <v>54</v>
      </c>
      <c r="G695">
        <f t="shared" si="72"/>
        <v>42.519685039370081</v>
      </c>
      <c r="H695">
        <f t="shared" si="73"/>
        <v>42</v>
      </c>
      <c r="I695">
        <f t="shared" si="74"/>
        <v>0.51968503937008137</v>
      </c>
      <c r="J695" cm="1">
        <f t="array" ref="J695">INT(G695)+IF(100-SUM(INT(G$690:G$699))&gt;=RANK(I695,I$690:I$699)+COUNTIF(I$690:I695,I695)-1,1,0)</f>
        <v>42</v>
      </c>
      <c r="K695" t="str">
        <f>_xlfn.XLOOKUP(B695,BugList!A:A,BugList!H:H)</f>
        <v>*</v>
      </c>
      <c r="L695" t="str">
        <f>IF(K695 = "","",_xlfn.XLOOKUP(B695, BugList!A:A,BugList!B:B,""))</f>
        <v>Trichoptera</v>
      </c>
      <c r="M695">
        <f>_xlfn.XLOOKUP(D695,BugList!C:C,BugList!N:N)</f>
        <v>3</v>
      </c>
      <c r="N695">
        <f>_xlfn.XLOOKUP(B695,BugList!A:A,BugList!R:R)</f>
        <v>3</v>
      </c>
      <c r="O695" t="b">
        <f>_xlfn.XLOOKUP(B695,BugList!A:A,BugList!L:L)</f>
        <v>1</v>
      </c>
      <c r="P695" t="b">
        <f t="shared" si="75"/>
        <v>1</v>
      </c>
      <c r="R695" t="b">
        <f>SUMPRODUCT(COUNTIF(_xlfn.XLOOKUP(B695,BugList!A:A,BugList!P:P), "*SC*"))&gt;0</f>
        <v>0</v>
      </c>
      <c r="S695" t="str">
        <f>_xlfn.XLOOKUP(B695,BugList!A:A,BugList!W:W)</f>
        <v/>
      </c>
      <c r="T695">
        <f t="shared" si="67"/>
        <v>126</v>
      </c>
      <c r="U695">
        <f t="shared" si="68"/>
        <v>126</v>
      </c>
    </row>
    <row r="696" spans="1:21">
      <c r="A696" t="s">
        <v>2653</v>
      </c>
      <c r="B696">
        <v>935</v>
      </c>
      <c r="D696" t="s">
        <v>98</v>
      </c>
      <c r="E696" t="s">
        <v>98</v>
      </c>
      <c r="F696">
        <v>10</v>
      </c>
      <c r="G696">
        <f t="shared" si="72"/>
        <v>7.8740157480314963</v>
      </c>
      <c r="H696">
        <f t="shared" si="73"/>
        <v>7</v>
      </c>
      <c r="I696">
        <f t="shared" si="74"/>
        <v>0.87401574803149629</v>
      </c>
      <c r="J696" cm="1">
        <f t="array" ref="J696">INT(G696)+IF(100-SUM(INT(G$690:G$699))&gt;=RANK(I696,I$690:I$699)+COUNTIF(I$690:I696,I696)-1,1,0)</f>
        <v>8</v>
      </c>
      <c r="K696" t="str">
        <f>_xlfn.XLOOKUP(B696,BugList!A:A,BugList!H:H)</f>
        <v/>
      </c>
      <c r="L696" t="str">
        <f>IF(K696 = "","",_xlfn.XLOOKUP(B696, BugList!A:A,BugList!B:B,""))</f>
        <v/>
      </c>
      <c r="M696">
        <f>_xlfn.XLOOKUP(D696,BugList!C:C,BugList!N:N)</f>
        <v>4</v>
      </c>
      <c r="N696">
        <f>_xlfn.XLOOKUP(B696,BugList!A:A,BugList!R:R)</f>
        <v>4</v>
      </c>
      <c r="O696" t="b">
        <f>_xlfn.XLOOKUP(B696,BugList!A:A,BugList!L:L)</f>
        <v>1</v>
      </c>
      <c r="P696" t="b">
        <f t="shared" si="75"/>
        <v>0</v>
      </c>
      <c r="R696" t="b">
        <f>SUMPRODUCT(COUNTIF(_xlfn.XLOOKUP(B696,BugList!A:A,BugList!P:P), "*SC*"))&gt;0</f>
        <v>1</v>
      </c>
      <c r="S696" t="str">
        <f>_xlfn.XLOOKUP(B696,BugList!A:A,BugList!W:W)</f>
        <v/>
      </c>
      <c r="T696">
        <f t="shared" si="67"/>
        <v>32</v>
      </c>
      <c r="U696">
        <f t="shared" si="68"/>
        <v>32</v>
      </c>
    </row>
    <row r="697" spans="1:21">
      <c r="A697" t="s">
        <v>2653</v>
      </c>
      <c r="B697">
        <v>961</v>
      </c>
      <c r="D697" t="s">
        <v>99</v>
      </c>
      <c r="E697" t="s">
        <v>99</v>
      </c>
      <c r="F697">
        <v>2</v>
      </c>
      <c r="G697">
        <f t="shared" si="72"/>
        <v>1.5748031496062991</v>
      </c>
      <c r="H697">
        <f t="shared" si="73"/>
        <v>1</v>
      </c>
      <c r="I697">
        <f t="shared" si="74"/>
        <v>0.57480314960629908</v>
      </c>
      <c r="J697" cm="1">
        <f t="array" ref="J697">INT(G697)+IF(100-SUM(INT(G$690:G$699))&gt;=RANK(I697,I$690:I$699)+COUNTIF(I$690:I697,I697)-1,1,0)</f>
        <v>2</v>
      </c>
      <c r="K697" t="str">
        <f>_xlfn.XLOOKUP(B697,BugList!A:A,BugList!H:H)</f>
        <v/>
      </c>
      <c r="L697" t="str">
        <f>IF(K697 = "","",_xlfn.XLOOKUP(B697, BugList!A:A,BugList!B:B,""))</f>
        <v/>
      </c>
      <c r="M697">
        <f>_xlfn.XLOOKUP(D697,BugList!C:C,BugList!N:N)</f>
        <v>5</v>
      </c>
      <c r="N697">
        <f>_xlfn.XLOOKUP(B697,BugList!A:A,BugList!R:R)</f>
        <v>5</v>
      </c>
      <c r="O697" t="b">
        <f>_xlfn.XLOOKUP(B697,BugList!A:A,BugList!L:L)</f>
        <v>1</v>
      </c>
      <c r="P697" t="b">
        <f t="shared" si="75"/>
        <v>0</v>
      </c>
      <c r="R697" t="b">
        <f>SUMPRODUCT(COUNTIF(_xlfn.XLOOKUP(B697,BugList!A:A,BugList!P:P), "*SC*"))&gt;0</f>
        <v>0</v>
      </c>
      <c r="S697" t="str">
        <f>_xlfn.XLOOKUP(B697,BugList!A:A,BugList!W:W)</f>
        <v/>
      </c>
      <c r="T697">
        <f t="shared" si="67"/>
        <v>10</v>
      </c>
      <c r="U697">
        <f t="shared" si="68"/>
        <v>10</v>
      </c>
    </row>
    <row r="698" spans="1:21">
      <c r="A698" t="s">
        <v>2653</v>
      </c>
      <c r="B698">
        <v>1002</v>
      </c>
      <c r="D698" t="s">
        <v>100</v>
      </c>
      <c r="E698" t="s">
        <v>100</v>
      </c>
      <c r="F698">
        <v>24</v>
      </c>
      <c r="G698">
        <f t="shared" ref="G698:G729" si="76">(F698/(SUMIFS(F:F,A:A,A698))*100)</f>
        <v>18.897637795275589</v>
      </c>
      <c r="H698">
        <f t="shared" ref="H698:H729" si="77">INT(G698)</f>
        <v>18</v>
      </c>
      <c r="I698">
        <f t="shared" ref="I698:I729" si="78">G698-H698</f>
        <v>0.89763779527558896</v>
      </c>
      <c r="J698" cm="1">
        <f t="array" ref="J698">INT(G698)+IF(100-SUM(INT(G$690:G$699))&gt;=RANK(I698,I$690:I$699)+COUNTIF(I$690:I698,I698)-1,1,0)</f>
        <v>19</v>
      </c>
      <c r="K698" t="str">
        <f>_xlfn.XLOOKUP(B698,BugList!A:A,BugList!H:H)</f>
        <v/>
      </c>
      <c r="L698" t="str">
        <f>IF(K698 = "","",_xlfn.XLOOKUP(B698, BugList!A:A,BugList!B:B,""))</f>
        <v/>
      </c>
      <c r="M698">
        <f>_xlfn.XLOOKUP(D698,BugList!C:C,BugList!N:N)</f>
        <v>4</v>
      </c>
      <c r="N698">
        <f>_xlfn.XLOOKUP(B698,BugList!A:A,BugList!R:R)</f>
        <v>4</v>
      </c>
      <c r="O698" t="b">
        <f>_xlfn.XLOOKUP(B698,BugList!A:A,BugList!L:L)</f>
        <v>1</v>
      </c>
      <c r="P698" t="b">
        <f t="shared" si="75"/>
        <v>0</v>
      </c>
      <c r="R698" t="b">
        <f>SUMPRODUCT(COUNTIF(_xlfn.XLOOKUP(B698,BugList!A:A,BugList!P:P), "*SC*"))&gt;0</f>
        <v>1</v>
      </c>
      <c r="S698" t="str">
        <f>_xlfn.XLOOKUP(B698,BugList!A:A,BugList!W:W)</f>
        <v/>
      </c>
      <c r="T698">
        <f t="shared" si="67"/>
        <v>76</v>
      </c>
      <c r="U698">
        <f t="shared" si="68"/>
        <v>76</v>
      </c>
    </row>
    <row r="699" spans="1:21">
      <c r="A699" t="s">
        <v>2653</v>
      </c>
      <c r="B699">
        <v>1497</v>
      </c>
      <c r="D699" t="s">
        <v>108</v>
      </c>
      <c r="E699" t="s">
        <v>108</v>
      </c>
      <c r="F699">
        <v>10</v>
      </c>
      <c r="G699">
        <f t="shared" si="76"/>
        <v>7.8740157480314963</v>
      </c>
      <c r="H699">
        <f t="shared" si="77"/>
        <v>7</v>
      </c>
      <c r="I699">
        <f t="shared" si="78"/>
        <v>0.87401574803149629</v>
      </c>
      <c r="J699" cm="1">
        <f t="array" ref="J699">INT(G699)+IF(100-SUM(INT(G$690:G$699))&gt;=RANK(I699,I$690:I$699)+COUNTIF(I$690:I699,I699)-1,1,0)</f>
        <v>8</v>
      </c>
      <c r="K699" t="str">
        <f>_xlfn.XLOOKUP(B699,BugList!A:A,BugList!H:H)</f>
        <v/>
      </c>
      <c r="L699" t="str">
        <f>IF(K699 = "","",_xlfn.XLOOKUP(B699, BugList!A:A,BugList!B:B,""))</f>
        <v/>
      </c>
      <c r="M699">
        <f>_xlfn.XLOOKUP(D699,BugList!C:C,BugList!N:N)</f>
        <v>3</v>
      </c>
      <c r="N699">
        <f>_xlfn.XLOOKUP(B699,BugList!A:A,BugList!R:R)</f>
        <v>3</v>
      </c>
      <c r="O699" t="b">
        <f>_xlfn.XLOOKUP(B699,BugList!A:A,BugList!L:L)</f>
        <v>1</v>
      </c>
      <c r="P699" t="b">
        <f t="shared" si="75"/>
        <v>0</v>
      </c>
      <c r="R699" t="b">
        <f>SUMPRODUCT(COUNTIF(_xlfn.XLOOKUP(B699,BugList!A:A,BugList!P:P), "*SC*"))&gt;0</f>
        <v>0</v>
      </c>
      <c r="S699" t="str">
        <f>_xlfn.XLOOKUP(B699,BugList!A:A,BugList!W:W)</f>
        <v/>
      </c>
      <c r="T699">
        <f t="shared" si="67"/>
        <v>24</v>
      </c>
      <c r="U699">
        <f t="shared" si="68"/>
        <v>24</v>
      </c>
    </row>
    <row r="700" spans="1:21">
      <c r="A700" t="s">
        <v>2654</v>
      </c>
      <c r="B700">
        <v>63</v>
      </c>
      <c r="D700" t="s">
        <v>84</v>
      </c>
      <c r="E700" t="s">
        <v>84</v>
      </c>
      <c r="F700">
        <v>3</v>
      </c>
      <c r="G700">
        <f t="shared" si="76"/>
        <v>2.7272727272727271</v>
      </c>
      <c r="H700">
        <f t="shared" si="77"/>
        <v>2</v>
      </c>
      <c r="I700">
        <f t="shared" si="78"/>
        <v>0.72727272727272707</v>
      </c>
      <c r="J700" cm="1">
        <f t="array" ref="J700">INT(G700)+IF(100-SUM(INT(G$700:G$711))&gt;=RANK(I700,I$700:I$711)+COUNTIF(I$584:I816,I700)-1,1,0)</f>
        <v>2</v>
      </c>
      <c r="K700" t="str">
        <f>_xlfn.XLOOKUP(B700,BugList!A:A,BugList!H:H)</f>
        <v/>
      </c>
      <c r="L700" t="str">
        <f>IF(K700 = "","",_xlfn.XLOOKUP(B700, BugList!A:A,BugList!B:B,""))</f>
        <v/>
      </c>
      <c r="M700">
        <f>_xlfn.XLOOKUP(D700,BugList!C:C,BugList!N:N)</f>
        <v>8</v>
      </c>
      <c r="N700">
        <f>_xlfn.XLOOKUP(B700,BugList!A:A,BugList!R:R)</f>
        <v>8</v>
      </c>
      <c r="O700" t="b">
        <f>_xlfn.XLOOKUP(B700,BugList!A:A,BugList!L:L)</f>
        <v>0</v>
      </c>
      <c r="P700" t="b">
        <f t="shared" si="75"/>
        <v>0</v>
      </c>
      <c r="R700" t="b">
        <f>SUMPRODUCT(COUNTIF(_xlfn.XLOOKUP(B700,BugList!A:A,BugList!P:P), "*SC*"))&gt;0</f>
        <v>0</v>
      </c>
      <c r="S700" t="str">
        <f>_xlfn.XLOOKUP(B700,BugList!A:A,BugList!W:W)</f>
        <v/>
      </c>
      <c r="T700">
        <f t="shared" si="67"/>
        <v>16</v>
      </c>
      <c r="U700">
        <f t="shared" si="68"/>
        <v>16</v>
      </c>
    </row>
    <row r="701" spans="1:21">
      <c r="A701" t="s">
        <v>2654</v>
      </c>
      <c r="B701">
        <v>88</v>
      </c>
      <c r="D701" t="s">
        <v>85</v>
      </c>
      <c r="E701" t="s">
        <v>85</v>
      </c>
      <c r="F701">
        <v>8</v>
      </c>
      <c r="G701">
        <f t="shared" si="76"/>
        <v>7.2727272727272725</v>
      </c>
      <c r="H701">
        <f t="shared" si="77"/>
        <v>7</v>
      </c>
      <c r="I701">
        <f t="shared" si="78"/>
        <v>0.27272727272727249</v>
      </c>
      <c r="J701" cm="1">
        <f t="array" ref="J701">INT(G701)+IF(100-SUM(INT(G$700:G$711))&gt;=RANK(I701,I$700:I$711)+COUNTIF(I$585:I816,I701)-1,1,0)</f>
        <v>7</v>
      </c>
      <c r="K701" t="str">
        <f>_xlfn.XLOOKUP(B701,BugList!A:A,BugList!H:H)</f>
        <v/>
      </c>
      <c r="L701" t="str">
        <f>IF(K701 = "","",_xlfn.XLOOKUP(B701, BugList!A:A,BugList!B:B,""))</f>
        <v/>
      </c>
      <c r="M701">
        <f>_xlfn.XLOOKUP(D701,BugList!C:C,BugList!N:N)</f>
        <v>4</v>
      </c>
      <c r="N701">
        <f>_xlfn.XLOOKUP(B701,BugList!A:A,BugList!R:R)</f>
        <v>4</v>
      </c>
      <c r="O701" t="b">
        <f>_xlfn.XLOOKUP(B701,BugList!A:A,BugList!L:L)</f>
        <v>0</v>
      </c>
      <c r="P701" t="b">
        <f t="shared" si="75"/>
        <v>0</v>
      </c>
      <c r="R701" t="b">
        <f>SUMPRODUCT(COUNTIF(_xlfn.XLOOKUP(B701,BugList!A:A,BugList!P:P), "*SC*"))&gt;0</f>
        <v>0</v>
      </c>
      <c r="S701" t="str">
        <f>_xlfn.XLOOKUP(B701,BugList!A:A,BugList!W:W)</f>
        <v/>
      </c>
      <c r="T701">
        <f t="shared" si="67"/>
        <v>28</v>
      </c>
      <c r="U701">
        <f t="shared" si="68"/>
        <v>28</v>
      </c>
    </row>
    <row r="702" spans="1:21">
      <c r="A702" t="s">
        <v>2654</v>
      </c>
      <c r="B702">
        <v>99</v>
      </c>
      <c r="D702" t="s">
        <v>169</v>
      </c>
      <c r="E702" t="s">
        <v>169</v>
      </c>
      <c r="F702">
        <v>3</v>
      </c>
      <c r="G702">
        <f t="shared" si="76"/>
        <v>2.7272727272727271</v>
      </c>
      <c r="H702">
        <f t="shared" si="77"/>
        <v>2</v>
      </c>
      <c r="I702">
        <f t="shared" si="78"/>
        <v>0.72727272727272707</v>
      </c>
      <c r="J702" cm="1">
        <f t="array" ref="J702">INT(G702)+IF(100-SUM(INT(G$700:G$711))&gt;=RANK(I702,I$700:I$711)+COUNTIF(I$586:I816,I702)-1,1,0)</f>
        <v>2</v>
      </c>
      <c r="K702" t="str">
        <f>_xlfn.XLOOKUP(B702,BugList!A:A,BugList!H:H)</f>
        <v/>
      </c>
      <c r="L702" t="str">
        <f>IF(K702 = "","",_xlfn.XLOOKUP(B702, BugList!A:A,BugList!B:B,""))</f>
        <v/>
      </c>
      <c r="M702">
        <f>_xlfn.XLOOKUP(D702,BugList!C:C,BugList!N:N)</f>
        <v>5</v>
      </c>
      <c r="N702">
        <f>_xlfn.XLOOKUP(B702,BugList!A:A,BugList!R:R)</f>
        <v>5</v>
      </c>
      <c r="O702" t="b">
        <f>_xlfn.XLOOKUP(B702,BugList!A:A,BugList!L:L)</f>
        <v>0</v>
      </c>
      <c r="P702" t="b">
        <f t="shared" si="75"/>
        <v>0</v>
      </c>
      <c r="R702" t="b">
        <f>SUMPRODUCT(COUNTIF(_xlfn.XLOOKUP(B702,BugList!A:A,BugList!P:P), "*SC*"))&gt;0</f>
        <v>0</v>
      </c>
      <c r="S702" t="str">
        <f>_xlfn.XLOOKUP(B702,BugList!A:A,BugList!W:W)</f>
        <v/>
      </c>
      <c r="T702">
        <f t="shared" si="67"/>
        <v>10</v>
      </c>
      <c r="U702">
        <f t="shared" si="68"/>
        <v>10</v>
      </c>
    </row>
    <row r="703" spans="1:21">
      <c r="A703" t="s">
        <v>2654</v>
      </c>
      <c r="B703">
        <v>372</v>
      </c>
      <c r="D703" t="s">
        <v>88</v>
      </c>
      <c r="E703" t="s">
        <v>88</v>
      </c>
      <c r="F703">
        <v>3</v>
      </c>
      <c r="G703">
        <f t="shared" si="76"/>
        <v>2.7272727272727271</v>
      </c>
      <c r="H703">
        <f t="shared" si="77"/>
        <v>2</v>
      </c>
      <c r="I703">
        <f t="shared" si="78"/>
        <v>0.72727272727272707</v>
      </c>
      <c r="J703" cm="1">
        <f t="array" ref="J703">INT(G703)+IF(100-SUM(INT(G$700:G$711))&gt;=RANK(I703,I$700:I$711)+COUNTIF(I$587:I816,I703)-1,1,0)</f>
        <v>2</v>
      </c>
      <c r="K703" t="str">
        <f>_xlfn.XLOOKUP(B703,BugList!A:A,BugList!H:H)</f>
        <v/>
      </c>
      <c r="L703" t="str">
        <f>IF(K703 = "","",_xlfn.XLOOKUP(B703, BugList!A:A,BugList!B:B,""))</f>
        <v/>
      </c>
      <c r="M703">
        <f>_xlfn.XLOOKUP(D703,BugList!C:C,BugList!N:N)</f>
        <v>8</v>
      </c>
      <c r="N703">
        <f>_xlfn.XLOOKUP(B703,BugList!A:A,BugList!R:R)</f>
        <v>8</v>
      </c>
      <c r="O703" t="b">
        <f>_xlfn.XLOOKUP(B703,BugList!A:A,BugList!L:L)</f>
        <v>0</v>
      </c>
      <c r="P703" t="b">
        <f t="shared" si="75"/>
        <v>0</v>
      </c>
      <c r="R703" t="b">
        <f>SUMPRODUCT(COUNTIF(_xlfn.XLOOKUP(B703,BugList!A:A,BugList!P:P), "*SC*"))&gt;0</f>
        <v>0</v>
      </c>
      <c r="S703" t="str">
        <f>_xlfn.XLOOKUP(B703,BugList!A:A,BugList!W:W)</f>
        <v/>
      </c>
      <c r="T703">
        <f t="shared" si="67"/>
        <v>16</v>
      </c>
      <c r="U703">
        <f t="shared" si="68"/>
        <v>16</v>
      </c>
    </row>
    <row r="704" spans="1:21">
      <c r="A704" t="s">
        <v>2654</v>
      </c>
      <c r="B704">
        <v>469</v>
      </c>
      <c r="D704" t="s">
        <v>154</v>
      </c>
      <c r="E704" t="s">
        <v>154</v>
      </c>
      <c r="F704">
        <v>1</v>
      </c>
      <c r="G704">
        <f t="shared" si="76"/>
        <v>0.90909090909090906</v>
      </c>
      <c r="H704">
        <f t="shared" si="77"/>
        <v>0</v>
      </c>
      <c r="I704">
        <f t="shared" si="78"/>
        <v>0.90909090909090906</v>
      </c>
      <c r="J704" cm="1">
        <f t="array" ref="J704">INT(G704)+IF(100-SUM(INT(G$700:G$711))&gt;=RANK(I704,I$700:I$711)+COUNTIF(I$588:I816,I704)-1,1,0)</f>
        <v>0</v>
      </c>
      <c r="K704" t="str">
        <f>_xlfn.XLOOKUP(B704,BugList!A:A,BugList!H:H)</f>
        <v>*</v>
      </c>
      <c r="L704" t="str">
        <f>IF(K704 = "","",_xlfn.XLOOKUP(B704, BugList!A:A,BugList!B:B,""))</f>
        <v>Ephemeroptera</v>
      </c>
      <c r="M704">
        <f>_xlfn.XLOOKUP(D704,BugList!C:C,BugList!N:N)</f>
        <v>7</v>
      </c>
      <c r="N704">
        <f>_xlfn.XLOOKUP(B704,BugList!A:A,BugList!R:R)</f>
        <v>7</v>
      </c>
      <c r="O704" t="b">
        <f>_xlfn.XLOOKUP(B704,BugList!A:A,BugList!L:L)</f>
        <v>1</v>
      </c>
      <c r="P704" t="b">
        <f t="shared" si="75"/>
        <v>1</v>
      </c>
      <c r="R704" t="b">
        <f>SUMPRODUCT(COUNTIF(_xlfn.XLOOKUP(B704,BugList!A:A,BugList!P:P), "*SC*"))&gt;0</f>
        <v>0</v>
      </c>
      <c r="S704" t="str">
        <f>_xlfn.XLOOKUP(B704,BugList!A:A,BugList!W:W)</f>
        <v/>
      </c>
      <c r="T704">
        <f t="shared" si="67"/>
        <v>0</v>
      </c>
      <c r="U704">
        <f t="shared" si="68"/>
        <v>0</v>
      </c>
    </row>
    <row r="705" spans="1:21">
      <c r="A705" t="s">
        <v>2654</v>
      </c>
      <c r="B705">
        <v>513</v>
      </c>
      <c r="D705" t="s">
        <v>111</v>
      </c>
      <c r="E705" t="s">
        <v>111</v>
      </c>
      <c r="F705">
        <v>11</v>
      </c>
      <c r="G705">
        <f t="shared" si="76"/>
        <v>10</v>
      </c>
      <c r="H705">
        <f t="shared" si="77"/>
        <v>10</v>
      </c>
      <c r="I705">
        <f t="shared" si="78"/>
        <v>0</v>
      </c>
      <c r="J705" cm="1">
        <f t="array" ref="J705">INT(G705)+IF(100-SUM(INT(G$700:G$711))&gt;=RANK(I705,I$700:I$711)+COUNTIF(I$589:I816,I705)-1,1,0)</f>
        <v>10</v>
      </c>
      <c r="K705" t="str">
        <f>_xlfn.XLOOKUP(B705,BugList!A:A,BugList!H:H)</f>
        <v>*</v>
      </c>
      <c r="L705" t="str">
        <f>IF(K705 = "","",_xlfn.XLOOKUP(B705, BugList!A:A,BugList!B:B,""))</f>
        <v>Ephemeroptera</v>
      </c>
      <c r="M705">
        <f>_xlfn.XLOOKUP(D705,BugList!C:C,BugList!N:N)</f>
        <v>4</v>
      </c>
      <c r="N705">
        <f>_xlfn.XLOOKUP(B705,BugList!A:A,BugList!R:R)</f>
        <v>4</v>
      </c>
      <c r="O705" t="b">
        <f>_xlfn.XLOOKUP(B705,BugList!A:A,BugList!L:L)</f>
        <v>1</v>
      </c>
      <c r="P705" t="b">
        <f t="shared" si="75"/>
        <v>1</v>
      </c>
      <c r="R705" t="b">
        <f>SUMPRODUCT(COUNTIF(_xlfn.XLOOKUP(B705,BugList!A:A,BugList!P:P), "*SC*"))&gt;0</f>
        <v>1</v>
      </c>
      <c r="S705" t="str">
        <f>_xlfn.XLOOKUP(B705,BugList!A:A,BugList!W:W)</f>
        <v/>
      </c>
      <c r="T705">
        <f t="shared" si="67"/>
        <v>40</v>
      </c>
      <c r="U705">
        <f t="shared" si="68"/>
        <v>40</v>
      </c>
    </row>
    <row r="706" spans="1:21">
      <c r="A706" t="s">
        <v>2654</v>
      </c>
      <c r="B706">
        <v>794</v>
      </c>
      <c r="D706" t="s">
        <v>89</v>
      </c>
      <c r="E706" t="s">
        <v>89</v>
      </c>
      <c r="F706">
        <v>4</v>
      </c>
      <c r="G706">
        <f t="shared" si="76"/>
        <v>3.6363636363636362</v>
      </c>
      <c r="H706">
        <f t="shared" si="77"/>
        <v>3</v>
      </c>
      <c r="I706">
        <f t="shared" si="78"/>
        <v>0.63636363636363624</v>
      </c>
      <c r="J706" cm="1">
        <f t="array" ref="J706">INT(G706)+IF(100-SUM(INT(G$700:G$711))&gt;=RANK(I706,I$700:I$711)+COUNTIF(I$590:I816,I706)-1,1,0)</f>
        <v>3</v>
      </c>
      <c r="K706" t="str">
        <f>_xlfn.XLOOKUP(B706,BugList!A:A,BugList!H:H)</f>
        <v>*</v>
      </c>
      <c r="L706" t="str">
        <f>IF(K706 = "","",_xlfn.XLOOKUP(B706, BugList!A:A,BugList!B:B,""))</f>
        <v>Trichoptera</v>
      </c>
      <c r="M706">
        <f>_xlfn.XLOOKUP(D706,BugList!C:C,BugList!N:N)</f>
        <v>4</v>
      </c>
      <c r="N706">
        <f>_xlfn.XLOOKUP(B706,BugList!A:A,BugList!R:R)</f>
        <v>4</v>
      </c>
      <c r="O706" t="b">
        <f>_xlfn.XLOOKUP(B706,BugList!A:A,BugList!L:L)</f>
        <v>1</v>
      </c>
      <c r="P706" t="b">
        <f t="shared" si="75"/>
        <v>0</v>
      </c>
      <c r="R706" t="b">
        <f>SUMPRODUCT(COUNTIF(_xlfn.XLOOKUP(B706,BugList!A:A,BugList!P:P), "*SC*"))&gt;0</f>
        <v>0</v>
      </c>
      <c r="S706" t="str">
        <f>_xlfn.XLOOKUP(B706,BugList!A:A,BugList!W:W)</f>
        <v/>
      </c>
      <c r="T706">
        <f t="shared" ref="T706:T769" si="79">J706*M706</f>
        <v>12</v>
      </c>
      <c r="U706">
        <f t="shared" ref="U706:U769" si="80">J706*N706</f>
        <v>12</v>
      </c>
    </row>
    <row r="707" spans="1:21">
      <c r="A707" t="s">
        <v>2654</v>
      </c>
      <c r="B707">
        <v>837</v>
      </c>
      <c r="D707" t="s">
        <v>107</v>
      </c>
      <c r="E707" t="s">
        <v>107</v>
      </c>
      <c r="F707">
        <v>33</v>
      </c>
      <c r="G707">
        <f t="shared" si="76"/>
        <v>30</v>
      </c>
      <c r="H707">
        <f t="shared" si="77"/>
        <v>30</v>
      </c>
      <c r="I707">
        <f t="shared" si="78"/>
        <v>0</v>
      </c>
      <c r="J707" cm="1">
        <f t="array" ref="J707">INT(G707)+IF(100-SUM(INT(G$700:G$711))&gt;=RANK(I707,I$700:I$711)+COUNTIF(I$591:I816,I707)-1,1,0)</f>
        <v>30</v>
      </c>
      <c r="K707" t="str">
        <f>_xlfn.XLOOKUP(B707,BugList!A:A,BugList!H:H)</f>
        <v>*</v>
      </c>
      <c r="L707" t="str">
        <f>IF(K707 = "","",_xlfn.XLOOKUP(B707, BugList!A:A,BugList!B:B,""))</f>
        <v>Trichoptera</v>
      </c>
      <c r="M707">
        <f>_xlfn.XLOOKUP(D707,BugList!C:C,BugList!N:N)</f>
        <v>3</v>
      </c>
      <c r="N707">
        <f>_xlfn.XLOOKUP(B707,BugList!A:A,BugList!R:R)</f>
        <v>3</v>
      </c>
      <c r="O707" t="b">
        <f>_xlfn.XLOOKUP(B707,BugList!A:A,BugList!L:L)</f>
        <v>1</v>
      </c>
      <c r="P707" t="b">
        <f t="shared" si="75"/>
        <v>1</v>
      </c>
      <c r="R707" t="b">
        <f>SUMPRODUCT(COUNTIF(_xlfn.XLOOKUP(B707,BugList!A:A,BugList!P:P), "*SC*"))&gt;0</f>
        <v>0</v>
      </c>
      <c r="S707" t="str">
        <f>_xlfn.XLOOKUP(B707,BugList!A:A,BugList!W:W)</f>
        <v/>
      </c>
      <c r="T707">
        <f t="shared" si="79"/>
        <v>90</v>
      </c>
      <c r="U707">
        <f t="shared" si="80"/>
        <v>90</v>
      </c>
    </row>
    <row r="708" spans="1:21">
      <c r="A708" t="s">
        <v>2654</v>
      </c>
      <c r="B708">
        <v>935</v>
      </c>
      <c r="D708" t="s">
        <v>98</v>
      </c>
      <c r="E708" t="s">
        <v>98</v>
      </c>
      <c r="F708">
        <v>32</v>
      </c>
      <c r="G708">
        <f t="shared" si="76"/>
        <v>29.09090909090909</v>
      </c>
      <c r="H708">
        <f t="shared" si="77"/>
        <v>29</v>
      </c>
      <c r="I708">
        <f t="shared" si="78"/>
        <v>9.090909090908994E-2</v>
      </c>
      <c r="J708" cm="1">
        <f t="array" ref="J708">INT(G708)+IF(100-SUM(INT(G$700:G$711))&gt;=RANK(I708,I$700:I$711)+COUNTIF(I$592:I816,I708)-1,1,0)</f>
        <v>29</v>
      </c>
      <c r="K708" t="str">
        <f>_xlfn.XLOOKUP(B708,BugList!A:A,BugList!H:H)</f>
        <v/>
      </c>
      <c r="L708" t="str">
        <f>IF(K708 = "","",_xlfn.XLOOKUP(B708, BugList!A:A,BugList!B:B,""))</f>
        <v/>
      </c>
      <c r="M708">
        <f>_xlfn.XLOOKUP(D708,BugList!C:C,BugList!N:N)</f>
        <v>4</v>
      </c>
      <c r="N708">
        <f>_xlfn.XLOOKUP(B708,BugList!A:A,BugList!R:R)</f>
        <v>4</v>
      </c>
      <c r="O708" t="b">
        <f>_xlfn.XLOOKUP(B708,BugList!A:A,BugList!L:L)</f>
        <v>1</v>
      </c>
      <c r="P708" t="b">
        <f t="shared" si="75"/>
        <v>0</v>
      </c>
      <c r="R708" t="b">
        <f>SUMPRODUCT(COUNTIF(_xlfn.XLOOKUP(B708,BugList!A:A,BugList!P:P), "*SC*"))&gt;0</f>
        <v>1</v>
      </c>
      <c r="S708" t="str">
        <f>_xlfn.XLOOKUP(B708,BugList!A:A,BugList!W:W)</f>
        <v/>
      </c>
      <c r="T708">
        <f t="shared" si="79"/>
        <v>116</v>
      </c>
      <c r="U708">
        <f t="shared" si="80"/>
        <v>116</v>
      </c>
    </row>
    <row r="709" spans="1:21">
      <c r="A709" t="s">
        <v>2654</v>
      </c>
      <c r="B709">
        <v>1002</v>
      </c>
      <c r="D709" t="s">
        <v>100</v>
      </c>
      <c r="E709" t="s">
        <v>100</v>
      </c>
      <c r="F709">
        <v>9</v>
      </c>
      <c r="G709">
        <f t="shared" si="76"/>
        <v>8.1818181818181817</v>
      </c>
      <c r="H709">
        <f t="shared" si="77"/>
        <v>8</v>
      </c>
      <c r="I709">
        <f t="shared" si="78"/>
        <v>0.18181818181818166</v>
      </c>
      <c r="J709" cm="1">
        <f t="array" ref="J709">INT(G709)+IF(100-SUM(INT(G$700:G$711))&gt;=RANK(I709,I$700:I$711)+COUNTIF(I$593:I816,I709)-1,1,0)</f>
        <v>8</v>
      </c>
      <c r="K709" t="str">
        <f>_xlfn.XLOOKUP(B709,BugList!A:A,BugList!H:H)</f>
        <v/>
      </c>
      <c r="L709" t="str">
        <f>IF(K709 = "","",_xlfn.XLOOKUP(B709, BugList!A:A,BugList!B:B,""))</f>
        <v/>
      </c>
      <c r="M709">
        <f>_xlfn.XLOOKUP(D709,BugList!C:C,BugList!N:N)</f>
        <v>4</v>
      </c>
      <c r="N709">
        <f>_xlfn.XLOOKUP(B709,BugList!A:A,BugList!R:R)</f>
        <v>4</v>
      </c>
      <c r="O709" t="b">
        <f>_xlfn.XLOOKUP(B709,BugList!A:A,BugList!L:L)</f>
        <v>1</v>
      </c>
      <c r="P709" t="b">
        <f t="shared" si="75"/>
        <v>0</v>
      </c>
      <c r="R709" t="b">
        <f>SUMPRODUCT(COUNTIF(_xlfn.XLOOKUP(B709,BugList!A:A,BugList!P:P), "*SC*"))&gt;0</f>
        <v>1</v>
      </c>
      <c r="S709" t="str">
        <f>_xlfn.XLOOKUP(B709,BugList!A:A,BugList!W:W)</f>
        <v/>
      </c>
      <c r="T709">
        <f t="shared" si="79"/>
        <v>32</v>
      </c>
      <c r="U709">
        <f t="shared" si="80"/>
        <v>32</v>
      </c>
    </row>
    <row r="710" spans="1:21">
      <c r="A710" t="s">
        <v>2654</v>
      </c>
      <c r="B710">
        <v>1578</v>
      </c>
      <c r="D710" t="s">
        <v>102</v>
      </c>
      <c r="E710" t="s">
        <v>102</v>
      </c>
      <c r="F710">
        <v>2</v>
      </c>
      <c r="G710">
        <f t="shared" si="76"/>
        <v>1.8181818181818181</v>
      </c>
      <c r="H710">
        <f t="shared" si="77"/>
        <v>1</v>
      </c>
      <c r="I710">
        <f t="shared" si="78"/>
        <v>0.81818181818181812</v>
      </c>
      <c r="J710" cm="1">
        <f t="array" ref="J710">INT(G710)+IF(100-SUM(INT(G$700:G$711))&gt;=RANK(I710,I$700:I$711)+COUNTIF(I$594:I816,I710)-1,1,0)</f>
        <v>1</v>
      </c>
      <c r="K710" t="str">
        <f>_xlfn.XLOOKUP(B710,BugList!A:A,BugList!H:H)</f>
        <v/>
      </c>
      <c r="L710" t="str">
        <f>IF(K710 = "","",_xlfn.XLOOKUP(B710, BugList!A:A,BugList!B:B,""))</f>
        <v/>
      </c>
      <c r="M710">
        <f>_xlfn.XLOOKUP(D710,BugList!C:C,BugList!N:N)</f>
        <v>7</v>
      </c>
      <c r="N710">
        <f>_xlfn.XLOOKUP(B710,BugList!A:A,BugList!R:R)</f>
        <v>7</v>
      </c>
      <c r="O710" t="b">
        <f>_xlfn.XLOOKUP(B710,BugList!A:A,BugList!L:L)</f>
        <v>0</v>
      </c>
      <c r="P710" t="b">
        <f t="shared" si="75"/>
        <v>0</v>
      </c>
      <c r="R710" t="b">
        <f>SUMPRODUCT(COUNTIF(_xlfn.XLOOKUP(B710,BugList!A:A,BugList!P:P), "*SC*"))&gt;0</f>
        <v>0</v>
      </c>
      <c r="S710" t="str">
        <f>_xlfn.XLOOKUP(B710,BugList!A:A,BugList!W:W)</f>
        <v/>
      </c>
      <c r="T710">
        <f t="shared" si="79"/>
        <v>7</v>
      </c>
      <c r="U710">
        <f t="shared" si="80"/>
        <v>7</v>
      </c>
    </row>
    <row r="711" spans="1:21">
      <c r="A711" t="s">
        <v>2654</v>
      </c>
      <c r="B711">
        <v>1614</v>
      </c>
      <c r="D711" t="s">
        <v>92</v>
      </c>
      <c r="E711" t="s">
        <v>92</v>
      </c>
      <c r="F711">
        <v>1</v>
      </c>
      <c r="G711">
        <f t="shared" si="76"/>
        <v>0.90909090909090906</v>
      </c>
      <c r="H711">
        <f t="shared" si="77"/>
        <v>0</v>
      </c>
      <c r="I711">
        <f t="shared" si="78"/>
        <v>0.90909090909090906</v>
      </c>
      <c r="J711" cm="1">
        <f t="array" ref="J711">INT(G711)+IF(100-SUM(INT(G$700:G$711))&gt;=RANK(I711,I$700:I$711)+COUNTIF(I$595:I816,I711)-1,1,0)</f>
        <v>0</v>
      </c>
      <c r="K711" t="str">
        <f>_xlfn.XLOOKUP(B711,BugList!A:A,BugList!H:H)</f>
        <v/>
      </c>
      <c r="L711" t="str">
        <f>IF(K711 = "","",_xlfn.XLOOKUP(B711, BugList!A:A,BugList!B:B,""))</f>
        <v/>
      </c>
      <c r="M711">
        <f>_xlfn.XLOOKUP(D711,BugList!C:C,BugList!N:N)</f>
        <v>8</v>
      </c>
      <c r="N711">
        <f>_xlfn.XLOOKUP(B711,BugList!A:A,BugList!R:R)</f>
        <v>8</v>
      </c>
      <c r="O711" t="b">
        <f>_xlfn.XLOOKUP(B711,BugList!A:A,BugList!L:L)</f>
        <v>0</v>
      </c>
      <c r="P711" t="b">
        <f t="shared" si="75"/>
        <v>0</v>
      </c>
      <c r="R711" t="b">
        <f>SUMPRODUCT(COUNTIF(_xlfn.XLOOKUP(B711,BugList!A:A,BugList!P:P), "*SC*"))&gt;0</f>
        <v>0</v>
      </c>
      <c r="S711" t="str">
        <f>_xlfn.XLOOKUP(B711,BugList!A:A,BugList!W:W)</f>
        <v/>
      </c>
      <c r="T711">
        <f t="shared" si="79"/>
        <v>0</v>
      </c>
      <c r="U711">
        <f t="shared" si="80"/>
        <v>0</v>
      </c>
    </row>
    <row r="712" spans="1:21">
      <c r="A712" t="s">
        <v>2655</v>
      </c>
      <c r="B712">
        <v>88</v>
      </c>
      <c r="D712" t="s">
        <v>85</v>
      </c>
      <c r="E712" t="s">
        <v>85</v>
      </c>
      <c r="F712">
        <v>2</v>
      </c>
      <c r="G712">
        <f t="shared" si="76"/>
        <v>1.9417475728155338</v>
      </c>
      <c r="H712">
        <f t="shared" si="77"/>
        <v>1</v>
      </c>
      <c r="I712">
        <f t="shared" si="78"/>
        <v>0.94174757281553378</v>
      </c>
      <c r="J712" cm="1">
        <f t="array" ref="J712">INT(G712)+IF(100-SUM(INT(G$712:G$725))&gt;=RANK(I712,I$712:I$725)+COUNTIF(I$712:I712,I712)-1,1,0)</f>
        <v>2</v>
      </c>
      <c r="K712" t="str">
        <f>_xlfn.XLOOKUP(B712,BugList!A:A,BugList!H:H)</f>
        <v/>
      </c>
      <c r="L712" t="str">
        <f>IF(K712 = "","",_xlfn.XLOOKUP(B712, BugList!A:A,BugList!B:B,""))</f>
        <v/>
      </c>
      <c r="M712">
        <f>_xlfn.XLOOKUP(D712,BugList!C:C,BugList!N:N)</f>
        <v>4</v>
      </c>
      <c r="N712">
        <f>_xlfn.XLOOKUP(B712,BugList!A:A,BugList!R:R)</f>
        <v>4</v>
      </c>
      <c r="O712" t="b">
        <f>_xlfn.XLOOKUP(B712,BugList!A:A,BugList!L:L)</f>
        <v>0</v>
      </c>
      <c r="P712" t="b">
        <f t="shared" si="75"/>
        <v>0</v>
      </c>
      <c r="R712" t="b">
        <f>SUMPRODUCT(COUNTIF(_xlfn.XLOOKUP(B712,BugList!A:A,BugList!P:P), "*SC*"))&gt;0</f>
        <v>0</v>
      </c>
      <c r="S712" t="str">
        <f>_xlfn.XLOOKUP(B712,BugList!A:A,BugList!W:W)</f>
        <v/>
      </c>
      <c r="T712">
        <f t="shared" si="79"/>
        <v>8</v>
      </c>
      <c r="U712">
        <f t="shared" si="80"/>
        <v>8</v>
      </c>
    </row>
    <row r="713" spans="1:21">
      <c r="A713" t="s">
        <v>2655</v>
      </c>
      <c r="B713">
        <v>372</v>
      </c>
      <c r="D713" t="s">
        <v>88</v>
      </c>
      <c r="E713" t="s">
        <v>88</v>
      </c>
      <c r="F713">
        <v>5</v>
      </c>
      <c r="G713">
        <f t="shared" si="76"/>
        <v>4.8543689320388346</v>
      </c>
      <c r="H713">
        <f t="shared" si="77"/>
        <v>4</v>
      </c>
      <c r="I713">
        <f t="shared" si="78"/>
        <v>0.85436893203883457</v>
      </c>
      <c r="J713" cm="1">
        <f t="array" ref="J713">INT(G713)+IF(100-SUM(INT(G$712:G$725))&gt;=RANK(I713,I$712:I$725)+COUNTIF(I$712:I713,I713)-1,1,0)</f>
        <v>5</v>
      </c>
      <c r="K713" t="str">
        <f>_xlfn.XLOOKUP(B713,BugList!A:A,BugList!H:H)</f>
        <v/>
      </c>
      <c r="L713" t="str">
        <f>IF(K713 = "","",_xlfn.XLOOKUP(B713, BugList!A:A,BugList!B:B,""))</f>
        <v/>
      </c>
      <c r="M713">
        <f>_xlfn.XLOOKUP(D713,BugList!C:C,BugList!N:N)</f>
        <v>8</v>
      </c>
      <c r="N713">
        <f>_xlfn.XLOOKUP(B713,BugList!A:A,BugList!R:R)</f>
        <v>8</v>
      </c>
      <c r="O713" t="b">
        <f>_xlfn.XLOOKUP(B713,BugList!A:A,BugList!L:L)</f>
        <v>0</v>
      </c>
      <c r="P713" t="b">
        <f t="shared" si="75"/>
        <v>0</v>
      </c>
      <c r="R713" t="b">
        <f>SUMPRODUCT(COUNTIF(_xlfn.XLOOKUP(B713,BugList!A:A,BugList!P:P), "*SC*"))&gt;0</f>
        <v>0</v>
      </c>
      <c r="S713" t="str">
        <f>_xlfn.XLOOKUP(B713,BugList!A:A,BugList!W:W)</f>
        <v/>
      </c>
      <c r="T713">
        <f t="shared" si="79"/>
        <v>40</v>
      </c>
      <c r="U713">
        <f t="shared" si="80"/>
        <v>40</v>
      </c>
    </row>
    <row r="714" spans="1:21">
      <c r="A714" t="s">
        <v>2655</v>
      </c>
      <c r="B714">
        <v>513</v>
      </c>
      <c r="D714" t="s">
        <v>111</v>
      </c>
      <c r="E714" t="s">
        <v>111</v>
      </c>
      <c r="F714">
        <v>2</v>
      </c>
      <c r="G714">
        <f t="shared" si="76"/>
        <v>1.9417475728155338</v>
      </c>
      <c r="H714">
        <f t="shared" si="77"/>
        <v>1</v>
      </c>
      <c r="I714">
        <f t="shared" si="78"/>
        <v>0.94174757281553378</v>
      </c>
      <c r="J714" cm="1">
        <f t="array" ref="J714">INT(G714)+IF(100-SUM(INT(G$712:G$725))&gt;=RANK(I714,I$712:I$725)+COUNTIF(I$712:I714,I714)-1,1,0)</f>
        <v>2</v>
      </c>
      <c r="K714" t="str">
        <f>_xlfn.XLOOKUP(B714,BugList!A:A,BugList!H:H)</f>
        <v>*</v>
      </c>
      <c r="L714" t="str">
        <f>IF(K714 = "","",_xlfn.XLOOKUP(B714, BugList!A:A,BugList!B:B,""))</f>
        <v>Ephemeroptera</v>
      </c>
      <c r="M714">
        <f>_xlfn.XLOOKUP(D714,BugList!C:C,BugList!N:N)</f>
        <v>4</v>
      </c>
      <c r="N714">
        <f>_xlfn.XLOOKUP(B714,BugList!A:A,BugList!R:R)</f>
        <v>4</v>
      </c>
      <c r="O714" t="b">
        <f>_xlfn.XLOOKUP(B714,BugList!A:A,BugList!L:L)</f>
        <v>1</v>
      </c>
      <c r="P714" t="b">
        <f t="shared" si="75"/>
        <v>1</v>
      </c>
      <c r="R714" t="b">
        <f>SUMPRODUCT(COUNTIF(_xlfn.XLOOKUP(B714,BugList!A:A,BugList!P:P), "*SC*"))&gt;0</f>
        <v>1</v>
      </c>
      <c r="S714" t="str">
        <f>_xlfn.XLOOKUP(B714,BugList!A:A,BugList!W:W)</f>
        <v/>
      </c>
      <c r="T714">
        <f t="shared" si="79"/>
        <v>8</v>
      </c>
      <c r="U714">
        <f t="shared" si="80"/>
        <v>8</v>
      </c>
    </row>
    <row r="715" spans="1:21">
      <c r="A715" t="s">
        <v>2655</v>
      </c>
      <c r="B715">
        <v>602</v>
      </c>
      <c r="D715" t="s">
        <v>97</v>
      </c>
      <c r="E715" t="s">
        <v>97</v>
      </c>
      <c r="F715">
        <v>7</v>
      </c>
      <c r="G715">
        <f t="shared" si="76"/>
        <v>6.7961165048543686</v>
      </c>
      <c r="H715">
        <f t="shared" si="77"/>
        <v>6</v>
      </c>
      <c r="I715">
        <f t="shared" si="78"/>
        <v>0.79611650485436858</v>
      </c>
      <c r="J715" cm="1">
        <f t="array" ref="J715">INT(G715)+IF(100-SUM(INT(G$712:G$725))&gt;=RANK(I715,I$712:I$725)+COUNTIF(I$712:I715,I715)-1,1,0)</f>
        <v>7</v>
      </c>
      <c r="K715" t="str">
        <f>_xlfn.XLOOKUP(B715,BugList!A:A,BugList!H:H)</f>
        <v/>
      </c>
      <c r="L715" t="str">
        <f>IF(K715 = "","",_xlfn.XLOOKUP(B715, BugList!A:A,BugList!B:B,""))</f>
        <v/>
      </c>
      <c r="M715">
        <f>_xlfn.XLOOKUP(D715,BugList!C:C,BugList!N:N)</f>
        <v>9</v>
      </c>
      <c r="N715">
        <f>_xlfn.XLOOKUP(B715,BugList!A:A,BugList!R:R)</f>
        <v>9</v>
      </c>
      <c r="O715" t="b">
        <f>_xlfn.XLOOKUP(B715,BugList!A:A,BugList!L:L)</f>
        <v>1</v>
      </c>
      <c r="P715" t="b">
        <f t="shared" si="75"/>
        <v>0</v>
      </c>
      <c r="R715" t="b">
        <f>SUMPRODUCT(COUNTIF(_xlfn.XLOOKUP(B715,BugList!A:A,BugList!P:P), "*SC*"))&gt;0</f>
        <v>0</v>
      </c>
      <c r="S715" t="str">
        <f>_xlfn.XLOOKUP(B715,BugList!A:A,BugList!W:W)</f>
        <v/>
      </c>
      <c r="T715">
        <f t="shared" si="79"/>
        <v>63</v>
      </c>
      <c r="U715">
        <f t="shared" si="80"/>
        <v>63</v>
      </c>
    </row>
    <row r="716" spans="1:21">
      <c r="A716" t="s">
        <v>2655</v>
      </c>
      <c r="B716">
        <v>794</v>
      </c>
      <c r="D716" t="s">
        <v>89</v>
      </c>
      <c r="E716" t="s">
        <v>89</v>
      </c>
      <c r="F716">
        <v>2</v>
      </c>
      <c r="G716">
        <f t="shared" si="76"/>
        <v>1.9417475728155338</v>
      </c>
      <c r="H716">
        <f t="shared" si="77"/>
        <v>1</v>
      </c>
      <c r="I716">
        <f t="shared" si="78"/>
        <v>0.94174757281553378</v>
      </c>
      <c r="J716" cm="1">
        <f t="array" ref="J716">INT(G716)+IF(100-SUM(INT(G$712:G$725))&gt;=RANK(I716,I$712:I$725)+COUNTIF(I$712:I716,I716)-1,1,0)</f>
        <v>2</v>
      </c>
      <c r="K716" t="str">
        <f>_xlfn.XLOOKUP(B716,BugList!A:A,BugList!H:H)</f>
        <v>*</v>
      </c>
      <c r="L716" t="str">
        <f>IF(K716 = "","",_xlfn.XLOOKUP(B716, BugList!A:A,BugList!B:B,""))</f>
        <v>Trichoptera</v>
      </c>
      <c r="M716">
        <f>_xlfn.XLOOKUP(D716,BugList!C:C,BugList!N:N)</f>
        <v>4</v>
      </c>
      <c r="N716">
        <f>_xlfn.XLOOKUP(B716,BugList!A:A,BugList!R:R)</f>
        <v>4</v>
      </c>
      <c r="O716" t="b">
        <f>_xlfn.XLOOKUP(B716,BugList!A:A,BugList!L:L)</f>
        <v>1</v>
      </c>
      <c r="P716" t="b">
        <f t="shared" si="75"/>
        <v>0</v>
      </c>
      <c r="R716" t="b">
        <f>SUMPRODUCT(COUNTIF(_xlfn.XLOOKUP(B716,BugList!A:A,BugList!P:P), "*SC*"))&gt;0</f>
        <v>0</v>
      </c>
      <c r="S716" t="str">
        <f>_xlfn.XLOOKUP(B716,BugList!A:A,BugList!W:W)</f>
        <v/>
      </c>
      <c r="T716">
        <f t="shared" si="79"/>
        <v>8</v>
      </c>
      <c r="U716">
        <f t="shared" si="80"/>
        <v>8</v>
      </c>
    </row>
    <row r="717" spans="1:21">
      <c r="A717" t="s">
        <v>2655</v>
      </c>
      <c r="B717">
        <v>837</v>
      </c>
      <c r="D717" t="s">
        <v>107</v>
      </c>
      <c r="E717" t="s">
        <v>107</v>
      </c>
      <c r="F717">
        <v>10</v>
      </c>
      <c r="G717">
        <f t="shared" si="76"/>
        <v>9.7087378640776691</v>
      </c>
      <c r="H717">
        <f t="shared" si="77"/>
        <v>9</v>
      </c>
      <c r="I717">
        <f t="shared" si="78"/>
        <v>0.70873786407766914</v>
      </c>
      <c r="J717" cm="1">
        <f t="array" ref="J717">INT(G717)+IF(100-SUM(INT(G$712:G$725))&gt;=RANK(I717,I$712:I$725)+COUNTIF(I$712:I717,I717)-1,1,0)</f>
        <v>9</v>
      </c>
      <c r="K717" t="str">
        <f>_xlfn.XLOOKUP(B717,BugList!A:A,BugList!H:H)</f>
        <v>*</v>
      </c>
      <c r="L717" t="str">
        <f>IF(K717 = "","",_xlfn.XLOOKUP(B717, BugList!A:A,BugList!B:B,""))</f>
        <v>Trichoptera</v>
      </c>
      <c r="M717">
        <f>_xlfn.XLOOKUP(D717,BugList!C:C,BugList!N:N)</f>
        <v>3</v>
      </c>
      <c r="N717">
        <f>_xlfn.XLOOKUP(B717,BugList!A:A,BugList!R:R)</f>
        <v>3</v>
      </c>
      <c r="O717" t="b">
        <f>_xlfn.XLOOKUP(B717,BugList!A:A,BugList!L:L)</f>
        <v>1</v>
      </c>
      <c r="P717" t="b">
        <f t="shared" si="75"/>
        <v>1</v>
      </c>
      <c r="R717" t="b">
        <f>SUMPRODUCT(COUNTIF(_xlfn.XLOOKUP(B717,BugList!A:A,BugList!P:P), "*SC*"))&gt;0</f>
        <v>0</v>
      </c>
      <c r="S717" t="str">
        <f>_xlfn.XLOOKUP(B717,BugList!A:A,BugList!W:W)</f>
        <v/>
      </c>
      <c r="T717">
        <f t="shared" si="79"/>
        <v>27</v>
      </c>
      <c r="U717">
        <f t="shared" si="80"/>
        <v>27</v>
      </c>
    </row>
    <row r="718" spans="1:21">
      <c r="A718" t="s">
        <v>2655</v>
      </c>
      <c r="B718">
        <v>935</v>
      </c>
      <c r="D718" t="s">
        <v>98</v>
      </c>
      <c r="E718" t="s">
        <v>98</v>
      </c>
      <c r="F718">
        <v>6</v>
      </c>
      <c r="G718">
        <f t="shared" si="76"/>
        <v>5.825242718446602</v>
      </c>
      <c r="H718">
        <f t="shared" si="77"/>
        <v>5</v>
      </c>
      <c r="I718">
        <f t="shared" si="78"/>
        <v>0.82524271844660202</v>
      </c>
      <c r="J718" cm="1">
        <f t="array" ref="J718">INT(G718)+IF(100-SUM(INT(G$712:G$725))&gt;=RANK(I718,I$712:I$725)+COUNTIF(I$712:I718,I718)-1,1,0)</f>
        <v>6</v>
      </c>
      <c r="K718" t="str">
        <f>_xlfn.XLOOKUP(B718,BugList!A:A,BugList!H:H)</f>
        <v/>
      </c>
      <c r="L718" t="str">
        <f>IF(K718 = "","",_xlfn.XLOOKUP(B718, BugList!A:A,BugList!B:B,""))</f>
        <v/>
      </c>
      <c r="M718">
        <f>_xlfn.XLOOKUP(D718,BugList!C:C,BugList!N:N)</f>
        <v>4</v>
      </c>
      <c r="N718">
        <f>_xlfn.XLOOKUP(B718,BugList!A:A,BugList!R:R)</f>
        <v>4</v>
      </c>
      <c r="O718" t="b">
        <f>_xlfn.XLOOKUP(B718,BugList!A:A,BugList!L:L)</f>
        <v>1</v>
      </c>
      <c r="P718" t="b">
        <f t="shared" si="75"/>
        <v>0</v>
      </c>
      <c r="R718" t="b">
        <f>SUMPRODUCT(COUNTIF(_xlfn.XLOOKUP(B718,BugList!A:A,BugList!P:P), "*SC*"))&gt;0</f>
        <v>1</v>
      </c>
      <c r="S718" t="str">
        <f>_xlfn.XLOOKUP(B718,BugList!A:A,BugList!W:W)</f>
        <v/>
      </c>
      <c r="T718">
        <f t="shared" si="79"/>
        <v>24</v>
      </c>
      <c r="U718">
        <f t="shared" si="80"/>
        <v>24</v>
      </c>
    </row>
    <row r="719" spans="1:21">
      <c r="A719" t="s">
        <v>2655</v>
      </c>
      <c r="B719">
        <v>1002</v>
      </c>
      <c r="D719" t="s">
        <v>100</v>
      </c>
      <c r="E719" t="s">
        <v>100</v>
      </c>
      <c r="F719">
        <v>62</v>
      </c>
      <c r="G719">
        <f t="shared" si="76"/>
        <v>60.194174757281552</v>
      </c>
      <c r="H719">
        <f t="shared" si="77"/>
        <v>60</v>
      </c>
      <c r="I719">
        <f t="shared" si="78"/>
        <v>0.19417475728155154</v>
      </c>
      <c r="J719" cm="1">
        <f t="array" ref="J719">INT(G719)+IF(100-SUM(INT(G$712:G$725))&gt;=RANK(I719,I$712:I$725)+COUNTIF(I$712:I719,I719)-1,1,0)</f>
        <v>60</v>
      </c>
      <c r="K719" t="str">
        <f>_xlfn.XLOOKUP(B719,BugList!A:A,BugList!H:H)</f>
        <v/>
      </c>
      <c r="L719" t="str">
        <f>IF(K719 = "","",_xlfn.XLOOKUP(B719, BugList!A:A,BugList!B:B,""))</f>
        <v/>
      </c>
      <c r="M719">
        <f>_xlfn.XLOOKUP(D719,BugList!C:C,BugList!N:N)</f>
        <v>4</v>
      </c>
      <c r="N719">
        <f>_xlfn.XLOOKUP(B719,BugList!A:A,BugList!R:R)</f>
        <v>4</v>
      </c>
      <c r="O719" t="b">
        <f>_xlfn.XLOOKUP(B719,BugList!A:A,BugList!L:L)</f>
        <v>1</v>
      </c>
      <c r="P719" t="b">
        <f t="shared" si="75"/>
        <v>0</v>
      </c>
      <c r="R719" t="b">
        <f>SUMPRODUCT(COUNTIF(_xlfn.XLOOKUP(B719,BugList!A:A,BugList!P:P), "*SC*"))&gt;0</f>
        <v>1</v>
      </c>
      <c r="S719" t="str">
        <f>_xlfn.XLOOKUP(B719,BugList!A:A,BugList!W:W)</f>
        <v/>
      </c>
      <c r="T719">
        <f t="shared" si="79"/>
        <v>240</v>
      </c>
      <c r="U719">
        <f t="shared" si="80"/>
        <v>240</v>
      </c>
    </row>
    <row r="720" spans="1:21">
      <c r="A720" t="s">
        <v>2655</v>
      </c>
      <c r="B720">
        <v>1561</v>
      </c>
      <c r="D720" t="s">
        <v>2342</v>
      </c>
      <c r="E720" t="s">
        <v>2342</v>
      </c>
      <c r="F720">
        <v>1</v>
      </c>
      <c r="G720">
        <f t="shared" si="76"/>
        <v>0.97087378640776689</v>
      </c>
      <c r="H720">
        <f t="shared" si="77"/>
        <v>0</v>
      </c>
      <c r="I720">
        <f t="shared" si="78"/>
        <v>0.97087378640776689</v>
      </c>
      <c r="J720" cm="1">
        <f t="array" ref="J720">INT(G720)+IF(100-SUM(INT(G$712:G$725))&gt;=RANK(I720,I$712:I$725)+COUNTIF(I$712:I720,I720)-1,1,0)</f>
        <v>1</v>
      </c>
      <c r="K720" t="str">
        <f>_xlfn.XLOOKUP(B720,BugList!A:A,BugList!H:H)</f>
        <v/>
      </c>
      <c r="L720" t="str">
        <f>IF(K720 = "","",_xlfn.XLOOKUP(B720, BugList!A:A,BugList!B:B,""))</f>
        <v/>
      </c>
      <c r="M720">
        <f>_xlfn.XLOOKUP(D720,BugList!C:C,BugList!N:N)</f>
        <v>6</v>
      </c>
      <c r="N720">
        <f>_xlfn.XLOOKUP(B720,BugList!A:A,BugList!R:R)</f>
        <v>6</v>
      </c>
      <c r="O720" t="b">
        <f>_xlfn.XLOOKUP(B720,BugList!A:A,BugList!L:L)</f>
        <v>0</v>
      </c>
      <c r="P720" t="b">
        <f t="shared" si="75"/>
        <v>0</v>
      </c>
      <c r="R720" t="b">
        <f>SUMPRODUCT(COUNTIF(_xlfn.XLOOKUP(B720,BugList!A:A,BugList!P:P), "*SC*"))&gt;0</f>
        <v>1</v>
      </c>
      <c r="S720" t="str">
        <f>_xlfn.XLOOKUP(B720,BugList!A:A,BugList!W:W)</f>
        <v/>
      </c>
      <c r="T720">
        <f t="shared" si="79"/>
        <v>6</v>
      </c>
      <c r="U720">
        <f t="shared" si="80"/>
        <v>6</v>
      </c>
    </row>
    <row r="721" spans="1:21">
      <c r="A721" t="s">
        <v>2655</v>
      </c>
      <c r="B721">
        <v>1578</v>
      </c>
      <c r="D721" t="s">
        <v>102</v>
      </c>
      <c r="E721" t="s">
        <v>102</v>
      </c>
      <c r="F721">
        <v>1</v>
      </c>
      <c r="G721">
        <f t="shared" si="76"/>
        <v>0.97087378640776689</v>
      </c>
      <c r="H721">
        <f t="shared" si="77"/>
        <v>0</v>
      </c>
      <c r="I721">
        <f t="shared" si="78"/>
        <v>0.97087378640776689</v>
      </c>
      <c r="J721" cm="1">
        <f t="array" ref="J721">INT(G721)+IF(100-SUM(INT(G$712:G$725))&gt;=RANK(I721,I$712:I$725)+COUNTIF(I$712:I721,I721)-1,1,0)</f>
        <v>1</v>
      </c>
      <c r="K721" t="str">
        <f>_xlfn.XLOOKUP(B721,BugList!A:A,BugList!H:H)</f>
        <v/>
      </c>
      <c r="L721" t="str">
        <f>IF(K721 = "","",_xlfn.XLOOKUP(B721, BugList!A:A,BugList!B:B,""))</f>
        <v/>
      </c>
      <c r="M721">
        <f>_xlfn.XLOOKUP(D721,BugList!C:C,BugList!N:N)</f>
        <v>7</v>
      </c>
      <c r="N721">
        <f>_xlfn.XLOOKUP(B721,BugList!A:A,BugList!R:R)</f>
        <v>7</v>
      </c>
      <c r="O721" t="b">
        <f>_xlfn.XLOOKUP(B721,BugList!A:A,BugList!L:L)</f>
        <v>0</v>
      </c>
      <c r="P721" t="b">
        <f t="shared" si="75"/>
        <v>0</v>
      </c>
      <c r="R721" t="b">
        <f>SUMPRODUCT(COUNTIF(_xlfn.XLOOKUP(B721,BugList!A:A,BugList!P:P), "*SC*"))&gt;0</f>
        <v>0</v>
      </c>
      <c r="S721" t="str">
        <f>_xlfn.XLOOKUP(B721,BugList!A:A,BugList!W:W)</f>
        <v/>
      </c>
      <c r="T721">
        <f t="shared" si="79"/>
        <v>7</v>
      </c>
      <c r="U721">
        <f t="shared" si="80"/>
        <v>7</v>
      </c>
    </row>
    <row r="722" spans="1:21">
      <c r="A722" t="s">
        <v>2655</v>
      </c>
      <c r="B722">
        <v>1582</v>
      </c>
      <c r="D722" t="s">
        <v>121</v>
      </c>
      <c r="E722" t="s">
        <v>121</v>
      </c>
      <c r="F722">
        <v>1</v>
      </c>
      <c r="G722">
        <f t="shared" si="76"/>
        <v>0.97087378640776689</v>
      </c>
      <c r="H722">
        <f t="shared" si="77"/>
        <v>0</v>
      </c>
      <c r="I722">
        <f t="shared" si="78"/>
        <v>0.97087378640776689</v>
      </c>
      <c r="J722" cm="1">
        <f t="array" ref="J722">INT(G722)+IF(100-SUM(INT(G$712:G$725))&gt;=RANK(I722,I$712:I$725)+COUNTIF(I$712:I722,I722)-1,1,0)</f>
        <v>1</v>
      </c>
      <c r="K722" t="str">
        <f>_xlfn.XLOOKUP(B722,BugList!A:A,BugList!H:H)</f>
        <v/>
      </c>
      <c r="L722" t="str">
        <f>IF(K722 = "","",_xlfn.XLOOKUP(B722, BugList!A:A,BugList!B:B,""))</f>
        <v/>
      </c>
      <c r="M722">
        <f>_xlfn.XLOOKUP(D722,BugList!C:C,BugList!N:N)</f>
        <v>6</v>
      </c>
      <c r="N722">
        <f>_xlfn.XLOOKUP(B722,BugList!A:A,BugList!R:R)</f>
        <v>6</v>
      </c>
      <c r="O722" t="b">
        <f>_xlfn.XLOOKUP(B722,BugList!A:A,BugList!L:L)</f>
        <v>0</v>
      </c>
      <c r="P722" t="b">
        <f t="shared" si="75"/>
        <v>0</v>
      </c>
      <c r="R722" t="b">
        <f>SUMPRODUCT(COUNTIF(_xlfn.XLOOKUP(B722,BugList!A:A,BugList!P:P), "*SC*"))&gt;0</f>
        <v>1</v>
      </c>
      <c r="S722" t="str">
        <f>_xlfn.XLOOKUP(B722,BugList!A:A,BugList!W:W)</f>
        <v/>
      </c>
      <c r="T722">
        <f t="shared" si="79"/>
        <v>6</v>
      </c>
      <c r="U722">
        <f t="shared" si="80"/>
        <v>6</v>
      </c>
    </row>
    <row r="723" spans="1:21">
      <c r="A723" t="s">
        <v>2655</v>
      </c>
      <c r="B723">
        <v>1614</v>
      </c>
      <c r="D723" t="s">
        <v>92</v>
      </c>
      <c r="E723" t="s">
        <v>92</v>
      </c>
      <c r="F723">
        <v>1</v>
      </c>
      <c r="G723">
        <f t="shared" si="76"/>
        <v>0.97087378640776689</v>
      </c>
      <c r="H723">
        <f t="shared" si="77"/>
        <v>0</v>
      </c>
      <c r="I723">
        <f t="shared" si="78"/>
        <v>0.97087378640776689</v>
      </c>
      <c r="J723" cm="1">
        <f t="array" ref="J723">INT(G723)+IF(100-SUM(INT(G$712:G$725))&gt;=RANK(I723,I$712:I$725)+COUNTIF(I$712:I723,I723)-1,1,0)</f>
        <v>1</v>
      </c>
      <c r="K723" t="str">
        <f>_xlfn.XLOOKUP(B723,BugList!A:A,BugList!H:H)</f>
        <v/>
      </c>
      <c r="L723" t="str">
        <f>IF(K723 = "","",_xlfn.XLOOKUP(B723, BugList!A:A,BugList!B:B,""))</f>
        <v/>
      </c>
      <c r="M723">
        <f>_xlfn.XLOOKUP(D723,BugList!C:C,BugList!N:N)</f>
        <v>8</v>
      </c>
      <c r="N723">
        <f>_xlfn.XLOOKUP(B723,BugList!A:A,BugList!R:R)</f>
        <v>8</v>
      </c>
      <c r="O723" t="b">
        <f>_xlfn.XLOOKUP(B723,BugList!A:A,BugList!L:L)</f>
        <v>0</v>
      </c>
      <c r="P723" t="b">
        <f t="shared" si="75"/>
        <v>0</v>
      </c>
      <c r="R723" t="b">
        <f>SUMPRODUCT(COUNTIF(_xlfn.XLOOKUP(B723,BugList!A:A,BugList!P:P), "*SC*"))&gt;0</f>
        <v>0</v>
      </c>
      <c r="S723" t="str">
        <f>_xlfn.XLOOKUP(B723,BugList!A:A,BugList!W:W)</f>
        <v/>
      </c>
      <c r="T723">
        <f t="shared" si="79"/>
        <v>8</v>
      </c>
      <c r="U723">
        <f t="shared" si="80"/>
        <v>8</v>
      </c>
    </row>
    <row r="724" spans="1:21">
      <c r="A724" t="s">
        <v>2655</v>
      </c>
      <c r="B724">
        <v>1629</v>
      </c>
      <c r="D724" t="s">
        <v>93</v>
      </c>
      <c r="E724" t="s">
        <v>93</v>
      </c>
      <c r="F724">
        <v>1</v>
      </c>
      <c r="G724">
        <f t="shared" si="76"/>
        <v>0.97087378640776689</v>
      </c>
      <c r="H724">
        <f t="shared" si="77"/>
        <v>0</v>
      </c>
      <c r="I724">
        <f t="shared" si="78"/>
        <v>0.97087378640776689</v>
      </c>
      <c r="J724" cm="1">
        <f t="array" ref="J724">INT(G724)+IF(100-SUM(INT(G$712:G$725))&gt;=RANK(I724,I$712:I$725)+COUNTIF(I$712:I724,I724)-1,1,0)</f>
        <v>1</v>
      </c>
      <c r="K724" t="str">
        <f>_xlfn.XLOOKUP(B724,BugList!A:A,BugList!H:H)</f>
        <v/>
      </c>
      <c r="L724" t="str">
        <f>IF(K724 = "","",_xlfn.XLOOKUP(B724, BugList!A:A,BugList!B:B,""))</f>
        <v/>
      </c>
      <c r="M724">
        <f>_xlfn.XLOOKUP(D724,BugList!C:C,BugList!N:N)</f>
        <v>8</v>
      </c>
      <c r="N724">
        <f>_xlfn.XLOOKUP(B724,BugList!A:A,BugList!R:R)</f>
        <v>8</v>
      </c>
      <c r="O724" t="b">
        <f>_xlfn.XLOOKUP(B724,BugList!A:A,BugList!L:L)</f>
        <v>0</v>
      </c>
      <c r="P724" t="b">
        <f t="shared" si="75"/>
        <v>0</v>
      </c>
      <c r="R724" t="b">
        <f>SUMPRODUCT(COUNTIF(_xlfn.XLOOKUP(B724,BugList!A:A,BugList!P:P), "*SC*"))&gt;0</f>
        <v>0</v>
      </c>
      <c r="S724" t="str">
        <f>_xlfn.XLOOKUP(B724,BugList!A:A,BugList!W:W)</f>
        <v/>
      </c>
      <c r="T724">
        <f t="shared" si="79"/>
        <v>8</v>
      </c>
      <c r="U724">
        <f t="shared" si="80"/>
        <v>8</v>
      </c>
    </row>
    <row r="725" spans="1:21">
      <c r="A725" t="s">
        <v>2655</v>
      </c>
      <c r="B725">
        <v>1678</v>
      </c>
      <c r="D725" t="s">
        <v>166</v>
      </c>
      <c r="E725" t="s">
        <v>166</v>
      </c>
      <c r="F725">
        <v>2</v>
      </c>
      <c r="G725">
        <f t="shared" si="76"/>
        <v>1.9417475728155338</v>
      </c>
      <c r="H725">
        <f t="shared" si="77"/>
        <v>1</v>
      </c>
      <c r="I725">
        <f t="shared" si="78"/>
        <v>0.94174757281553378</v>
      </c>
      <c r="J725" cm="1">
        <f t="array" ref="J725">INT(G725)+IF(100-SUM(INT(G$712:G$725))&gt;=RANK(I725,I$712:I$725)+COUNTIF(I$712:I725,I725)-1,1,0)</f>
        <v>2</v>
      </c>
      <c r="K725" t="str">
        <f>_xlfn.XLOOKUP(B725,BugList!A:A,BugList!H:H)</f>
        <v/>
      </c>
      <c r="L725" t="str">
        <f>IF(K725 = "","",_xlfn.XLOOKUP(B725, BugList!A:A,BugList!B:B,""))</f>
        <v/>
      </c>
      <c r="M725">
        <f>_xlfn.XLOOKUP(D725,BugList!C:C,BugList!N:N)</f>
        <v>6</v>
      </c>
      <c r="N725">
        <f>_xlfn.XLOOKUP(B725,BugList!A:A,BugList!R:R)</f>
        <v>6</v>
      </c>
      <c r="O725" t="b">
        <f>_xlfn.XLOOKUP(B725,BugList!A:A,BugList!L:L)</f>
        <v>0</v>
      </c>
      <c r="P725" t="b">
        <f t="shared" si="75"/>
        <v>0</v>
      </c>
      <c r="R725" t="b">
        <f>SUMPRODUCT(COUNTIF(_xlfn.XLOOKUP(B725,BugList!A:A,BugList!P:P), "*SC*"))&gt;0</f>
        <v>1</v>
      </c>
      <c r="S725" t="str">
        <f>_xlfn.XLOOKUP(B725,BugList!A:A,BugList!W:W)</f>
        <v/>
      </c>
      <c r="T725">
        <f t="shared" si="79"/>
        <v>12</v>
      </c>
      <c r="U725">
        <f t="shared" si="80"/>
        <v>12</v>
      </c>
    </row>
    <row r="726" spans="1:21">
      <c r="A726" t="s">
        <v>2656</v>
      </c>
      <c r="B726">
        <v>63</v>
      </c>
      <c r="D726" t="s">
        <v>84</v>
      </c>
      <c r="E726" t="s">
        <v>84</v>
      </c>
      <c r="F726">
        <v>4</v>
      </c>
      <c r="G726">
        <f t="shared" si="76"/>
        <v>2.7210884353741496</v>
      </c>
      <c r="H726">
        <f t="shared" si="77"/>
        <v>2</v>
      </c>
      <c r="I726">
        <f t="shared" si="78"/>
        <v>0.72108843537414957</v>
      </c>
      <c r="J726" cm="1">
        <f t="array" ref="J726">INT(G726)+IF(100-SUM(INT(G$726:G$735))&gt;=RANK(I726,I$726:I$735)+COUNTIF(I$726:I726,I726)-1,1,0)</f>
        <v>3</v>
      </c>
      <c r="K726" t="str">
        <f>_xlfn.XLOOKUP(B726,BugList!A:A,BugList!H:H)</f>
        <v/>
      </c>
      <c r="L726" t="str">
        <f>IF(K726 = "","",_xlfn.XLOOKUP(B726, BugList!A:A,BugList!B:B,""))</f>
        <v/>
      </c>
      <c r="M726">
        <f>_xlfn.XLOOKUP(D726,BugList!C:C,BugList!N:N)</f>
        <v>8</v>
      </c>
      <c r="N726">
        <f>_xlfn.XLOOKUP(B726,BugList!A:A,BugList!R:R)</f>
        <v>8</v>
      </c>
      <c r="O726" t="b">
        <f>_xlfn.XLOOKUP(B726,BugList!A:A,BugList!L:L)</f>
        <v>0</v>
      </c>
      <c r="P726" t="b">
        <f t="shared" si="75"/>
        <v>0</v>
      </c>
      <c r="R726" t="b">
        <f>SUMPRODUCT(COUNTIF(_xlfn.XLOOKUP(B726,BugList!A:A,BugList!P:P), "*SC*"))&gt;0</f>
        <v>0</v>
      </c>
      <c r="S726" t="str">
        <f>_xlfn.XLOOKUP(B726,BugList!A:A,BugList!W:W)</f>
        <v/>
      </c>
      <c r="T726">
        <f t="shared" si="79"/>
        <v>24</v>
      </c>
      <c r="U726">
        <f t="shared" si="80"/>
        <v>24</v>
      </c>
    </row>
    <row r="727" spans="1:21">
      <c r="A727" t="s">
        <v>2656</v>
      </c>
      <c r="B727">
        <v>88</v>
      </c>
      <c r="D727" t="s">
        <v>85</v>
      </c>
      <c r="E727" t="s">
        <v>85</v>
      </c>
      <c r="F727">
        <v>34</v>
      </c>
      <c r="G727">
        <f t="shared" si="76"/>
        <v>23.129251700680271</v>
      </c>
      <c r="H727">
        <f t="shared" si="77"/>
        <v>23</v>
      </c>
      <c r="I727">
        <f t="shared" si="78"/>
        <v>0.12925170068027114</v>
      </c>
      <c r="J727" cm="1">
        <f t="array" ref="J727">INT(G727)+IF(100-SUM(INT(G$726:G$735))&gt;=RANK(I727,I$726:I$735)+COUNTIF(I$726:I727,I727)-1,1,0)</f>
        <v>23</v>
      </c>
      <c r="K727" t="str">
        <f>_xlfn.XLOOKUP(B727,BugList!A:A,BugList!H:H)</f>
        <v/>
      </c>
      <c r="L727" t="str">
        <f>IF(K727 = "","",_xlfn.XLOOKUP(B727, BugList!A:A,BugList!B:B,""))</f>
        <v/>
      </c>
      <c r="M727">
        <f>_xlfn.XLOOKUP(D727,BugList!C:C,BugList!N:N)</f>
        <v>4</v>
      </c>
      <c r="N727">
        <f>_xlfn.XLOOKUP(B727,BugList!A:A,BugList!R:R)</f>
        <v>4</v>
      </c>
      <c r="O727" t="b">
        <f>_xlfn.XLOOKUP(B727,BugList!A:A,BugList!L:L)</f>
        <v>0</v>
      </c>
      <c r="P727" t="b">
        <f t="shared" si="75"/>
        <v>0</v>
      </c>
      <c r="R727" t="b">
        <f>SUMPRODUCT(COUNTIF(_xlfn.XLOOKUP(B727,BugList!A:A,BugList!P:P), "*SC*"))&gt;0</f>
        <v>0</v>
      </c>
      <c r="S727" t="str">
        <f>_xlfn.XLOOKUP(B727,BugList!A:A,BugList!W:W)</f>
        <v/>
      </c>
      <c r="T727">
        <f t="shared" si="79"/>
        <v>92</v>
      </c>
      <c r="U727">
        <f t="shared" si="80"/>
        <v>92</v>
      </c>
    </row>
    <row r="728" spans="1:21">
      <c r="A728" t="s">
        <v>2656</v>
      </c>
      <c r="B728">
        <v>99</v>
      </c>
      <c r="D728" t="s">
        <v>169</v>
      </c>
      <c r="E728" t="s">
        <v>169</v>
      </c>
      <c r="F728">
        <v>1</v>
      </c>
      <c r="G728">
        <f t="shared" si="76"/>
        <v>0.68027210884353739</v>
      </c>
      <c r="H728">
        <f t="shared" si="77"/>
        <v>0</v>
      </c>
      <c r="I728">
        <f t="shared" si="78"/>
        <v>0.68027210884353739</v>
      </c>
      <c r="J728" cm="1">
        <f t="array" ref="J728">INT(G728)+IF(100-SUM(INT(G$726:G$735))&gt;=RANK(I728,I$726:I$735)+COUNTIF(I$726:I728,I728)-1,1,0)</f>
        <v>1</v>
      </c>
      <c r="K728" t="str">
        <f>_xlfn.XLOOKUP(B728,BugList!A:A,BugList!H:H)</f>
        <v/>
      </c>
      <c r="L728" t="str">
        <f>IF(K728 = "","",_xlfn.XLOOKUP(B728, BugList!A:A,BugList!B:B,""))</f>
        <v/>
      </c>
      <c r="M728">
        <f>_xlfn.XLOOKUP(D728,BugList!C:C,BugList!N:N)</f>
        <v>5</v>
      </c>
      <c r="N728">
        <f>_xlfn.XLOOKUP(B728,BugList!A:A,BugList!R:R)</f>
        <v>5</v>
      </c>
      <c r="O728" t="b">
        <f>_xlfn.XLOOKUP(B728,BugList!A:A,BugList!L:L)</f>
        <v>0</v>
      </c>
      <c r="P728" t="b">
        <f t="shared" si="75"/>
        <v>0</v>
      </c>
      <c r="R728" t="b">
        <f>SUMPRODUCT(COUNTIF(_xlfn.XLOOKUP(B728,BugList!A:A,BugList!P:P), "*SC*"))&gt;0</f>
        <v>0</v>
      </c>
      <c r="S728" t="str">
        <f>_xlfn.XLOOKUP(B728,BugList!A:A,BugList!W:W)</f>
        <v/>
      </c>
      <c r="T728">
        <f t="shared" si="79"/>
        <v>5</v>
      </c>
      <c r="U728">
        <f t="shared" si="80"/>
        <v>5</v>
      </c>
    </row>
    <row r="729" spans="1:21">
      <c r="A729" t="s">
        <v>2656</v>
      </c>
      <c r="B729">
        <v>372</v>
      </c>
      <c r="D729" t="s">
        <v>88</v>
      </c>
      <c r="E729" t="s">
        <v>88</v>
      </c>
      <c r="F729">
        <v>2</v>
      </c>
      <c r="G729">
        <f t="shared" si="76"/>
        <v>1.3605442176870748</v>
      </c>
      <c r="H729">
        <f t="shared" si="77"/>
        <v>1</v>
      </c>
      <c r="I729">
        <f t="shared" si="78"/>
        <v>0.36054421768707479</v>
      </c>
      <c r="J729" cm="1">
        <f t="array" ref="J729">INT(G729)+IF(100-SUM(INT(G$726:G$735))&gt;=RANK(I729,I$726:I$735)+COUNTIF(I$726:I729,I729)-1,1,0)</f>
        <v>1</v>
      </c>
      <c r="K729" t="str">
        <f>_xlfn.XLOOKUP(B729,BugList!A:A,BugList!H:H)</f>
        <v/>
      </c>
      <c r="L729" t="str">
        <f>IF(K729 = "","",_xlfn.XLOOKUP(B729, BugList!A:A,BugList!B:B,""))</f>
        <v/>
      </c>
      <c r="M729">
        <f>_xlfn.XLOOKUP(D729,BugList!C:C,BugList!N:N)</f>
        <v>8</v>
      </c>
      <c r="N729">
        <f>_xlfn.XLOOKUP(B729,BugList!A:A,BugList!R:R)</f>
        <v>8</v>
      </c>
      <c r="O729" t="b">
        <f>_xlfn.XLOOKUP(B729,BugList!A:A,BugList!L:L)</f>
        <v>0</v>
      </c>
      <c r="P729" t="b">
        <f t="shared" si="75"/>
        <v>0</v>
      </c>
      <c r="R729" t="b">
        <f>SUMPRODUCT(COUNTIF(_xlfn.XLOOKUP(B729,BugList!A:A,BugList!P:P), "*SC*"))&gt;0</f>
        <v>0</v>
      </c>
      <c r="S729" t="str">
        <f>_xlfn.XLOOKUP(B729,BugList!A:A,BugList!W:W)</f>
        <v/>
      </c>
      <c r="T729">
        <f t="shared" si="79"/>
        <v>8</v>
      </c>
      <c r="U729">
        <f t="shared" si="80"/>
        <v>8</v>
      </c>
    </row>
    <row r="730" spans="1:21">
      <c r="A730" t="s">
        <v>2656</v>
      </c>
      <c r="B730">
        <v>469</v>
      </c>
      <c r="D730" t="s">
        <v>154</v>
      </c>
      <c r="E730" t="s">
        <v>154</v>
      </c>
      <c r="F730">
        <v>4</v>
      </c>
      <c r="G730">
        <f t="shared" ref="G730:G761" si="81">(F730/(SUMIFS(F:F,A:A,A730))*100)</f>
        <v>2.7210884353741496</v>
      </c>
      <c r="H730">
        <f t="shared" ref="H730:H761" si="82">INT(G730)</f>
        <v>2</v>
      </c>
      <c r="I730">
        <f t="shared" ref="I730:I761" si="83">G730-H730</f>
        <v>0.72108843537414957</v>
      </c>
      <c r="J730" cm="1">
        <f t="array" ref="J730">INT(G730)+IF(100-SUM(INT(G$726:G$735))&gt;=RANK(I730,I$726:I$735)+COUNTIF(I$726:I730,I730)-1,1,0)</f>
        <v>3</v>
      </c>
      <c r="K730" t="str">
        <f>_xlfn.XLOOKUP(B730,BugList!A:A,BugList!H:H)</f>
        <v>*</v>
      </c>
      <c r="L730" t="str">
        <f>IF(K730 = "","",_xlfn.XLOOKUP(B730, BugList!A:A,BugList!B:B,""))</f>
        <v>Ephemeroptera</v>
      </c>
      <c r="M730">
        <f>_xlfn.XLOOKUP(D730,BugList!C:C,BugList!N:N)</f>
        <v>7</v>
      </c>
      <c r="N730">
        <f>_xlfn.XLOOKUP(B730,BugList!A:A,BugList!R:R)</f>
        <v>7</v>
      </c>
      <c r="O730" t="b">
        <f>_xlfn.XLOOKUP(B730,BugList!A:A,BugList!L:L)</f>
        <v>1</v>
      </c>
      <c r="P730" t="b">
        <f t="shared" si="75"/>
        <v>1</v>
      </c>
      <c r="R730" t="b">
        <f>SUMPRODUCT(COUNTIF(_xlfn.XLOOKUP(B730,BugList!A:A,BugList!P:P), "*SC*"))&gt;0</f>
        <v>0</v>
      </c>
      <c r="S730" t="str">
        <f>_xlfn.XLOOKUP(B730,BugList!A:A,BugList!W:W)</f>
        <v/>
      </c>
      <c r="T730">
        <f t="shared" si="79"/>
        <v>21</v>
      </c>
      <c r="U730">
        <f t="shared" si="80"/>
        <v>21</v>
      </c>
    </row>
    <row r="731" spans="1:21">
      <c r="A731" t="s">
        <v>2656</v>
      </c>
      <c r="B731">
        <v>935</v>
      </c>
      <c r="D731" t="s">
        <v>98</v>
      </c>
      <c r="E731" t="s">
        <v>98</v>
      </c>
      <c r="F731">
        <v>7</v>
      </c>
      <c r="G731">
        <f t="shared" si="81"/>
        <v>4.7619047619047619</v>
      </c>
      <c r="H731">
        <f t="shared" si="82"/>
        <v>4</v>
      </c>
      <c r="I731">
        <f t="shared" si="83"/>
        <v>0.76190476190476186</v>
      </c>
      <c r="J731" cm="1">
        <f t="array" ref="J731">INT(G731)+IF(100-SUM(INT(G$726:G$735))&gt;=RANK(I731,I$726:I$735)+COUNTIF(I$726:I731,I731)-1,1,0)</f>
        <v>5</v>
      </c>
      <c r="K731" t="str">
        <f>_xlfn.XLOOKUP(B731,BugList!A:A,BugList!H:H)</f>
        <v/>
      </c>
      <c r="L731" t="str">
        <f>IF(K731 = "","",_xlfn.XLOOKUP(B731, BugList!A:A,BugList!B:B,""))</f>
        <v/>
      </c>
      <c r="M731">
        <f>_xlfn.XLOOKUP(D731,BugList!C:C,BugList!N:N)</f>
        <v>4</v>
      </c>
      <c r="N731">
        <f>_xlfn.XLOOKUP(B731,BugList!A:A,BugList!R:R)</f>
        <v>4</v>
      </c>
      <c r="O731" t="b">
        <f>_xlfn.XLOOKUP(B731,BugList!A:A,BugList!L:L)</f>
        <v>1</v>
      </c>
      <c r="P731" t="b">
        <f t="shared" si="75"/>
        <v>0</v>
      </c>
      <c r="R731" t="b">
        <f>SUMPRODUCT(COUNTIF(_xlfn.XLOOKUP(B731,BugList!A:A,BugList!P:P), "*SC*"))&gt;0</f>
        <v>1</v>
      </c>
      <c r="S731" t="str">
        <f>_xlfn.XLOOKUP(B731,BugList!A:A,BugList!W:W)</f>
        <v/>
      </c>
      <c r="T731">
        <f t="shared" si="79"/>
        <v>20</v>
      </c>
      <c r="U731">
        <f t="shared" si="80"/>
        <v>20</v>
      </c>
    </row>
    <row r="732" spans="1:21">
      <c r="A732" t="s">
        <v>2656</v>
      </c>
      <c r="B732">
        <v>1002</v>
      </c>
      <c r="D732" t="s">
        <v>100</v>
      </c>
      <c r="E732" t="s">
        <v>100</v>
      </c>
      <c r="F732">
        <v>3</v>
      </c>
      <c r="G732">
        <f t="shared" si="81"/>
        <v>2.0408163265306123</v>
      </c>
      <c r="H732">
        <f t="shared" si="82"/>
        <v>2</v>
      </c>
      <c r="I732">
        <f t="shared" si="83"/>
        <v>4.081632653061229E-2</v>
      </c>
      <c r="J732" cm="1">
        <f t="array" ref="J732">INT(G732)+IF(100-SUM(INT(G$726:G$735))&gt;=RANK(I732,I$726:I$735)+COUNTIF(I$726:I732,I732)-1,1,0)</f>
        <v>2</v>
      </c>
      <c r="K732" t="str">
        <f>_xlfn.XLOOKUP(B732,BugList!A:A,BugList!H:H)</f>
        <v/>
      </c>
      <c r="L732" t="str">
        <f>IF(K732 = "","",_xlfn.XLOOKUP(B732, BugList!A:A,BugList!B:B,""))</f>
        <v/>
      </c>
      <c r="M732">
        <f>_xlfn.XLOOKUP(D732,BugList!C:C,BugList!N:N)</f>
        <v>4</v>
      </c>
      <c r="N732">
        <f>_xlfn.XLOOKUP(B732,BugList!A:A,BugList!R:R)</f>
        <v>4</v>
      </c>
      <c r="O732" t="b">
        <f>_xlfn.XLOOKUP(B732,BugList!A:A,BugList!L:L)</f>
        <v>1</v>
      </c>
      <c r="P732" t="b">
        <f t="shared" si="75"/>
        <v>0</v>
      </c>
      <c r="R732" t="b">
        <f>SUMPRODUCT(COUNTIF(_xlfn.XLOOKUP(B732,BugList!A:A,BugList!P:P), "*SC*"))&gt;0</f>
        <v>1</v>
      </c>
      <c r="S732" t="str">
        <f>_xlfn.XLOOKUP(B732,BugList!A:A,BugList!W:W)</f>
        <v/>
      </c>
      <c r="T732">
        <f t="shared" si="79"/>
        <v>8</v>
      </c>
      <c r="U732">
        <f t="shared" si="80"/>
        <v>8</v>
      </c>
    </row>
    <row r="733" spans="1:21">
      <c r="A733" t="s">
        <v>2656</v>
      </c>
      <c r="B733">
        <v>1089</v>
      </c>
      <c r="D733" t="s">
        <v>126</v>
      </c>
      <c r="E733" t="s">
        <v>127</v>
      </c>
      <c r="F733">
        <v>80</v>
      </c>
      <c r="G733">
        <f t="shared" si="81"/>
        <v>54.421768707482997</v>
      </c>
      <c r="H733">
        <f t="shared" si="82"/>
        <v>54</v>
      </c>
      <c r="I733">
        <f t="shared" si="83"/>
        <v>0.42176870748299677</v>
      </c>
      <c r="J733" cm="1">
        <f t="array" ref="J733">INT(G733)+IF(100-SUM(INT(G$726:G$735))&gt;=RANK(I733,I$726:I$735)+COUNTIF(I$726:I733,I733)-1,1,0)</f>
        <v>54</v>
      </c>
      <c r="K733" t="str">
        <f>_xlfn.XLOOKUP(B733,BugList!A:A,BugList!H:H)</f>
        <v/>
      </c>
      <c r="L733" t="str">
        <f>IF(K733 = "","",_xlfn.XLOOKUP(B733, BugList!A:A,BugList!B:B,""))</f>
        <v/>
      </c>
      <c r="M733">
        <f>_xlfn.XLOOKUP(D733,BugList!C:C,BugList!N:N)</f>
        <v>8</v>
      </c>
      <c r="N733">
        <f>_xlfn.XLOOKUP(B733,BugList!A:A,BugList!R:R)</f>
        <v>10</v>
      </c>
      <c r="O733" t="b">
        <f>_xlfn.XLOOKUP(B733,BugList!A:A,BugList!L:L)</f>
        <v>1</v>
      </c>
      <c r="P733" t="b">
        <f t="shared" si="75"/>
        <v>0</v>
      </c>
      <c r="R733" t="b">
        <f>SUMPRODUCT(COUNTIF(_xlfn.XLOOKUP(B733,BugList!A:A,BugList!P:P), "*SC*"))&gt;0</f>
        <v>0</v>
      </c>
      <c r="S733" t="str">
        <f>_xlfn.XLOOKUP(B733,BugList!A:A,BugList!W:W)</f>
        <v/>
      </c>
      <c r="T733">
        <f t="shared" si="79"/>
        <v>432</v>
      </c>
      <c r="U733">
        <f t="shared" si="80"/>
        <v>540</v>
      </c>
    </row>
    <row r="734" spans="1:21">
      <c r="A734" t="s">
        <v>2656</v>
      </c>
      <c r="B734">
        <v>1678</v>
      </c>
      <c r="D734" t="s">
        <v>166</v>
      </c>
      <c r="E734" t="s">
        <v>166</v>
      </c>
      <c r="F734">
        <v>1</v>
      </c>
      <c r="G734">
        <f t="shared" si="81"/>
        <v>0.68027210884353739</v>
      </c>
      <c r="H734">
        <f t="shared" si="82"/>
        <v>0</v>
      </c>
      <c r="I734">
        <f t="shared" si="83"/>
        <v>0.68027210884353739</v>
      </c>
      <c r="J734" cm="1">
        <f t="array" ref="J734">INT(G734)+IF(100-SUM(INT(G$726:G$735))&gt;=RANK(I734,I$726:I$735)+COUNTIF(I$726:I734,I734)-1,1,0)</f>
        <v>1</v>
      </c>
      <c r="K734" t="str">
        <f>_xlfn.XLOOKUP(B734,BugList!A:A,BugList!H:H)</f>
        <v/>
      </c>
      <c r="L734" t="str">
        <f>IF(K734 = "","",_xlfn.XLOOKUP(B734, BugList!A:A,BugList!B:B,""))</f>
        <v/>
      </c>
      <c r="M734">
        <f>_xlfn.XLOOKUP(D734,BugList!C:C,BugList!N:N)</f>
        <v>6</v>
      </c>
      <c r="N734">
        <f>_xlfn.XLOOKUP(B734,BugList!A:A,BugList!R:R)</f>
        <v>6</v>
      </c>
      <c r="O734" t="b">
        <f>_xlfn.XLOOKUP(B734,BugList!A:A,BugList!L:L)</f>
        <v>0</v>
      </c>
      <c r="P734" t="b">
        <f t="shared" si="75"/>
        <v>0</v>
      </c>
      <c r="R734" t="b">
        <f>SUMPRODUCT(COUNTIF(_xlfn.XLOOKUP(B734,BugList!A:A,BugList!P:P), "*SC*"))&gt;0</f>
        <v>1</v>
      </c>
      <c r="S734" t="str">
        <f>_xlfn.XLOOKUP(B734,BugList!A:A,BugList!W:W)</f>
        <v/>
      </c>
      <c r="T734">
        <f t="shared" si="79"/>
        <v>6</v>
      </c>
      <c r="U734">
        <f t="shared" si="80"/>
        <v>6</v>
      </c>
    </row>
    <row r="735" spans="1:21">
      <c r="A735" t="s">
        <v>2656</v>
      </c>
      <c r="B735">
        <v>1696</v>
      </c>
      <c r="D735" t="s">
        <v>94</v>
      </c>
      <c r="E735" t="s">
        <v>94</v>
      </c>
      <c r="F735">
        <v>11</v>
      </c>
      <c r="G735">
        <f t="shared" si="81"/>
        <v>7.4829931972789119</v>
      </c>
      <c r="H735">
        <f t="shared" si="82"/>
        <v>7</v>
      </c>
      <c r="I735">
        <f t="shared" si="83"/>
        <v>0.48299319727891188</v>
      </c>
      <c r="J735" cm="1">
        <f t="array" ref="J735">INT(G735)+IF(100-SUM(INT(G$726:G$735))&gt;=RANK(I735,I$726:I$735)+COUNTIF(I$726:I735,I735)-1,1,0)</f>
        <v>7</v>
      </c>
      <c r="K735" t="str">
        <f>_xlfn.XLOOKUP(B735,BugList!A:A,BugList!H:H)</f>
        <v/>
      </c>
      <c r="L735" t="str">
        <f>IF(K735 = "","",_xlfn.XLOOKUP(B735, BugList!A:A,BugList!B:B,""))</f>
        <v/>
      </c>
      <c r="M735">
        <f>_xlfn.XLOOKUP(D735,BugList!C:C,BugList!N:N)</f>
        <v>8</v>
      </c>
      <c r="N735">
        <f>_xlfn.XLOOKUP(B735,BugList!A:A,BugList!R:R)</f>
        <v>8</v>
      </c>
      <c r="O735" t="b">
        <f>_xlfn.XLOOKUP(B735,BugList!A:A,BugList!L:L)</f>
        <v>0</v>
      </c>
      <c r="P735" t="b">
        <f t="shared" si="75"/>
        <v>0</v>
      </c>
      <c r="R735" t="b">
        <f>SUMPRODUCT(COUNTIF(_xlfn.XLOOKUP(B735,BugList!A:A,BugList!P:P), "*SC*"))&gt;0</f>
        <v>0</v>
      </c>
      <c r="S735" t="str">
        <f>_xlfn.XLOOKUP(B735,BugList!A:A,BugList!W:W)</f>
        <v/>
      </c>
      <c r="T735">
        <f t="shared" si="79"/>
        <v>56</v>
      </c>
      <c r="U735">
        <f t="shared" si="80"/>
        <v>56</v>
      </c>
    </row>
    <row r="736" spans="1:21">
      <c r="A736" t="s">
        <v>2657</v>
      </c>
      <c r="B736">
        <v>63</v>
      </c>
      <c r="D736" t="s">
        <v>84</v>
      </c>
      <c r="E736" t="s">
        <v>84</v>
      </c>
      <c r="F736">
        <v>6</v>
      </c>
      <c r="G736">
        <f t="shared" si="81"/>
        <v>5.5045871559633035</v>
      </c>
      <c r="H736">
        <f t="shared" si="82"/>
        <v>5</v>
      </c>
      <c r="I736">
        <f t="shared" si="83"/>
        <v>0.5045871559633035</v>
      </c>
      <c r="J736" cm="1">
        <f t="array" ref="J736">INT(G736)+IF(100-SUM(INT(G$736:G$751))&gt;=RANK(I736,I$736:I$751)+COUNTIF(I$736:I736,I736)-1,1,0)</f>
        <v>5</v>
      </c>
      <c r="K736" t="str">
        <f>_xlfn.XLOOKUP(B736,BugList!A:A,BugList!H:H)</f>
        <v/>
      </c>
      <c r="L736" t="str">
        <f>IF(K736 = "","",_xlfn.XLOOKUP(B736, BugList!A:A,BugList!B:B,""))</f>
        <v/>
      </c>
      <c r="M736">
        <f>_xlfn.XLOOKUP(D736,BugList!C:C,BugList!N:N)</f>
        <v>8</v>
      </c>
      <c r="N736">
        <f>_xlfn.XLOOKUP(B736,BugList!A:A,BugList!R:R)</f>
        <v>8</v>
      </c>
      <c r="O736" t="b">
        <f>_xlfn.XLOOKUP(B736,BugList!A:A,BugList!L:L)</f>
        <v>0</v>
      </c>
      <c r="P736" t="b">
        <f t="shared" si="75"/>
        <v>0</v>
      </c>
      <c r="R736" t="b">
        <f>SUMPRODUCT(COUNTIF(_xlfn.XLOOKUP(B736,BugList!A:A,BugList!P:P), "*SC*"))&gt;0</f>
        <v>0</v>
      </c>
      <c r="S736" t="str">
        <f>_xlfn.XLOOKUP(B736,BugList!A:A,BugList!W:W)</f>
        <v/>
      </c>
      <c r="T736">
        <f t="shared" si="79"/>
        <v>40</v>
      </c>
      <c r="U736">
        <f t="shared" si="80"/>
        <v>40</v>
      </c>
    </row>
    <row r="737" spans="1:21">
      <c r="A737" t="s">
        <v>2657</v>
      </c>
      <c r="B737">
        <v>88</v>
      </c>
      <c r="D737" t="s">
        <v>85</v>
      </c>
      <c r="E737" t="s">
        <v>85</v>
      </c>
      <c r="F737">
        <v>19</v>
      </c>
      <c r="G737">
        <f t="shared" si="81"/>
        <v>17.431192660550458</v>
      </c>
      <c r="H737">
        <f t="shared" si="82"/>
        <v>17</v>
      </c>
      <c r="I737">
        <f t="shared" si="83"/>
        <v>0.43119266055045813</v>
      </c>
      <c r="J737" cm="1">
        <f t="array" ref="J737">INT(G737)+IF(100-SUM(INT(G$736:G$751))&gt;=RANK(I737,I$736:I$751)+COUNTIF(I$736:I737,I737)-1,1,0)</f>
        <v>17</v>
      </c>
      <c r="K737" t="str">
        <f>_xlfn.XLOOKUP(B737,BugList!A:A,BugList!H:H)</f>
        <v/>
      </c>
      <c r="L737" t="str">
        <f>IF(K737 = "","",_xlfn.XLOOKUP(B737, BugList!A:A,BugList!B:B,""))</f>
        <v/>
      </c>
      <c r="M737">
        <f>_xlfn.XLOOKUP(D737,BugList!C:C,BugList!N:N)</f>
        <v>4</v>
      </c>
      <c r="N737">
        <f>_xlfn.XLOOKUP(B737,BugList!A:A,BugList!R:R)</f>
        <v>4</v>
      </c>
      <c r="O737" t="b">
        <f>_xlfn.XLOOKUP(B737,BugList!A:A,BugList!L:L)</f>
        <v>0</v>
      </c>
      <c r="P737" t="b">
        <f t="shared" si="75"/>
        <v>0</v>
      </c>
      <c r="R737" t="b">
        <f>SUMPRODUCT(COUNTIF(_xlfn.XLOOKUP(B737,BugList!A:A,BugList!P:P), "*SC*"))&gt;0</f>
        <v>0</v>
      </c>
      <c r="S737" t="str">
        <f>_xlfn.XLOOKUP(B737,BugList!A:A,BugList!W:W)</f>
        <v/>
      </c>
      <c r="T737">
        <f t="shared" si="79"/>
        <v>68</v>
      </c>
      <c r="U737">
        <f t="shared" si="80"/>
        <v>68</v>
      </c>
    </row>
    <row r="738" spans="1:21">
      <c r="A738" t="s">
        <v>2657</v>
      </c>
      <c r="B738">
        <v>500</v>
      </c>
      <c r="D738" t="s">
        <v>151</v>
      </c>
      <c r="E738" t="s">
        <v>151</v>
      </c>
      <c r="F738">
        <v>7</v>
      </c>
      <c r="G738">
        <f t="shared" si="81"/>
        <v>6.4220183486238538</v>
      </c>
      <c r="H738">
        <f t="shared" si="82"/>
        <v>6</v>
      </c>
      <c r="I738">
        <f t="shared" si="83"/>
        <v>0.42201834862385379</v>
      </c>
      <c r="J738" cm="1">
        <f t="array" ref="J738">INT(G738)+IF(100-SUM(INT(G$736:G$751))&gt;=RANK(I738,I$736:I$751)+COUNTIF(I$736:I738,I738)-1,1,0)</f>
        <v>6</v>
      </c>
      <c r="K738" t="str">
        <f>_xlfn.XLOOKUP(B738,BugList!A:A,BugList!H:H)</f>
        <v>*</v>
      </c>
      <c r="L738" t="str">
        <f>IF(K738 = "","",_xlfn.XLOOKUP(B738, BugList!A:A,BugList!B:B,""))</f>
        <v>Ephemeroptera</v>
      </c>
      <c r="M738">
        <f>_xlfn.XLOOKUP(D738,BugList!C:C,BugList!N:N)</f>
        <v>1</v>
      </c>
      <c r="N738">
        <f>_xlfn.XLOOKUP(B738,BugList!A:A,BugList!R:R)</f>
        <v>1</v>
      </c>
      <c r="O738" t="b">
        <f>_xlfn.XLOOKUP(B738,BugList!A:A,BugList!L:L)</f>
        <v>1</v>
      </c>
      <c r="P738" t="b">
        <f t="shared" si="75"/>
        <v>1</v>
      </c>
      <c r="R738" t="b">
        <f>SUMPRODUCT(COUNTIF(_xlfn.XLOOKUP(B738,BugList!A:A,BugList!P:P), "*SC*"))&gt;0</f>
        <v>1</v>
      </c>
      <c r="S738" t="str">
        <f>_xlfn.XLOOKUP(B738,BugList!A:A,BugList!W:W)</f>
        <v/>
      </c>
      <c r="T738">
        <f t="shared" si="79"/>
        <v>6</v>
      </c>
      <c r="U738">
        <f t="shared" si="80"/>
        <v>6</v>
      </c>
    </row>
    <row r="739" spans="1:21">
      <c r="A739" t="s">
        <v>2657</v>
      </c>
      <c r="B739">
        <v>513</v>
      </c>
      <c r="D739" t="s">
        <v>111</v>
      </c>
      <c r="E739" t="s">
        <v>111</v>
      </c>
      <c r="F739">
        <v>13</v>
      </c>
      <c r="G739">
        <f t="shared" si="81"/>
        <v>11.926605504587156</v>
      </c>
      <c r="H739">
        <f t="shared" si="82"/>
        <v>11</v>
      </c>
      <c r="I739">
        <f t="shared" si="83"/>
        <v>0.9266055045871564</v>
      </c>
      <c r="J739" cm="1">
        <f t="array" ref="J739">INT(G739)+IF(100-SUM(INT(G$736:G$751))&gt;=RANK(I739,I$736:I$751)+COUNTIF(I$736:I739,I739)-1,1,0)</f>
        <v>12</v>
      </c>
      <c r="K739" t="str">
        <f>_xlfn.XLOOKUP(B739,BugList!A:A,BugList!H:H)</f>
        <v>*</v>
      </c>
      <c r="L739" t="str">
        <f>IF(K739 = "","",_xlfn.XLOOKUP(B739, BugList!A:A,BugList!B:B,""))</f>
        <v>Ephemeroptera</v>
      </c>
      <c r="M739">
        <f>_xlfn.XLOOKUP(D739,BugList!C:C,BugList!N:N)</f>
        <v>4</v>
      </c>
      <c r="N739">
        <f>_xlfn.XLOOKUP(B739,BugList!A:A,BugList!R:R)</f>
        <v>4</v>
      </c>
      <c r="O739" t="b">
        <f>_xlfn.XLOOKUP(B739,BugList!A:A,BugList!L:L)</f>
        <v>1</v>
      </c>
      <c r="P739" t="b">
        <f t="shared" si="75"/>
        <v>1</v>
      </c>
      <c r="R739" t="b">
        <f>SUMPRODUCT(COUNTIF(_xlfn.XLOOKUP(B739,BugList!A:A,BugList!P:P), "*SC*"))&gt;0</f>
        <v>1</v>
      </c>
      <c r="S739" t="str">
        <f>_xlfn.XLOOKUP(B739,BugList!A:A,BugList!W:W)</f>
        <v/>
      </c>
      <c r="T739">
        <f t="shared" si="79"/>
        <v>48</v>
      </c>
      <c r="U739">
        <f t="shared" si="80"/>
        <v>48</v>
      </c>
    </row>
    <row r="740" spans="1:21">
      <c r="A740" t="s">
        <v>2657</v>
      </c>
      <c r="B740">
        <v>602</v>
      </c>
      <c r="D740" t="s">
        <v>97</v>
      </c>
      <c r="E740" t="s">
        <v>97</v>
      </c>
      <c r="F740">
        <v>1</v>
      </c>
      <c r="G740">
        <f t="shared" si="81"/>
        <v>0.91743119266055051</v>
      </c>
      <c r="H740">
        <f t="shared" si="82"/>
        <v>0</v>
      </c>
      <c r="I740">
        <f t="shared" si="83"/>
        <v>0.91743119266055051</v>
      </c>
      <c r="J740" cm="1">
        <f t="array" ref="J740">INT(G740)+IF(100-SUM(INT(G$736:G$751))&gt;=RANK(I740,I$736:I$751)+COUNTIF(I$736:I740,I740)-1,1,0)</f>
        <v>1</v>
      </c>
      <c r="K740" t="str">
        <f>_xlfn.XLOOKUP(B740,BugList!A:A,BugList!H:H)</f>
        <v/>
      </c>
      <c r="L740" t="str">
        <f>IF(K740 = "","",_xlfn.XLOOKUP(B740, BugList!A:A,BugList!B:B,""))</f>
        <v/>
      </c>
      <c r="M740">
        <f>_xlfn.XLOOKUP(D740,BugList!C:C,BugList!N:N)</f>
        <v>9</v>
      </c>
      <c r="N740">
        <f>_xlfn.XLOOKUP(B740,BugList!A:A,BugList!R:R)</f>
        <v>9</v>
      </c>
      <c r="O740" t="b">
        <f>_xlfn.XLOOKUP(B740,BugList!A:A,BugList!L:L)</f>
        <v>1</v>
      </c>
      <c r="P740" t="b">
        <f t="shared" si="75"/>
        <v>0</v>
      </c>
      <c r="R740" t="b">
        <f>SUMPRODUCT(COUNTIF(_xlfn.XLOOKUP(B740,BugList!A:A,BugList!P:P), "*SC*"))&gt;0</f>
        <v>0</v>
      </c>
      <c r="S740" t="str">
        <f>_xlfn.XLOOKUP(B740,BugList!A:A,BugList!W:W)</f>
        <v/>
      </c>
      <c r="T740">
        <f t="shared" si="79"/>
        <v>9</v>
      </c>
      <c r="U740">
        <f t="shared" si="80"/>
        <v>9</v>
      </c>
    </row>
    <row r="741" spans="1:21">
      <c r="A741" t="s">
        <v>2657</v>
      </c>
      <c r="B741">
        <v>620</v>
      </c>
      <c r="D741" t="s">
        <v>113</v>
      </c>
      <c r="E741" t="s">
        <v>113</v>
      </c>
      <c r="F741">
        <v>1</v>
      </c>
      <c r="G741">
        <f t="shared" si="81"/>
        <v>0.91743119266055051</v>
      </c>
      <c r="H741">
        <f t="shared" si="82"/>
        <v>0</v>
      </c>
      <c r="I741">
        <f t="shared" si="83"/>
        <v>0.91743119266055051</v>
      </c>
      <c r="J741" cm="1">
        <f t="array" ref="J741">INT(G741)+IF(100-SUM(INT(G$736:G$751))&gt;=RANK(I741,I$736:I$751)+COUNTIF(I$736:I741,I741)-1,1,0)</f>
        <v>1</v>
      </c>
      <c r="K741" t="str">
        <f>_xlfn.XLOOKUP(B741,BugList!A:A,BugList!H:H)</f>
        <v/>
      </c>
      <c r="L741" t="str">
        <f>IF(K741 = "","",_xlfn.XLOOKUP(B741, BugList!A:A,BugList!B:B,""))</f>
        <v/>
      </c>
      <c r="M741">
        <f>_xlfn.XLOOKUP(D741,BugList!C:C,BugList!N:N)</f>
        <v>1</v>
      </c>
      <c r="N741">
        <f>_xlfn.XLOOKUP(B741,BugList!A:A,BugList!R:R)</f>
        <v>1</v>
      </c>
      <c r="O741" t="b">
        <f>_xlfn.XLOOKUP(B741,BugList!A:A,BugList!L:L)</f>
        <v>1</v>
      </c>
      <c r="P741" t="b">
        <f t="shared" si="75"/>
        <v>0</v>
      </c>
      <c r="R741" t="b">
        <f>SUMPRODUCT(COUNTIF(_xlfn.XLOOKUP(B741,BugList!A:A,BugList!P:P), "*SC*"))&gt;0</f>
        <v>0</v>
      </c>
      <c r="S741" t="str">
        <f>_xlfn.XLOOKUP(B741,BugList!A:A,BugList!W:W)</f>
        <v>3</v>
      </c>
      <c r="T741">
        <f t="shared" si="79"/>
        <v>1</v>
      </c>
      <c r="U741">
        <f t="shared" si="80"/>
        <v>1</v>
      </c>
    </row>
    <row r="742" spans="1:21">
      <c r="A742" t="s">
        <v>2657</v>
      </c>
      <c r="B742">
        <v>640</v>
      </c>
      <c r="D742" t="s">
        <v>1117</v>
      </c>
      <c r="E742" t="s">
        <v>1117</v>
      </c>
      <c r="F742">
        <v>1</v>
      </c>
      <c r="G742">
        <f t="shared" si="81"/>
        <v>0.91743119266055051</v>
      </c>
      <c r="H742">
        <f t="shared" si="82"/>
        <v>0</v>
      </c>
      <c r="I742">
        <f t="shared" si="83"/>
        <v>0.91743119266055051</v>
      </c>
      <c r="J742" cm="1">
        <f t="array" ref="J742">INT(G742)+IF(100-SUM(INT(G$736:G$751))&gt;=RANK(I742,I$736:I$751)+COUNTIF(I$736:I742,I742)-1,1,0)</f>
        <v>1</v>
      </c>
      <c r="K742" t="str">
        <f>_xlfn.XLOOKUP(B742,BugList!A:A,BugList!H:H)</f>
        <v/>
      </c>
      <c r="L742" t="str">
        <f>IF(K742 = "","",_xlfn.XLOOKUP(B742, BugList!A:A,BugList!B:B,""))</f>
        <v/>
      </c>
      <c r="M742">
        <f>_xlfn.XLOOKUP(D742,BugList!C:C,BugList!N:N)</f>
        <v>9</v>
      </c>
      <c r="N742">
        <f>_xlfn.XLOOKUP(B742,BugList!A:A,BugList!R:R)</f>
        <v>9</v>
      </c>
      <c r="O742" t="b">
        <f>_xlfn.XLOOKUP(B742,BugList!A:A,BugList!L:L)</f>
        <v>1</v>
      </c>
      <c r="P742" t="b">
        <f t="shared" si="75"/>
        <v>0</v>
      </c>
      <c r="R742" t="b">
        <f>SUMPRODUCT(COUNTIF(_xlfn.XLOOKUP(B742,BugList!A:A,BugList!P:P), "*SC*"))&gt;0</f>
        <v>0</v>
      </c>
      <c r="S742" t="str">
        <f>_xlfn.XLOOKUP(B742,BugList!A:A,BugList!W:W)</f>
        <v/>
      </c>
      <c r="T742">
        <f t="shared" si="79"/>
        <v>9</v>
      </c>
      <c r="U742">
        <f t="shared" si="80"/>
        <v>9</v>
      </c>
    </row>
    <row r="743" spans="1:21">
      <c r="A743" t="s">
        <v>2657</v>
      </c>
      <c r="B743">
        <v>745</v>
      </c>
      <c r="D743" t="s">
        <v>179</v>
      </c>
      <c r="E743" t="s">
        <v>179</v>
      </c>
      <c r="F743">
        <v>3</v>
      </c>
      <c r="G743">
        <f t="shared" si="81"/>
        <v>2.7522935779816518</v>
      </c>
      <c r="H743">
        <f t="shared" si="82"/>
        <v>2</v>
      </c>
      <c r="I743">
        <f t="shared" si="83"/>
        <v>0.75229357798165175</v>
      </c>
      <c r="J743" cm="1">
        <f t="array" ref="J743">INT(G743)+IF(100-SUM(INT(G$736:G$751))&gt;=RANK(I743,I$736:I$751)+COUNTIF(I$736:I743,I743)-1,1,0)</f>
        <v>3</v>
      </c>
      <c r="K743" t="str">
        <f>_xlfn.XLOOKUP(B743,BugList!A:A,BugList!H:H)</f>
        <v>*</v>
      </c>
      <c r="L743" t="str">
        <f>IF(K743 = "","",_xlfn.XLOOKUP(B743, BugList!A:A,BugList!B:B,""))</f>
        <v>Trichoptera</v>
      </c>
      <c r="M743">
        <f>_xlfn.XLOOKUP(D743,BugList!C:C,BugList!N:N)</f>
        <v>1</v>
      </c>
      <c r="N743">
        <f>_xlfn.XLOOKUP(B743,BugList!A:A,BugList!R:R)</f>
        <v>1</v>
      </c>
      <c r="O743" t="b">
        <f>_xlfn.XLOOKUP(B743,BugList!A:A,BugList!L:L)</f>
        <v>1</v>
      </c>
      <c r="P743" t="b">
        <f t="shared" si="75"/>
        <v>1</v>
      </c>
      <c r="R743" t="b">
        <f>SUMPRODUCT(COUNTIF(_xlfn.XLOOKUP(B743,BugList!A:A,BugList!P:P), "*SC*"))&gt;0</f>
        <v>0</v>
      </c>
      <c r="S743" t="str">
        <f>_xlfn.XLOOKUP(B743,BugList!A:A,BugList!W:W)</f>
        <v/>
      </c>
      <c r="T743">
        <f t="shared" si="79"/>
        <v>3</v>
      </c>
      <c r="U743">
        <f t="shared" si="80"/>
        <v>3</v>
      </c>
    </row>
    <row r="744" spans="1:21">
      <c r="A744" t="s">
        <v>2657</v>
      </c>
      <c r="B744">
        <v>777</v>
      </c>
      <c r="D744" t="s">
        <v>149</v>
      </c>
      <c r="E744" t="s">
        <v>149</v>
      </c>
      <c r="F744">
        <v>1</v>
      </c>
      <c r="G744">
        <f t="shared" si="81"/>
        <v>0.91743119266055051</v>
      </c>
      <c r="H744">
        <f t="shared" si="82"/>
        <v>0</v>
      </c>
      <c r="I744">
        <f t="shared" si="83"/>
        <v>0.91743119266055051</v>
      </c>
      <c r="J744" cm="1">
        <f t="array" ref="J744">INT(G744)+IF(100-SUM(INT(G$736:G$751))&gt;=RANK(I744,I$736:I$751)+COUNTIF(I$736:I744,I744)-1,1,0)</f>
        <v>1</v>
      </c>
      <c r="K744" t="str">
        <f>_xlfn.XLOOKUP(B744,BugList!A:A,BugList!H:H)</f>
        <v>*</v>
      </c>
      <c r="L744" t="str">
        <f>IF(K744 = "","",_xlfn.XLOOKUP(B744, BugList!A:A,BugList!B:B,""))</f>
        <v>Trichoptera</v>
      </c>
      <c r="M744">
        <f>_xlfn.XLOOKUP(D744,BugList!C:C,BugList!N:N)</f>
        <v>3</v>
      </c>
      <c r="N744">
        <f>_xlfn.XLOOKUP(B744,BugList!A:A,BugList!R:R)</f>
        <v>3</v>
      </c>
      <c r="O744" t="b">
        <f>_xlfn.XLOOKUP(B744,BugList!A:A,BugList!L:L)</f>
        <v>1</v>
      </c>
      <c r="P744" t="b">
        <f t="shared" si="75"/>
        <v>1</v>
      </c>
      <c r="R744" t="b">
        <f>SUMPRODUCT(COUNTIF(_xlfn.XLOOKUP(B744,BugList!A:A,BugList!P:P), "*SC*"))&gt;0</f>
        <v>1</v>
      </c>
      <c r="S744" t="str">
        <f>_xlfn.XLOOKUP(B744,BugList!A:A,BugList!W:W)</f>
        <v/>
      </c>
      <c r="T744">
        <f t="shared" si="79"/>
        <v>3</v>
      </c>
      <c r="U744">
        <f t="shared" si="80"/>
        <v>3</v>
      </c>
    </row>
    <row r="745" spans="1:21">
      <c r="A745" t="s">
        <v>2657</v>
      </c>
      <c r="B745">
        <v>935</v>
      </c>
      <c r="D745" t="s">
        <v>98</v>
      </c>
      <c r="E745" t="s">
        <v>98</v>
      </c>
      <c r="F745">
        <v>10</v>
      </c>
      <c r="G745">
        <f t="shared" si="81"/>
        <v>9.1743119266055047</v>
      </c>
      <c r="H745">
        <f t="shared" si="82"/>
        <v>9</v>
      </c>
      <c r="I745">
        <f t="shared" si="83"/>
        <v>0.17431192660550465</v>
      </c>
      <c r="J745" cm="1">
        <f t="array" ref="J745">INT(G745)+IF(100-SUM(INT(G$736:G$751))&gt;=RANK(I745,I$736:I$751)+COUNTIF(I$736:I745,I745)-1,1,0)</f>
        <v>9</v>
      </c>
      <c r="K745" t="str">
        <f>_xlfn.XLOOKUP(B745,BugList!A:A,BugList!H:H)</f>
        <v/>
      </c>
      <c r="L745" t="str">
        <f>IF(K745 = "","",_xlfn.XLOOKUP(B745, BugList!A:A,BugList!B:B,""))</f>
        <v/>
      </c>
      <c r="M745">
        <f>_xlfn.XLOOKUP(D745,BugList!C:C,BugList!N:N)</f>
        <v>4</v>
      </c>
      <c r="N745">
        <f>_xlfn.XLOOKUP(B745,BugList!A:A,BugList!R:R)</f>
        <v>4</v>
      </c>
      <c r="O745" t="b">
        <f>_xlfn.XLOOKUP(B745,BugList!A:A,BugList!L:L)</f>
        <v>1</v>
      </c>
      <c r="P745" t="b">
        <f t="shared" si="75"/>
        <v>0</v>
      </c>
      <c r="R745" t="b">
        <f>SUMPRODUCT(COUNTIF(_xlfn.XLOOKUP(B745,BugList!A:A,BugList!P:P), "*SC*"))&gt;0</f>
        <v>1</v>
      </c>
      <c r="S745" t="str">
        <f>_xlfn.XLOOKUP(B745,BugList!A:A,BugList!W:W)</f>
        <v/>
      </c>
      <c r="T745">
        <f t="shared" si="79"/>
        <v>36</v>
      </c>
      <c r="U745">
        <f t="shared" si="80"/>
        <v>36</v>
      </c>
    </row>
    <row r="746" spans="1:21">
      <c r="A746" t="s">
        <v>2657</v>
      </c>
      <c r="B746">
        <v>1002</v>
      </c>
      <c r="D746" t="s">
        <v>100</v>
      </c>
      <c r="E746" t="s">
        <v>100</v>
      </c>
      <c r="F746">
        <v>16</v>
      </c>
      <c r="G746">
        <f t="shared" si="81"/>
        <v>14.678899082568808</v>
      </c>
      <c r="H746">
        <f t="shared" si="82"/>
        <v>14</v>
      </c>
      <c r="I746">
        <f t="shared" si="83"/>
        <v>0.67889908256880815</v>
      </c>
      <c r="J746" cm="1">
        <f t="array" ref="J746">INT(G746)+IF(100-SUM(INT(G$736:G$751))&gt;=RANK(I746,I$736:I$751)+COUNTIF(I$736:I746,I746)-1,1,0)</f>
        <v>15</v>
      </c>
      <c r="K746" t="str">
        <f>_xlfn.XLOOKUP(B746,BugList!A:A,BugList!H:H)</f>
        <v/>
      </c>
      <c r="L746" t="str">
        <f>IF(K746 = "","",_xlfn.XLOOKUP(B746, BugList!A:A,BugList!B:B,""))</f>
        <v/>
      </c>
      <c r="M746">
        <f>_xlfn.XLOOKUP(D746,BugList!C:C,BugList!N:N)</f>
        <v>4</v>
      </c>
      <c r="N746">
        <f>_xlfn.XLOOKUP(B746,BugList!A:A,BugList!R:R)</f>
        <v>4</v>
      </c>
      <c r="O746" t="b">
        <f>_xlfn.XLOOKUP(B746,BugList!A:A,BugList!L:L)</f>
        <v>1</v>
      </c>
      <c r="P746" t="b">
        <f t="shared" si="75"/>
        <v>0</v>
      </c>
      <c r="R746" t="b">
        <f>SUMPRODUCT(COUNTIF(_xlfn.XLOOKUP(B746,BugList!A:A,BugList!P:P), "*SC*"))&gt;0</f>
        <v>1</v>
      </c>
      <c r="S746" t="str">
        <f>_xlfn.XLOOKUP(B746,BugList!A:A,BugList!W:W)</f>
        <v/>
      </c>
      <c r="T746">
        <f t="shared" si="79"/>
        <v>60</v>
      </c>
      <c r="U746">
        <f t="shared" si="80"/>
        <v>60</v>
      </c>
    </row>
    <row r="747" spans="1:21">
      <c r="A747" t="s">
        <v>2657</v>
      </c>
      <c r="B747">
        <v>1088</v>
      </c>
      <c r="D747" t="s">
        <v>90</v>
      </c>
      <c r="E747" t="s">
        <v>90</v>
      </c>
      <c r="F747">
        <v>2</v>
      </c>
      <c r="G747">
        <f t="shared" si="81"/>
        <v>1.834862385321101</v>
      </c>
      <c r="H747">
        <f t="shared" si="82"/>
        <v>1</v>
      </c>
      <c r="I747">
        <f t="shared" si="83"/>
        <v>0.83486238532110102</v>
      </c>
      <c r="J747" cm="1">
        <f t="array" ref="J747">INT(G747)+IF(100-SUM(INT(G$736:G$751))&gt;=RANK(I747,I$736:I$751)+COUNTIF(I$736:I747,I747)-1,1,0)</f>
        <v>2</v>
      </c>
      <c r="K747" t="str">
        <f>_xlfn.XLOOKUP(B747,BugList!A:A,BugList!H:H)</f>
        <v/>
      </c>
      <c r="L747" t="str">
        <f>IF(K747 = "","",_xlfn.XLOOKUP(B747, BugList!A:A,BugList!B:B,""))</f>
        <v/>
      </c>
      <c r="M747">
        <f>_xlfn.XLOOKUP(D747,BugList!C:C,BugList!N:N)</f>
        <v>6</v>
      </c>
      <c r="N747">
        <f>_xlfn.XLOOKUP(B747,BugList!A:A,BugList!R:R)</f>
        <v>6</v>
      </c>
      <c r="O747" t="b">
        <f>_xlfn.XLOOKUP(B747,BugList!A:A,BugList!L:L)</f>
        <v>1</v>
      </c>
      <c r="P747" t="b">
        <f t="shared" si="75"/>
        <v>0</v>
      </c>
      <c r="R747" t="b">
        <f>SUMPRODUCT(COUNTIF(_xlfn.XLOOKUP(B747,BugList!A:A,BugList!P:P), "*SC*"))&gt;0</f>
        <v>0</v>
      </c>
      <c r="S747" t="str">
        <f>_xlfn.XLOOKUP(B747,BugList!A:A,BugList!W:W)</f>
        <v/>
      </c>
      <c r="T747">
        <f t="shared" si="79"/>
        <v>12</v>
      </c>
      <c r="U747">
        <f t="shared" si="80"/>
        <v>12</v>
      </c>
    </row>
    <row r="748" spans="1:21">
      <c r="A748" t="s">
        <v>2657</v>
      </c>
      <c r="B748">
        <v>1578</v>
      </c>
      <c r="D748" t="s">
        <v>102</v>
      </c>
      <c r="E748" t="s">
        <v>102</v>
      </c>
      <c r="F748">
        <v>4</v>
      </c>
      <c r="G748">
        <f t="shared" si="81"/>
        <v>3.669724770642202</v>
      </c>
      <c r="H748">
        <f t="shared" si="82"/>
        <v>3</v>
      </c>
      <c r="I748">
        <f t="shared" si="83"/>
        <v>0.66972477064220204</v>
      </c>
      <c r="J748" cm="1">
        <f t="array" ref="J748">INT(G748)+IF(100-SUM(INT(G$736:G$751))&gt;=RANK(I748,I$736:I$751)+COUNTIF(I$736:I748,I748)-1,1,0)</f>
        <v>4</v>
      </c>
      <c r="K748" t="str">
        <f>_xlfn.XLOOKUP(B748,BugList!A:A,BugList!H:H)</f>
        <v/>
      </c>
      <c r="L748" t="str">
        <f>IF(K748 = "","",_xlfn.XLOOKUP(B748, BugList!A:A,BugList!B:B,""))</f>
        <v/>
      </c>
      <c r="M748">
        <f>_xlfn.XLOOKUP(D748,BugList!C:C,BugList!N:N)</f>
        <v>7</v>
      </c>
      <c r="N748">
        <f>_xlfn.XLOOKUP(B748,BugList!A:A,BugList!R:R)</f>
        <v>7</v>
      </c>
      <c r="O748" t="b">
        <f>_xlfn.XLOOKUP(B748,BugList!A:A,BugList!L:L)</f>
        <v>0</v>
      </c>
      <c r="P748" t="b">
        <f t="shared" si="75"/>
        <v>0</v>
      </c>
      <c r="R748" t="b">
        <f>SUMPRODUCT(COUNTIF(_xlfn.XLOOKUP(B748,BugList!A:A,BugList!P:P), "*SC*"))&gt;0</f>
        <v>0</v>
      </c>
      <c r="S748" t="str">
        <f>_xlfn.XLOOKUP(B748,BugList!A:A,BugList!W:W)</f>
        <v/>
      </c>
      <c r="T748">
        <f t="shared" si="79"/>
        <v>28</v>
      </c>
      <c r="U748">
        <f t="shared" si="80"/>
        <v>28</v>
      </c>
    </row>
    <row r="749" spans="1:21">
      <c r="A749" t="s">
        <v>2657</v>
      </c>
      <c r="B749">
        <v>1614</v>
      </c>
      <c r="D749" t="s">
        <v>92</v>
      </c>
      <c r="E749" t="s">
        <v>92</v>
      </c>
      <c r="F749">
        <v>2</v>
      </c>
      <c r="G749">
        <f t="shared" si="81"/>
        <v>1.834862385321101</v>
      </c>
      <c r="H749">
        <f t="shared" si="82"/>
        <v>1</v>
      </c>
      <c r="I749">
        <f t="shared" si="83"/>
        <v>0.83486238532110102</v>
      </c>
      <c r="J749" cm="1">
        <f t="array" ref="J749">INT(G749)+IF(100-SUM(INT(G$736:G$751))&gt;=RANK(I749,I$736:I$751)+COUNTIF(I$736:I749,I749)-1,1,0)</f>
        <v>2</v>
      </c>
      <c r="K749" t="str">
        <f>_xlfn.XLOOKUP(B749,BugList!A:A,BugList!H:H)</f>
        <v/>
      </c>
      <c r="L749" t="str">
        <f>IF(K749 = "","",_xlfn.XLOOKUP(B749, BugList!A:A,BugList!B:B,""))</f>
        <v/>
      </c>
      <c r="M749">
        <f>_xlfn.XLOOKUP(D749,BugList!C:C,BugList!N:N)</f>
        <v>8</v>
      </c>
      <c r="N749">
        <f>_xlfn.XLOOKUP(B749,BugList!A:A,BugList!R:R)</f>
        <v>8</v>
      </c>
      <c r="O749" t="b">
        <f>_xlfn.XLOOKUP(B749,BugList!A:A,BugList!L:L)</f>
        <v>0</v>
      </c>
      <c r="P749" t="b">
        <f t="shared" ref="P749:P812" si="84">IF(K749="*",IF(D749="Hydropsychidae", IF(E749="Diplectrona",TRUE,FALSE),TRUE),FALSE)</f>
        <v>0</v>
      </c>
      <c r="R749" t="b">
        <f>SUMPRODUCT(COUNTIF(_xlfn.XLOOKUP(B749,BugList!A:A,BugList!P:P), "*SC*"))&gt;0</f>
        <v>0</v>
      </c>
      <c r="S749" t="str">
        <f>_xlfn.XLOOKUP(B749,BugList!A:A,BugList!W:W)</f>
        <v/>
      </c>
      <c r="T749">
        <f t="shared" si="79"/>
        <v>16</v>
      </c>
      <c r="U749">
        <f t="shared" si="80"/>
        <v>16</v>
      </c>
    </row>
    <row r="750" spans="1:21">
      <c r="A750" t="s">
        <v>2657</v>
      </c>
      <c r="B750">
        <v>1696</v>
      </c>
      <c r="D750" t="s">
        <v>94</v>
      </c>
      <c r="E750" t="s">
        <v>94</v>
      </c>
      <c r="F750">
        <v>18</v>
      </c>
      <c r="G750">
        <f t="shared" si="81"/>
        <v>16.513761467889911</v>
      </c>
      <c r="H750">
        <f t="shared" si="82"/>
        <v>16</v>
      </c>
      <c r="I750">
        <f t="shared" si="83"/>
        <v>0.51376146788991051</v>
      </c>
      <c r="J750" cm="1">
        <f t="array" ref="J750">INT(G750)+IF(100-SUM(INT(G$736:G$751))&gt;=RANK(I750,I$736:I$751)+COUNTIF(I$736:I750,I750)-1,1,0)</f>
        <v>16</v>
      </c>
      <c r="K750" t="str">
        <f>_xlfn.XLOOKUP(B750,BugList!A:A,BugList!H:H)</f>
        <v/>
      </c>
      <c r="L750" t="str">
        <f>IF(K750 = "","",_xlfn.XLOOKUP(B750, BugList!A:A,BugList!B:B,""))</f>
        <v/>
      </c>
      <c r="M750">
        <f>_xlfn.XLOOKUP(D750,BugList!C:C,BugList!N:N)</f>
        <v>8</v>
      </c>
      <c r="N750">
        <f>_xlfn.XLOOKUP(B750,BugList!A:A,BugList!R:R)</f>
        <v>8</v>
      </c>
      <c r="O750" t="b">
        <f>_xlfn.XLOOKUP(B750,BugList!A:A,BugList!L:L)</f>
        <v>0</v>
      </c>
      <c r="P750" t="b">
        <f t="shared" si="84"/>
        <v>0</v>
      </c>
      <c r="R750" t="b">
        <f>SUMPRODUCT(COUNTIF(_xlfn.XLOOKUP(B750,BugList!A:A,BugList!P:P), "*SC*"))&gt;0</f>
        <v>0</v>
      </c>
      <c r="S750" t="str">
        <f>_xlfn.XLOOKUP(B750,BugList!A:A,BugList!W:W)</f>
        <v/>
      </c>
      <c r="T750">
        <f t="shared" si="79"/>
        <v>128</v>
      </c>
      <c r="U750">
        <f t="shared" si="80"/>
        <v>128</v>
      </c>
    </row>
    <row r="751" spans="1:21">
      <c r="A751" t="s">
        <v>2657</v>
      </c>
      <c r="B751">
        <v>2781</v>
      </c>
      <c r="D751" t="s">
        <v>109</v>
      </c>
      <c r="E751" t="s">
        <v>109</v>
      </c>
      <c r="F751">
        <v>5</v>
      </c>
      <c r="G751">
        <f t="shared" si="81"/>
        <v>4.5871559633027523</v>
      </c>
      <c r="H751">
        <f t="shared" si="82"/>
        <v>4</v>
      </c>
      <c r="I751">
        <f t="shared" si="83"/>
        <v>0.58715596330275233</v>
      </c>
      <c r="J751" cm="1">
        <f t="array" ref="J751">INT(G751)+IF(100-SUM(INT(G$736:G$751))&gt;=RANK(I751,I$736:I$751)+COUNTIF(I$736:I751,I751)-1,1,0)</f>
        <v>5</v>
      </c>
      <c r="K751" t="str">
        <f>_xlfn.XLOOKUP(B751,BugList!A:A,BugList!H:H)</f>
        <v/>
      </c>
      <c r="L751" t="str">
        <f>IF(K751 = "","",_xlfn.XLOOKUP(B751, BugList!A:A,BugList!B:B,""))</f>
        <v/>
      </c>
      <c r="M751">
        <f>_xlfn.XLOOKUP(D751,BugList!C:C,BugList!N:N)</f>
        <v>6</v>
      </c>
      <c r="N751">
        <f>_xlfn.XLOOKUP(B751,BugList!A:A,BugList!R:R)</f>
        <v>4</v>
      </c>
      <c r="O751" t="b">
        <f>_xlfn.XLOOKUP(B751,BugList!A:A,BugList!L:L)</f>
        <v>0</v>
      </c>
      <c r="P751" t="b">
        <f t="shared" si="84"/>
        <v>0</v>
      </c>
      <c r="R751" t="b">
        <f>SUMPRODUCT(COUNTIF(_xlfn.XLOOKUP(B751,BugList!A:A,BugList!P:P), "*SC*"))&gt;0</f>
        <v>0</v>
      </c>
      <c r="S751" t="str">
        <f>_xlfn.XLOOKUP(B751,BugList!A:A,BugList!W:W)</f>
        <v/>
      </c>
      <c r="T751">
        <f t="shared" si="79"/>
        <v>30</v>
      </c>
      <c r="U751">
        <f t="shared" si="80"/>
        <v>20</v>
      </c>
    </row>
    <row r="752" spans="1:21">
      <c r="A752" t="s">
        <v>2658</v>
      </c>
      <c r="B752">
        <v>63</v>
      </c>
      <c r="D752" t="s">
        <v>84</v>
      </c>
      <c r="E752" t="s">
        <v>84</v>
      </c>
      <c r="F752">
        <v>1</v>
      </c>
      <c r="G752">
        <f t="shared" si="81"/>
        <v>0.97087378640776689</v>
      </c>
      <c r="H752">
        <f t="shared" si="82"/>
        <v>0</v>
      </c>
      <c r="I752">
        <f t="shared" si="83"/>
        <v>0.97087378640776689</v>
      </c>
      <c r="J752" cm="1">
        <f t="array" ref="J752">INT(G752)+IF(100-SUM(INT(G$752:G$763))&gt;=RANK(I752,I$752:I$763)+COUNTIF(I$752:I752,I752)-1,1,0)</f>
        <v>1</v>
      </c>
      <c r="K752" t="str">
        <f>_xlfn.XLOOKUP(B752,BugList!A:A,BugList!H:H)</f>
        <v/>
      </c>
      <c r="L752" t="str">
        <f>IF(K752 = "","",_xlfn.XLOOKUP(B752, BugList!A:A,BugList!B:B,""))</f>
        <v/>
      </c>
      <c r="M752">
        <f>_xlfn.XLOOKUP(D752,BugList!C:C,BugList!N:N)</f>
        <v>8</v>
      </c>
      <c r="N752">
        <f>_xlfn.XLOOKUP(B752,BugList!A:A,BugList!R:R)</f>
        <v>8</v>
      </c>
      <c r="O752" t="b">
        <f>_xlfn.XLOOKUP(B752,BugList!A:A,BugList!L:L)</f>
        <v>0</v>
      </c>
      <c r="P752" t="b">
        <f t="shared" si="84"/>
        <v>0</v>
      </c>
      <c r="R752" t="b">
        <f>SUMPRODUCT(COUNTIF(_xlfn.XLOOKUP(B752,BugList!A:A,BugList!P:P), "*SC*"))&gt;0</f>
        <v>0</v>
      </c>
      <c r="S752" t="str">
        <f>_xlfn.XLOOKUP(B752,BugList!A:A,BugList!W:W)</f>
        <v/>
      </c>
      <c r="T752">
        <f t="shared" si="79"/>
        <v>8</v>
      </c>
      <c r="U752">
        <f t="shared" si="80"/>
        <v>8</v>
      </c>
    </row>
    <row r="753" spans="1:21">
      <c r="A753" t="s">
        <v>2658</v>
      </c>
      <c r="B753">
        <v>88</v>
      </c>
      <c r="D753" t="s">
        <v>85</v>
      </c>
      <c r="E753" t="s">
        <v>85</v>
      </c>
      <c r="F753">
        <v>5</v>
      </c>
      <c r="G753">
        <f t="shared" si="81"/>
        <v>4.8543689320388346</v>
      </c>
      <c r="H753">
        <f t="shared" si="82"/>
        <v>4</v>
      </c>
      <c r="I753">
        <f t="shared" si="83"/>
        <v>0.85436893203883457</v>
      </c>
      <c r="J753" cm="1">
        <f t="array" ref="J753">INT(G753)+IF(100-SUM(INT(G$752:G$763))&gt;=RANK(I753,I$752:I$763)+COUNTIF(I$752:I753,I753)-1,1,0)</f>
        <v>5</v>
      </c>
      <c r="K753" t="str">
        <f>_xlfn.XLOOKUP(B753,BugList!A:A,BugList!H:H)</f>
        <v/>
      </c>
      <c r="L753" t="str">
        <f>IF(K753 = "","",_xlfn.XLOOKUP(B753, BugList!A:A,BugList!B:B,""))</f>
        <v/>
      </c>
      <c r="M753">
        <f>_xlfn.XLOOKUP(D753,BugList!C:C,BugList!N:N)</f>
        <v>4</v>
      </c>
      <c r="N753">
        <f>_xlfn.XLOOKUP(B753,BugList!A:A,BugList!R:R)</f>
        <v>4</v>
      </c>
      <c r="O753" t="b">
        <f>_xlfn.XLOOKUP(B753,BugList!A:A,BugList!L:L)</f>
        <v>0</v>
      </c>
      <c r="P753" t="b">
        <f t="shared" si="84"/>
        <v>0</v>
      </c>
      <c r="R753" t="b">
        <f>SUMPRODUCT(COUNTIF(_xlfn.XLOOKUP(B753,BugList!A:A,BugList!P:P), "*SC*"))&gt;0</f>
        <v>0</v>
      </c>
      <c r="S753" t="str">
        <f>_xlfn.XLOOKUP(B753,BugList!A:A,BugList!W:W)</f>
        <v/>
      </c>
      <c r="T753">
        <f t="shared" si="79"/>
        <v>20</v>
      </c>
      <c r="U753">
        <f t="shared" si="80"/>
        <v>20</v>
      </c>
    </row>
    <row r="754" spans="1:21">
      <c r="A754" t="s">
        <v>2658</v>
      </c>
      <c r="B754">
        <v>513</v>
      </c>
      <c r="D754" t="s">
        <v>111</v>
      </c>
      <c r="E754" t="s">
        <v>111</v>
      </c>
      <c r="F754">
        <v>5</v>
      </c>
      <c r="G754">
        <f t="shared" si="81"/>
        <v>4.8543689320388346</v>
      </c>
      <c r="H754">
        <f t="shared" si="82"/>
        <v>4</v>
      </c>
      <c r="I754">
        <f t="shared" si="83"/>
        <v>0.85436893203883457</v>
      </c>
      <c r="J754" cm="1">
        <f t="array" ref="J754">INT(G754)+IF(100-SUM(INT(G$752:G$763))&gt;=RANK(I754,I$752:I$763)+COUNTIF(I$752:I754,I754)-1,1,0)</f>
        <v>5</v>
      </c>
      <c r="K754" t="str">
        <f>_xlfn.XLOOKUP(B754,BugList!A:A,BugList!H:H)</f>
        <v>*</v>
      </c>
      <c r="L754" t="str">
        <f>IF(K754 = "","",_xlfn.XLOOKUP(B754, BugList!A:A,BugList!B:B,""))</f>
        <v>Ephemeroptera</v>
      </c>
      <c r="M754">
        <f>_xlfn.XLOOKUP(D754,BugList!C:C,BugList!N:N)</f>
        <v>4</v>
      </c>
      <c r="N754">
        <f>_xlfn.XLOOKUP(B754,BugList!A:A,BugList!R:R)</f>
        <v>4</v>
      </c>
      <c r="O754" t="b">
        <f>_xlfn.XLOOKUP(B754,BugList!A:A,BugList!L:L)</f>
        <v>1</v>
      </c>
      <c r="P754" t="b">
        <f t="shared" si="84"/>
        <v>1</v>
      </c>
      <c r="R754" t="b">
        <f>SUMPRODUCT(COUNTIF(_xlfn.XLOOKUP(B754,BugList!A:A,BugList!P:P), "*SC*"))&gt;0</f>
        <v>1</v>
      </c>
      <c r="S754" t="str">
        <f>_xlfn.XLOOKUP(B754,BugList!A:A,BugList!W:W)</f>
        <v/>
      </c>
      <c r="T754">
        <f t="shared" si="79"/>
        <v>20</v>
      </c>
      <c r="U754">
        <f t="shared" si="80"/>
        <v>20</v>
      </c>
    </row>
    <row r="755" spans="1:21">
      <c r="A755" t="s">
        <v>2658</v>
      </c>
      <c r="B755">
        <v>545</v>
      </c>
      <c r="D755" t="s">
        <v>969</v>
      </c>
      <c r="E755" t="s">
        <v>969</v>
      </c>
      <c r="F755">
        <v>1</v>
      </c>
      <c r="G755">
        <f t="shared" si="81"/>
        <v>0.97087378640776689</v>
      </c>
      <c r="H755">
        <f t="shared" si="82"/>
        <v>0</v>
      </c>
      <c r="I755">
        <f t="shared" si="83"/>
        <v>0.97087378640776689</v>
      </c>
      <c r="J755" cm="1">
        <f t="array" ref="J755">INT(G755)+IF(100-SUM(INT(G$752:G$763))&gt;=RANK(I755,I$752:I$763)+COUNTIF(I$752:I755,I755)-1,1,0)</f>
        <v>1</v>
      </c>
      <c r="K755" t="str">
        <f>_xlfn.XLOOKUP(B755,BugList!A:A,BugList!H:H)</f>
        <v>*</v>
      </c>
      <c r="L755" t="str">
        <f>IF(K755 = "","",_xlfn.XLOOKUP(B755, BugList!A:A,BugList!B:B,""))</f>
        <v>Ephemeroptera</v>
      </c>
      <c r="M755">
        <f>_xlfn.XLOOKUP(D755,BugList!C:C,BugList!N:N)</f>
        <v>7</v>
      </c>
      <c r="N755">
        <f>_xlfn.XLOOKUP(B755,BugList!A:A,BugList!R:R)</f>
        <v>7</v>
      </c>
      <c r="O755" t="b">
        <f>_xlfn.XLOOKUP(B755,BugList!A:A,BugList!L:L)</f>
        <v>1</v>
      </c>
      <c r="P755" t="b">
        <f t="shared" si="84"/>
        <v>1</v>
      </c>
      <c r="R755" t="b">
        <f>SUMPRODUCT(COUNTIF(_xlfn.XLOOKUP(B755,BugList!A:A,BugList!P:P), "*SC*"))&gt;0</f>
        <v>0</v>
      </c>
      <c r="S755" t="str">
        <f>_xlfn.XLOOKUP(B755,BugList!A:A,BugList!W:W)</f>
        <v/>
      </c>
      <c r="T755">
        <f t="shared" si="79"/>
        <v>7</v>
      </c>
      <c r="U755">
        <f t="shared" si="80"/>
        <v>7</v>
      </c>
    </row>
    <row r="756" spans="1:21">
      <c r="A756" t="s">
        <v>2658</v>
      </c>
      <c r="B756">
        <v>715</v>
      </c>
      <c r="D756" t="s">
        <v>159</v>
      </c>
      <c r="E756" t="s">
        <v>159</v>
      </c>
      <c r="F756">
        <v>2</v>
      </c>
      <c r="G756">
        <f t="shared" si="81"/>
        <v>1.9417475728155338</v>
      </c>
      <c r="H756">
        <f t="shared" si="82"/>
        <v>1</v>
      </c>
      <c r="I756">
        <f t="shared" si="83"/>
        <v>0.94174757281553378</v>
      </c>
      <c r="J756" cm="1">
        <f t="array" ref="J756">INT(G756)+IF(100-SUM(INT(G$752:G$763))&gt;=RANK(I756,I$752:I$763)+COUNTIF(I$752:I756,I756)-1,1,0)</f>
        <v>2</v>
      </c>
      <c r="K756" t="str">
        <f>_xlfn.XLOOKUP(B756,BugList!A:A,BugList!H:H)</f>
        <v/>
      </c>
      <c r="L756" t="str">
        <f>IF(K756 = "","",_xlfn.XLOOKUP(B756, BugList!A:A,BugList!B:B,""))</f>
        <v/>
      </c>
      <c r="M756">
        <f>_xlfn.XLOOKUP(D756,BugList!C:C,BugList!N:N)</f>
        <v>9</v>
      </c>
      <c r="N756">
        <f>_xlfn.XLOOKUP(B756,BugList!A:A,BugList!R:R)</f>
        <v>9</v>
      </c>
      <c r="O756" t="b">
        <f>_xlfn.XLOOKUP(B756,BugList!A:A,BugList!L:L)</f>
        <v>1</v>
      </c>
      <c r="P756" t="b">
        <f t="shared" si="84"/>
        <v>0</v>
      </c>
      <c r="R756" t="b">
        <f>SUMPRODUCT(COUNTIF(_xlfn.XLOOKUP(B756,BugList!A:A,BugList!P:P), "*SC*"))&gt;0</f>
        <v>0</v>
      </c>
      <c r="S756" t="str">
        <f>_xlfn.XLOOKUP(B756,BugList!A:A,BugList!W:W)</f>
        <v/>
      </c>
      <c r="T756">
        <f t="shared" si="79"/>
        <v>18</v>
      </c>
      <c r="U756">
        <f t="shared" si="80"/>
        <v>18</v>
      </c>
    </row>
    <row r="757" spans="1:21">
      <c r="A757" t="s">
        <v>2658</v>
      </c>
      <c r="B757">
        <v>794</v>
      </c>
      <c r="D757" t="s">
        <v>89</v>
      </c>
      <c r="E757" t="s">
        <v>89</v>
      </c>
      <c r="F757">
        <v>31</v>
      </c>
      <c r="G757">
        <f t="shared" si="81"/>
        <v>30.097087378640776</v>
      </c>
      <c r="H757">
        <f t="shared" si="82"/>
        <v>30</v>
      </c>
      <c r="I757">
        <f t="shared" si="83"/>
        <v>9.7087378640775768E-2</v>
      </c>
      <c r="J757" cm="1">
        <f t="array" ref="J757">INT(G757)+IF(100-SUM(INT(G$752:G$763))&gt;=RANK(I757,I$752:I$763)+COUNTIF(I$752:I757,I757)-1,1,0)</f>
        <v>30</v>
      </c>
      <c r="K757" t="str">
        <f>_xlfn.XLOOKUP(B757,BugList!A:A,BugList!H:H)</f>
        <v>*</v>
      </c>
      <c r="L757" t="str">
        <f>IF(K757 = "","",_xlfn.XLOOKUP(B757, BugList!A:A,BugList!B:B,""))</f>
        <v>Trichoptera</v>
      </c>
      <c r="M757">
        <f>_xlfn.XLOOKUP(D757,BugList!C:C,BugList!N:N)</f>
        <v>4</v>
      </c>
      <c r="N757">
        <f>_xlfn.XLOOKUP(B757,BugList!A:A,BugList!R:R)</f>
        <v>4</v>
      </c>
      <c r="O757" t="b">
        <f>_xlfn.XLOOKUP(B757,BugList!A:A,BugList!L:L)</f>
        <v>1</v>
      </c>
      <c r="P757" t="b">
        <f t="shared" si="84"/>
        <v>0</v>
      </c>
      <c r="R757" t="b">
        <f>SUMPRODUCT(COUNTIF(_xlfn.XLOOKUP(B757,BugList!A:A,BugList!P:P), "*SC*"))&gt;0</f>
        <v>0</v>
      </c>
      <c r="S757" t="str">
        <f>_xlfn.XLOOKUP(B757,BugList!A:A,BugList!W:W)</f>
        <v/>
      </c>
      <c r="T757">
        <f t="shared" si="79"/>
        <v>120</v>
      </c>
      <c r="U757">
        <f t="shared" si="80"/>
        <v>120</v>
      </c>
    </row>
    <row r="758" spans="1:21">
      <c r="A758" t="s">
        <v>2658</v>
      </c>
      <c r="B758">
        <v>837</v>
      </c>
      <c r="D758" t="s">
        <v>107</v>
      </c>
      <c r="E758" t="s">
        <v>107</v>
      </c>
      <c r="F758">
        <v>9</v>
      </c>
      <c r="G758">
        <f t="shared" si="81"/>
        <v>8.7378640776699026</v>
      </c>
      <c r="H758">
        <f t="shared" si="82"/>
        <v>8</v>
      </c>
      <c r="I758">
        <f t="shared" si="83"/>
        <v>0.73786407766990258</v>
      </c>
      <c r="J758" cm="1">
        <f t="array" ref="J758">INT(G758)+IF(100-SUM(INT(G$752:G$763))&gt;=RANK(I758,I$752:I$763)+COUNTIF(I$752:I758,I758)-1,1,0)</f>
        <v>9</v>
      </c>
      <c r="K758" t="str">
        <f>_xlfn.XLOOKUP(B758,BugList!A:A,BugList!H:H)</f>
        <v>*</v>
      </c>
      <c r="L758" t="str">
        <f>IF(K758 = "","",_xlfn.XLOOKUP(B758, BugList!A:A,BugList!B:B,""))</f>
        <v>Trichoptera</v>
      </c>
      <c r="M758">
        <f>_xlfn.XLOOKUP(D758,BugList!C:C,BugList!N:N)</f>
        <v>3</v>
      </c>
      <c r="N758">
        <f>_xlfn.XLOOKUP(B758,BugList!A:A,BugList!R:R)</f>
        <v>3</v>
      </c>
      <c r="O758" t="b">
        <f>_xlfn.XLOOKUP(B758,BugList!A:A,BugList!L:L)</f>
        <v>1</v>
      </c>
      <c r="P758" t="b">
        <f t="shared" si="84"/>
        <v>1</v>
      </c>
      <c r="R758" t="b">
        <f>SUMPRODUCT(COUNTIF(_xlfn.XLOOKUP(B758,BugList!A:A,BugList!P:P), "*SC*"))&gt;0</f>
        <v>0</v>
      </c>
      <c r="S758" t="str">
        <f>_xlfn.XLOOKUP(B758,BugList!A:A,BugList!W:W)</f>
        <v/>
      </c>
      <c r="T758">
        <f t="shared" si="79"/>
        <v>27</v>
      </c>
      <c r="U758">
        <f t="shared" si="80"/>
        <v>27</v>
      </c>
    </row>
    <row r="759" spans="1:21">
      <c r="A759" t="s">
        <v>2658</v>
      </c>
      <c r="B759">
        <v>935</v>
      </c>
      <c r="D759" t="s">
        <v>98</v>
      </c>
      <c r="E759" t="s">
        <v>98</v>
      </c>
      <c r="F759">
        <v>9</v>
      </c>
      <c r="G759">
        <f t="shared" si="81"/>
        <v>8.7378640776699026</v>
      </c>
      <c r="H759">
        <f t="shared" si="82"/>
        <v>8</v>
      </c>
      <c r="I759">
        <f t="shared" si="83"/>
        <v>0.73786407766990258</v>
      </c>
      <c r="J759" cm="1">
        <f t="array" ref="J759">INT(G759)+IF(100-SUM(INT(G$752:G$763))&gt;=RANK(I759,I$752:I$763)+COUNTIF(I$752:I759,I759)-1,1,0)</f>
        <v>8</v>
      </c>
      <c r="K759" t="str">
        <f>_xlfn.XLOOKUP(B759,BugList!A:A,BugList!H:H)</f>
        <v/>
      </c>
      <c r="L759" t="str">
        <f>IF(K759 = "","",_xlfn.XLOOKUP(B759, BugList!A:A,BugList!B:B,""))</f>
        <v/>
      </c>
      <c r="M759">
        <f>_xlfn.XLOOKUP(D759,BugList!C:C,BugList!N:N)</f>
        <v>4</v>
      </c>
      <c r="N759">
        <f>_xlfn.XLOOKUP(B759,BugList!A:A,BugList!R:R)</f>
        <v>4</v>
      </c>
      <c r="O759" t="b">
        <f>_xlfn.XLOOKUP(B759,BugList!A:A,BugList!L:L)</f>
        <v>1</v>
      </c>
      <c r="P759" t="b">
        <f t="shared" si="84"/>
        <v>0</v>
      </c>
      <c r="R759" t="b">
        <f>SUMPRODUCT(COUNTIF(_xlfn.XLOOKUP(B759,BugList!A:A,BugList!P:P), "*SC*"))&gt;0</f>
        <v>1</v>
      </c>
      <c r="S759" t="str">
        <f>_xlfn.XLOOKUP(B759,BugList!A:A,BugList!W:W)</f>
        <v/>
      </c>
      <c r="T759">
        <f t="shared" si="79"/>
        <v>32</v>
      </c>
      <c r="U759">
        <f t="shared" si="80"/>
        <v>32</v>
      </c>
    </row>
    <row r="760" spans="1:21">
      <c r="A760" t="s">
        <v>2658</v>
      </c>
      <c r="B760">
        <v>1002</v>
      </c>
      <c r="D760" t="s">
        <v>100</v>
      </c>
      <c r="E760" t="s">
        <v>100</v>
      </c>
      <c r="F760">
        <v>37</v>
      </c>
      <c r="G760">
        <f t="shared" si="81"/>
        <v>35.922330097087382</v>
      </c>
      <c r="H760">
        <f t="shared" si="82"/>
        <v>35</v>
      </c>
      <c r="I760">
        <f t="shared" si="83"/>
        <v>0.92233009708738223</v>
      </c>
      <c r="J760" cm="1">
        <f t="array" ref="J760">INT(G760)+IF(100-SUM(INT(G$752:G$763))&gt;=RANK(I760,I$752:I$763)+COUNTIF(I$752:I760,I760)-1,1,0)</f>
        <v>36</v>
      </c>
      <c r="K760" t="str">
        <f>_xlfn.XLOOKUP(B760,BugList!A:A,BugList!H:H)</f>
        <v/>
      </c>
      <c r="L760" t="str">
        <f>IF(K760 = "","",_xlfn.XLOOKUP(B760, BugList!A:A,BugList!B:B,""))</f>
        <v/>
      </c>
      <c r="M760">
        <f>_xlfn.XLOOKUP(D760,BugList!C:C,BugList!N:N)</f>
        <v>4</v>
      </c>
      <c r="N760">
        <f>_xlfn.XLOOKUP(B760,BugList!A:A,BugList!R:R)</f>
        <v>4</v>
      </c>
      <c r="O760" t="b">
        <f>_xlfn.XLOOKUP(B760,BugList!A:A,BugList!L:L)</f>
        <v>1</v>
      </c>
      <c r="P760" t="b">
        <f t="shared" si="84"/>
        <v>0</v>
      </c>
      <c r="R760" t="b">
        <f>SUMPRODUCT(COUNTIF(_xlfn.XLOOKUP(B760,BugList!A:A,BugList!P:P), "*SC*"))&gt;0</f>
        <v>1</v>
      </c>
      <c r="S760" t="str">
        <f>_xlfn.XLOOKUP(B760,BugList!A:A,BugList!W:W)</f>
        <v/>
      </c>
      <c r="T760">
        <f t="shared" si="79"/>
        <v>144</v>
      </c>
      <c r="U760">
        <f t="shared" si="80"/>
        <v>144</v>
      </c>
    </row>
    <row r="761" spans="1:21">
      <c r="A761" t="s">
        <v>2658</v>
      </c>
      <c r="B761">
        <v>1088</v>
      </c>
      <c r="D761" t="s">
        <v>90</v>
      </c>
      <c r="E761" t="s">
        <v>90</v>
      </c>
      <c r="F761">
        <v>1</v>
      </c>
      <c r="G761">
        <f t="shared" si="81"/>
        <v>0.97087378640776689</v>
      </c>
      <c r="H761">
        <f t="shared" si="82"/>
        <v>0</v>
      </c>
      <c r="I761">
        <f t="shared" si="83"/>
        <v>0.97087378640776689</v>
      </c>
      <c r="J761" cm="1">
        <f t="array" ref="J761">INT(G761)+IF(100-SUM(INT(G$752:G$763))&gt;=RANK(I761,I$752:I$763)+COUNTIF(I$752:I761,I761)-1,1,0)</f>
        <v>1</v>
      </c>
      <c r="K761" t="str">
        <f>_xlfn.XLOOKUP(B761,BugList!A:A,BugList!H:H)</f>
        <v/>
      </c>
      <c r="L761" t="str">
        <f>IF(K761 = "","",_xlfn.XLOOKUP(B761, BugList!A:A,BugList!B:B,""))</f>
        <v/>
      </c>
      <c r="M761">
        <f>_xlfn.XLOOKUP(D761,BugList!C:C,BugList!N:N)</f>
        <v>6</v>
      </c>
      <c r="N761">
        <f>_xlfn.XLOOKUP(B761,BugList!A:A,BugList!R:R)</f>
        <v>6</v>
      </c>
      <c r="O761" t="b">
        <f>_xlfn.XLOOKUP(B761,BugList!A:A,BugList!L:L)</f>
        <v>1</v>
      </c>
      <c r="P761" t="b">
        <f t="shared" si="84"/>
        <v>0</v>
      </c>
      <c r="R761" t="b">
        <f>SUMPRODUCT(COUNTIF(_xlfn.XLOOKUP(B761,BugList!A:A,BugList!P:P), "*SC*"))&gt;0</f>
        <v>0</v>
      </c>
      <c r="S761" t="str">
        <f>_xlfn.XLOOKUP(B761,BugList!A:A,BugList!W:W)</f>
        <v/>
      </c>
      <c r="T761">
        <f t="shared" si="79"/>
        <v>6</v>
      </c>
      <c r="U761">
        <f t="shared" si="80"/>
        <v>6</v>
      </c>
    </row>
    <row r="762" spans="1:21">
      <c r="A762" t="s">
        <v>2658</v>
      </c>
      <c r="B762">
        <v>1089</v>
      </c>
      <c r="D762" t="s">
        <v>126</v>
      </c>
      <c r="E762" t="s">
        <v>127</v>
      </c>
      <c r="F762">
        <v>1</v>
      </c>
      <c r="G762">
        <f t="shared" ref="G762:G793" si="85">(F762/(SUMIFS(F:F,A:A,A762))*100)</f>
        <v>0.97087378640776689</v>
      </c>
      <c r="H762">
        <f t="shared" ref="H762:H793" si="86">INT(G762)</f>
        <v>0</v>
      </c>
      <c r="I762">
        <f t="shared" ref="I762:I793" si="87">G762-H762</f>
        <v>0.97087378640776689</v>
      </c>
      <c r="J762" cm="1">
        <f t="array" ref="J762">INT(G762)+IF(100-SUM(INT(G$752:G$763))&gt;=RANK(I762,I$752:I$763)+COUNTIF(I$752:I762,I762)-1,1,0)</f>
        <v>1</v>
      </c>
      <c r="K762" t="str">
        <f>_xlfn.XLOOKUP(B762,BugList!A:A,BugList!H:H)</f>
        <v/>
      </c>
      <c r="L762" t="str">
        <f>IF(K762 = "","",_xlfn.XLOOKUP(B762, BugList!A:A,BugList!B:B,""))</f>
        <v/>
      </c>
      <c r="M762">
        <f>_xlfn.XLOOKUP(D762,BugList!C:C,BugList!N:N)</f>
        <v>8</v>
      </c>
      <c r="N762">
        <f>_xlfn.XLOOKUP(B762,BugList!A:A,BugList!R:R)</f>
        <v>10</v>
      </c>
      <c r="O762" t="b">
        <f>_xlfn.XLOOKUP(B762,BugList!A:A,BugList!L:L)</f>
        <v>1</v>
      </c>
      <c r="P762" t="b">
        <f t="shared" si="84"/>
        <v>0</v>
      </c>
      <c r="R762" t="b">
        <f>SUMPRODUCT(COUNTIF(_xlfn.XLOOKUP(B762,BugList!A:A,BugList!P:P), "*SC*"))&gt;0</f>
        <v>0</v>
      </c>
      <c r="S762" t="str">
        <f>_xlfn.XLOOKUP(B762,BugList!A:A,BugList!W:W)</f>
        <v/>
      </c>
      <c r="T762">
        <f t="shared" si="79"/>
        <v>8</v>
      </c>
      <c r="U762">
        <f t="shared" si="80"/>
        <v>10</v>
      </c>
    </row>
    <row r="763" spans="1:21">
      <c r="A763" t="s">
        <v>2658</v>
      </c>
      <c r="B763">
        <v>1614</v>
      </c>
      <c r="D763" t="s">
        <v>92</v>
      </c>
      <c r="E763" t="s">
        <v>92</v>
      </c>
      <c r="F763">
        <v>1</v>
      </c>
      <c r="G763">
        <f t="shared" si="85"/>
        <v>0.97087378640776689</v>
      </c>
      <c r="H763">
        <f t="shared" si="86"/>
        <v>0</v>
      </c>
      <c r="I763">
        <f t="shared" si="87"/>
        <v>0.97087378640776689</v>
      </c>
      <c r="J763" cm="1">
        <f t="array" ref="J763">INT(G763)+IF(100-SUM(INT(G$752:G$763))&gt;=RANK(I763,I$752:I$763)+COUNTIF(I$752:I763,I763)-1,1,0)</f>
        <v>1</v>
      </c>
      <c r="K763" t="str">
        <f>_xlfn.XLOOKUP(B763,BugList!A:A,BugList!H:H)</f>
        <v/>
      </c>
      <c r="L763" t="str">
        <f>IF(K763 = "","",_xlfn.XLOOKUP(B763, BugList!A:A,BugList!B:B,""))</f>
        <v/>
      </c>
      <c r="M763">
        <f>_xlfn.XLOOKUP(D763,BugList!C:C,BugList!N:N)</f>
        <v>8</v>
      </c>
      <c r="N763">
        <f>_xlfn.XLOOKUP(B763,BugList!A:A,BugList!R:R)</f>
        <v>8</v>
      </c>
      <c r="O763" t="b">
        <f>_xlfn.XLOOKUP(B763,BugList!A:A,BugList!L:L)</f>
        <v>0</v>
      </c>
      <c r="P763" t="b">
        <f t="shared" si="84"/>
        <v>0</v>
      </c>
      <c r="R763" t="b">
        <f>SUMPRODUCT(COUNTIF(_xlfn.XLOOKUP(B763,BugList!A:A,BugList!P:P), "*SC*"))&gt;0</f>
        <v>0</v>
      </c>
      <c r="S763" t="str">
        <f>_xlfn.XLOOKUP(B763,BugList!A:A,BugList!W:W)</f>
        <v/>
      </c>
      <c r="T763">
        <f t="shared" si="79"/>
        <v>8</v>
      </c>
      <c r="U763">
        <f t="shared" si="80"/>
        <v>8</v>
      </c>
    </row>
    <row r="764" spans="1:21">
      <c r="A764" t="s">
        <v>2659</v>
      </c>
      <c r="B764">
        <v>88</v>
      </c>
      <c r="D764" t="s">
        <v>85</v>
      </c>
      <c r="E764" t="s">
        <v>85</v>
      </c>
      <c r="F764">
        <v>17</v>
      </c>
      <c r="G764">
        <f t="shared" si="85"/>
        <v>16.346153846153847</v>
      </c>
      <c r="H764">
        <f t="shared" si="86"/>
        <v>16</v>
      </c>
      <c r="I764">
        <f t="shared" si="87"/>
        <v>0.3461538461538467</v>
      </c>
      <c r="J764" cm="1">
        <f t="array" ref="J764">INT(G764)+IF(100-SUM(INT(G$764:G$776))&gt;=RANK(I764,I$764:I$776)+COUNTIF(I$764:I764,I764)-1,1,0)</f>
        <v>16</v>
      </c>
      <c r="K764" t="str">
        <f>_xlfn.XLOOKUP(B764,BugList!A:A,BugList!H:H)</f>
        <v/>
      </c>
      <c r="L764" t="str">
        <f>IF(K764 = "","",_xlfn.XLOOKUP(B764, BugList!A:A,BugList!B:B,""))</f>
        <v/>
      </c>
      <c r="M764">
        <f>_xlfn.XLOOKUP(D764,BugList!C:C,BugList!N:N)</f>
        <v>4</v>
      </c>
      <c r="N764">
        <f>_xlfn.XLOOKUP(B764,BugList!A:A,BugList!R:R)</f>
        <v>4</v>
      </c>
      <c r="O764" t="b">
        <f>_xlfn.XLOOKUP(B764,BugList!A:A,BugList!L:L)</f>
        <v>0</v>
      </c>
      <c r="P764" t="b">
        <f t="shared" si="84"/>
        <v>0</v>
      </c>
      <c r="R764" t="b">
        <f>SUMPRODUCT(COUNTIF(_xlfn.XLOOKUP(B764,BugList!A:A,BugList!P:P), "*SC*"))&gt;0</f>
        <v>0</v>
      </c>
      <c r="S764" t="str">
        <f>_xlfn.XLOOKUP(B764,BugList!A:A,BugList!W:W)</f>
        <v/>
      </c>
      <c r="T764">
        <f t="shared" si="79"/>
        <v>64</v>
      </c>
      <c r="U764">
        <f t="shared" si="80"/>
        <v>64</v>
      </c>
    </row>
    <row r="765" spans="1:21">
      <c r="A765" t="s">
        <v>2659</v>
      </c>
      <c r="B765">
        <v>513</v>
      </c>
      <c r="D765" t="s">
        <v>111</v>
      </c>
      <c r="E765" t="s">
        <v>111</v>
      </c>
      <c r="F765">
        <v>1</v>
      </c>
      <c r="G765">
        <f t="shared" si="85"/>
        <v>0.96153846153846156</v>
      </c>
      <c r="H765">
        <f t="shared" si="86"/>
        <v>0</v>
      </c>
      <c r="I765">
        <f t="shared" si="87"/>
        <v>0.96153846153846156</v>
      </c>
      <c r="J765" cm="1">
        <f t="array" ref="J765">INT(G765)+IF(100-SUM(INT(G$764:G$776))&gt;=RANK(I765,I$764:I$776)+COUNTIF(I$764:I765,I765)-1,1,0)</f>
        <v>1</v>
      </c>
      <c r="K765" t="str">
        <f>_xlfn.XLOOKUP(B765,BugList!A:A,BugList!H:H)</f>
        <v>*</v>
      </c>
      <c r="L765" t="str">
        <f>IF(K765 = "","",_xlfn.XLOOKUP(B765, BugList!A:A,BugList!B:B,""))</f>
        <v>Ephemeroptera</v>
      </c>
      <c r="M765">
        <f>_xlfn.XLOOKUP(D765,BugList!C:C,BugList!N:N)</f>
        <v>4</v>
      </c>
      <c r="N765">
        <f>_xlfn.XLOOKUP(B765,BugList!A:A,BugList!R:R)</f>
        <v>4</v>
      </c>
      <c r="O765" t="b">
        <f>_xlfn.XLOOKUP(B765,BugList!A:A,BugList!L:L)</f>
        <v>1</v>
      </c>
      <c r="P765" t="b">
        <f t="shared" si="84"/>
        <v>1</v>
      </c>
      <c r="R765" t="b">
        <f>SUMPRODUCT(COUNTIF(_xlfn.XLOOKUP(B765,BugList!A:A,BugList!P:P), "*SC*"))&gt;0</f>
        <v>1</v>
      </c>
      <c r="S765" t="str">
        <f>_xlfn.XLOOKUP(B765,BugList!A:A,BugList!W:W)</f>
        <v/>
      </c>
      <c r="T765">
        <f t="shared" si="79"/>
        <v>4</v>
      </c>
      <c r="U765">
        <f t="shared" si="80"/>
        <v>4</v>
      </c>
    </row>
    <row r="766" spans="1:21">
      <c r="A766" t="s">
        <v>2659</v>
      </c>
      <c r="B766">
        <v>598</v>
      </c>
      <c r="D766" t="s">
        <v>112</v>
      </c>
      <c r="E766" t="s">
        <v>112</v>
      </c>
      <c r="F766">
        <v>8</v>
      </c>
      <c r="G766">
        <f t="shared" si="85"/>
        <v>7.6923076923076925</v>
      </c>
      <c r="H766">
        <f t="shared" si="86"/>
        <v>7</v>
      </c>
      <c r="I766">
        <f t="shared" si="87"/>
        <v>0.69230769230769251</v>
      </c>
      <c r="J766" cm="1">
        <f t="array" ref="J766">INT(G766)+IF(100-SUM(INT(G$764:G$776))&gt;=RANK(I766,I$764:I$776)+COUNTIF(I$764:I766,I766)-1,1,0)</f>
        <v>8</v>
      </c>
      <c r="K766" t="str">
        <f>_xlfn.XLOOKUP(B766,BugList!A:A,BugList!H:H)</f>
        <v/>
      </c>
      <c r="L766" t="str">
        <f>IF(K766 = "","",_xlfn.XLOOKUP(B766, BugList!A:A,BugList!B:B,""))</f>
        <v/>
      </c>
      <c r="M766">
        <f>_xlfn.XLOOKUP(D766,BugList!C:C,BugList!N:N)</f>
        <v>5</v>
      </c>
      <c r="N766">
        <f>_xlfn.XLOOKUP(B766,BugList!A:A,BugList!R:R)</f>
        <v>5</v>
      </c>
      <c r="O766" t="b">
        <f>_xlfn.XLOOKUP(B766,BugList!A:A,BugList!L:L)</f>
        <v>1</v>
      </c>
      <c r="P766" t="b">
        <f t="shared" si="84"/>
        <v>0</v>
      </c>
      <c r="R766" t="b">
        <f>SUMPRODUCT(COUNTIF(_xlfn.XLOOKUP(B766,BugList!A:A,BugList!P:P), "*SC*"))&gt;0</f>
        <v>0</v>
      </c>
      <c r="S766" t="str">
        <f>_xlfn.XLOOKUP(B766,BugList!A:A,BugList!W:W)</f>
        <v/>
      </c>
      <c r="T766">
        <f t="shared" si="79"/>
        <v>40</v>
      </c>
      <c r="U766">
        <f t="shared" si="80"/>
        <v>40</v>
      </c>
    </row>
    <row r="767" spans="1:21">
      <c r="A767" t="s">
        <v>2659</v>
      </c>
      <c r="B767">
        <v>602</v>
      </c>
      <c r="D767" t="s">
        <v>97</v>
      </c>
      <c r="E767" t="s">
        <v>97</v>
      </c>
      <c r="F767">
        <v>4</v>
      </c>
      <c r="G767">
        <f t="shared" si="85"/>
        <v>3.8461538461538463</v>
      </c>
      <c r="H767">
        <f t="shared" si="86"/>
        <v>3</v>
      </c>
      <c r="I767">
        <f t="shared" si="87"/>
        <v>0.84615384615384626</v>
      </c>
      <c r="J767" cm="1">
        <f t="array" ref="J767">INT(G767)+IF(100-SUM(INT(G$764:G$776))&gt;=RANK(I767,I$764:I$776)+COUNTIF(I$764:I767,I767)-1,1,0)</f>
        <v>4</v>
      </c>
      <c r="K767" t="str">
        <f>_xlfn.XLOOKUP(B767,BugList!A:A,BugList!H:H)</f>
        <v/>
      </c>
      <c r="L767" t="str">
        <f>IF(K767 = "","",_xlfn.XLOOKUP(B767, BugList!A:A,BugList!B:B,""))</f>
        <v/>
      </c>
      <c r="M767">
        <f>_xlfn.XLOOKUP(D767,BugList!C:C,BugList!N:N)</f>
        <v>9</v>
      </c>
      <c r="N767">
        <f>_xlfn.XLOOKUP(B767,BugList!A:A,BugList!R:R)</f>
        <v>9</v>
      </c>
      <c r="O767" t="b">
        <f>_xlfn.XLOOKUP(B767,BugList!A:A,BugList!L:L)</f>
        <v>1</v>
      </c>
      <c r="P767" t="b">
        <f t="shared" si="84"/>
        <v>0</v>
      </c>
      <c r="R767" t="b">
        <f>SUMPRODUCT(COUNTIF(_xlfn.XLOOKUP(B767,BugList!A:A,BugList!P:P), "*SC*"))&gt;0</f>
        <v>0</v>
      </c>
      <c r="S767" t="str">
        <f>_xlfn.XLOOKUP(B767,BugList!A:A,BugList!W:W)</f>
        <v/>
      </c>
      <c r="T767">
        <f t="shared" si="79"/>
        <v>36</v>
      </c>
      <c r="U767">
        <f t="shared" si="80"/>
        <v>36</v>
      </c>
    </row>
    <row r="768" spans="1:21">
      <c r="A768" t="s">
        <v>2659</v>
      </c>
      <c r="B768">
        <v>620</v>
      </c>
      <c r="D768" t="s">
        <v>113</v>
      </c>
      <c r="E768" t="s">
        <v>113</v>
      </c>
      <c r="F768">
        <v>9</v>
      </c>
      <c r="G768">
        <f t="shared" si="85"/>
        <v>8.6538461538461533</v>
      </c>
      <c r="H768">
        <f t="shared" si="86"/>
        <v>8</v>
      </c>
      <c r="I768">
        <f t="shared" si="87"/>
        <v>0.6538461538461533</v>
      </c>
      <c r="J768" cm="1">
        <f t="array" ref="J768">INT(G768)+IF(100-SUM(INT(G$764:G$776))&gt;=RANK(I768,I$764:I$776)+COUNTIF(I$764:I768,I768)-1,1,0)</f>
        <v>8</v>
      </c>
      <c r="K768" t="str">
        <f>_xlfn.XLOOKUP(B768,BugList!A:A,BugList!H:H)</f>
        <v/>
      </c>
      <c r="L768" t="str">
        <f>IF(K768 = "","",_xlfn.XLOOKUP(B768, BugList!A:A,BugList!B:B,""))</f>
        <v/>
      </c>
      <c r="M768">
        <f>_xlfn.XLOOKUP(D768,BugList!C:C,BugList!N:N)</f>
        <v>1</v>
      </c>
      <c r="N768">
        <f>_xlfn.XLOOKUP(B768,BugList!A:A,BugList!R:R)</f>
        <v>1</v>
      </c>
      <c r="O768" t="b">
        <f>_xlfn.XLOOKUP(B768,BugList!A:A,BugList!L:L)</f>
        <v>1</v>
      </c>
      <c r="P768" t="b">
        <f t="shared" si="84"/>
        <v>0</v>
      </c>
      <c r="R768" t="b">
        <f>SUMPRODUCT(COUNTIF(_xlfn.XLOOKUP(B768,BugList!A:A,BugList!P:P), "*SC*"))&gt;0</f>
        <v>0</v>
      </c>
      <c r="S768" t="str">
        <f>_xlfn.XLOOKUP(B768,BugList!A:A,BugList!W:W)</f>
        <v>3</v>
      </c>
      <c r="T768">
        <f t="shared" si="79"/>
        <v>8</v>
      </c>
      <c r="U768">
        <f t="shared" si="80"/>
        <v>8</v>
      </c>
    </row>
    <row r="769" spans="1:21">
      <c r="A769" t="s">
        <v>2659</v>
      </c>
      <c r="B769">
        <v>644</v>
      </c>
      <c r="D769" t="s">
        <v>196</v>
      </c>
      <c r="E769" t="s">
        <v>196</v>
      </c>
      <c r="F769">
        <v>4</v>
      </c>
      <c r="G769">
        <f t="shared" si="85"/>
        <v>3.8461538461538463</v>
      </c>
      <c r="H769">
        <f t="shared" si="86"/>
        <v>3</v>
      </c>
      <c r="I769">
        <f t="shared" si="87"/>
        <v>0.84615384615384626</v>
      </c>
      <c r="J769" cm="1">
        <f t="array" ref="J769">INT(G769)+IF(100-SUM(INT(G$764:G$776))&gt;=RANK(I769,I$764:I$776)+COUNTIF(I$764:I769,I769)-1,1,0)</f>
        <v>4</v>
      </c>
      <c r="K769" t="str">
        <f>_xlfn.XLOOKUP(B769,BugList!A:A,BugList!H:H)</f>
        <v/>
      </c>
      <c r="L769" t="str">
        <f>IF(K769 = "","",_xlfn.XLOOKUP(B769, BugList!A:A,BugList!B:B,""))</f>
        <v/>
      </c>
      <c r="M769">
        <f>_xlfn.XLOOKUP(D769,BugList!C:C,BugList!N:N)</f>
        <v>9</v>
      </c>
      <c r="N769">
        <f>_xlfn.XLOOKUP(B769,BugList!A:A,BugList!R:R)</f>
        <v>9</v>
      </c>
      <c r="O769" t="b">
        <f>_xlfn.XLOOKUP(B769,BugList!A:A,BugList!L:L)</f>
        <v>1</v>
      </c>
      <c r="P769" t="b">
        <f t="shared" si="84"/>
        <v>0</v>
      </c>
      <c r="R769" t="b">
        <f>SUMPRODUCT(COUNTIF(_xlfn.XLOOKUP(B769,BugList!A:A,BugList!P:P), "*SC*"))&gt;0</f>
        <v>0</v>
      </c>
      <c r="S769" t="str">
        <f>_xlfn.XLOOKUP(B769,BugList!A:A,BugList!W:W)</f>
        <v/>
      </c>
      <c r="T769">
        <f t="shared" si="79"/>
        <v>36</v>
      </c>
      <c r="U769">
        <f t="shared" si="80"/>
        <v>36</v>
      </c>
    </row>
    <row r="770" spans="1:21">
      <c r="A770" t="s">
        <v>2659</v>
      </c>
      <c r="B770">
        <v>675</v>
      </c>
      <c r="D770" t="s">
        <v>1174</v>
      </c>
      <c r="E770" t="s">
        <v>1174</v>
      </c>
      <c r="F770">
        <v>3</v>
      </c>
      <c r="G770">
        <f t="shared" si="85"/>
        <v>2.8846153846153846</v>
      </c>
      <c r="H770">
        <f t="shared" si="86"/>
        <v>2</v>
      </c>
      <c r="I770">
        <f t="shared" si="87"/>
        <v>0.88461538461538458</v>
      </c>
      <c r="J770" cm="1">
        <f t="array" ref="J770">INT(G770)+IF(100-SUM(INT(G$764:G$776))&gt;=RANK(I770,I$764:I$776)+COUNTIF(I$764:I770,I770)-1,1,0)</f>
        <v>3</v>
      </c>
      <c r="K770" t="str">
        <f>_xlfn.XLOOKUP(B770,BugList!A:A,BugList!H:H)</f>
        <v/>
      </c>
      <c r="L770" t="str">
        <f>IF(K770 = "","",_xlfn.XLOOKUP(B770, BugList!A:A,BugList!B:B,""))</f>
        <v/>
      </c>
      <c r="M770">
        <f>_xlfn.XLOOKUP(D770,BugList!C:C,BugList!N:N)</f>
        <v>9</v>
      </c>
      <c r="N770">
        <f>_xlfn.XLOOKUP(B770,BugList!A:A,BugList!R:R)</f>
        <v>9</v>
      </c>
      <c r="O770" t="b">
        <f>_xlfn.XLOOKUP(B770,BugList!A:A,BugList!L:L)</f>
        <v>1</v>
      </c>
      <c r="P770" t="b">
        <f t="shared" si="84"/>
        <v>0</v>
      </c>
      <c r="R770" t="b">
        <f>SUMPRODUCT(COUNTIF(_xlfn.XLOOKUP(B770,BugList!A:A,BugList!P:P), "*SC*"))&gt;0</f>
        <v>0</v>
      </c>
      <c r="S770" t="str">
        <f>_xlfn.XLOOKUP(B770,BugList!A:A,BugList!W:W)</f>
        <v/>
      </c>
      <c r="T770">
        <f t="shared" ref="T770:T833" si="88">J770*M770</f>
        <v>27</v>
      </c>
      <c r="U770">
        <f t="shared" ref="U770:U833" si="89">J770*N770</f>
        <v>27</v>
      </c>
    </row>
    <row r="771" spans="1:21">
      <c r="A771" t="s">
        <v>2659</v>
      </c>
      <c r="B771">
        <v>794</v>
      </c>
      <c r="D771" t="s">
        <v>89</v>
      </c>
      <c r="E771" t="s">
        <v>89</v>
      </c>
      <c r="F771">
        <v>3</v>
      </c>
      <c r="G771">
        <f t="shared" si="85"/>
        <v>2.8846153846153846</v>
      </c>
      <c r="H771">
        <f t="shared" si="86"/>
        <v>2</v>
      </c>
      <c r="I771">
        <f t="shared" si="87"/>
        <v>0.88461538461538458</v>
      </c>
      <c r="J771" cm="1">
        <f t="array" ref="J771">INT(G771)+IF(100-SUM(INT(G$764:G$776))&gt;=RANK(I771,I$764:I$776)+COUNTIF(I$764:I771,I771)-1,1,0)</f>
        <v>3</v>
      </c>
      <c r="K771" t="str">
        <f>_xlfn.XLOOKUP(B771,BugList!A:A,BugList!H:H)</f>
        <v>*</v>
      </c>
      <c r="L771" t="str">
        <f>IF(K771 = "","",_xlfn.XLOOKUP(B771, BugList!A:A,BugList!B:B,""))</f>
        <v>Trichoptera</v>
      </c>
      <c r="M771">
        <f>_xlfn.XLOOKUP(D771,BugList!C:C,BugList!N:N)</f>
        <v>4</v>
      </c>
      <c r="N771">
        <f>_xlfn.XLOOKUP(B771,BugList!A:A,BugList!R:R)</f>
        <v>4</v>
      </c>
      <c r="O771" t="b">
        <f>_xlfn.XLOOKUP(B771,BugList!A:A,BugList!L:L)</f>
        <v>1</v>
      </c>
      <c r="P771" t="b">
        <f t="shared" si="84"/>
        <v>0</v>
      </c>
      <c r="R771" t="b">
        <f>SUMPRODUCT(COUNTIF(_xlfn.XLOOKUP(B771,BugList!A:A,BugList!P:P), "*SC*"))&gt;0</f>
        <v>0</v>
      </c>
      <c r="S771" t="str">
        <f>_xlfn.XLOOKUP(B771,BugList!A:A,BugList!W:W)</f>
        <v/>
      </c>
      <c r="T771">
        <f t="shared" si="88"/>
        <v>12</v>
      </c>
      <c r="U771">
        <f t="shared" si="89"/>
        <v>12</v>
      </c>
    </row>
    <row r="772" spans="1:21">
      <c r="A772" t="s">
        <v>2659</v>
      </c>
      <c r="B772">
        <v>935</v>
      </c>
      <c r="D772" t="s">
        <v>98</v>
      </c>
      <c r="E772" t="s">
        <v>98</v>
      </c>
      <c r="F772">
        <v>4</v>
      </c>
      <c r="G772">
        <f t="shared" si="85"/>
        <v>3.8461538461538463</v>
      </c>
      <c r="H772">
        <f t="shared" si="86"/>
        <v>3</v>
      </c>
      <c r="I772">
        <f t="shared" si="87"/>
        <v>0.84615384615384626</v>
      </c>
      <c r="J772" cm="1">
        <f t="array" ref="J772">INT(G772)+IF(100-SUM(INT(G$764:G$776))&gt;=RANK(I772,I$764:I$776)+COUNTIF(I$764:I772,I772)-1,1,0)</f>
        <v>4</v>
      </c>
      <c r="K772" t="str">
        <f>_xlfn.XLOOKUP(B772,BugList!A:A,BugList!H:H)</f>
        <v/>
      </c>
      <c r="L772" t="str">
        <f>IF(K772 = "","",_xlfn.XLOOKUP(B772, BugList!A:A,BugList!B:B,""))</f>
        <v/>
      </c>
      <c r="M772">
        <f>_xlfn.XLOOKUP(D772,BugList!C:C,BugList!N:N)</f>
        <v>4</v>
      </c>
      <c r="N772">
        <f>_xlfn.XLOOKUP(B772,BugList!A:A,BugList!R:R)</f>
        <v>4</v>
      </c>
      <c r="O772" t="b">
        <f>_xlfn.XLOOKUP(B772,BugList!A:A,BugList!L:L)</f>
        <v>1</v>
      </c>
      <c r="P772" t="b">
        <f t="shared" si="84"/>
        <v>0</v>
      </c>
      <c r="R772" t="b">
        <f>SUMPRODUCT(COUNTIF(_xlfn.XLOOKUP(B772,BugList!A:A,BugList!P:P), "*SC*"))&gt;0</f>
        <v>1</v>
      </c>
      <c r="S772" t="str">
        <f>_xlfn.XLOOKUP(B772,BugList!A:A,BugList!W:W)</f>
        <v/>
      </c>
      <c r="T772">
        <f t="shared" si="88"/>
        <v>16</v>
      </c>
      <c r="U772">
        <f t="shared" si="89"/>
        <v>16</v>
      </c>
    </row>
    <row r="773" spans="1:21">
      <c r="A773" t="s">
        <v>2659</v>
      </c>
      <c r="B773">
        <v>945</v>
      </c>
      <c r="D773" t="s">
        <v>1563</v>
      </c>
      <c r="E773" t="s">
        <v>1563</v>
      </c>
      <c r="F773">
        <v>16</v>
      </c>
      <c r="G773">
        <f t="shared" si="85"/>
        <v>15.384615384615385</v>
      </c>
      <c r="H773">
        <f t="shared" si="86"/>
        <v>15</v>
      </c>
      <c r="I773">
        <f t="shared" si="87"/>
        <v>0.38461538461538503</v>
      </c>
      <c r="J773" cm="1">
        <f t="array" ref="J773">INT(G773)+IF(100-SUM(INT(G$764:G$776))&gt;=RANK(I773,I$764:I$776)+COUNTIF(I$764:I773,I773)-1,1,0)</f>
        <v>15</v>
      </c>
      <c r="K773" t="str">
        <f>_xlfn.XLOOKUP(B773,BugList!A:A,BugList!H:H)</f>
        <v/>
      </c>
      <c r="L773" t="str">
        <f>IF(K773 = "","",_xlfn.XLOOKUP(B773, BugList!A:A,BugList!B:B,""))</f>
        <v/>
      </c>
      <c r="M773">
        <f>_xlfn.XLOOKUP(D773,BugList!C:C,BugList!N:N)</f>
        <v>5</v>
      </c>
      <c r="N773">
        <f>_xlfn.XLOOKUP(B773,BugList!A:A,BugList!R:R)</f>
        <v>5</v>
      </c>
      <c r="O773" t="b">
        <f>_xlfn.XLOOKUP(B773,BugList!A:A,BugList!L:L)</f>
        <v>1</v>
      </c>
      <c r="P773" t="b">
        <f t="shared" si="84"/>
        <v>0</v>
      </c>
      <c r="R773" t="b">
        <f>SUMPRODUCT(COUNTIF(_xlfn.XLOOKUP(B773,BugList!A:A,BugList!P:P), "*SC*"))&gt;0</f>
        <v>0</v>
      </c>
      <c r="S773" t="str">
        <f>_xlfn.XLOOKUP(B773,BugList!A:A,BugList!W:W)</f>
        <v/>
      </c>
      <c r="T773">
        <f t="shared" si="88"/>
        <v>75</v>
      </c>
      <c r="U773">
        <f t="shared" si="89"/>
        <v>75</v>
      </c>
    </row>
    <row r="774" spans="1:21">
      <c r="A774" t="s">
        <v>2659</v>
      </c>
      <c r="B774">
        <v>1002</v>
      </c>
      <c r="D774" t="s">
        <v>100</v>
      </c>
      <c r="E774" t="s">
        <v>100</v>
      </c>
      <c r="F774">
        <v>28</v>
      </c>
      <c r="G774">
        <f t="shared" si="85"/>
        <v>26.923076923076923</v>
      </c>
      <c r="H774">
        <f t="shared" si="86"/>
        <v>26</v>
      </c>
      <c r="I774">
        <f t="shared" si="87"/>
        <v>0.92307692307692335</v>
      </c>
      <c r="J774" cm="1">
        <f t="array" ref="J774">INT(G774)+IF(100-SUM(INT(G$764:G$776))&gt;=RANK(I774,I$764:I$776)+COUNTIF(I$764:I774,I774)-1,1,0)</f>
        <v>27</v>
      </c>
      <c r="K774" t="str">
        <f>_xlfn.XLOOKUP(B774,BugList!A:A,BugList!H:H)</f>
        <v/>
      </c>
      <c r="L774" t="str">
        <f>IF(K774 = "","",_xlfn.XLOOKUP(B774, BugList!A:A,BugList!B:B,""))</f>
        <v/>
      </c>
      <c r="M774">
        <f>_xlfn.XLOOKUP(D774,BugList!C:C,BugList!N:N)</f>
        <v>4</v>
      </c>
      <c r="N774">
        <f>_xlfn.XLOOKUP(B774,BugList!A:A,BugList!R:R)</f>
        <v>4</v>
      </c>
      <c r="O774" t="b">
        <f>_xlfn.XLOOKUP(B774,BugList!A:A,BugList!L:L)</f>
        <v>1</v>
      </c>
      <c r="P774" t="b">
        <f t="shared" si="84"/>
        <v>0</v>
      </c>
      <c r="R774" t="b">
        <f>SUMPRODUCT(COUNTIF(_xlfn.XLOOKUP(B774,BugList!A:A,BugList!P:P), "*SC*"))&gt;0</f>
        <v>1</v>
      </c>
      <c r="S774" t="str">
        <f>_xlfn.XLOOKUP(B774,BugList!A:A,BugList!W:W)</f>
        <v/>
      </c>
      <c r="T774">
        <f t="shared" si="88"/>
        <v>108</v>
      </c>
      <c r="U774">
        <f t="shared" si="89"/>
        <v>108</v>
      </c>
    </row>
    <row r="775" spans="1:21">
      <c r="A775" t="s">
        <v>2659</v>
      </c>
      <c r="B775">
        <v>1497</v>
      </c>
      <c r="D775" t="s">
        <v>108</v>
      </c>
      <c r="E775" t="s">
        <v>108</v>
      </c>
      <c r="F775">
        <v>5</v>
      </c>
      <c r="G775">
        <f t="shared" si="85"/>
        <v>4.8076923076923084</v>
      </c>
      <c r="H775">
        <f t="shared" si="86"/>
        <v>4</v>
      </c>
      <c r="I775">
        <f t="shared" si="87"/>
        <v>0.80769230769230838</v>
      </c>
      <c r="J775" cm="1">
        <f t="array" ref="J775">INT(G775)+IF(100-SUM(INT(G$764:G$776))&gt;=RANK(I775,I$764:I$776)+COUNTIF(I$764:I775,I775)-1,1,0)</f>
        <v>5</v>
      </c>
      <c r="K775" t="str">
        <f>_xlfn.XLOOKUP(B775,BugList!A:A,BugList!H:H)</f>
        <v/>
      </c>
      <c r="L775" t="str">
        <f>IF(K775 = "","",_xlfn.XLOOKUP(B775, BugList!A:A,BugList!B:B,""))</f>
        <v/>
      </c>
      <c r="M775">
        <f>_xlfn.XLOOKUP(D775,BugList!C:C,BugList!N:N)</f>
        <v>3</v>
      </c>
      <c r="N775">
        <f>_xlfn.XLOOKUP(B775,BugList!A:A,BugList!R:R)</f>
        <v>3</v>
      </c>
      <c r="O775" t="b">
        <f>_xlfn.XLOOKUP(B775,BugList!A:A,BugList!L:L)</f>
        <v>1</v>
      </c>
      <c r="P775" t="b">
        <f t="shared" si="84"/>
        <v>0</v>
      </c>
      <c r="R775" t="b">
        <f>SUMPRODUCT(COUNTIF(_xlfn.XLOOKUP(B775,BugList!A:A,BugList!P:P), "*SC*"))&gt;0</f>
        <v>0</v>
      </c>
      <c r="S775" t="str">
        <f>_xlfn.XLOOKUP(B775,BugList!A:A,BugList!W:W)</f>
        <v/>
      </c>
      <c r="T775">
        <f t="shared" si="88"/>
        <v>15</v>
      </c>
      <c r="U775">
        <f t="shared" si="89"/>
        <v>15</v>
      </c>
    </row>
    <row r="776" spans="1:21">
      <c r="A776" t="s">
        <v>2659</v>
      </c>
      <c r="B776">
        <v>1582</v>
      </c>
      <c r="D776" t="s">
        <v>121</v>
      </c>
      <c r="E776" t="s">
        <v>121</v>
      </c>
      <c r="F776">
        <v>2</v>
      </c>
      <c r="G776">
        <f t="shared" si="85"/>
        <v>1.9230769230769231</v>
      </c>
      <c r="H776">
        <f t="shared" si="86"/>
        <v>1</v>
      </c>
      <c r="I776">
        <f t="shared" si="87"/>
        <v>0.92307692307692313</v>
      </c>
      <c r="J776" cm="1">
        <f t="array" ref="J776">INT(G776)+IF(100-SUM(INT(G$764:G$776))&gt;=RANK(I776,I$764:I$776)+COUNTIF(I$764:I776,I776)-1,1,0)</f>
        <v>2</v>
      </c>
      <c r="K776" t="str">
        <f>_xlfn.XLOOKUP(B776,BugList!A:A,BugList!H:H)</f>
        <v/>
      </c>
      <c r="L776" t="str">
        <f>IF(K776 = "","",_xlfn.XLOOKUP(B776, BugList!A:A,BugList!B:B,""))</f>
        <v/>
      </c>
      <c r="M776">
        <f>_xlfn.XLOOKUP(D776,BugList!C:C,BugList!N:N)</f>
        <v>6</v>
      </c>
      <c r="N776">
        <f>_xlfn.XLOOKUP(B776,BugList!A:A,BugList!R:R)</f>
        <v>6</v>
      </c>
      <c r="O776" t="b">
        <f>_xlfn.XLOOKUP(B776,BugList!A:A,BugList!L:L)</f>
        <v>0</v>
      </c>
      <c r="P776" t="b">
        <f t="shared" si="84"/>
        <v>0</v>
      </c>
      <c r="R776" t="b">
        <f>SUMPRODUCT(COUNTIF(_xlfn.XLOOKUP(B776,BugList!A:A,BugList!P:P), "*SC*"))&gt;0</f>
        <v>1</v>
      </c>
      <c r="S776" t="str">
        <f>_xlfn.XLOOKUP(B776,BugList!A:A,BugList!W:W)</f>
        <v/>
      </c>
      <c r="T776">
        <f t="shared" si="88"/>
        <v>12</v>
      </c>
      <c r="U776">
        <f t="shared" si="89"/>
        <v>12</v>
      </c>
    </row>
    <row r="777" spans="1:21">
      <c r="A777" t="s">
        <v>2660</v>
      </c>
      <c r="B777">
        <v>88</v>
      </c>
      <c r="D777" t="s">
        <v>85</v>
      </c>
      <c r="E777" t="s">
        <v>85</v>
      </c>
      <c r="F777">
        <v>1</v>
      </c>
      <c r="G777">
        <f t="shared" si="85"/>
        <v>0.93457943925233633</v>
      </c>
      <c r="H777">
        <f t="shared" si="86"/>
        <v>0</v>
      </c>
      <c r="I777">
        <f t="shared" si="87"/>
        <v>0.93457943925233633</v>
      </c>
      <c r="J777" cm="1">
        <f t="array" ref="J777">INT(G777)+IF(100-SUM(INT(G$777:G$787))&gt;=RANK(I777,I$777:I$787)+COUNTIF(I$777:I777,I777)-1,1,0)</f>
        <v>1</v>
      </c>
      <c r="K777" t="str">
        <f>_xlfn.XLOOKUP(B777,BugList!A:A,BugList!H:H)</f>
        <v/>
      </c>
      <c r="L777" t="str">
        <f>IF(K777 = "","",_xlfn.XLOOKUP(B777, BugList!A:A,BugList!B:B,""))</f>
        <v/>
      </c>
      <c r="M777">
        <f>_xlfn.XLOOKUP(D777,BugList!C:C,BugList!N:N)</f>
        <v>4</v>
      </c>
      <c r="N777">
        <f>_xlfn.XLOOKUP(B777,BugList!A:A,BugList!R:R)</f>
        <v>4</v>
      </c>
      <c r="O777" t="b">
        <f>_xlfn.XLOOKUP(B777,BugList!A:A,BugList!L:L)</f>
        <v>0</v>
      </c>
      <c r="P777" t="b">
        <f t="shared" si="84"/>
        <v>0</v>
      </c>
      <c r="R777" t="b">
        <f>SUMPRODUCT(COUNTIF(_xlfn.XLOOKUP(B777,BugList!A:A,BugList!P:P), "*SC*"))&gt;0</f>
        <v>0</v>
      </c>
      <c r="S777" t="str">
        <f>_xlfn.XLOOKUP(B777,BugList!A:A,BugList!W:W)</f>
        <v/>
      </c>
      <c r="T777">
        <f t="shared" si="88"/>
        <v>4</v>
      </c>
      <c r="U777">
        <f t="shared" si="89"/>
        <v>4</v>
      </c>
    </row>
    <row r="778" spans="1:21">
      <c r="A778" t="s">
        <v>2660</v>
      </c>
      <c r="B778">
        <v>372</v>
      </c>
      <c r="D778" t="s">
        <v>88</v>
      </c>
      <c r="E778" t="s">
        <v>88</v>
      </c>
      <c r="F778">
        <v>6</v>
      </c>
      <c r="G778">
        <f t="shared" si="85"/>
        <v>5.6074766355140184</v>
      </c>
      <c r="H778">
        <f t="shared" si="86"/>
        <v>5</v>
      </c>
      <c r="I778">
        <f t="shared" si="87"/>
        <v>0.60747663551401843</v>
      </c>
      <c r="J778" cm="1">
        <f t="array" ref="J778">INT(G778)+IF(100-SUM(INT(G$777:G$787))&gt;=RANK(I778,I$777:I$787)+COUNTIF(I$777:I778,I778)-1,1,0)</f>
        <v>6</v>
      </c>
      <c r="K778" t="str">
        <f>_xlfn.XLOOKUP(B778,BugList!A:A,BugList!H:H)</f>
        <v/>
      </c>
      <c r="L778" t="str">
        <f>IF(K778 = "","",_xlfn.XLOOKUP(B778, BugList!A:A,BugList!B:B,""))</f>
        <v/>
      </c>
      <c r="M778">
        <f>_xlfn.XLOOKUP(D778,BugList!C:C,BugList!N:N)</f>
        <v>8</v>
      </c>
      <c r="N778">
        <f>_xlfn.XLOOKUP(B778,BugList!A:A,BugList!R:R)</f>
        <v>8</v>
      </c>
      <c r="O778" t="b">
        <f>_xlfn.XLOOKUP(B778,BugList!A:A,BugList!L:L)</f>
        <v>0</v>
      </c>
      <c r="P778" t="b">
        <f t="shared" si="84"/>
        <v>0</v>
      </c>
      <c r="R778" t="b">
        <f>SUMPRODUCT(COUNTIF(_xlfn.XLOOKUP(B778,BugList!A:A,BugList!P:P), "*SC*"))&gt;0</f>
        <v>0</v>
      </c>
      <c r="S778" t="str">
        <f>_xlfn.XLOOKUP(B778,BugList!A:A,BugList!W:W)</f>
        <v/>
      </c>
      <c r="T778">
        <f t="shared" si="88"/>
        <v>48</v>
      </c>
      <c r="U778">
        <f t="shared" si="89"/>
        <v>48</v>
      </c>
    </row>
    <row r="779" spans="1:21">
      <c r="A779" t="s">
        <v>2660</v>
      </c>
      <c r="B779">
        <v>513</v>
      </c>
      <c r="D779" t="s">
        <v>111</v>
      </c>
      <c r="E779" t="s">
        <v>111</v>
      </c>
      <c r="F779">
        <v>4</v>
      </c>
      <c r="G779">
        <f t="shared" si="85"/>
        <v>3.7383177570093453</v>
      </c>
      <c r="H779">
        <f t="shared" si="86"/>
        <v>3</v>
      </c>
      <c r="I779">
        <f t="shared" si="87"/>
        <v>0.73831775700934532</v>
      </c>
      <c r="J779" cm="1">
        <f t="array" ref="J779">INT(G779)+IF(100-SUM(INT(G$777:G$787))&gt;=RANK(I779,I$777:I$787)+COUNTIF(I$777:I779,I779)-1,1,0)</f>
        <v>4</v>
      </c>
      <c r="K779" t="str">
        <f>_xlfn.XLOOKUP(B779,BugList!A:A,BugList!H:H)</f>
        <v>*</v>
      </c>
      <c r="L779" t="str">
        <f>IF(K779 = "","",_xlfn.XLOOKUP(B779, BugList!A:A,BugList!B:B,""))</f>
        <v>Ephemeroptera</v>
      </c>
      <c r="M779">
        <f>_xlfn.XLOOKUP(D779,BugList!C:C,BugList!N:N)</f>
        <v>4</v>
      </c>
      <c r="N779">
        <f>_xlfn.XLOOKUP(B779,BugList!A:A,BugList!R:R)</f>
        <v>4</v>
      </c>
      <c r="O779" t="b">
        <f>_xlfn.XLOOKUP(B779,BugList!A:A,BugList!L:L)</f>
        <v>1</v>
      </c>
      <c r="P779" t="b">
        <f t="shared" si="84"/>
        <v>1</v>
      </c>
      <c r="R779" t="b">
        <f>SUMPRODUCT(COUNTIF(_xlfn.XLOOKUP(B779,BugList!A:A,BugList!P:P), "*SC*"))&gt;0</f>
        <v>1</v>
      </c>
      <c r="S779" t="str">
        <f>_xlfn.XLOOKUP(B779,BugList!A:A,BugList!W:W)</f>
        <v/>
      </c>
      <c r="T779">
        <f t="shared" si="88"/>
        <v>16</v>
      </c>
      <c r="U779">
        <f t="shared" si="89"/>
        <v>16</v>
      </c>
    </row>
    <row r="780" spans="1:21">
      <c r="A780" t="s">
        <v>2660</v>
      </c>
      <c r="B780">
        <v>602</v>
      </c>
      <c r="D780" t="s">
        <v>97</v>
      </c>
      <c r="E780" t="s">
        <v>97</v>
      </c>
      <c r="F780">
        <v>13</v>
      </c>
      <c r="G780">
        <f t="shared" si="85"/>
        <v>12.149532710280374</v>
      </c>
      <c r="H780">
        <f t="shared" si="86"/>
        <v>12</v>
      </c>
      <c r="I780">
        <f t="shared" si="87"/>
        <v>0.14953271028037385</v>
      </c>
      <c r="J780" cm="1">
        <f t="array" ref="J780">INT(G780)+IF(100-SUM(INT(G$777:G$787))&gt;=RANK(I780,I$777:I$787)+COUNTIF(I$777:I780,I780)-1,1,0)</f>
        <v>12</v>
      </c>
      <c r="K780" t="str">
        <f>_xlfn.XLOOKUP(B780,BugList!A:A,BugList!H:H)</f>
        <v/>
      </c>
      <c r="L780" t="str">
        <f>IF(K780 = "","",_xlfn.XLOOKUP(B780, BugList!A:A,BugList!B:B,""))</f>
        <v/>
      </c>
      <c r="M780">
        <f>_xlfn.XLOOKUP(D780,BugList!C:C,BugList!N:N)</f>
        <v>9</v>
      </c>
      <c r="N780">
        <f>_xlfn.XLOOKUP(B780,BugList!A:A,BugList!R:R)</f>
        <v>9</v>
      </c>
      <c r="O780" t="b">
        <f>_xlfn.XLOOKUP(B780,BugList!A:A,BugList!L:L)</f>
        <v>1</v>
      </c>
      <c r="P780" t="b">
        <f t="shared" si="84"/>
        <v>0</v>
      </c>
      <c r="R780" t="b">
        <f>SUMPRODUCT(COUNTIF(_xlfn.XLOOKUP(B780,BugList!A:A,BugList!P:P), "*SC*"))&gt;0</f>
        <v>0</v>
      </c>
      <c r="S780" t="str">
        <f>_xlfn.XLOOKUP(B780,BugList!A:A,BugList!W:W)</f>
        <v/>
      </c>
      <c r="T780">
        <f t="shared" si="88"/>
        <v>108</v>
      </c>
      <c r="U780">
        <f t="shared" si="89"/>
        <v>108</v>
      </c>
    </row>
    <row r="781" spans="1:21">
      <c r="A781" t="s">
        <v>2660</v>
      </c>
      <c r="B781">
        <v>620</v>
      </c>
      <c r="D781" t="s">
        <v>113</v>
      </c>
      <c r="E781" t="s">
        <v>113</v>
      </c>
      <c r="F781">
        <v>2</v>
      </c>
      <c r="G781">
        <f t="shared" si="85"/>
        <v>1.8691588785046727</v>
      </c>
      <c r="H781">
        <f t="shared" si="86"/>
        <v>1</v>
      </c>
      <c r="I781">
        <f t="shared" si="87"/>
        <v>0.86915887850467266</v>
      </c>
      <c r="J781" cm="1">
        <f t="array" ref="J781">INT(G781)+IF(100-SUM(INT(G$777:G$787))&gt;=RANK(I781,I$777:I$787)+COUNTIF(I$777:I781,I781)-1,1,0)</f>
        <v>2</v>
      </c>
      <c r="K781" t="str">
        <f>_xlfn.XLOOKUP(B781,BugList!A:A,BugList!H:H)</f>
        <v/>
      </c>
      <c r="L781" t="str">
        <f>IF(K781 = "","",_xlfn.XLOOKUP(B781, BugList!A:A,BugList!B:B,""))</f>
        <v/>
      </c>
      <c r="M781">
        <f>_xlfn.XLOOKUP(D781,BugList!C:C,BugList!N:N)</f>
        <v>1</v>
      </c>
      <c r="N781">
        <f>_xlfn.XLOOKUP(B781,BugList!A:A,BugList!R:R)</f>
        <v>1</v>
      </c>
      <c r="O781" t="b">
        <f>_xlfn.XLOOKUP(B781,BugList!A:A,BugList!L:L)</f>
        <v>1</v>
      </c>
      <c r="P781" t="b">
        <f t="shared" si="84"/>
        <v>0</v>
      </c>
      <c r="R781" t="b">
        <f>SUMPRODUCT(COUNTIF(_xlfn.XLOOKUP(B781,BugList!A:A,BugList!P:P), "*SC*"))&gt;0</f>
        <v>0</v>
      </c>
      <c r="S781" t="str">
        <f>_xlfn.XLOOKUP(B781,BugList!A:A,BugList!W:W)</f>
        <v>3</v>
      </c>
      <c r="T781">
        <f t="shared" si="88"/>
        <v>2</v>
      </c>
      <c r="U781">
        <f t="shared" si="89"/>
        <v>2</v>
      </c>
    </row>
    <row r="782" spans="1:21">
      <c r="A782" t="s">
        <v>2660</v>
      </c>
      <c r="B782">
        <v>794</v>
      </c>
      <c r="D782" t="s">
        <v>89</v>
      </c>
      <c r="E782" t="s">
        <v>89</v>
      </c>
      <c r="F782">
        <v>4</v>
      </c>
      <c r="G782">
        <f t="shared" si="85"/>
        <v>3.7383177570093453</v>
      </c>
      <c r="H782">
        <f t="shared" si="86"/>
        <v>3</v>
      </c>
      <c r="I782">
        <f t="shared" si="87"/>
        <v>0.73831775700934532</v>
      </c>
      <c r="J782" cm="1">
        <f t="array" ref="J782">INT(G782)+IF(100-SUM(INT(G$777:G$787))&gt;=RANK(I782,I$777:I$787)+COUNTIF(I$777:I782,I782)-1,1,0)</f>
        <v>4</v>
      </c>
      <c r="K782" t="str">
        <f>_xlfn.XLOOKUP(B782,BugList!A:A,BugList!H:H)</f>
        <v>*</v>
      </c>
      <c r="L782" t="str">
        <f>IF(K782 = "","",_xlfn.XLOOKUP(B782, BugList!A:A,BugList!B:B,""))</f>
        <v>Trichoptera</v>
      </c>
      <c r="M782">
        <f>_xlfn.XLOOKUP(D782,BugList!C:C,BugList!N:N)</f>
        <v>4</v>
      </c>
      <c r="N782">
        <f>_xlfn.XLOOKUP(B782,BugList!A:A,BugList!R:R)</f>
        <v>4</v>
      </c>
      <c r="O782" t="b">
        <f>_xlfn.XLOOKUP(B782,BugList!A:A,BugList!L:L)</f>
        <v>1</v>
      </c>
      <c r="P782" t="b">
        <f t="shared" si="84"/>
        <v>0</v>
      </c>
      <c r="R782" t="b">
        <f>SUMPRODUCT(COUNTIF(_xlfn.XLOOKUP(B782,BugList!A:A,BugList!P:P), "*SC*"))&gt;0</f>
        <v>0</v>
      </c>
      <c r="S782" t="str">
        <f>_xlfn.XLOOKUP(B782,BugList!A:A,BugList!W:W)</f>
        <v/>
      </c>
      <c r="T782">
        <f t="shared" si="88"/>
        <v>16</v>
      </c>
      <c r="U782">
        <f t="shared" si="89"/>
        <v>16</v>
      </c>
    </row>
    <row r="783" spans="1:21">
      <c r="A783" t="s">
        <v>2660</v>
      </c>
      <c r="B783">
        <v>837</v>
      </c>
      <c r="D783" t="s">
        <v>107</v>
      </c>
      <c r="E783" t="s">
        <v>107</v>
      </c>
      <c r="F783">
        <v>2</v>
      </c>
      <c r="G783">
        <f t="shared" si="85"/>
        <v>1.8691588785046727</v>
      </c>
      <c r="H783">
        <f t="shared" si="86"/>
        <v>1</v>
      </c>
      <c r="I783">
        <f t="shared" si="87"/>
        <v>0.86915887850467266</v>
      </c>
      <c r="J783" cm="1">
        <f t="array" ref="J783">INT(G783)+IF(100-SUM(INT(G$777:G$787))&gt;=RANK(I783,I$777:I$787)+COUNTIF(I$777:I783,I783)-1,1,0)</f>
        <v>2</v>
      </c>
      <c r="K783" t="str">
        <f>_xlfn.XLOOKUP(B783,BugList!A:A,BugList!H:H)</f>
        <v>*</v>
      </c>
      <c r="L783" t="str">
        <f>IF(K783 = "","",_xlfn.XLOOKUP(B783, BugList!A:A,BugList!B:B,""))</f>
        <v>Trichoptera</v>
      </c>
      <c r="M783">
        <f>_xlfn.XLOOKUP(D783,BugList!C:C,BugList!N:N)</f>
        <v>3</v>
      </c>
      <c r="N783">
        <f>_xlfn.XLOOKUP(B783,BugList!A:A,BugList!R:R)</f>
        <v>3</v>
      </c>
      <c r="O783" t="b">
        <f>_xlfn.XLOOKUP(B783,BugList!A:A,BugList!L:L)</f>
        <v>1</v>
      </c>
      <c r="P783" t="b">
        <f t="shared" si="84"/>
        <v>1</v>
      </c>
      <c r="R783" t="b">
        <f>SUMPRODUCT(COUNTIF(_xlfn.XLOOKUP(B783,BugList!A:A,BugList!P:P), "*SC*"))&gt;0</f>
        <v>0</v>
      </c>
      <c r="S783" t="str">
        <f>_xlfn.XLOOKUP(B783,BugList!A:A,BugList!W:W)</f>
        <v/>
      </c>
      <c r="T783">
        <f t="shared" si="88"/>
        <v>6</v>
      </c>
      <c r="U783">
        <f t="shared" si="89"/>
        <v>6</v>
      </c>
    </row>
    <row r="784" spans="1:21">
      <c r="A784" t="s">
        <v>2660</v>
      </c>
      <c r="B784">
        <v>935</v>
      </c>
      <c r="D784" t="s">
        <v>98</v>
      </c>
      <c r="E784" t="s">
        <v>98</v>
      </c>
      <c r="F784">
        <v>7</v>
      </c>
      <c r="G784">
        <f t="shared" si="85"/>
        <v>6.5420560747663545</v>
      </c>
      <c r="H784">
        <f t="shared" si="86"/>
        <v>6</v>
      </c>
      <c r="I784">
        <f t="shared" si="87"/>
        <v>0.54205607476635453</v>
      </c>
      <c r="J784" cm="1">
        <f t="array" ref="J784">INT(G784)+IF(100-SUM(INT(G$777:G$787))&gt;=RANK(I784,I$777:I$787)+COUNTIF(I$777:I784,I784)-1,1,0)</f>
        <v>6</v>
      </c>
      <c r="K784" t="str">
        <f>_xlfn.XLOOKUP(B784,BugList!A:A,BugList!H:H)</f>
        <v/>
      </c>
      <c r="L784" t="str">
        <f>IF(K784 = "","",_xlfn.XLOOKUP(B784, BugList!A:A,BugList!B:B,""))</f>
        <v/>
      </c>
      <c r="M784">
        <f>_xlfn.XLOOKUP(D784,BugList!C:C,BugList!N:N)</f>
        <v>4</v>
      </c>
      <c r="N784">
        <f>_xlfn.XLOOKUP(B784,BugList!A:A,BugList!R:R)</f>
        <v>4</v>
      </c>
      <c r="O784" t="b">
        <f>_xlfn.XLOOKUP(B784,BugList!A:A,BugList!L:L)</f>
        <v>1</v>
      </c>
      <c r="P784" t="b">
        <f t="shared" si="84"/>
        <v>0</v>
      </c>
      <c r="R784" t="b">
        <f>SUMPRODUCT(COUNTIF(_xlfn.XLOOKUP(B784,BugList!A:A,BugList!P:P), "*SC*"))&gt;0</f>
        <v>1</v>
      </c>
      <c r="S784" t="str">
        <f>_xlfn.XLOOKUP(B784,BugList!A:A,BugList!W:W)</f>
        <v/>
      </c>
      <c r="T784">
        <f t="shared" si="88"/>
        <v>24</v>
      </c>
      <c r="U784">
        <f t="shared" si="89"/>
        <v>24</v>
      </c>
    </row>
    <row r="785" spans="1:21">
      <c r="A785" t="s">
        <v>2660</v>
      </c>
      <c r="B785">
        <v>1002</v>
      </c>
      <c r="D785" t="s">
        <v>100</v>
      </c>
      <c r="E785" t="s">
        <v>100</v>
      </c>
      <c r="F785">
        <v>61</v>
      </c>
      <c r="G785">
        <f t="shared" si="85"/>
        <v>57.009345794392516</v>
      </c>
      <c r="H785">
        <f t="shared" si="86"/>
        <v>57</v>
      </c>
      <c r="I785">
        <f t="shared" si="87"/>
        <v>9.345794392515927E-3</v>
      </c>
      <c r="J785" cm="1">
        <f t="array" ref="J785">INT(G785)+IF(100-SUM(INT(G$777:G$787))&gt;=RANK(I785,I$777:I$787)+COUNTIF(I$777:I785,I785)-1,1,0)</f>
        <v>57</v>
      </c>
      <c r="K785" t="str">
        <f>_xlfn.XLOOKUP(B785,BugList!A:A,BugList!H:H)</f>
        <v/>
      </c>
      <c r="L785" t="str">
        <f>IF(K785 = "","",_xlfn.XLOOKUP(B785, BugList!A:A,BugList!B:B,""))</f>
        <v/>
      </c>
      <c r="M785">
        <f>_xlfn.XLOOKUP(D785,BugList!C:C,BugList!N:N)</f>
        <v>4</v>
      </c>
      <c r="N785">
        <f>_xlfn.XLOOKUP(B785,BugList!A:A,BugList!R:R)</f>
        <v>4</v>
      </c>
      <c r="O785" t="b">
        <f>_xlfn.XLOOKUP(B785,BugList!A:A,BugList!L:L)</f>
        <v>1</v>
      </c>
      <c r="P785" t="b">
        <f t="shared" si="84"/>
        <v>0</v>
      </c>
      <c r="R785" t="b">
        <f>SUMPRODUCT(COUNTIF(_xlfn.XLOOKUP(B785,BugList!A:A,BugList!P:P), "*SC*"))&gt;0</f>
        <v>1</v>
      </c>
      <c r="S785" t="str">
        <f>_xlfn.XLOOKUP(B785,BugList!A:A,BugList!W:W)</f>
        <v/>
      </c>
      <c r="T785">
        <f t="shared" si="88"/>
        <v>228</v>
      </c>
      <c r="U785">
        <f t="shared" si="89"/>
        <v>228</v>
      </c>
    </row>
    <row r="786" spans="1:21">
      <c r="A786" t="s">
        <v>2660</v>
      </c>
      <c r="B786">
        <v>1578</v>
      </c>
      <c r="D786" t="s">
        <v>102</v>
      </c>
      <c r="E786" t="s">
        <v>102</v>
      </c>
      <c r="F786">
        <v>1</v>
      </c>
      <c r="G786">
        <f t="shared" si="85"/>
        <v>0.93457943925233633</v>
      </c>
      <c r="H786">
        <f t="shared" si="86"/>
        <v>0</v>
      </c>
      <c r="I786">
        <f t="shared" si="87"/>
        <v>0.93457943925233633</v>
      </c>
      <c r="J786" cm="1">
        <f t="array" ref="J786">INT(G786)+IF(100-SUM(INT(G$777:G$787))&gt;=RANK(I786,I$777:I$787)+COUNTIF(I$777:I786,I786)-1,1,0)</f>
        <v>1</v>
      </c>
      <c r="K786" t="str">
        <f>_xlfn.XLOOKUP(B786,BugList!A:A,BugList!H:H)</f>
        <v/>
      </c>
      <c r="L786" t="str">
        <f>IF(K786 = "","",_xlfn.XLOOKUP(B786, BugList!A:A,BugList!B:B,""))</f>
        <v/>
      </c>
      <c r="M786">
        <f>_xlfn.XLOOKUP(D786,BugList!C:C,BugList!N:N)</f>
        <v>7</v>
      </c>
      <c r="N786">
        <f>_xlfn.XLOOKUP(B786,BugList!A:A,BugList!R:R)</f>
        <v>7</v>
      </c>
      <c r="O786" t="b">
        <f>_xlfn.XLOOKUP(B786,BugList!A:A,BugList!L:L)</f>
        <v>0</v>
      </c>
      <c r="P786" t="b">
        <f t="shared" si="84"/>
        <v>0</v>
      </c>
      <c r="R786" t="b">
        <f>SUMPRODUCT(COUNTIF(_xlfn.XLOOKUP(B786,BugList!A:A,BugList!P:P), "*SC*"))&gt;0</f>
        <v>0</v>
      </c>
      <c r="S786" t="str">
        <f>_xlfn.XLOOKUP(B786,BugList!A:A,BugList!W:W)</f>
        <v/>
      </c>
      <c r="T786">
        <f t="shared" si="88"/>
        <v>7</v>
      </c>
      <c r="U786">
        <f t="shared" si="89"/>
        <v>7</v>
      </c>
    </row>
    <row r="787" spans="1:21">
      <c r="A787" t="s">
        <v>2660</v>
      </c>
      <c r="B787">
        <v>1614</v>
      </c>
      <c r="D787" t="s">
        <v>92</v>
      </c>
      <c r="E787" t="s">
        <v>92</v>
      </c>
      <c r="F787">
        <v>6</v>
      </c>
      <c r="G787">
        <f t="shared" si="85"/>
        <v>5.6074766355140184</v>
      </c>
      <c r="H787">
        <f t="shared" si="86"/>
        <v>5</v>
      </c>
      <c r="I787">
        <f t="shared" si="87"/>
        <v>0.60747663551401843</v>
      </c>
      <c r="J787" cm="1">
        <f t="array" ref="J787">INT(G787)+IF(100-SUM(INT(G$777:G$787))&gt;=RANK(I787,I$777:I$787)+COUNTIF(I$777:I787,I787)-1,1,0)</f>
        <v>5</v>
      </c>
      <c r="K787" t="str">
        <f>_xlfn.XLOOKUP(B787,BugList!A:A,BugList!H:H)</f>
        <v/>
      </c>
      <c r="L787" t="str">
        <f>IF(K787 = "","",_xlfn.XLOOKUP(B787, BugList!A:A,BugList!B:B,""))</f>
        <v/>
      </c>
      <c r="M787">
        <f>_xlfn.XLOOKUP(D787,BugList!C:C,BugList!N:N)</f>
        <v>8</v>
      </c>
      <c r="N787">
        <f>_xlfn.XLOOKUP(B787,BugList!A:A,BugList!R:R)</f>
        <v>8</v>
      </c>
      <c r="O787" t="b">
        <f>_xlfn.XLOOKUP(B787,BugList!A:A,BugList!L:L)</f>
        <v>0</v>
      </c>
      <c r="P787" t="b">
        <f t="shared" si="84"/>
        <v>0</v>
      </c>
      <c r="R787" t="b">
        <f>SUMPRODUCT(COUNTIF(_xlfn.XLOOKUP(B787,BugList!A:A,BugList!P:P), "*SC*"))&gt;0</f>
        <v>0</v>
      </c>
      <c r="S787" t="str">
        <f>_xlfn.XLOOKUP(B787,BugList!A:A,BugList!W:W)</f>
        <v/>
      </c>
      <c r="T787">
        <f t="shared" si="88"/>
        <v>40</v>
      </c>
      <c r="U787">
        <f t="shared" si="89"/>
        <v>40</v>
      </c>
    </row>
    <row r="788" spans="1:21">
      <c r="A788" t="s">
        <v>2661</v>
      </c>
      <c r="B788">
        <v>88</v>
      </c>
      <c r="D788" t="s">
        <v>85</v>
      </c>
      <c r="E788" t="s">
        <v>85</v>
      </c>
      <c r="F788">
        <v>5</v>
      </c>
      <c r="G788">
        <f t="shared" si="85"/>
        <v>4.5454545454545459</v>
      </c>
      <c r="H788">
        <f t="shared" si="86"/>
        <v>4</v>
      </c>
      <c r="I788">
        <f t="shared" si="87"/>
        <v>0.54545454545454586</v>
      </c>
      <c r="J788" cm="1">
        <f t="array" ref="J788">INT(G788)+IF(100-SUM(INT(G$788:G$800))&gt;=RANK(I788,I$788:I$800)+COUNTIF(I$788:I788,I788)-1,1,0)</f>
        <v>4</v>
      </c>
      <c r="K788" t="str">
        <f>_xlfn.XLOOKUP(B788,BugList!A:A,BugList!H:H)</f>
        <v/>
      </c>
      <c r="L788" t="str">
        <f>IF(K788 = "","",_xlfn.XLOOKUP(B788, BugList!A:A,BugList!B:B,""))</f>
        <v/>
      </c>
      <c r="M788">
        <f>_xlfn.XLOOKUP(D788,BugList!C:C,BugList!N:N)</f>
        <v>4</v>
      </c>
      <c r="N788">
        <f>_xlfn.XLOOKUP(B788,BugList!A:A,BugList!R:R)</f>
        <v>4</v>
      </c>
      <c r="O788" t="b">
        <f>_xlfn.XLOOKUP(B788,BugList!A:A,BugList!L:L)</f>
        <v>0</v>
      </c>
      <c r="P788" t="b">
        <f t="shared" si="84"/>
        <v>0</v>
      </c>
      <c r="R788" t="b">
        <f>SUMPRODUCT(COUNTIF(_xlfn.XLOOKUP(B788,BugList!A:A,BugList!P:P), "*SC*"))&gt;0</f>
        <v>0</v>
      </c>
      <c r="S788" t="str">
        <f>_xlfn.XLOOKUP(B788,BugList!A:A,BugList!W:W)</f>
        <v/>
      </c>
      <c r="T788">
        <f t="shared" si="88"/>
        <v>16</v>
      </c>
      <c r="U788">
        <f t="shared" si="89"/>
        <v>16</v>
      </c>
    </row>
    <row r="789" spans="1:21">
      <c r="A789" t="s">
        <v>2661</v>
      </c>
      <c r="B789">
        <v>99</v>
      </c>
      <c r="D789" t="s">
        <v>169</v>
      </c>
      <c r="E789" t="s">
        <v>169</v>
      </c>
      <c r="F789">
        <v>1</v>
      </c>
      <c r="G789">
        <f t="shared" si="85"/>
        <v>0.90909090909090906</v>
      </c>
      <c r="H789">
        <f t="shared" si="86"/>
        <v>0</v>
      </c>
      <c r="I789">
        <f t="shared" si="87"/>
        <v>0.90909090909090906</v>
      </c>
      <c r="J789" cm="1">
        <f t="array" ref="J789">INT(G789)+IF(100-SUM(INT(G$788:G$800))&gt;=RANK(I789,I$788:I$800)+COUNTIF(I$788:I789,I789)-1,1,0)</f>
        <v>1</v>
      </c>
      <c r="K789" t="str">
        <f>_xlfn.XLOOKUP(B789,BugList!A:A,BugList!H:H)</f>
        <v/>
      </c>
      <c r="L789" t="str">
        <f>IF(K789 = "","",_xlfn.XLOOKUP(B789, BugList!A:A,BugList!B:B,""))</f>
        <v/>
      </c>
      <c r="M789">
        <f>_xlfn.XLOOKUP(D789,BugList!C:C,BugList!N:N)</f>
        <v>5</v>
      </c>
      <c r="N789">
        <f>_xlfn.XLOOKUP(B789,BugList!A:A,BugList!R:R)</f>
        <v>5</v>
      </c>
      <c r="O789" t="b">
        <f>_xlfn.XLOOKUP(B789,BugList!A:A,BugList!L:L)</f>
        <v>0</v>
      </c>
      <c r="P789" t="b">
        <f t="shared" si="84"/>
        <v>0</v>
      </c>
      <c r="R789" t="b">
        <f>SUMPRODUCT(COUNTIF(_xlfn.XLOOKUP(B789,BugList!A:A,BugList!P:P), "*SC*"))&gt;0</f>
        <v>0</v>
      </c>
      <c r="S789" t="str">
        <f>_xlfn.XLOOKUP(B789,BugList!A:A,BugList!W:W)</f>
        <v/>
      </c>
      <c r="T789">
        <f t="shared" si="88"/>
        <v>5</v>
      </c>
      <c r="U789">
        <f t="shared" si="89"/>
        <v>5</v>
      </c>
    </row>
    <row r="790" spans="1:21">
      <c r="A790" t="s">
        <v>2661</v>
      </c>
      <c r="B790">
        <v>372</v>
      </c>
      <c r="D790" t="s">
        <v>88</v>
      </c>
      <c r="E790" t="s">
        <v>88</v>
      </c>
      <c r="F790">
        <v>4</v>
      </c>
      <c r="G790">
        <f t="shared" si="85"/>
        <v>3.6363636363636362</v>
      </c>
      <c r="H790">
        <f t="shared" si="86"/>
        <v>3</v>
      </c>
      <c r="I790">
        <f t="shared" si="87"/>
        <v>0.63636363636363624</v>
      </c>
      <c r="J790" cm="1">
        <f t="array" ref="J790">INT(G790)+IF(100-SUM(INT(G$788:G$800))&gt;=RANK(I790,I$788:I$800)+COUNTIF(I$788:I790,I790)-1,1,0)</f>
        <v>4</v>
      </c>
      <c r="K790" t="str">
        <f>_xlfn.XLOOKUP(B790,BugList!A:A,BugList!H:H)</f>
        <v/>
      </c>
      <c r="L790" t="str">
        <f>IF(K790 = "","",_xlfn.XLOOKUP(B790, BugList!A:A,BugList!B:B,""))</f>
        <v/>
      </c>
      <c r="M790">
        <f>_xlfn.XLOOKUP(D790,BugList!C:C,BugList!N:N)</f>
        <v>8</v>
      </c>
      <c r="N790">
        <f>_xlfn.XLOOKUP(B790,BugList!A:A,BugList!R:R)</f>
        <v>8</v>
      </c>
      <c r="O790" t="b">
        <f>_xlfn.XLOOKUP(B790,BugList!A:A,BugList!L:L)</f>
        <v>0</v>
      </c>
      <c r="P790" t="b">
        <f t="shared" si="84"/>
        <v>0</v>
      </c>
      <c r="R790" t="b">
        <f>SUMPRODUCT(COUNTIF(_xlfn.XLOOKUP(B790,BugList!A:A,BugList!P:P), "*SC*"))&gt;0</f>
        <v>0</v>
      </c>
      <c r="S790" t="str">
        <f>_xlfn.XLOOKUP(B790,BugList!A:A,BugList!W:W)</f>
        <v/>
      </c>
      <c r="T790">
        <f t="shared" si="88"/>
        <v>32</v>
      </c>
      <c r="U790">
        <f t="shared" si="89"/>
        <v>32</v>
      </c>
    </row>
    <row r="791" spans="1:21">
      <c r="A791" t="s">
        <v>2661</v>
      </c>
      <c r="B791">
        <v>513</v>
      </c>
      <c r="D791" t="s">
        <v>111</v>
      </c>
      <c r="E791" t="s">
        <v>111</v>
      </c>
      <c r="F791">
        <v>4</v>
      </c>
      <c r="G791">
        <f t="shared" si="85"/>
        <v>3.6363636363636362</v>
      </c>
      <c r="H791">
        <f t="shared" si="86"/>
        <v>3</v>
      </c>
      <c r="I791">
        <f t="shared" si="87"/>
        <v>0.63636363636363624</v>
      </c>
      <c r="J791" cm="1">
        <f t="array" ref="J791">INT(G791)+IF(100-SUM(INT(G$788:G$800))&gt;=RANK(I791,I$788:I$800)+COUNTIF(I$788:I791,I791)-1,1,0)</f>
        <v>3</v>
      </c>
      <c r="K791" t="str">
        <f>_xlfn.XLOOKUP(B791,BugList!A:A,BugList!H:H)</f>
        <v>*</v>
      </c>
      <c r="L791" t="str">
        <f>IF(K791 = "","",_xlfn.XLOOKUP(B791, BugList!A:A,BugList!B:B,""))</f>
        <v>Ephemeroptera</v>
      </c>
      <c r="M791">
        <f>_xlfn.XLOOKUP(D791,BugList!C:C,BugList!N:N)</f>
        <v>4</v>
      </c>
      <c r="N791">
        <f>_xlfn.XLOOKUP(B791,BugList!A:A,BugList!R:R)</f>
        <v>4</v>
      </c>
      <c r="O791" t="b">
        <f>_xlfn.XLOOKUP(B791,BugList!A:A,BugList!L:L)</f>
        <v>1</v>
      </c>
      <c r="P791" t="b">
        <f t="shared" si="84"/>
        <v>1</v>
      </c>
      <c r="R791" t="b">
        <f>SUMPRODUCT(COUNTIF(_xlfn.XLOOKUP(B791,BugList!A:A,BugList!P:P), "*SC*"))&gt;0</f>
        <v>1</v>
      </c>
      <c r="S791" t="str">
        <f>_xlfn.XLOOKUP(B791,BugList!A:A,BugList!W:W)</f>
        <v/>
      </c>
      <c r="T791">
        <f t="shared" si="88"/>
        <v>12</v>
      </c>
      <c r="U791">
        <f t="shared" si="89"/>
        <v>12</v>
      </c>
    </row>
    <row r="792" spans="1:21">
      <c r="A792" t="s">
        <v>2661</v>
      </c>
      <c r="B792">
        <v>602</v>
      </c>
      <c r="D792" t="s">
        <v>97</v>
      </c>
      <c r="E792" t="s">
        <v>97</v>
      </c>
      <c r="F792">
        <v>14</v>
      </c>
      <c r="G792">
        <f t="shared" si="85"/>
        <v>12.727272727272727</v>
      </c>
      <c r="H792">
        <f t="shared" si="86"/>
        <v>12</v>
      </c>
      <c r="I792">
        <f t="shared" si="87"/>
        <v>0.72727272727272663</v>
      </c>
      <c r="J792" cm="1">
        <f t="array" ref="J792">INT(G792)+IF(100-SUM(INT(G$788:G$800))&gt;=RANK(I792,I$788:I$800)+COUNTIF(I$788:I792,I792)-1,1,0)</f>
        <v>13</v>
      </c>
      <c r="K792" t="str">
        <f>_xlfn.XLOOKUP(B792,BugList!A:A,BugList!H:H)</f>
        <v/>
      </c>
      <c r="L792" t="str">
        <f>IF(K792 = "","",_xlfn.XLOOKUP(B792, BugList!A:A,BugList!B:B,""))</f>
        <v/>
      </c>
      <c r="M792">
        <f>_xlfn.XLOOKUP(D792,BugList!C:C,BugList!N:N)</f>
        <v>9</v>
      </c>
      <c r="N792">
        <f>_xlfn.XLOOKUP(B792,BugList!A:A,BugList!R:R)</f>
        <v>9</v>
      </c>
      <c r="O792" t="b">
        <f>_xlfn.XLOOKUP(B792,BugList!A:A,BugList!L:L)</f>
        <v>1</v>
      </c>
      <c r="P792" t="b">
        <f t="shared" si="84"/>
        <v>0</v>
      </c>
      <c r="R792" t="b">
        <f>SUMPRODUCT(COUNTIF(_xlfn.XLOOKUP(B792,BugList!A:A,BugList!P:P), "*SC*"))&gt;0</f>
        <v>0</v>
      </c>
      <c r="S792" t="str">
        <f>_xlfn.XLOOKUP(B792,BugList!A:A,BugList!W:W)</f>
        <v/>
      </c>
      <c r="T792">
        <f t="shared" si="88"/>
        <v>117</v>
      </c>
      <c r="U792">
        <f t="shared" si="89"/>
        <v>117</v>
      </c>
    </row>
    <row r="793" spans="1:21">
      <c r="A793" t="s">
        <v>2661</v>
      </c>
      <c r="B793">
        <v>794</v>
      </c>
      <c r="D793" t="s">
        <v>89</v>
      </c>
      <c r="E793" t="s">
        <v>89</v>
      </c>
      <c r="F793">
        <v>3</v>
      </c>
      <c r="G793">
        <f t="shared" si="85"/>
        <v>2.7272727272727271</v>
      </c>
      <c r="H793">
        <f t="shared" si="86"/>
        <v>2</v>
      </c>
      <c r="I793">
        <f t="shared" si="87"/>
        <v>0.72727272727272707</v>
      </c>
      <c r="J793" cm="1">
        <f t="array" ref="J793">INT(G793)+IF(100-SUM(INT(G$788:G$800))&gt;=RANK(I793,I$788:I$800)+COUNTIF(I$788:I793,I793)-1,1,0)</f>
        <v>3</v>
      </c>
      <c r="K793" t="str">
        <f>_xlfn.XLOOKUP(B793,BugList!A:A,BugList!H:H)</f>
        <v>*</v>
      </c>
      <c r="L793" t="str">
        <f>IF(K793 = "","",_xlfn.XLOOKUP(B793, BugList!A:A,BugList!B:B,""))</f>
        <v>Trichoptera</v>
      </c>
      <c r="M793">
        <f>_xlfn.XLOOKUP(D793,BugList!C:C,BugList!N:N)</f>
        <v>4</v>
      </c>
      <c r="N793">
        <f>_xlfn.XLOOKUP(B793,BugList!A:A,BugList!R:R)</f>
        <v>4</v>
      </c>
      <c r="O793" t="b">
        <f>_xlfn.XLOOKUP(B793,BugList!A:A,BugList!L:L)</f>
        <v>1</v>
      </c>
      <c r="P793" t="b">
        <f t="shared" si="84"/>
        <v>0</v>
      </c>
      <c r="R793" t="b">
        <f>SUMPRODUCT(COUNTIF(_xlfn.XLOOKUP(B793,BugList!A:A,BugList!P:P), "*SC*"))&gt;0</f>
        <v>0</v>
      </c>
      <c r="S793" t="str">
        <f>_xlfn.XLOOKUP(B793,BugList!A:A,BugList!W:W)</f>
        <v/>
      </c>
      <c r="T793">
        <f t="shared" si="88"/>
        <v>12</v>
      </c>
      <c r="U793">
        <f t="shared" si="89"/>
        <v>12</v>
      </c>
    </row>
    <row r="794" spans="1:21">
      <c r="A794" t="s">
        <v>2661</v>
      </c>
      <c r="B794">
        <v>837</v>
      </c>
      <c r="D794" t="s">
        <v>107</v>
      </c>
      <c r="E794" t="s">
        <v>107</v>
      </c>
      <c r="F794">
        <v>1</v>
      </c>
      <c r="G794">
        <f t="shared" ref="G794:G825" si="90">(F794/(SUMIFS(F:F,A:A,A794))*100)</f>
        <v>0.90909090909090906</v>
      </c>
      <c r="H794">
        <f t="shared" ref="H794:H825" si="91">INT(G794)</f>
        <v>0</v>
      </c>
      <c r="I794">
        <f t="shared" ref="I794:I825" si="92">G794-H794</f>
        <v>0.90909090909090906</v>
      </c>
      <c r="J794" cm="1">
        <f t="array" ref="J794">INT(G794)+IF(100-SUM(INT(G$788:G$800))&gt;=RANK(I794,I$788:I$800)+COUNTIF(I$788:I794,I794)-1,1,0)</f>
        <v>1</v>
      </c>
      <c r="K794" t="str">
        <f>_xlfn.XLOOKUP(B794,BugList!A:A,BugList!H:H)</f>
        <v>*</v>
      </c>
      <c r="L794" t="str">
        <f>IF(K794 = "","",_xlfn.XLOOKUP(B794, BugList!A:A,BugList!B:B,""))</f>
        <v>Trichoptera</v>
      </c>
      <c r="M794">
        <f>_xlfn.XLOOKUP(D794,BugList!C:C,BugList!N:N)</f>
        <v>3</v>
      </c>
      <c r="N794">
        <f>_xlfn.XLOOKUP(B794,BugList!A:A,BugList!R:R)</f>
        <v>3</v>
      </c>
      <c r="O794" t="b">
        <f>_xlfn.XLOOKUP(B794,BugList!A:A,BugList!L:L)</f>
        <v>1</v>
      </c>
      <c r="P794" t="b">
        <f t="shared" si="84"/>
        <v>1</v>
      </c>
      <c r="R794" t="b">
        <f>SUMPRODUCT(COUNTIF(_xlfn.XLOOKUP(B794,BugList!A:A,BugList!P:P), "*SC*"))&gt;0</f>
        <v>0</v>
      </c>
      <c r="S794" t="str">
        <f>_xlfn.XLOOKUP(B794,BugList!A:A,BugList!W:W)</f>
        <v/>
      </c>
      <c r="T794">
        <f t="shared" si="88"/>
        <v>3</v>
      </c>
      <c r="U794">
        <f t="shared" si="89"/>
        <v>3</v>
      </c>
    </row>
    <row r="795" spans="1:21">
      <c r="A795" t="s">
        <v>2661</v>
      </c>
      <c r="B795">
        <v>842</v>
      </c>
      <c r="D795" t="s">
        <v>163</v>
      </c>
      <c r="E795" t="s">
        <v>163</v>
      </c>
      <c r="F795">
        <v>1</v>
      </c>
      <c r="G795">
        <f t="shared" si="90"/>
        <v>0.90909090909090906</v>
      </c>
      <c r="H795">
        <f t="shared" si="91"/>
        <v>0</v>
      </c>
      <c r="I795">
        <f t="shared" si="92"/>
        <v>0.90909090909090906</v>
      </c>
      <c r="J795" cm="1">
        <f t="array" ref="J795">INT(G795)+IF(100-SUM(INT(G$788:G$800))&gt;=RANK(I795,I$788:I$800)+COUNTIF(I$788:I795,I795)-1,1,0)</f>
        <v>1</v>
      </c>
      <c r="K795" t="str">
        <f>_xlfn.XLOOKUP(B795,BugList!A:A,BugList!H:H)</f>
        <v>*</v>
      </c>
      <c r="L795" t="str">
        <f>IF(K795 = "","",_xlfn.XLOOKUP(B795, BugList!A:A,BugList!B:B,""))</f>
        <v>Trichoptera</v>
      </c>
      <c r="M795">
        <f>_xlfn.XLOOKUP(D795,BugList!C:C,BugList!N:N)</f>
        <v>6</v>
      </c>
      <c r="N795">
        <f>_xlfn.XLOOKUP(B795,BugList!A:A,BugList!R:R)</f>
        <v>6</v>
      </c>
      <c r="O795" t="b">
        <f>_xlfn.XLOOKUP(B795,BugList!A:A,BugList!L:L)</f>
        <v>1</v>
      </c>
      <c r="P795" t="b">
        <f t="shared" si="84"/>
        <v>1</v>
      </c>
      <c r="R795" t="b">
        <f>SUMPRODUCT(COUNTIF(_xlfn.XLOOKUP(B795,BugList!A:A,BugList!P:P), "*SC*"))&gt;0</f>
        <v>0</v>
      </c>
      <c r="S795" t="str">
        <f>_xlfn.XLOOKUP(B795,BugList!A:A,BugList!W:W)</f>
        <v/>
      </c>
      <c r="T795">
        <f t="shared" si="88"/>
        <v>6</v>
      </c>
      <c r="U795">
        <f t="shared" si="89"/>
        <v>6</v>
      </c>
    </row>
    <row r="796" spans="1:21">
      <c r="A796" t="s">
        <v>2661</v>
      </c>
      <c r="B796">
        <v>935</v>
      </c>
      <c r="D796" t="s">
        <v>98</v>
      </c>
      <c r="E796" t="s">
        <v>98</v>
      </c>
      <c r="F796">
        <v>4</v>
      </c>
      <c r="G796">
        <f t="shared" si="90"/>
        <v>3.6363636363636362</v>
      </c>
      <c r="H796">
        <f t="shared" si="91"/>
        <v>3</v>
      </c>
      <c r="I796">
        <f t="shared" si="92"/>
        <v>0.63636363636363624</v>
      </c>
      <c r="J796" cm="1">
        <f t="array" ref="J796">INT(G796)+IF(100-SUM(INT(G$788:G$800))&gt;=RANK(I796,I$788:I$800)+COUNTIF(I$788:I796,I796)-1,1,0)</f>
        <v>3</v>
      </c>
      <c r="K796" t="str">
        <f>_xlfn.XLOOKUP(B796,BugList!A:A,BugList!H:H)</f>
        <v/>
      </c>
      <c r="L796" t="str">
        <f>IF(K796 = "","",_xlfn.XLOOKUP(B796, BugList!A:A,BugList!B:B,""))</f>
        <v/>
      </c>
      <c r="M796">
        <f>_xlfn.XLOOKUP(D796,BugList!C:C,BugList!N:N)</f>
        <v>4</v>
      </c>
      <c r="N796">
        <f>_xlfn.XLOOKUP(B796,BugList!A:A,BugList!R:R)</f>
        <v>4</v>
      </c>
      <c r="O796" t="b">
        <f>_xlfn.XLOOKUP(B796,BugList!A:A,BugList!L:L)</f>
        <v>1</v>
      </c>
      <c r="P796" t="b">
        <f t="shared" si="84"/>
        <v>0</v>
      </c>
      <c r="R796" t="b">
        <f>SUMPRODUCT(COUNTIF(_xlfn.XLOOKUP(B796,BugList!A:A,BugList!P:P), "*SC*"))&gt;0</f>
        <v>1</v>
      </c>
      <c r="S796" t="str">
        <f>_xlfn.XLOOKUP(B796,BugList!A:A,BugList!W:W)</f>
        <v/>
      </c>
      <c r="T796">
        <f t="shared" si="88"/>
        <v>12</v>
      </c>
      <c r="U796">
        <f t="shared" si="89"/>
        <v>12</v>
      </c>
    </row>
    <row r="797" spans="1:21">
      <c r="A797" t="s">
        <v>2661</v>
      </c>
      <c r="B797">
        <v>1002</v>
      </c>
      <c r="D797" t="s">
        <v>100</v>
      </c>
      <c r="E797" t="s">
        <v>100</v>
      </c>
      <c r="F797">
        <v>68</v>
      </c>
      <c r="G797">
        <f t="shared" si="90"/>
        <v>61.818181818181813</v>
      </c>
      <c r="H797">
        <f t="shared" si="91"/>
        <v>61</v>
      </c>
      <c r="I797">
        <f t="shared" si="92"/>
        <v>0.81818181818181301</v>
      </c>
      <c r="J797" cm="1">
        <f t="array" ref="J797">INT(G797)+IF(100-SUM(INT(G$788:G$800))&gt;=RANK(I797,I$788:I$800)+COUNTIF(I$788:I797,I797)-1,1,0)</f>
        <v>62</v>
      </c>
      <c r="K797" t="str">
        <f>_xlfn.XLOOKUP(B797,BugList!A:A,BugList!H:H)</f>
        <v/>
      </c>
      <c r="L797" t="str">
        <f>IF(K797 = "","",_xlfn.XLOOKUP(B797, BugList!A:A,BugList!B:B,""))</f>
        <v/>
      </c>
      <c r="M797">
        <f>_xlfn.XLOOKUP(D797,BugList!C:C,BugList!N:N)</f>
        <v>4</v>
      </c>
      <c r="N797">
        <f>_xlfn.XLOOKUP(B797,BugList!A:A,BugList!R:R)</f>
        <v>4</v>
      </c>
      <c r="O797" t="b">
        <f>_xlfn.XLOOKUP(B797,BugList!A:A,BugList!L:L)</f>
        <v>1</v>
      </c>
      <c r="P797" t="b">
        <f t="shared" si="84"/>
        <v>0</v>
      </c>
      <c r="R797" t="b">
        <f>SUMPRODUCT(COUNTIF(_xlfn.XLOOKUP(B797,BugList!A:A,BugList!P:P), "*SC*"))&gt;0</f>
        <v>1</v>
      </c>
      <c r="S797" t="str">
        <f>_xlfn.XLOOKUP(B797,BugList!A:A,BugList!W:W)</f>
        <v/>
      </c>
      <c r="T797">
        <f t="shared" si="88"/>
        <v>248</v>
      </c>
      <c r="U797">
        <f t="shared" si="89"/>
        <v>248</v>
      </c>
    </row>
    <row r="798" spans="1:21">
      <c r="A798" t="s">
        <v>2661</v>
      </c>
      <c r="B798">
        <v>1582</v>
      </c>
      <c r="D798" t="s">
        <v>121</v>
      </c>
      <c r="E798" t="s">
        <v>121</v>
      </c>
      <c r="F798">
        <v>2</v>
      </c>
      <c r="G798">
        <f t="shared" si="90"/>
        <v>1.8181818181818181</v>
      </c>
      <c r="H798">
        <f t="shared" si="91"/>
        <v>1</v>
      </c>
      <c r="I798">
        <f t="shared" si="92"/>
        <v>0.81818181818181812</v>
      </c>
      <c r="J798" cm="1">
        <f t="array" ref="J798">INT(G798)+IF(100-SUM(INT(G$788:G$800))&gt;=RANK(I798,I$788:I$800)+COUNTIF(I$788:I798,I798)-1,1,0)</f>
        <v>2</v>
      </c>
      <c r="K798" t="str">
        <f>_xlfn.XLOOKUP(B798,BugList!A:A,BugList!H:H)</f>
        <v/>
      </c>
      <c r="L798" t="str">
        <f>IF(K798 = "","",_xlfn.XLOOKUP(B798, BugList!A:A,BugList!B:B,""))</f>
        <v/>
      </c>
      <c r="M798">
        <f>_xlfn.XLOOKUP(D798,BugList!C:C,BugList!N:N)</f>
        <v>6</v>
      </c>
      <c r="N798">
        <f>_xlfn.XLOOKUP(B798,BugList!A:A,BugList!R:R)</f>
        <v>6</v>
      </c>
      <c r="O798" t="b">
        <f>_xlfn.XLOOKUP(B798,BugList!A:A,BugList!L:L)</f>
        <v>0</v>
      </c>
      <c r="P798" t="b">
        <f t="shared" si="84"/>
        <v>0</v>
      </c>
      <c r="R798" t="b">
        <f>SUMPRODUCT(COUNTIF(_xlfn.XLOOKUP(B798,BugList!A:A,BugList!P:P), "*SC*"))&gt;0</f>
        <v>1</v>
      </c>
      <c r="S798" t="str">
        <f>_xlfn.XLOOKUP(B798,BugList!A:A,BugList!W:W)</f>
        <v/>
      </c>
      <c r="T798">
        <f t="shared" si="88"/>
        <v>12</v>
      </c>
      <c r="U798">
        <f t="shared" si="89"/>
        <v>12</v>
      </c>
    </row>
    <row r="799" spans="1:21">
      <c r="A799" t="s">
        <v>2661</v>
      </c>
      <c r="B799">
        <v>1614</v>
      </c>
      <c r="D799" t="s">
        <v>92</v>
      </c>
      <c r="E799" t="s">
        <v>92</v>
      </c>
      <c r="F799">
        <v>2</v>
      </c>
      <c r="G799">
        <f t="shared" si="90"/>
        <v>1.8181818181818181</v>
      </c>
      <c r="H799">
        <f t="shared" si="91"/>
        <v>1</v>
      </c>
      <c r="I799">
        <f t="shared" si="92"/>
        <v>0.81818181818181812</v>
      </c>
      <c r="J799" cm="1">
        <f t="array" ref="J799">INT(G799)+IF(100-SUM(INT(G$788:G$800))&gt;=RANK(I799,I$788:I$800)+COUNTIF(I$788:I799,I799)-1,1,0)</f>
        <v>2</v>
      </c>
      <c r="K799" t="str">
        <f>_xlfn.XLOOKUP(B799,BugList!A:A,BugList!H:H)</f>
        <v/>
      </c>
      <c r="L799" t="str">
        <f>IF(K799 = "","",_xlfn.XLOOKUP(B799, BugList!A:A,BugList!B:B,""))</f>
        <v/>
      </c>
      <c r="M799">
        <f>_xlfn.XLOOKUP(D799,BugList!C:C,BugList!N:N)</f>
        <v>8</v>
      </c>
      <c r="N799">
        <f>_xlfn.XLOOKUP(B799,BugList!A:A,BugList!R:R)</f>
        <v>8</v>
      </c>
      <c r="O799" t="b">
        <f>_xlfn.XLOOKUP(B799,BugList!A:A,BugList!L:L)</f>
        <v>0</v>
      </c>
      <c r="P799" t="b">
        <f t="shared" si="84"/>
        <v>0</v>
      </c>
      <c r="R799" t="b">
        <f>SUMPRODUCT(COUNTIF(_xlfn.XLOOKUP(B799,BugList!A:A,BugList!P:P), "*SC*"))&gt;0</f>
        <v>0</v>
      </c>
      <c r="S799" t="str">
        <f>_xlfn.XLOOKUP(B799,BugList!A:A,BugList!W:W)</f>
        <v/>
      </c>
      <c r="T799">
        <f t="shared" si="88"/>
        <v>16</v>
      </c>
      <c r="U799">
        <f t="shared" si="89"/>
        <v>16</v>
      </c>
    </row>
    <row r="800" spans="1:21">
      <c r="A800" t="s">
        <v>2661</v>
      </c>
      <c r="B800">
        <v>1629</v>
      </c>
      <c r="D800" t="s">
        <v>93</v>
      </c>
      <c r="E800" t="s">
        <v>93</v>
      </c>
      <c r="F800">
        <v>1</v>
      </c>
      <c r="G800">
        <f t="shared" si="90"/>
        <v>0.90909090909090906</v>
      </c>
      <c r="H800">
        <f t="shared" si="91"/>
        <v>0</v>
      </c>
      <c r="I800">
        <f t="shared" si="92"/>
        <v>0.90909090909090906</v>
      </c>
      <c r="J800" cm="1">
        <f t="array" ref="J800">INT(G800)+IF(100-SUM(INT(G$788:G$800))&gt;=RANK(I800,I$788:I$800)+COUNTIF(I$788:I800,I800)-1,1,0)</f>
        <v>1</v>
      </c>
      <c r="K800" t="str">
        <f>_xlfn.XLOOKUP(B800,BugList!A:A,BugList!H:H)</f>
        <v/>
      </c>
      <c r="L800" t="str">
        <f>IF(K800 = "","",_xlfn.XLOOKUP(B800, BugList!A:A,BugList!B:B,""))</f>
        <v/>
      </c>
      <c r="M800">
        <f>_xlfn.XLOOKUP(D800,BugList!C:C,BugList!N:N)</f>
        <v>8</v>
      </c>
      <c r="N800">
        <f>_xlfn.XLOOKUP(B800,BugList!A:A,BugList!R:R)</f>
        <v>8</v>
      </c>
      <c r="O800" t="b">
        <f>_xlfn.XLOOKUP(B800,BugList!A:A,BugList!L:L)</f>
        <v>0</v>
      </c>
      <c r="P800" t="b">
        <f t="shared" si="84"/>
        <v>0</v>
      </c>
      <c r="R800" t="b">
        <f>SUMPRODUCT(COUNTIF(_xlfn.XLOOKUP(B800,BugList!A:A,BugList!P:P), "*SC*"))&gt;0</f>
        <v>0</v>
      </c>
      <c r="S800" t="str">
        <f>_xlfn.XLOOKUP(B800,BugList!A:A,BugList!W:W)</f>
        <v/>
      </c>
      <c r="T800">
        <f t="shared" si="88"/>
        <v>8</v>
      </c>
      <c r="U800">
        <f t="shared" si="89"/>
        <v>8</v>
      </c>
    </row>
    <row r="801" spans="1:21">
      <c r="A801" t="s">
        <v>2662</v>
      </c>
      <c r="B801">
        <v>372</v>
      </c>
      <c r="D801" t="s">
        <v>88</v>
      </c>
      <c r="E801" t="s">
        <v>88</v>
      </c>
      <c r="F801">
        <v>3</v>
      </c>
      <c r="G801">
        <f t="shared" si="90"/>
        <v>2.6548672566371683</v>
      </c>
      <c r="H801">
        <f t="shared" si="91"/>
        <v>2</v>
      </c>
      <c r="I801">
        <f t="shared" si="92"/>
        <v>0.65486725663716827</v>
      </c>
      <c r="J801" cm="1">
        <f t="array" ref="J801">INT(G801)+IF(100-SUM(INT(G$801:G$810))&gt;=RANK(I801,I$801:I$810)+COUNTIF(I$801:I801,I801)-1,1,0)</f>
        <v>3</v>
      </c>
      <c r="K801" t="str">
        <f>_xlfn.XLOOKUP(B801,BugList!A:A,BugList!H:H)</f>
        <v/>
      </c>
      <c r="L801" t="str">
        <f>IF(K801 = "","",_xlfn.XLOOKUP(B801, BugList!A:A,BugList!B:B,""))</f>
        <v/>
      </c>
      <c r="M801">
        <f>_xlfn.XLOOKUP(D801,BugList!C:C,BugList!N:N)</f>
        <v>8</v>
      </c>
      <c r="N801">
        <f>_xlfn.XLOOKUP(B801,BugList!A:A,BugList!R:R)</f>
        <v>8</v>
      </c>
      <c r="O801" t="b">
        <f>_xlfn.XLOOKUP(B801,BugList!A:A,BugList!L:L)</f>
        <v>0</v>
      </c>
      <c r="P801" t="b">
        <f t="shared" si="84"/>
        <v>0</v>
      </c>
      <c r="R801" t="b">
        <f>SUMPRODUCT(COUNTIF(_xlfn.XLOOKUP(B801,BugList!A:A,BugList!P:P), "*SC*"))&gt;0</f>
        <v>0</v>
      </c>
      <c r="S801" t="str">
        <f>_xlfn.XLOOKUP(B801,BugList!A:A,BugList!W:W)</f>
        <v/>
      </c>
      <c r="T801">
        <f t="shared" si="88"/>
        <v>24</v>
      </c>
      <c r="U801">
        <f t="shared" si="89"/>
        <v>24</v>
      </c>
    </row>
    <row r="802" spans="1:21">
      <c r="A802" t="s">
        <v>2662</v>
      </c>
      <c r="B802">
        <v>469</v>
      </c>
      <c r="D802" t="s">
        <v>154</v>
      </c>
      <c r="E802" t="s">
        <v>154</v>
      </c>
      <c r="F802">
        <v>2</v>
      </c>
      <c r="G802">
        <f t="shared" si="90"/>
        <v>1.7699115044247788</v>
      </c>
      <c r="H802">
        <f t="shared" si="91"/>
        <v>1</v>
      </c>
      <c r="I802">
        <f t="shared" si="92"/>
        <v>0.76991150442477885</v>
      </c>
      <c r="J802" cm="1">
        <f t="array" ref="J802">INT(G802)+IF(100-SUM(INT(G$801:G$810))&gt;=RANK(I802,I$801:I$810)+COUNTIF(I$801:I802,I802)-1,1,0)</f>
        <v>2</v>
      </c>
      <c r="K802" t="str">
        <f>_xlfn.XLOOKUP(B802,BugList!A:A,BugList!H:H)</f>
        <v>*</v>
      </c>
      <c r="L802" t="str">
        <f>IF(K802 = "","",_xlfn.XLOOKUP(B802, BugList!A:A,BugList!B:B,""))</f>
        <v>Ephemeroptera</v>
      </c>
      <c r="M802">
        <f>_xlfn.XLOOKUP(D802,BugList!C:C,BugList!N:N)</f>
        <v>7</v>
      </c>
      <c r="N802">
        <f>_xlfn.XLOOKUP(B802,BugList!A:A,BugList!R:R)</f>
        <v>7</v>
      </c>
      <c r="O802" t="b">
        <f>_xlfn.XLOOKUP(B802,BugList!A:A,BugList!L:L)</f>
        <v>1</v>
      </c>
      <c r="P802" t="b">
        <f t="shared" si="84"/>
        <v>1</v>
      </c>
      <c r="R802" t="b">
        <f>SUMPRODUCT(COUNTIF(_xlfn.XLOOKUP(B802,BugList!A:A,BugList!P:P), "*SC*"))&gt;0</f>
        <v>0</v>
      </c>
      <c r="S802" t="str">
        <f>_xlfn.XLOOKUP(B802,BugList!A:A,BugList!W:W)</f>
        <v/>
      </c>
      <c r="T802">
        <f t="shared" si="88"/>
        <v>14</v>
      </c>
      <c r="U802">
        <f t="shared" si="89"/>
        <v>14</v>
      </c>
    </row>
    <row r="803" spans="1:21">
      <c r="A803" t="s">
        <v>2662</v>
      </c>
      <c r="B803">
        <v>513</v>
      </c>
      <c r="D803" t="s">
        <v>111</v>
      </c>
      <c r="E803" t="s">
        <v>111</v>
      </c>
      <c r="F803">
        <v>3</v>
      </c>
      <c r="G803">
        <f t="shared" si="90"/>
        <v>2.6548672566371683</v>
      </c>
      <c r="H803">
        <f t="shared" si="91"/>
        <v>2</v>
      </c>
      <c r="I803">
        <f t="shared" si="92"/>
        <v>0.65486725663716827</v>
      </c>
      <c r="J803" cm="1">
        <f t="array" ref="J803">INT(G803)+IF(100-SUM(INT(G$801:G$810))&gt;=RANK(I803,I$801:I$810)+COUNTIF(I$801:I803,I803)-1,1,0)</f>
        <v>3</v>
      </c>
      <c r="K803" t="str">
        <f>_xlfn.XLOOKUP(B803,BugList!A:A,BugList!H:H)</f>
        <v>*</v>
      </c>
      <c r="L803" t="str">
        <f>IF(K803 = "","",_xlfn.XLOOKUP(B803, BugList!A:A,BugList!B:B,""))</f>
        <v>Ephemeroptera</v>
      </c>
      <c r="M803">
        <f>_xlfn.XLOOKUP(D803,BugList!C:C,BugList!N:N)</f>
        <v>4</v>
      </c>
      <c r="N803">
        <f>_xlfn.XLOOKUP(B803,BugList!A:A,BugList!R:R)</f>
        <v>4</v>
      </c>
      <c r="O803" t="b">
        <f>_xlfn.XLOOKUP(B803,BugList!A:A,BugList!L:L)</f>
        <v>1</v>
      </c>
      <c r="P803" t="b">
        <f t="shared" si="84"/>
        <v>1</v>
      </c>
      <c r="R803" t="b">
        <f>SUMPRODUCT(COUNTIF(_xlfn.XLOOKUP(B803,BugList!A:A,BugList!P:P), "*SC*"))&gt;0</f>
        <v>1</v>
      </c>
      <c r="S803" t="str">
        <f>_xlfn.XLOOKUP(B803,BugList!A:A,BugList!W:W)</f>
        <v/>
      </c>
      <c r="T803">
        <f t="shared" si="88"/>
        <v>12</v>
      </c>
      <c r="U803">
        <f t="shared" si="89"/>
        <v>12</v>
      </c>
    </row>
    <row r="804" spans="1:21">
      <c r="A804" t="s">
        <v>2662</v>
      </c>
      <c r="B804">
        <v>837</v>
      </c>
      <c r="D804" t="s">
        <v>107</v>
      </c>
      <c r="E804" t="s">
        <v>107</v>
      </c>
      <c r="F804">
        <v>1</v>
      </c>
      <c r="G804">
        <f t="shared" si="90"/>
        <v>0.88495575221238942</v>
      </c>
      <c r="H804">
        <f t="shared" si="91"/>
        <v>0</v>
      </c>
      <c r="I804">
        <f t="shared" si="92"/>
        <v>0.88495575221238942</v>
      </c>
      <c r="J804" cm="1">
        <f t="array" ref="J804">INT(G804)+IF(100-SUM(INT(G$801:G$810))&gt;=RANK(I804,I$801:I$810)+COUNTIF(I$801:I804,I804)-1,1,0)</f>
        <v>1</v>
      </c>
      <c r="K804" t="str">
        <f>_xlfn.XLOOKUP(B804,BugList!A:A,BugList!H:H)</f>
        <v>*</v>
      </c>
      <c r="L804" t="str">
        <f>IF(K804 = "","",_xlfn.XLOOKUP(B804, BugList!A:A,BugList!B:B,""))</f>
        <v>Trichoptera</v>
      </c>
      <c r="M804">
        <f>_xlfn.XLOOKUP(D804,BugList!C:C,BugList!N:N)</f>
        <v>3</v>
      </c>
      <c r="N804">
        <f>_xlfn.XLOOKUP(B804,BugList!A:A,BugList!R:R)</f>
        <v>3</v>
      </c>
      <c r="O804" t="b">
        <f>_xlfn.XLOOKUP(B804,BugList!A:A,BugList!L:L)</f>
        <v>1</v>
      </c>
      <c r="P804" t="b">
        <f t="shared" si="84"/>
        <v>1</v>
      </c>
      <c r="R804" t="b">
        <f>SUMPRODUCT(COUNTIF(_xlfn.XLOOKUP(B804,BugList!A:A,BugList!P:P), "*SC*"))&gt;0</f>
        <v>0</v>
      </c>
      <c r="S804" t="str">
        <f>_xlfn.XLOOKUP(B804,BugList!A:A,BugList!W:W)</f>
        <v/>
      </c>
      <c r="T804">
        <f t="shared" si="88"/>
        <v>3</v>
      </c>
      <c r="U804">
        <f t="shared" si="89"/>
        <v>3</v>
      </c>
    </row>
    <row r="805" spans="1:21">
      <c r="A805" t="s">
        <v>2662</v>
      </c>
      <c r="B805">
        <v>1002</v>
      </c>
      <c r="D805" t="s">
        <v>100</v>
      </c>
      <c r="E805" t="s">
        <v>100</v>
      </c>
      <c r="F805">
        <v>16</v>
      </c>
      <c r="G805">
        <f t="shared" si="90"/>
        <v>14.159292035398231</v>
      </c>
      <c r="H805">
        <f t="shared" si="91"/>
        <v>14</v>
      </c>
      <c r="I805">
        <f t="shared" si="92"/>
        <v>0.15929203539823078</v>
      </c>
      <c r="J805" cm="1">
        <f t="array" ref="J805">INT(G805)+IF(100-SUM(INT(G$801:G$810))&gt;=RANK(I805,I$801:I$810)+COUNTIF(I$801:I805,I805)-1,1,0)</f>
        <v>14</v>
      </c>
      <c r="K805" t="str">
        <f>_xlfn.XLOOKUP(B805,BugList!A:A,BugList!H:H)</f>
        <v/>
      </c>
      <c r="L805" t="str">
        <f>IF(K805 = "","",_xlfn.XLOOKUP(B805, BugList!A:A,BugList!B:B,""))</f>
        <v/>
      </c>
      <c r="M805">
        <f>_xlfn.XLOOKUP(D805,BugList!C:C,BugList!N:N)</f>
        <v>4</v>
      </c>
      <c r="N805">
        <f>_xlfn.XLOOKUP(B805,BugList!A:A,BugList!R:R)</f>
        <v>4</v>
      </c>
      <c r="O805" t="b">
        <f>_xlfn.XLOOKUP(B805,BugList!A:A,BugList!L:L)</f>
        <v>1</v>
      </c>
      <c r="P805" t="b">
        <f t="shared" si="84"/>
        <v>0</v>
      </c>
      <c r="R805" t="b">
        <f>SUMPRODUCT(COUNTIF(_xlfn.XLOOKUP(B805,BugList!A:A,BugList!P:P), "*SC*"))&gt;0</f>
        <v>1</v>
      </c>
      <c r="S805" t="str">
        <f>_xlfn.XLOOKUP(B805,BugList!A:A,BugList!W:W)</f>
        <v/>
      </c>
      <c r="T805">
        <f t="shared" si="88"/>
        <v>56</v>
      </c>
      <c r="U805">
        <f t="shared" si="89"/>
        <v>56</v>
      </c>
    </row>
    <row r="806" spans="1:21">
      <c r="A806" t="s">
        <v>2662</v>
      </c>
      <c r="B806">
        <v>1088</v>
      </c>
      <c r="D806" t="s">
        <v>90</v>
      </c>
      <c r="E806" t="s">
        <v>90</v>
      </c>
      <c r="F806">
        <v>22</v>
      </c>
      <c r="G806">
        <f t="shared" si="90"/>
        <v>19.469026548672566</v>
      </c>
      <c r="H806">
        <f t="shared" si="91"/>
        <v>19</v>
      </c>
      <c r="I806">
        <f t="shared" si="92"/>
        <v>0.46902654867256643</v>
      </c>
      <c r="J806" cm="1">
        <f t="array" ref="J806">INT(G806)+IF(100-SUM(INT(G$801:G$810))&gt;=RANK(I806,I$801:I$810)+COUNTIF(I$801:I806,I806)-1,1,0)</f>
        <v>19</v>
      </c>
      <c r="K806" t="str">
        <f>_xlfn.XLOOKUP(B806,BugList!A:A,BugList!H:H)</f>
        <v/>
      </c>
      <c r="L806" t="str">
        <f>IF(K806 = "","",_xlfn.XLOOKUP(B806, BugList!A:A,BugList!B:B,""))</f>
        <v/>
      </c>
      <c r="M806">
        <f>_xlfn.XLOOKUP(D806,BugList!C:C,BugList!N:N)</f>
        <v>6</v>
      </c>
      <c r="N806">
        <f>_xlfn.XLOOKUP(B806,BugList!A:A,BugList!R:R)</f>
        <v>6</v>
      </c>
      <c r="O806" t="b">
        <f>_xlfn.XLOOKUP(B806,BugList!A:A,BugList!L:L)</f>
        <v>1</v>
      </c>
      <c r="P806" t="b">
        <f t="shared" si="84"/>
        <v>0</v>
      </c>
      <c r="R806" t="b">
        <f>SUMPRODUCT(COUNTIF(_xlfn.XLOOKUP(B806,BugList!A:A,BugList!P:P), "*SC*"))&gt;0</f>
        <v>0</v>
      </c>
      <c r="S806" t="str">
        <f>_xlfn.XLOOKUP(B806,BugList!A:A,BugList!W:W)</f>
        <v/>
      </c>
      <c r="T806">
        <f t="shared" si="88"/>
        <v>114</v>
      </c>
      <c r="U806">
        <f t="shared" si="89"/>
        <v>114</v>
      </c>
    </row>
    <row r="807" spans="1:21">
      <c r="A807" t="s">
        <v>2662</v>
      </c>
      <c r="B807">
        <v>1089</v>
      </c>
      <c r="D807" t="s">
        <v>126</v>
      </c>
      <c r="E807" t="s">
        <v>127</v>
      </c>
      <c r="F807">
        <v>33</v>
      </c>
      <c r="G807">
        <f t="shared" si="90"/>
        <v>29.20353982300885</v>
      </c>
      <c r="H807">
        <f t="shared" si="91"/>
        <v>29</v>
      </c>
      <c r="I807">
        <f t="shared" si="92"/>
        <v>0.20353982300884965</v>
      </c>
      <c r="J807" cm="1">
        <f t="array" ref="J807">INT(G807)+IF(100-SUM(INT(G$801:G$810))&gt;=RANK(I807,I$801:I$810)+COUNTIF(I$801:I807,I807)-1,1,0)</f>
        <v>29</v>
      </c>
      <c r="K807" t="str">
        <f>_xlfn.XLOOKUP(B807,BugList!A:A,BugList!H:H)</f>
        <v/>
      </c>
      <c r="L807" t="str">
        <f>IF(K807 = "","",_xlfn.XLOOKUP(B807, BugList!A:A,BugList!B:B,""))</f>
        <v/>
      </c>
      <c r="M807">
        <f>_xlfn.XLOOKUP(D807,BugList!C:C,BugList!N:N)</f>
        <v>8</v>
      </c>
      <c r="N807">
        <f>_xlfn.XLOOKUP(B807,BugList!A:A,BugList!R:R)</f>
        <v>10</v>
      </c>
      <c r="O807" t="b">
        <f>_xlfn.XLOOKUP(B807,BugList!A:A,BugList!L:L)</f>
        <v>1</v>
      </c>
      <c r="P807" t="b">
        <f t="shared" si="84"/>
        <v>0</v>
      </c>
      <c r="R807" t="b">
        <f>SUMPRODUCT(COUNTIF(_xlfn.XLOOKUP(B807,BugList!A:A,BugList!P:P), "*SC*"))&gt;0</f>
        <v>0</v>
      </c>
      <c r="S807" t="str">
        <f>_xlfn.XLOOKUP(B807,BugList!A:A,BugList!W:W)</f>
        <v/>
      </c>
      <c r="T807">
        <f t="shared" si="88"/>
        <v>232</v>
      </c>
      <c r="U807">
        <f t="shared" si="89"/>
        <v>290</v>
      </c>
    </row>
    <row r="808" spans="1:21">
      <c r="A808" t="s">
        <v>2662</v>
      </c>
      <c r="B808">
        <v>1678</v>
      </c>
      <c r="D808" t="s">
        <v>166</v>
      </c>
      <c r="E808" t="s">
        <v>166</v>
      </c>
      <c r="F808">
        <v>5</v>
      </c>
      <c r="G808">
        <f t="shared" si="90"/>
        <v>4.4247787610619467</v>
      </c>
      <c r="H808">
        <f t="shared" si="91"/>
        <v>4</v>
      </c>
      <c r="I808">
        <f t="shared" si="92"/>
        <v>0.42477876106194667</v>
      </c>
      <c r="J808" cm="1">
        <f t="array" ref="J808">INT(G808)+IF(100-SUM(INT(G$801:G$810))&gt;=RANK(I808,I$801:I$810)+COUNTIF(I$801:I808,I808)-1,1,0)</f>
        <v>4</v>
      </c>
      <c r="K808" t="str">
        <f>_xlfn.XLOOKUP(B808,BugList!A:A,BugList!H:H)</f>
        <v/>
      </c>
      <c r="L808" t="str">
        <f>IF(K808 = "","",_xlfn.XLOOKUP(B808, BugList!A:A,BugList!B:B,""))</f>
        <v/>
      </c>
      <c r="M808">
        <f>_xlfn.XLOOKUP(D808,BugList!C:C,BugList!N:N)</f>
        <v>6</v>
      </c>
      <c r="N808">
        <f>_xlfn.XLOOKUP(B808,BugList!A:A,BugList!R:R)</f>
        <v>6</v>
      </c>
      <c r="O808" t="b">
        <f>_xlfn.XLOOKUP(B808,BugList!A:A,BugList!L:L)</f>
        <v>0</v>
      </c>
      <c r="P808" t="b">
        <f t="shared" si="84"/>
        <v>0</v>
      </c>
      <c r="R808" t="b">
        <f>SUMPRODUCT(COUNTIF(_xlfn.XLOOKUP(B808,BugList!A:A,BugList!P:P), "*SC*"))&gt;0</f>
        <v>1</v>
      </c>
      <c r="S808" t="str">
        <f>_xlfn.XLOOKUP(B808,BugList!A:A,BugList!W:W)</f>
        <v/>
      </c>
      <c r="T808">
        <f t="shared" si="88"/>
        <v>24</v>
      </c>
      <c r="U808">
        <f t="shared" si="89"/>
        <v>24</v>
      </c>
    </row>
    <row r="809" spans="1:21">
      <c r="A809" t="s">
        <v>2662</v>
      </c>
      <c r="B809">
        <v>1696</v>
      </c>
      <c r="D809" t="s">
        <v>94</v>
      </c>
      <c r="E809" t="s">
        <v>94</v>
      </c>
      <c r="F809">
        <v>24</v>
      </c>
      <c r="G809">
        <f t="shared" si="90"/>
        <v>21.238938053097346</v>
      </c>
      <c r="H809">
        <f t="shared" si="91"/>
        <v>21</v>
      </c>
      <c r="I809">
        <f t="shared" si="92"/>
        <v>0.23893805309734617</v>
      </c>
      <c r="J809" cm="1">
        <f t="array" ref="J809">INT(G809)+IF(100-SUM(INT(G$801:G$810))&gt;=RANK(I809,I$801:I$810)+COUNTIF(I$801:I809,I809)-1,1,0)</f>
        <v>21</v>
      </c>
      <c r="K809" t="str">
        <f>_xlfn.XLOOKUP(B809,BugList!A:A,BugList!H:H)</f>
        <v/>
      </c>
      <c r="L809" t="str">
        <f>IF(K809 = "","",_xlfn.XLOOKUP(B809, BugList!A:A,BugList!B:B,""))</f>
        <v/>
      </c>
      <c r="M809">
        <f>_xlfn.XLOOKUP(D809,BugList!C:C,BugList!N:N)</f>
        <v>8</v>
      </c>
      <c r="N809">
        <f>_xlfn.XLOOKUP(B809,BugList!A:A,BugList!R:R)</f>
        <v>8</v>
      </c>
      <c r="O809" t="b">
        <f>_xlfn.XLOOKUP(B809,BugList!A:A,BugList!L:L)</f>
        <v>0</v>
      </c>
      <c r="P809" t="b">
        <f t="shared" si="84"/>
        <v>0</v>
      </c>
      <c r="R809" t="b">
        <f>SUMPRODUCT(COUNTIF(_xlfn.XLOOKUP(B809,BugList!A:A,BugList!P:P), "*SC*"))&gt;0</f>
        <v>0</v>
      </c>
      <c r="S809" t="str">
        <f>_xlfn.XLOOKUP(B809,BugList!A:A,BugList!W:W)</f>
        <v/>
      </c>
      <c r="T809">
        <f t="shared" si="88"/>
        <v>168</v>
      </c>
      <c r="U809">
        <f t="shared" si="89"/>
        <v>168</v>
      </c>
    </row>
    <row r="810" spans="1:21">
      <c r="A810" t="s">
        <v>2662</v>
      </c>
      <c r="B810">
        <v>2781</v>
      </c>
      <c r="D810" t="s">
        <v>109</v>
      </c>
      <c r="E810" t="s">
        <v>109</v>
      </c>
      <c r="F810">
        <v>4</v>
      </c>
      <c r="G810">
        <f t="shared" si="90"/>
        <v>3.5398230088495577</v>
      </c>
      <c r="H810">
        <f t="shared" si="91"/>
        <v>3</v>
      </c>
      <c r="I810">
        <f t="shared" si="92"/>
        <v>0.5398230088495577</v>
      </c>
      <c r="J810" cm="1">
        <f t="array" ref="J810">INT(G810)+IF(100-SUM(INT(G$801:G$810))&gt;=RANK(I810,I$801:I$810)+COUNTIF(I$801:I810,I810)-1,1,0)</f>
        <v>4</v>
      </c>
      <c r="K810" t="str">
        <f>_xlfn.XLOOKUP(B810,BugList!A:A,BugList!H:H)</f>
        <v/>
      </c>
      <c r="L810" t="str">
        <f>IF(K810 = "","",_xlfn.XLOOKUP(B810, BugList!A:A,BugList!B:B,""))</f>
        <v/>
      </c>
      <c r="M810">
        <f>_xlfn.XLOOKUP(D810,BugList!C:C,BugList!N:N)</f>
        <v>6</v>
      </c>
      <c r="N810">
        <f>_xlfn.XLOOKUP(B810,BugList!A:A,BugList!R:R)</f>
        <v>4</v>
      </c>
      <c r="O810" t="b">
        <f>_xlfn.XLOOKUP(B810,BugList!A:A,BugList!L:L)</f>
        <v>0</v>
      </c>
      <c r="P810" t="b">
        <f t="shared" si="84"/>
        <v>0</v>
      </c>
      <c r="R810" t="b">
        <f>SUMPRODUCT(COUNTIF(_xlfn.XLOOKUP(B810,BugList!A:A,BugList!P:P), "*SC*"))&gt;0</f>
        <v>0</v>
      </c>
      <c r="S810" t="str">
        <f>_xlfn.XLOOKUP(B810,BugList!A:A,BugList!W:W)</f>
        <v/>
      </c>
      <c r="T810">
        <f t="shared" si="88"/>
        <v>24</v>
      </c>
      <c r="U810">
        <f t="shared" si="89"/>
        <v>16</v>
      </c>
    </row>
    <row r="811" spans="1:21">
      <c r="A811" t="s">
        <v>2663</v>
      </c>
      <c r="B811">
        <v>88</v>
      </c>
      <c r="D811" t="s">
        <v>85</v>
      </c>
      <c r="E811" t="s">
        <v>85</v>
      </c>
      <c r="F811">
        <v>5</v>
      </c>
      <c r="G811">
        <f t="shared" si="90"/>
        <v>4.8076923076923084</v>
      </c>
      <c r="H811">
        <f t="shared" si="91"/>
        <v>4</v>
      </c>
      <c r="I811">
        <f t="shared" si="92"/>
        <v>0.80769230769230838</v>
      </c>
      <c r="J811" cm="1">
        <f t="array" ref="J811">INT(G811)+IF(100-SUM(INT(G$811:G$833))&gt;=RANK(I811,I$811:I$833)+COUNTIF(I$811:I811,I811)-1,1,0)</f>
        <v>5</v>
      </c>
      <c r="K811" t="str">
        <f>_xlfn.XLOOKUP(B811,BugList!A:A,BugList!H:H)</f>
        <v/>
      </c>
      <c r="L811" t="str">
        <f>IF(K811 = "","",_xlfn.XLOOKUP(B811, BugList!A:A,BugList!B:B,""))</f>
        <v/>
      </c>
      <c r="M811">
        <f>_xlfn.XLOOKUP(D811,BugList!C:C,BugList!N:N)</f>
        <v>4</v>
      </c>
      <c r="N811">
        <f>_xlfn.XLOOKUP(B811,BugList!A:A,BugList!R:R)</f>
        <v>4</v>
      </c>
      <c r="O811" t="b">
        <f>_xlfn.XLOOKUP(B811,BugList!A:A,BugList!L:L)</f>
        <v>0</v>
      </c>
      <c r="P811" t="b">
        <f t="shared" si="84"/>
        <v>0</v>
      </c>
      <c r="R811" t="b">
        <f>SUMPRODUCT(COUNTIF(_xlfn.XLOOKUP(B811,BugList!A:A,BugList!P:P), "*SC*"))&gt;0</f>
        <v>0</v>
      </c>
      <c r="S811" t="str">
        <f>_xlfn.XLOOKUP(B811,BugList!A:A,BugList!W:W)</f>
        <v/>
      </c>
      <c r="T811">
        <f t="shared" si="88"/>
        <v>20</v>
      </c>
      <c r="U811">
        <f t="shared" si="89"/>
        <v>20</v>
      </c>
    </row>
    <row r="812" spans="1:21">
      <c r="A812" t="s">
        <v>2663</v>
      </c>
      <c r="B812">
        <v>99</v>
      </c>
      <c r="D812" t="s">
        <v>169</v>
      </c>
      <c r="E812" t="s">
        <v>169</v>
      </c>
      <c r="F812">
        <v>5</v>
      </c>
      <c r="G812">
        <f t="shared" si="90"/>
        <v>4.8076923076923084</v>
      </c>
      <c r="H812">
        <f t="shared" si="91"/>
        <v>4</v>
      </c>
      <c r="I812">
        <f t="shared" si="92"/>
        <v>0.80769230769230838</v>
      </c>
      <c r="J812" cm="1">
        <f t="array" ref="J812">INT(G812)+IF(100-SUM(INT(G$811:G$833))&gt;=RANK(I812,I$811:I$833)+COUNTIF(I$811:I812,I812)-1,1,0)</f>
        <v>5</v>
      </c>
      <c r="K812" t="str">
        <f>_xlfn.XLOOKUP(B812,BugList!A:A,BugList!H:H)</f>
        <v/>
      </c>
      <c r="L812" t="str">
        <f>IF(K812 = "","",_xlfn.XLOOKUP(B812, BugList!A:A,BugList!B:B,""))</f>
        <v/>
      </c>
      <c r="M812">
        <f>_xlfn.XLOOKUP(D812,BugList!C:C,BugList!N:N)</f>
        <v>5</v>
      </c>
      <c r="N812">
        <f>_xlfn.XLOOKUP(B812,BugList!A:A,BugList!R:R)</f>
        <v>5</v>
      </c>
      <c r="O812" t="b">
        <f>_xlfn.XLOOKUP(B812,BugList!A:A,BugList!L:L)</f>
        <v>0</v>
      </c>
      <c r="P812" t="b">
        <f t="shared" si="84"/>
        <v>0</v>
      </c>
      <c r="R812" t="b">
        <f>SUMPRODUCT(COUNTIF(_xlfn.XLOOKUP(B812,BugList!A:A,BugList!P:P), "*SC*"))&gt;0</f>
        <v>0</v>
      </c>
      <c r="S812" t="str">
        <f>_xlfn.XLOOKUP(B812,BugList!A:A,BugList!W:W)</f>
        <v/>
      </c>
      <c r="T812">
        <f t="shared" si="88"/>
        <v>25</v>
      </c>
      <c r="U812">
        <f t="shared" si="89"/>
        <v>25</v>
      </c>
    </row>
    <row r="813" spans="1:21">
      <c r="A813" t="s">
        <v>2663</v>
      </c>
      <c r="B813">
        <v>500</v>
      </c>
      <c r="D813" t="s">
        <v>151</v>
      </c>
      <c r="E813" t="s">
        <v>151</v>
      </c>
      <c r="F813">
        <v>1</v>
      </c>
      <c r="G813">
        <f t="shared" si="90"/>
        <v>0.96153846153846156</v>
      </c>
      <c r="H813">
        <f t="shared" si="91"/>
        <v>0</v>
      </c>
      <c r="I813">
        <f t="shared" si="92"/>
        <v>0.96153846153846156</v>
      </c>
      <c r="J813" cm="1">
        <f t="array" ref="J813">INT(G813)+IF(100-SUM(INT(G$811:G$833))&gt;=RANK(I813,I$811:I$833)+COUNTIF(I$811:I813,I813)-1,1,0)</f>
        <v>1</v>
      </c>
      <c r="K813" t="str">
        <f>_xlfn.XLOOKUP(B813,BugList!A:A,BugList!H:H)</f>
        <v>*</v>
      </c>
      <c r="L813" t="str">
        <f>IF(K813 = "","",_xlfn.XLOOKUP(B813, BugList!A:A,BugList!B:B,""))</f>
        <v>Ephemeroptera</v>
      </c>
      <c r="M813">
        <f>_xlfn.XLOOKUP(D813,BugList!C:C,BugList!N:N)</f>
        <v>1</v>
      </c>
      <c r="N813">
        <f>_xlfn.XLOOKUP(B813,BugList!A:A,BugList!R:R)</f>
        <v>1</v>
      </c>
      <c r="O813" t="b">
        <f>_xlfn.XLOOKUP(B813,BugList!A:A,BugList!L:L)</f>
        <v>1</v>
      </c>
      <c r="P813" t="b">
        <f t="shared" ref="P813:P876" si="93">IF(K813="*",IF(D813="Hydropsychidae", IF(E813="Diplectrona",TRUE,FALSE),TRUE),FALSE)</f>
        <v>1</v>
      </c>
      <c r="R813" t="b">
        <f>SUMPRODUCT(COUNTIF(_xlfn.XLOOKUP(B813,BugList!A:A,BugList!P:P), "*SC*"))&gt;0</f>
        <v>1</v>
      </c>
      <c r="S813" t="str">
        <f>_xlfn.XLOOKUP(B813,BugList!A:A,BugList!W:W)</f>
        <v/>
      </c>
      <c r="T813">
        <f t="shared" si="88"/>
        <v>1</v>
      </c>
      <c r="U813">
        <f t="shared" si="89"/>
        <v>1</v>
      </c>
    </row>
    <row r="814" spans="1:21">
      <c r="A814" t="s">
        <v>2663</v>
      </c>
      <c r="B814">
        <v>513</v>
      </c>
      <c r="D814" t="s">
        <v>111</v>
      </c>
      <c r="E814" t="s">
        <v>111</v>
      </c>
      <c r="F814">
        <v>10</v>
      </c>
      <c r="G814">
        <f t="shared" si="90"/>
        <v>9.6153846153846168</v>
      </c>
      <c r="H814">
        <f t="shared" si="91"/>
        <v>9</v>
      </c>
      <c r="I814">
        <f t="shared" si="92"/>
        <v>0.61538461538461675</v>
      </c>
      <c r="J814" cm="1">
        <f t="array" ref="J814">INT(G814)+IF(100-SUM(INT(G$811:G$833))&gt;=RANK(I814,I$811:I$833)+COUNTIF(I$811:I814,I814)-1,1,0)</f>
        <v>9</v>
      </c>
      <c r="K814" t="str">
        <f>_xlfn.XLOOKUP(B814,BugList!A:A,BugList!H:H)</f>
        <v>*</v>
      </c>
      <c r="L814" t="str">
        <f>IF(K814 = "","",_xlfn.XLOOKUP(B814, BugList!A:A,BugList!B:B,""))</f>
        <v>Ephemeroptera</v>
      </c>
      <c r="M814">
        <f>_xlfn.XLOOKUP(D814,BugList!C:C,BugList!N:N)</f>
        <v>4</v>
      </c>
      <c r="N814">
        <f>_xlfn.XLOOKUP(B814,BugList!A:A,BugList!R:R)</f>
        <v>4</v>
      </c>
      <c r="O814" t="b">
        <f>_xlfn.XLOOKUP(B814,BugList!A:A,BugList!L:L)</f>
        <v>1</v>
      </c>
      <c r="P814" t="b">
        <f t="shared" si="93"/>
        <v>1</v>
      </c>
      <c r="R814" t="b">
        <f>SUMPRODUCT(COUNTIF(_xlfn.XLOOKUP(B814,BugList!A:A,BugList!P:P), "*SC*"))&gt;0</f>
        <v>1</v>
      </c>
      <c r="S814" t="str">
        <f>_xlfn.XLOOKUP(B814,BugList!A:A,BugList!W:W)</f>
        <v/>
      </c>
      <c r="T814">
        <f t="shared" si="88"/>
        <v>36</v>
      </c>
      <c r="U814">
        <f t="shared" si="89"/>
        <v>36</v>
      </c>
    </row>
    <row r="815" spans="1:21">
      <c r="A815" t="s">
        <v>2663</v>
      </c>
      <c r="B815">
        <v>526</v>
      </c>
      <c r="D815" t="s">
        <v>963</v>
      </c>
      <c r="E815" t="s">
        <v>963</v>
      </c>
      <c r="F815">
        <v>1</v>
      </c>
      <c r="G815">
        <f t="shared" si="90"/>
        <v>0.96153846153846156</v>
      </c>
      <c r="H815">
        <f t="shared" si="91"/>
        <v>0</v>
      </c>
      <c r="I815">
        <f t="shared" si="92"/>
        <v>0.96153846153846156</v>
      </c>
      <c r="J815" cm="1">
        <f t="array" ref="J815">INT(G815)+IF(100-SUM(INT(G$811:G$833))&gt;=RANK(I815,I$811:I$833)+COUNTIF(I$811:I815,I815)-1,1,0)</f>
        <v>1</v>
      </c>
      <c r="K815" t="str">
        <f>_xlfn.XLOOKUP(B815,BugList!A:A,BugList!H:H)</f>
        <v>*</v>
      </c>
      <c r="L815" t="str">
        <f>IF(K815 = "","",_xlfn.XLOOKUP(B815, BugList!A:A,BugList!B:B,""))</f>
        <v>Ephemeroptera</v>
      </c>
      <c r="M815">
        <f>_xlfn.XLOOKUP(D815,BugList!C:C,BugList!N:N)</f>
        <v>2</v>
      </c>
      <c r="N815">
        <f>_xlfn.XLOOKUP(B815,BugList!A:A,BugList!R:R)</f>
        <v>2</v>
      </c>
      <c r="O815" t="b">
        <f>_xlfn.XLOOKUP(B815,BugList!A:A,BugList!L:L)</f>
        <v>1</v>
      </c>
      <c r="P815" t="b">
        <f t="shared" si="93"/>
        <v>1</v>
      </c>
      <c r="R815" t="b">
        <f>SUMPRODUCT(COUNTIF(_xlfn.XLOOKUP(B815,BugList!A:A,BugList!P:P), "*SC*"))&gt;0</f>
        <v>0</v>
      </c>
      <c r="S815" t="str">
        <f>_xlfn.XLOOKUP(B815,BugList!A:A,BugList!W:W)</f>
        <v/>
      </c>
      <c r="T815">
        <f t="shared" si="88"/>
        <v>2</v>
      </c>
      <c r="U815">
        <f t="shared" si="89"/>
        <v>2</v>
      </c>
    </row>
    <row r="816" spans="1:21">
      <c r="A816" t="s">
        <v>2663</v>
      </c>
      <c r="B816">
        <v>545</v>
      </c>
      <c r="D816" t="s">
        <v>969</v>
      </c>
      <c r="E816" t="s">
        <v>969</v>
      </c>
      <c r="F816">
        <v>1</v>
      </c>
      <c r="G816">
        <f t="shared" si="90"/>
        <v>0.96153846153846156</v>
      </c>
      <c r="H816">
        <f t="shared" si="91"/>
        <v>0</v>
      </c>
      <c r="I816">
        <f t="shared" si="92"/>
        <v>0.96153846153846156</v>
      </c>
      <c r="J816" cm="1">
        <f t="array" ref="J816">INT(G816)+IF(100-SUM(INT(G$811:G$833))&gt;=RANK(I816,I$811:I$833)+COUNTIF(I$811:I816,I816)-1,1,0)</f>
        <v>1</v>
      </c>
      <c r="K816" t="str">
        <f>_xlfn.XLOOKUP(B816,BugList!A:A,BugList!H:H)</f>
        <v>*</v>
      </c>
      <c r="L816" t="str">
        <f>IF(K816 = "","",_xlfn.XLOOKUP(B816, BugList!A:A,BugList!B:B,""))</f>
        <v>Ephemeroptera</v>
      </c>
      <c r="M816">
        <f>_xlfn.XLOOKUP(D816,BugList!C:C,BugList!N:N)</f>
        <v>7</v>
      </c>
      <c r="N816">
        <f>_xlfn.XLOOKUP(B816,BugList!A:A,BugList!R:R)</f>
        <v>7</v>
      </c>
      <c r="O816" t="b">
        <f>_xlfn.XLOOKUP(B816,BugList!A:A,BugList!L:L)</f>
        <v>1</v>
      </c>
      <c r="P816" t="b">
        <f t="shared" si="93"/>
        <v>1</v>
      </c>
      <c r="R816" t="b">
        <f>SUMPRODUCT(COUNTIF(_xlfn.XLOOKUP(B816,BugList!A:A,BugList!P:P), "*SC*"))&gt;0</f>
        <v>0</v>
      </c>
      <c r="S816" t="str">
        <f>_xlfn.XLOOKUP(B816,BugList!A:A,BugList!W:W)</f>
        <v/>
      </c>
      <c r="T816">
        <f t="shared" si="88"/>
        <v>7</v>
      </c>
      <c r="U816">
        <f t="shared" si="89"/>
        <v>7</v>
      </c>
    </row>
    <row r="817" spans="1:21">
      <c r="A817" t="s">
        <v>2663</v>
      </c>
      <c r="B817">
        <v>602</v>
      </c>
      <c r="D817" t="s">
        <v>97</v>
      </c>
      <c r="E817" t="s">
        <v>97</v>
      </c>
      <c r="F817">
        <v>4</v>
      </c>
      <c r="G817">
        <f t="shared" si="90"/>
        <v>3.8461538461538463</v>
      </c>
      <c r="H817">
        <f t="shared" si="91"/>
        <v>3</v>
      </c>
      <c r="I817">
        <f t="shared" si="92"/>
        <v>0.84615384615384626</v>
      </c>
      <c r="J817" cm="1">
        <f t="array" ref="J817">INT(G817)+IF(100-SUM(INT(G$811:G$833))&gt;=RANK(I817,I$811:I$833)+COUNTIF(I$811:I817,I817)-1,1,0)</f>
        <v>4</v>
      </c>
      <c r="K817" t="str">
        <f>_xlfn.XLOOKUP(B817,BugList!A:A,BugList!H:H)</f>
        <v/>
      </c>
      <c r="L817" t="str">
        <f>IF(K817 = "","",_xlfn.XLOOKUP(B817, BugList!A:A,BugList!B:B,""))</f>
        <v/>
      </c>
      <c r="M817">
        <f>_xlfn.XLOOKUP(D817,BugList!C:C,BugList!N:N)</f>
        <v>9</v>
      </c>
      <c r="N817">
        <f>_xlfn.XLOOKUP(B817,BugList!A:A,BugList!R:R)</f>
        <v>9</v>
      </c>
      <c r="O817" t="b">
        <f>_xlfn.XLOOKUP(B817,BugList!A:A,BugList!L:L)</f>
        <v>1</v>
      </c>
      <c r="P817" t="b">
        <f t="shared" si="93"/>
        <v>0</v>
      </c>
      <c r="R817" t="b">
        <f>SUMPRODUCT(COUNTIF(_xlfn.XLOOKUP(B817,BugList!A:A,BugList!P:P), "*SC*"))&gt;0</f>
        <v>0</v>
      </c>
      <c r="S817" t="str">
        <f>_xlfn.XLOOKUP(B817,BugList!A:A,BugList!W:W)</f>
        <v/>
      </c>
      <c r="T817">
        <f t="shared" si="88"/>
        <v>36</v>
      </c>
      <c r="U817">
        <f t="shared" si="89"/>
        <v>36</v>
      </c>
    </row>
    <row r="818" spans="1:21">
      <c r="A818" t="s">
        <v>2663</v>
      </c>
      <c r="B818">
        <v>620</v>
      </c>
      <c r="D818" t="s">
        <v>113</v>
      </c>
      <c r="E818" t="s">
        <v>113</v>
      </c>
      <c r="F818">
        <v>2</v>
      </c>
      <c r="G818">
        <f t="shared" si="90"/>
        <v>1.9230769230769231</v>
      </c>
      <c r="H818">
        <f t="shared" si="91"/>
        <v>1</v>
      </c>
      <c r="I818">
        <f t="shared" si="92"/>
        <v>0.92307692307692313</v>
      </c>
      <c r="J818" cm="1">
        <f t="array" ref="J818">INT(G818)+IF(100-SUM(INT(G$811:G$833))&gt;=RANK(I818,I$811:I$833)+COUNTIF(I$811:I818,I818)-1,1,0)</f>
        <v>2</v>
      </c>
      <c r="K818" t="str">
        <f>_xlfn.XLOOKUP(B818,BugList!A:A,BugList!H:H)</f>
        <v/>
      </c>
      <c r="L818" t="str">
        <f>IF(K818 = "","",_xlfn.XLOOKUP(B818, BugList!A:A,BugList!B:B,""))</f>
        <v/>
      </c>
      <c r="M818">
        <f>_xlfn.XLOOKUP(D818,BugList!C:C,BugList!N:N)</f>
        <v>1</v>
      </c>
      <c r="N818">
        <f>_xlfn.XLOOKUP(B818,BugList!A:A,BugList!R:R)</f>
        <v>1</v>
      </c>
      <c r="O818" t="b">
        <f>_xlfn.XLOOKUP(B818,BugList!A:A,BugList!L:L)</f>
        <v>1</v>
      </c>
      <c r="P818" t="b">
        <f t="shared" si="93"/>
        <v>0</v>
      </c>
      <c r="R818" t="b">
        <f>SUMPRODUCT(COUNTIF(_xlfn.XLOOKUP(B818,BugList!A:A,BugList!P:P), "*SC*"))&gt;0</f>
        <v>0</v>
      </c>
      <c r="S818" t="str">
        <f>_xlfn.XLOOKUP(B818,BugList!A:A,BugList!W:W)</f>
        <v>3</v>
      </c>
      <c r="T818">
        <f t="shared" si="88"/>
        <v>2</v>
      </c>
      <c r="U818">
        <f t="shared" si="89"/>
        <v>2</v>
      </c>
    </row>
    <row r="819" spans="1:21">
      <c r="A819" t="s">
        <v>2663</v>
      </c>
      <c r="B819">
        <v>715</v>
      </c>
      <c r="D819" t="s">
        <v>159</v>
      </c>
      <c r="E819" t="s">
        <v>159</v>
      </c>
      <c r="F819">
        <v>1</v>
      </c>
      <c r="G819">
        <f t="shared" si="90"/>
        <v>0.96153846153846156</v>
      </c>
      <c r="H819">
        <f t="shared" si="91"/>
        <v>0</v>
      </c>
      <c r="I819">
        <f t="shared" si="92"/>
        <v>0.96153846153846156</v>
      </c>
      <c r="J819" cm="1">
        <f t="array" ref="J819">INT(G819)+IF(100-SUM(INT(G$811:G$833))&gt;=RANK(I819,I$811:I$833)+COUNTIF(I$811:I819,I819)-1,1,0)</f>
        <v>1</v>
      </c>
      <c r="K819" t="str">
        <f>_xlfn.XLOOKUP(B819,BugList!A:A,BugList!H:H)</f>
        <v/>
      </c>
      <c r="L819" t="str">
        <f>IF(K819 = "","",_xlfn.XLOOKUP(B819, BugList!A:A,BugList!B:B,""))</f>
        <v/>
      </c>
      <c r="M819">
        <f>_xlfn.XLOOKUP(D819,BugList!C:C,BugList!N:N)</f>
        <v>9</v>
      </c>
      <c r="N819">
        <f>_xlfn.XLOOKUP(B819,BugList!A:A,BugList!R:R)</f>
        <v>9</v>
      </c>
      <c r="O819" t="b">
        <f>_xlfn.XLOOKUP(B819,BugList!A:A,BugList!L:L)</f>
        <v>1</v>
      </c>
      <c r="P819" t="b">
        <f t="shared" si="93"/>
        <v>0</v>
      </c>
      <c r="R819" t="b">
        <f>SUMPRODUCT(COUNTIF(_xlfn.XLOOKUP(B819,BugList!A:A,BugList!P:P), "*SC*"))&gt;0</f>
        <v>0</v>
      </c>
      <c r="S819" t="str">
        <f>_xlfn.XLOOKUP(B819,BugList!A:A,BugList!W:W)</f>
        <v/>
      </c>
      <c r="T819">
        <f t="shared" si="88"/>
        <v>9</v>
      </c>
      <c r="U819">
        <f t="shared" si="89"/>
        <v>9</v>
      </c>
    </row>
    <row r="820" spans="1:21">
      <c r="A820" t="s">
        <v>2663</v>
      </c>
      <c r="B820">
        <v>719</v>
      </c>
      <c r="D820" t="s">
        <v>1226</v>
      </c>
      <c r="E820" t="s">
        <v>1226</v>
      </c>
      <c r="F820">
        <v>4</v>
      </c>
      <c r="G820">
        <f t="shared" si="90"/>
        <v>3.8461538461538463</v>
      </c>
      <c r="H820">
        <f t="shared" si="91"/>
        <v>3</v>
      </c>
      <c r="I820">
        <f t="shared" si="92"/>
        <v>0.84615384615384626</v>
      </c>
      <c r="J820" cm="1">
        <f t="array" ref="J820">INT(G820)+IF(100-SUM(INT(G$811:G$833))&gt;=RANK(I820,I$811:I$833)+COUNTIF(I$811:I820,I820)-1,1,0)</f>
        <v>4</v>
      </c>
      <c r="K820" t="str">
        <f>_xlfn.XLOOKUP(B820,BugList!A:A,BugList!H:H)</f>
        <v/>
      </c>
      <c r="L820" t="str">
        <f>IF(K820 = "","",_xlfn.XLOOKUP(B820, BugList!A:A,BugList!B:B,""))</f>
        <v/>
      </c>
      <c r="M820">
        <f>_xlfn.XLOOKUP(D820,BugList!C:C,BugList!N:N)</f>
        <v>0</v>
      </c>
      <c r="N820">
        <f>_xlfn.XLOOKUP(B820,BugList!A:A,BugList!R:R)</f>
        <v>0</v>
      </c>
      <c r="O820" t="b">
        <f>_xlfn.XLOOKUP(B820,BugList!A:A,BugList!L:L)</f>
        <v>1</v>
      </c>
      <c r="P820" t="b">
        <f t="shared" si="93"/>
        <v>0</v>
      </c>
      <c r="R820" t="b">
        <f>SUMPRODUCT(COUNTIF(_xlfn.XLOOKUP(B820,BugList!A:A,BugList!P:P), "*SC*"))&gt;0</f>
        <v>0</v>
      </c>
      <c r="S820" t="str">
        <f>_xlfn.XLOOKUP(B820,BugList!A:A,BugList!W:W)</f>
        <v/>
      </c>
      <c r="T820">
        <f t="shared" si="88"/>
        <v>0</v>
      </c>
      <c r="U820">
        <f t="shared" si="89"/>
        <v>0</v>
      </c>
    </row>
    <row r="821" spans="1:21">
      <c r="A821" t="s">
        <v>2663</v>
      </c>
      <c r="B821">
        <v>725</v>
      </c>
      <c r="D821" t="s">
        <v>181</v>
      </c>
      <c r="E821" t="s">
        <v>181</v>
      </c>
      <c r="F821">
        <v>1</v>
      </c>
      <c r="G821">
        <f t="shared" si="90"/>
        <v>0.96153846153846156</v>
      </c>
      <c r="H821">
        <f t="shared" si="91"/>
        <v>0</v>
      </c>
      <c r="I821">
        <f t="shared" si="92"/>
        <v>0.96153846153846156</v>
      </c>
      <c r="J821" cm="1">
        <f t="array" ref="J821">INT(G821)+IF(100-SUM(INT(G$811:G$833))&gt;=RANK(I821,I$811:I$833)+COUNTIF(I$811:I821,I821)-1,1,0)</f>
        <v>1</v>
      </c>
      <c r="K821" t="str">
        <f>_xlfn.XLOOKUP(B821,BugList!A:A,BugList!H:H)</f>
        <v/>
      </c>
      <c r="L821" t="str">
        <f>IF(K821 = "","",_xlfn.XLOOKUP(B821, BugList!A:A,BugList!B:B,""))</f>
        <v/>
      </c>
      <c r="M821">
        <f>_xlfn.XLOOKUP(D821,BugList!C:C,BugList!N:N)</f>
        <v>4</v>
      </c>
      <c r="N821">
        <f>_xlfn.XLOOKUP(B821,BugList!A:A,BugList!R:R)</f>
        <v>4</v>
      </c>
      <c r="O821" t="b">
        <f>_xlfn.XLOOKUP(B821,BugList!A:A,BugList!L:L)</f>
        <v>1</v>
      </c>
      <c r="P821" t="b">
        <f t="shared" si="93"/>
        <v>0</v>
      </c>
      <c r="R821" t="b">
        <f>SUMPRODUCT(COUNTIF(_xlfn.XLOOKUP(B821,BugList!A:A,BugList!P:P), "*SC*"))&gt;0</f>
        <v>0</v>
      </c>
      <c r="S821" t="str">
        <f>_xlfn.XLOOKUP(B821,BugList!A:A,BugList!W:W)</f>
        <v/>
      </c>
      <c r="T821">
        <f t="shared" si="88"/>
        <v>4</v>
      </c>
      <c r="U821">
        <f t="shared" si="89"/>
        <v>4</v>
      </c>
    </row>
    <row r="822" spans="1:21">
      <c r="A822" t="s">
        <v>2663</v>
      </c>
      <c r="B822">
        <v>771</v>
      </c>
      <c r="D822" t="s">
        <v>177</v>
      </c>
      <c r="E822" t="s">
        <v>177</v>
      </c>
      <c r="F822">
        <v>1</v>
      </c>
      <c r="G822">
        <f t="shared" si="90"/>
        <v>0.96153846153846156</v>
      </c>
      <c r="H822">
        <f t="shared" si="91"/>
        <v>0</v>
      </c>
      <c r="I822">
        <f t="shared" si="92"/>
        <v>0.96153846153846156</v>
      </c>
      <c r="J822" cm="1">
        <f t="array" ref="J822">INT(G822)+IF(100-SUM(INT(G$811:G$833))&gt;=RANK(I822,I$811:I$833)+COUNTIF(I$811:I822,I822)-1,1,0)</f>
        <v>1</v>
      </c>
      <c r="K822" t="str">
        <f>_xlfn.XLOOKUP(B822,BugList!A:A,BugList!H:H)</f>
        <v>*</v>
      </c>
      <c r="L822" t="str">
        <f>IF(K822 = "","",_xlfn.XLOOKUP(B822, BugList!A:A,BugList!B:B,""))</f>
        <v>Trichoptera</v>
      </c>
      <c r="M822">
        <f>_xlfn.XLOOKUP(D822,BugList!C:C,BugList!N:N)</f>
        <v>0</v>
      </c>
      <c r="N822">
        <f>_xlfn.XLOOKUP(B822,BugList!A:A,BugList!R:R)</f>
        <v>0</v>
      </c>
      <c r="O822" t="b">
        <f>_xlfn.XLOOKUP(B822,BugList!A:A,BugList!L:L)</f>
        <v>1</v>
      </c>
      <c r="P822" t="b">
        <f t="shared" si="93"/>
        <v>1</v>
      </c>
      <c r="R822" t="b">
        <f>SUMPRODUCT(COUNTIF(_xlfn.XLOOKUP(B822,BugList!A:A,BugList!P:P), "*SC*"))&gt;0</f>
        <v>1</v>
      </c>
      <c r="S822" t="str">
        <f>_xlfn.XLOOKUP(B822,BugList!A:A,BugList!W:W)</f>
        <v/>
      </c>
      <c r="T822">
        <f t="shared" si="88"/>
        <v>0</v>
      </c>
      <c r="U822">
        <f t="shared" si="89"/>
        <v>0</v>
      </c>
    </row>
    <row r="823" spans="1:21">
      <c r="A823" t="s">
        <v>2663</v>
      </c>
      <c r="B823">
        <v>777</v>
      </c>
      <c r="D823" t="s">
        <v>149</v>
      </c>
      <c r="E823" t="s">
        <v>149</v>
      </c>
      <c r="F823">
        <v>1</v>
      </c>
      <c r="G823">
        <f t="shared" si="90"/>
        <v>0.96153846153846156</v>
      </c>
      <c r="H823">
        <f t="shared" si="91"/>
        <v>0</v>
      </c>
      <c r="I823">
        <f t="shared" si="92"/>
        <v>0.96153846153846156</v>
      </c>
      <c r="J823" cm="1">
        <f t="array" ref="J823">INT(G823)+IF(100-SUM(INT(G$811:G$833))&gt;=RANK(I823,I$811:I$833)+COUNTIF(I$811:I823,I823)-1,1,0)</f>
        <v>1</v>
      </c>
      <c r="K823" t="str">
        <f>_xlfn.XLOOKUP(B823,BugList!A:A,BugList!H:H)</f>
        <v>*</v>
      </c>
      <c r="L823" t="str">
        <f>IF(K823 = "","",_xlfn.XLOOKUP(B823, BugList!A:A,BugList!B:B,""))</f>
        <v>Trichoptera</v>
      </c>
      <c r="M823">
        <f>_xlfn.XLOOKUP(D823,BugList!C:C,BugList!N:N)</f>
        <v>3</v>
      </c>
      <c r="N823">
        <f>_xlfn.XLOOKUP(B823,BugList!A:A,BugList!R:R)</f>
        <v>3</v>
      </c>
      <c r="O823" t="b">
        <f>_xlfn.XLOOKUP(B823,BugList!A:A,BugList!L:L)</f>
        <v>1</v>
      </c>
      <c r="P823" t="b">
        <f t="shared" si="93"/>
        <v>1</v>
      </c>
      <c r="R823" t="b">
        <f>SUMPRODUCT(COUNTIF(_xlfn.XLOOKUP(B823,BugList!A:A,BugList!P:P), "*SC*"))&gt;0</f>
        <v>1</v>
      </c>
      <c r="S823" t="str">
        <f>_xlfn.XLOOKUP(B823,BugList!A:A,BugList!W:W)</f>
        <v/>
      </c>
      <c r="T823">
        <f t="shared" si="88"/>
        <v>3</v>
      </c>
      <c r="U823">
        <f t="shared" si="89"/>
        <v>3</v>
      </c>
    </row>
    <row r="824" spans="1:21">
      <c r="A824" t="s">
        <v>2663</v>
      </c>
      <c r="B824">
        <v>794</v>
      </c>
      <c r="D824" t="s">
        <v>89</v>
      </c>
      <c r="E824" t="s">
        <v>89</v>
      </c>
      <c r="F824">
        <v>10</v>
      </c>
      <c r="G824">
        <f t="shared" si="90"/>
        <v>9.6153846153846168</v>
      </c>
      <c r="H824">
        <f t="shared" si="91"/>
        <v>9</v>
      </c>
      <c r="I824">
        <f t="shared" si="92"/>
        <v>0.61538461538461675</v>
      </c>
      <c r="J824" cm="1">
        <f t="array" ref="J824">INT(G824)+IF(100-SUM(INT(G$811:G$833))&gt;=RANK(I824,I$811:I$833)+COUNTIF(I$811:I824,I824)-1,1,0)</f>
        <v>9</v>
      </c>
      <c r="K824" t="str">
        <f>_xlfn.XLOOKUP(B824,BugList!A:A,BugList!H:H)</f>
        <v>*</v>
      </c>
      <c r="L824" t="str">
        <f>IF(K824 = "","",_xlfn.XLOOKUP(B824, BugList!A:A,BugList!B:B,""))</f>
        <v>Trichoptera</v>
      </c>
      <c r="M824">
        <f>_xlfn.XLOOKUP(D824,BugList!C:C,BugList!N:N)</f>
        <v>4</v>
      </c>
      <c r="N824">
        <f>_xlfn.XLOOKUP(B824,BugList!A:A,BugList!R:R)</f>
        <v>4</v>
      </c>
      <c r="O824" t="b">
        <f>_xlfn.XLOOKUP(B824,BugList!A:A,BugList!L:L)</f>
        <v>1</v>
      </c>
      <c r="P824" t="b">
        <f t="shared" si="93"/>
        <v>0</v>
      </c>
      <c r="R824" t="b">
        <f>SUMPRODUCT(COUNTIF(_xlfn.XLOOKUP(B824,BugList!A:A,BugList!P:P), "*SC*"))&gt;0</f>
        <v>0</v>
      </c>
      <c r="S824" t="str">
        <f>_xlfn.XLOOKUP(B824,BugList!A:A,BugList!W:W)</f>
        <v/>
      </c>
      <c r="T824">
        <f t="shared" si="88"/>
        <v>36</v>
      </c>
      <c r="U824">
        <f t="shared" si="89"/>
        <v>36</v>
      </c>
    </row>
    <row r="825" spans="1:21">
      <c r="A825" t="s">
        <v>2663</v>
      </c>
      <c r="B825">
        <v>837</v>
      </c>
      <c r="D825" t="s">
        <v>107</v>
      </c>
      <c r="E825" t="s">
        <v>107</v>
      </c>
      <c r="F825">
        <v>3</v>
      </c>
      <c r="G825">
        <f t="shared" si="90"/>
        <v>2.8846153846153846</v>
      </c>
      <c r="H825">
        <f t="shared" si="91"/>
        <v>2</v>
      </c>
      <c r="I825">
        <f t="shared" si="92"/>
        <v>0.88461538461538458</v>
      </c>
      <c r="J825" cm="1">
        <f t="array" ref="J825">INT(G825)+IF(100-SUM(INT(G$811:G$833))&gt;=RANK(I825,I$811:I$833)+COUNTIF(I$811:I825,I825)-1,1,0)</f>
        <v>3</v>
      </c>
      <c r="K825" t="str">
        <f>_xlfn.XLOOKUP(B825,BugList!A:A,BugList!H:H)</f>
        <v>*</v>
      </c>
      <c r="L825" t="str">
        <f>IF(K825 = "","",_xlfn.XLOOKUP(B825, BugList!A:A,BugList!B:B,""))</f>
        <v>Trichoptera</v>
      </c>
      <c r="M825">
        <f>_xlfn.XLOOKUP(D825,BugList!C:C,BugList!N:N)</f>
        <v>3</v>
      </c>
      <c r="N825">
        <f>_xlfn.XLOOKUP(B825,BugList!A:A,BugList!R:R)</f>
        <v>3</v>
      </c>
      <c r="O825" t="b">
        <f>_xlfn.XLOOKUP(B825,BugList!A:A,BugList!L:L)</f>
        <v>1</v>
      </c>
      <c r="P825" t="b">
        <f t="shared" si="93"/>
        <v>1</v>
      </c>
      <c r="R825" t="b">
        <f>SUMPRODUCT(COUNTIF(_xlfn.XLOOKUP(B825,BugList!A:A,BugList!P:P), "*SC*"))&gt;0</f>
        <v>0</v>
      </c>
      <c r="S825" t="str">
        <f>_xlfn.XLOOKUP(B825,BugList!A:A,BugList!W:W)</f>
        <v/>
      </c>
      <c r="T825">
        <f t="shared" si="88"/>
        <v>9</v>
      </c>
      <c r="U825">
        <f t="shared" si="89"/>
        <v>9</v>
      </c>
    </row>
    <row r="826" spans="1:21">
      <c r="A826" t="s">
        <v>2663</v>
      </c>
      <c r="B826">
        <v>943</v>
      </c>
      <c r="D826" t="s">
        <v>1536</v>
      </c>
      <c r="E826" t="s">
        <v>1536</v>
      </c>
      <c r="F826">
        <v>2</v>
      </c>
      <c r="G826">
        <f t="shared" ref="G826:G833" si="94">(F826/(SUMIFS(F:F,A:A,A826))*100)</f>
        <v>1.9230769230769231</v>
      </c>
      <c r="H826">
        <f t="shared" ref="H826:H833" si="95">INT(G826)</f>
        <v>1</v>
      </c>
      <c r="I826">
        <f t="shared" ref="I826:I833" si="96">G826-H826</f>
        <v>0.92307692307692313</v>
      </c>
      <c r="J826" cm="1">
        <f t="array" ref="J826">INT(G826)+IF(100-SUM(INT(G$811:G$833))&gt;=RANK(I826,I$811:I$833)+COUNTIF(I$811:I826,I826)-1,1,0)</f>
        <v>2</v>
      </c>
      <c r="K826" t="str">
        <f>_xlfn.XLOOKUP(B826,BugList!A:A,BugList!H:H)</f>
        <v/>
      </c>
      <c r="L826" t="str">
        <f>IF(K826 = "","",_xlfn.XLOOKUP(B826, BugList!A:A,BugList!B:B,""))</f>
        <v/>
      </c>
      <c r="M826">
        <f>_xlfn.XLOOKUP(D826,BugList!C:C,BugList!N:N)</f>
        <v>3</v>
      </c>
      <c r="N826">
        <f>_xlfn.XLOOKUP(B826,BugList!A:A,BugList!R:R)</f>
        <v>3</v>
      </c>
      <c r="O826" t="b">
        <f>_xlfn.XLOOKUP(B826,BugList!A:A,BugList!L:L)</f>
        <v>1</v>
      </c>
      <c r="P826" t="b">
        <f t="shared" si="93"/>
        <v>0</v>
      </c>
      <c r="R826" t="b">
        <f>SUMPRODUCT(COUNTIF(_xlfn.XLOOKUP(B826,BugList!A:A,BugList!P:P), "*SC*"))&gt;0</f>
        <v>0</v>
      </c>
      <c r="S826" t="str">
        <f>_xlfn.XLOOKUP(B826,BugList!A:A,BugList!W:W)</f>
        <v/>
      </c>
      <c r="T826">
        <f t="shared" si="88"/>
        <v>6</v>
      </c>
      <c r="U826">
        <f t="shared" si="89"/>
        <v>6</v>
      </c>
    </row>
    <row r="827" spans="1:21">
      <c r="A827" t="s">
        <v>2663</v>
      </c>
      <c r="B827">
        <v>1002</v>
      </c>
      <c r="D827" t="s">
        <v>100</v>
      </c>
      <c r="E827" t="s">
        <v>100</v>
      </c>
      <c r="F827">
        <v>34</v>
      </c>
      <c r="G827">
        <f t="shared" si="94"/>
        <v>32.692307692307693</v>
      </c>
      <c r="H827">
        <f t="shared" si="95"/>
        <v>32</v>
      </c>
      <c r="I827">
        <f t="shared" si="96"/>
        <v>0.6923076923076934</v>
      </c>
      <c r="J827" cm="1">
        <f t="array" ref="J827">INT(G827)+IF(100-SUM(INT(G$811:G$833))&gt;=RANK(I827,I$811:I$833)+COUNTIF(I$811:I827,I827)-1,1,0)</f>
        <v>33</v>
      </c>
      <c r="K827" t="str">
        <f>_xlfn.XLOOKUP(B827,BugList!A:A,BugList!H:H)</f>
        <v/>
      </c>
      <c r="L827" t="str">
        <f>IF(K827 = "","",_xlfn.XLOOKUP(B827, BugList!A:A,BugList!B:B,""))</f>
        <v/>
      </c>
      <c r="M827">
        <f>_xlfn.XLOOKUP(D827,BugList!C:C,BugList!N:N)</f>
        <v>4</v>
      </c>
      <c r="N827">
        <f>_xlfn.XLOOKUP(B827,BugList!A:A,BugList!R:R)</f>
        <v>4</v>
      </c>
      <c r="O827" t="b">
        <f>_xlfn.XLOOKUP(B827,BugList!A:A,BugList!L:L)</f>
        <v>1</v>
      </c>
      <c r="P827" t="b">
        <f t="shared" si="93"/>
        <v>0</v>
      </c>
      <c r="R827" t="b">
        <f>SUMPRODUCT(COUNTIF(_xlfn.XLOOKUP(B827,BugList!A:A,BugList!P:P), "*SC*"))&gt;0</f>
        <v>1</v>
      </c>
      <c r="S827" t="str">
        <f>_xlfn.XLOOKUP(B827,BugList!A:A,BugList!W:W)</f>
        <v/>
      </c>
      <c r="T827">
        <f t="shared" si="88"/>
        <v>132</v>
      </c>
      <c r="U827">
        <f t="shared" si="89"/>
        <v>132</v>
      </c>
    </row>
    <row r="828" spans="1:21">
      <c r="A828" t="s">
        <v>2663</v>
      </c>
      <c r="B828">
        <v>1088</v>
      </c>
      <c r="D828" t="s">
        <v>90</v>
      </c>
      <c r="E828" t="s">
        <v>90</v>
      </c>
      <c r="F828">
        <v>11</v>
      </c>
      <c r="G828">
        <f t="shared" si="94"/>
        <v>10.576923076923077</v>
      </c>
      <c r="H828">
        <f t="shared" si="95"/>
        <v>10</v>
      </c>
      <c r="I828">
        <f t="shared" si="96"/>
        <v>0.57692307692307665</v>
      </c>
      <c r="J828" cm="1">
        <f t="array" ref="J828">INT(G828)+IF(100-SUM(INT(G$811:G$833))&gt;=RANK(I828,I$811:I$833)+COUNTIF(I$811:I828,I828)-1,1,0)</f>
        <v>10</v>
      </c>
      <c r="K828" t="str">
        <f>_xlfn.XLOOKUP(B828,BugList!A:A,BugList!H:H)</f>
        <v/>
      </c>
      <c r="L828" t="str">
        <f>IF(K828 = "","",_xlfn.XLOOKUP(B828, BugList!A:A,BugList!B:B,""))</f>
        <v/>
      </c>
      <c r="M828">
        <f>_xlfn.XLOOKUP(D828,BugList!C:C,BugList!N:N)</f>
        <v>6</v>
      </c>
      <c r="N828">
        <f>_xlfn.XLOOKUP(B828,BugList!A:A,BugList!R:R)</f>
        <v>6</v>
      </c>
      <c r="O828" t="b">
        <f>_xlfn.XLOOKUP(B828,BugList!A:A,BugList!L:L)</f>
        <v>1</v>
      </c>
      <c r="P828" t="b">
        <f t="shared" si="93"/>
        <v>0</v>
      </c>
      <c r="R828" t="b">
        <f>SUMPRODUCT(COUNTIF(_xlfn.XLOOKUP(B828,BugList!A:A,BugList!P:P), "*SC*"))&gt;0</f>
        <v>0</v>
      </c>
      <c r="S828" t="str">
        <f>_xlfn.XLOOKUP(B828,BugList!A:A,BugList!W:W)</f>
        <v/>
      </c>
      <c r="T828">
        <f t="shared" si="88"/>
        <v>60</v>
      </c>
      <c r="U828">
        <f t="shared" si="89"/>
        <v>60</v>
      </c>
    </row>
    <row r="829" spans="1:21">
      <c r="A829" t="s">
        <v>2663</v>
      </c>
      <c r="B829">
        <v>1170</v>
      </c>
      <c r="D829" t="s">
        <v>1676</v>
      </c>
      <c r="E829" t="s">
        <v>1676</v>
      </c>
      <c r="F829">
        <v>1</v>
      </c>
      <c r="G829">
        <f t="shared" si="94"/>
        <v>0.96153846153846156</v>
      </c>
      <c r="H829">
        <f t="shared" si="95"/>
        <v>0</v>
      </c>
      <c r="I829">
        <f t="shared" si="96"/>
        <v>0.96153846153846156</v>
      </c>
      <c r="J829" cm="1">
        <f t="array" ref="J829">INT(G829)+IF(100-SUM(INT(G$811:G$833))&gt;=RANK(I829,I$811:I$833)+COUNTIF(I$811:I829,I829)-1,1,0)</f>
        <v>1</v>
      </c>
      <c r="K829" t="str">
        <f>_xlfn.XLOOKUP(B829,BugList!A:A,BugList!H:H)</f>
        <v/>
      </c>
      <c r="L829" t="str">
        <f>IF(K829 = "","",_xlfn.XLOOKUP(B829, BugList!A:A,BugList!B:B,""))</f>
        <v/>
      </c>
      <c r="M829">
        <f>_xlfn.XLOOKUP(D829,BugList!C:C,BugList!N:N)</f>
        <v>8</v>
      </c>
      <c r="N829">
        <f>_xlfn.XLOOKUP(B829,BugList!A:A,BugList!R:R)</f>
        <v>8</v>
      </c>
      <c r="O829" t="b">
        <f>_xlfn.XLOOKUP(B829,BugList!A:A,BugList!L:L)</f>
        <v>1</v>
      </c>
      <c r="P829" t="b">
        <f t="shared" si="93"/>
        <v>0</v>
      </c>
      <c r="R829" t="b">
        <f>SUMPRODUCT(COUNTIF(_xlfn.XLOOKUP(B829,BugList!A:A,BugList!P:P), "*SC*"))&gt;0</f>
        <v>0</v>
      </c>
      <c r="S829" t="str">
        <f>_xlfn.XLOOKUP(B829,BugList!A:A,BugList!W:W)</f>
        <v/>
      </c>
      <c r="T829">
        <f t="shared" si="88"/>
        <v>8</v>
      </c>
      <c r="U829">
        <f t="shared" si="89"/>
        <v>8</v>
      </c>
    </row>
    <row r="830" spans="1:21">
      <c r="A830" t="s">
        <v>2663</v>
      </c>
      <c r="B830">
        <v>1497</v>
      </c>
      <c r="D830" t="s">
        <v>108</v>
      </c>
      <c r="E830" t="s">
        <v>108</v>
      </c>
      <c r="F830">
        <v>1</v>
      </c>
      <c r="G830">
        <f t="shared" si="94"/>
        <v>0.96153846153846156</v>
      </c>
      <c r="H830">
        <f t="shared" si="95"/>
        <v>0</v>
      </c>
      <c r="I830">
        <f t="shared" si="96"/>
        <v>0.96153846153846156</v>
      </c>
      <c r="J830" cm="1">
        <f t="array" ref="J830">INT(G830)+IF(100-SUM(INT(G$811:G$833))&gt;=RANK(I830,I$811:I$833)+COUNTIF(I$811:I830,I830)-1,1,0)</f>
        <v>1</v>
      </c>
      <c r="K830" t="str">
        <f>_xlfn.XLOOKUP(B830,BugList!A:A,BugList!H:H)</f>
        <v/>
      </c>
      <c r="L830" t="str">
        <f>IF(K830 = "","",_xlfn.XLOOKUP(B830, BugList!A:A,BugList!B:B,""))</f>
        <v/>
      </c>
      <c r="M830">
        <f>_xlfn.XLOOKUP(D830,BugList!C:C,BugList!N:N)</f>
        <v>3</v>
      </c>
      <c r="N830">
        <f>_xlfn.XLOOKUP(B830,BugList!A:A,BugList!R:R)</f>
        <v>3</v>
      </c>
      <c r="O830" t="b">
        <f>_xlfn.XLOOKUP(B830,BugList!A:A,BugList!L:L)</f>
        <v>1</v>
      </c>
      <c r="P830" t="b">
        <f t="shared" si="93"/>
        <v>0</v>
      </c>
      <c r="R830" t="b">
        <f>SUMPRODUCT(COUNTIF(_xlfn.XLOOKUP(B830,BugList!A:A,BugList!P:P), "*SC*"))&gt;0</f>
        <v>0</v>
      </c>
      <c r="S830" t="str">
        <f>_xlfn.XLOOKUP(B830,BugList!A:A,BugList!W:W)</f>
        <v/>
      </c>
      <c r="T830">
        <f t="shared" si="88"/>
        <v>3</v>
      </c>
      <c r="U830">
        <f t="shared" si="89"/>
        <v>3</v>
      </c>
    </row>
    <row r="831" spans="1:21">
      <c r="A831" t="s">
        <v>2663</v>
      </c>
      <c r="B831">
        <v>1614</v>
      </c>
      <c r="D831" t="s">
        <v>92</v>
      </c>
      <c r="E831" t="s">
        <v>92</v>
      </c>
      <c r="F831">
        <v>2</v>
      </c>
      <c r="G831">
        <f t="shared" si="94"/>
        <v>1.9230769230769231</v>
      </c>
      <c r="H831">
        <f t="shared" si="95"/>
        <v>1</v>
      </c>
      <c r="I831">
        <f t="shared" si="96"/>
        <v>0.92307692307692313</v>
      </c>
      <c r="J831" cm="1">
        <f t="array" ref="J831">INT(G831)+IF(100-SUM(INT(G$811:G$833))&gt;=RANK(I831,I$811:I$833)+COUNTIF(I$811:I831,I831)-1,1,0)</f>
        <v>2</v>
      </c>
      <c r="K831" t="str">
        <f>_xlfn.XLOOKUP(B831,BugList!A:A,BugList!H:H)</f>
        <v/>
      </c>
      <c r="L831" t="str">
        <f>IF(K831 = "","",_xlfn.XLOOKUP(B831, BugList!A:A,BugList!B:B,""))</f>
        <v/>
      </c>
      <c r="M831">
        <f>_xlfn.XLOOKUP(D831,BugList!C:C,BugList!N:N)</f>
        <v>8</v>
      </c>
      <c r="N831">
        <f>_xlfn.XLOOKUP(B831,BugList!A:A,BugList!R:R)</f>
        <v>8</v>
      </c>
      <c r="O831" t="b">
        <f>_xlfn.XLOOKUP(B831,BugList!A:A,BugList!L:L)</f>
        <v>0</v>
      </c>
      <c r="P831" t="b">
        <f t="shared" si="93"/>
        <v>0</v>
      </c>
      <c r="R831" t="b">
        <f>SUMPRODUCT(COUNTIF(_xlfn.XLOOKUP(B831,BugList!A:A,BugList!P:P), "*SC*"))&gt;0</f>
        <v>0</v>
      </c>
      <c r="S831" t="str">
        <f>_xlfn.XLOOKUP(B831,BugList!A:A,BugList!W:W)</f>
        <v/>
      </c>
      <c r="T831">
        <f t="shared" si="88"/>
        <v>16</v>
      </c>
      <c r="U831">
        <f t="shared" si="89"/>
        <v>16</v>
      </c>
    </row>
    <row r="832" spans="1:21">
      <c r="A832" t="s">
        <v>2663</v>
      </c>
      <c r="B832">
        <v>1696</v>
      </c>
      <c r="D832" t="s">
        <v>94</v>
      </c>
      <c r="E832" t="s">
        <v>94</v>
      </c>
      <c r="F832">
        <v>2</v>
      </c>
      <c r="G832">
        <f t="shared" si="94"/>
        <v>1.9230769230769231</v>
      </c>
      <c r="H832">
        <f t="shared" si="95"/>
        <v>1</v>
      </c>
      <c r="I832">
        <f t="shared" si="96"/>
        <v>0.92307692307692313</v>
      </c>
      <c r="J832" cm="1">
        <f t="array" ref="J832">INT(G832)+IF(100-SUM(INT(G$811:G$833))&gt;=RANK(I832,I$811:I$833)+COUNTIF(I$811:I832,I832)-1,1,0)</f>
        <v>2</v>
      </c>
      <c r="K832" t="str">
        <f>_xlfn.XLOOKUP(B832,BugList!A:A,BugList!H:H)</f>
        <v/>
      </c>
      <c r="L832" t="str">
        <f>IF(K832 = "","",_xlfn.XLOOKUP(B832, BugList!A:A,BugList!B:B,""))</f>
        <v/>
      </c>
      <c r="M832">
        <f>_xlfn.XLOOKUP(D832,BugList!C:C,BugList!N:N)</f>
        <v>8</v>
      </c>
      <c r="N832">
        <f>_xlfn.XLOOKUP(B832,BugList!A:A,BugList!R:R)</f>
        <v>8</v>
      </c>
      <c r="O832" t="b">
        <f>_xlfn.XLOOKUP(B832,BugList!A:A,BugList!L:L)</f>
        <v>0</v>
      </c>
      <c r="P832" t="b">
        <f t="shared" si="93"/>
        <v>0</v>
      </c>
      <c r="R832" t="b">
        <f>SUMPRODUCT(COUNTIF(_xlfn.XLOOKUP(B832,BugList!A:A,BugList!P:P), "*SC*"))&gt;0</f>
        <v>0</v>
      </c>
      <c r="S832" t="str">
        <f>_xlfn.XLOOKUP(B832,BugList!A:A,BugList!W:W)</f>
        <v/>
      </c>
      <c r="T832">
        <f t="shared" si="88"/>
        <v>16</v>
      </c>
      <c r="U832">
        <f t="shared" si="89"/>
        <v>16</v>
      </c>
    </row>
    <row r="833" spans="1:21">
      <c r="A833" t="s">
        <v>2663</v>
      </c>
      <c r="B833">
        <v>2781</v>
      </c>
      <c r="D833" t="s">
        <v>109</v>
      </c>
      <c r="E833" t="s">
        <v>109</v>
      </c>
      <c r="F833">
        <v>1</v>
      </c>
      <c r="G833">
        <f t="shared" si="94"/>
        <v>0.96153846153846156</v>
      </c>
      <c r="H833">
        <f t="shared" si="95"/>
        <v>0</v>
      </c>
      <c r="I833">
        <f t="shared" si="96"/>
        <v>0.96153846153846156</v>
      </c>
      <c r="J833" cm="1">
        <f t="array" ref="J833">INT(G833)+IF(100-SUM(INT(G$811:G$833))&gt;=RANK(I833,I$811:I$833)+COUNTIF(I$811:I833,I833)-1,1,0)</f>
        <v>1</v>
      </c>
      <c r="K833" t="str">
        <f>_xlfn.XLOOKUP(B833,BugList!A:A,BugList!H:H)</f>
        <v/>
      </c>
      <c r="L833" t="str">
        <f>IF(K833 = "","",_xlfn.XLOOKUP(B833, BugList!A:A,BugList!B:B,""))</f>
        <v/>
      </c>
      <c r="M833">
        <f>_xlfn.XLOOKUP(D833,BugList!C:C,BugList!N:N)</f>
        <v>6</v>
      </c>
      <c r="N833">
        <f>_xlfn.XLOOKUP(B833,BugList!A:A,BugList!R:R)</f>
        <v>4</v>
      </c>
      <c r="O833" t="b">
        <f>_xlfn.XLOOKUP(B833,BugList!A:A,BugList!L:L)</f>
        <v>0</v>
      </c>
      <c r="P833" t="b">
        <f t="shared" si="93"/>
        <v>0</v>
      </c>
      <c r="R833" t="b">
        <f>SUMPRODUCT(COUNTIF(_xlfn.XLOOKUP(B833,BugList!A:A,BugList!P:P), "*SC*"))&gt;0</f>
        <v>0</v>
      </c>
      <c r="S833" t="str">
        <f>_xlfn.XLOOKUP(B833,BugList!A:A,BugList!W:W)</f>
        <v/>
      </c>
      <c r="T833">
        <f t="shared" si="88"/>
        <v>6</v>
      </c>
      <c r="U833">
        <f t="shared" si="89"/>
        <v>4</v>
      </c>
    </row>
    <row r="834" spans="1:21">
      <c r="A834" t="s">
        <v>2664</v>
      </c>
      <c r="B834">
        <v>63</v>
      </c>
      <c r="D834" t="s">
        <v>84</v>
      </c>
      <c r="E834" t="s">
        <v>84</v>
      </c>
      <c r="F834">
        <v>3</v>
      </c>
      <c r="J834">
        <v>3</v>
      </c>
      <c r="K834" t="str">
        <f>_xlfn.XLOOKUP(B834,BugList!A:A,BugList!H:H)</f>
        <v/>
      </c>
      <c r="L834" t="str">
        <f>IF(K834 = "","",_xlfn.XLOOKUP(B834, BugList!A:A,BugList!B:B,""))</f>
        <v/>
      </c>
      <c r="M834">
        <f>_xlfn.XLOOKUP(D834,BugList!C:C,BugList!N:N)</f>
        <v>8</v>
      </c>
      <c r="N834">
        <f>_xlfn.XLOOKUP(B834,BugList!A:A,BugList!R:R)</f>
        <v>8</v>
      </c>
      <c r="O834" t="b">
        <f>_xlfn.XLOOKUP(B834,BugList!A:A,BugList!L:L)</f>
        <v>0</v>
      </c>
      <c r="P834" t="b">
        <f t="shared" si="93"/>
        <v>0</v>
      </c>
      <c r="R834" t="b">
        <f>SUMPRODUCT(COUNTIF(_xlfn.XLOOKUP(B834,BugList!A:A,BugList!P:P), "*SC*"))&gt;0</f>
        <v>0</v>
      </c>
      <c r="S834" t="str">
        <f>_xlfn.XLOOKUP(B834,BugList!A:A,BugList!W:W)</f>
        <v/>
      </c>
      <c r="T834">
        <f t="shared" ref="T834:T897" si="97">J834*M834</f>
        <v>24</v>
      </c>
      <c r="U834">
        <f t="shared" ref="U834:U897" si="98">J834*N834</f>
        <v>24</v>
      </c>
    </row>
    <row r="835" spans="1:21">
      <c r="A835" t="s">
        <v>2664</v>
      </c>
      <c r="B835">
        <v>88</v>
      </c>
      <c r="D835" t="s">
        <v>85</v>
      </c>
      <c r="E835" t="s">
        <v>85</v>
      </c>
      <c r="F835">
        <v>44</v>
      </c>
      <c r="J835">
        <v>44</v>
      </c>
      <c r="K835" t="str">
        <f>_xlfn.XLOOKUP(B835,BugList!A:A,BugList!H:H)</f>
        <v/>
      </c>
      <c r="L835" t="str">
        <f>IF(K835 = "","",_xlfn.XLOOKUP(B835, BugList!A:A,BugList!B:B,""))</f>
        <v/>
      </c>
      <c r="M835">
        <f>_xlfn.XLOOKUP(D835,BugList!C:C,BugList!N:N)</f>
        <v>4</v>
      </c>
      <c r="N835">
        <f>_xlfn.XLOOKUP(B835,BugList!A:A,BugList!R:R)</f>
        <v>4</v>
      </c>
      <c r="O835" t="b">
        <f>_xlfn.XLOOKUP(B835,BugList!A:A,BugList!L:L)</f>
        <v>0</v>
      </c>
      <c r="P835" t="b">
        <f t="shared" si="93"/>
        <v>0</v>
      </c>
      <c r="R835" t="b">
        <f>SUMPRODUCT(COUNTIF(_xlfn.XLOOKUP(B835,BugList!A:A,BugList!P:P), "*SC*"))&gt;0</f>
        <v>0</v>
      </c>
      <c r="S835" t="str">
        <f>_xlfn.XLOOKUP(B835,BugList!A:A,BugList!W:W)</f>
        <v/>
      </c>
      <c r="T835">
        <f t="shared" si="97"/>
        <v>176</v>
      </c>
      <c r="U835">
        <f t="shared" si="98"/>
        <v>176</v>
      </c>
    </row>
    <row r="836" spans="1:21">
      <c r="A836" t="s">
        <v>2664</v>
      </c>
      <c r="B836">
        <v>99</v>
      </c>
      <c r="D836" t="s">
        <v>169</v>
      </c>
      <c r="E836" t="s">
        <v>169</v>
      </c>
      <c r="F836">
        <v>1</v>
      </c>
      <c r="J836">
        <v>1</v>
      </c>
      <c r="K836" t="str">
        <f>_xlfn.XLOOKUP(B836,BugList!A:A,BugList!H:H)</f>
        <v/>
      </c>
      <c r="L836" t="str">
        <f>IF(K836 = "","",_xlfn.XLOOKUP(B836, BugList!A:A,BugList!B:B,""))</f>
        <v/>
      </c>
      <c r="M836">
        <f>_xlfn.XLOOKUP(D836,BugList!C:C,BugList!N:N)</f>
        <v>5</v>
      </c>
      <c r="N836">
        <f>_xlfn.XLOOKUP(B836,BugList!A:A,BugList!R:R)</f>
        <v>5</v>
      </c>
      <c r="O836" t="b">
        <f>_xlfn.XLOOKUP(B836,BugList!A:A,BugList!L:L)</f>
        <v>0</v>
      </c>
      <c r="P836" t="b">
        <f t="shared" si="93"/>
        <v>0</v>
      </c>
      <c r="R836" t="b">
        <f>SUMPRODUCT(COUNTIF(_xlfn.XLOOKUP(B836,BugList!A:A,BugList!P:P), "*SC*"))&gt;0</f>
        <v>0</v>
      </c>
      <c r="S836" t="str">
        <f>_xlfn.XLOOKUP(B836,BugList!A:A,BugList!W:W)</f>
        <v/>
      </c>
      <c r="T836">
        <f t="shared" si="97"/>
        <v>5</v>
      </c>
      <c r="U836">
        <f t="shared" si="98"/>
        <v>5</v>
      </c>
    </row>
    <row r="837" spans="1:21">
      <c r="A837" t="s">
        <v>2664</v>
      </c>
      <c r="B837">
        <v>372</v>
      </c>
      <c r="D837" t="s">
        <v>88</v>
      </c>
      <c r="E837" t="s">
        <v>88</v>
      </c>
      <c r="F837">
        <v>1</v>
      </c>
      <c r="J837">
        <v>1</v>
      </c>
      <c r="K837" t="str">
        <f>_xlfn.XLOOKUP(B837,BugList!A:A,BugList!H:H)</f>
        <v/>
      </c>
      <c r="L837" t="str">
        <f>IF(K837 = "","",_xlfn.XLOOKUP(B837, BugList!A:A,BugList!B:B,""))</f>
        <v/>
      </c>
      <c r="M837">
        <f>_xlfn.XLOOKUP(D837,BugList!C:C,BugList!N:N)</f>
        <v>8</v>
      </c>
      <c r="N837">
        <f>_xlfn.XLOOKUP(B837,BugList!A:A,BugList!R:R)</f>
        <v>8</v>
      </c>
      <c r="O837" t="b">
        <f>_xlfn.XLOOKUP(B837,BugList!A:A,BugList!L:L)</f>
        <v>0</v>
      </c>
      <c r="P837" t="b">
        <f t="shared" si="93"/>
        <v>0</v>
      </c>
      <c r="R837" t="b">
        <f>SUMPRODUCT(COUNTIF(_xlfn.XLOOKUP(B837,BugList!A:A,BugList!P:P), "*SC*"))&gt;0</f>
        <v>0</v>
      </c>
      <c r="S837" t="str">
        <f>_xlfn.XLOOKUP(B837,BugList!A:A,BugList!W:W)</f>
        <v/>
      </c>
      <c r="T837">
        <f t="shared" si="97"/>
        <v>8</v>
      </c>
      <c r="U837">
        <f t="shared" si="98"/>
        <v>8</v>
      </c>
    </row>
    <row r="838" spans="1:21">
      <c r="A838" t="s">
        <v>2664</v>
      </c>
      <c r="B838">
        <v>500</v>
      </c>
      <c r="D838" t="s">
        <v>151</v>
      </c>
      <c r="E838" t="s">
        <v>151</v>
      </c>
      <c r="F838">
        <v>1</v>
      </c>
      <c r="J838">
        <v>1</v>
      </c>
      <c r="K838" t="str">
        <f>_xlfn.XLOOKUP(B838,BugList!A:A,BugList!H:H)</f>
        <v>*</v>
      </c>
      <c r="L838" t="str">
        <f>IF(K838 = "","",_xlfn.XLOOKUP(B838, BugList!A:A,BugList!B:B,""))</f>
        <v>Ephemeroptera</v>
      </c>
      <c r="M838">
        <f>_xlfn.XLOOKUP(D838,BugList!C:C,BugList!N:N)</f>
        <v>1</v>
      </c>
      <c r="N838">
        <f>_xlfn.XLOOKUP(B838,BugList!A:A,BugList!R:R)</f>
        <v>1</v>
      </c>
      <c r="O838" t="b">
        <f>_xlfn.XLOOKUP(B838,BugList!A:A,BugList!L:L)</f>
        <v>1</v>
      </c>
      <c r="P838" t="b">
        <f t="shared" si="93"/>
        <v>1</v>
      </c>
      <c r="R838" t="b">
        <f>SUMPRODUCT(COUNTIF(_xlfn.XLOOKUP(B838,BugList!A:A,BugList!P:P), "*SC*"))&gt;0</f>
        <v>1</v>
      </c>
      <c r="S838" t="str">
        <f>_xlfn.XLOOKUP(B838,BugList!A:A,BugList!W:W)</f>
        <v/>
      </c>
      <c r="T838">
        <f t="shared" si="97"/>
        <v>1</v>
      </c>
      <c r="U838">
        <f t="shared" si="98"/>
        <v>1</v>
      </c>
    </row>
    <row r="839" spans="1:21">
      <c r="A839" t="s">
        <v>2664</v>
      </c>
      <c r="B839">
        <v>513</v>
      </c>
      <c r="D839" t="s">
        <v>111</v>
      </c>
      <c r="E839" t="s">
        <v>111</v>
      </c>
      <c r="F839">
        <v>1</v>
      </c>
      <c r="J839">
        <v>1</v>
      </c>
      <c r="K839" t="str">
        <f>_xlfn.XLOOKUP(B839,BugList!A:A,BugList!H:H)</f>
        <v>*</v>
      </c>
      <c r="L839" t="str">
        <f>IF(K839 = "","",_xlfn.XLOOKUP(B839, BugList!A:A,BugList!B:B,""))</f>
        <v>Ephemeroptera</v>
      </c>
      <c r="M839">
        <f>_xlfn.XLOOKUP(D839,BugList!C:C,BugList!N:N)</f>
        <v>4</v>
      </c>
      <c r="N839">
        <f>_xlfn.XLOOKUP(B839,BugList!A:A,BugList!R:R)</f>
        <v>4</v>
      </c>
      <c r="O839" t="b">
        <f>_xlfn.XLOOKUP(B839,BugList!A:A,BugList!L:L)</f>
        <v>1</v>
      </c>
      <c r="P839" t="b">
        <f t="shared" si="93"/>
        <v>1</v>
      </c>
      <c r="R839" t="b">
        <f>SUMPRODUCT(COUNTIF(_xlfn.XLOOKUP(B839,BugList!A:A,BugList!P:P), "*SC*"))&gt;0</f>
        <v>1</v>
      </c>
      <c r="S839" t="str">
        <f>_xlfn.XLOOKUP(B839,BugList!A:A,BugList!W:W)</f>
        <v/>
      </c>
      <c r="T839">
        <f t="shared" si="97"/>
        <v>4</v>
      </c>
      <c r="U839">
        <f t="shared" si="98"/>
        <v>4</v>
      </c>
    </row>
    <row r="840" spans="1:21">
      <c r="A840" t="s">
        <v>2664</v>
      </c>
      <c r="B840">
        <v>602</v>
      </c>
      <c r="D840" t="s">
        <v>97</v>
      </c>
      <c r="E840" t="s">
        <v>97</v>
      </c>
      <c r="F840">
        <v>6</v>
      </c>
      <c r="J840">
        <v>6</v>
      </c>
      <c r="K840" t="str">
        <f>_xlfn.XLOOKUP(B840,BugList!A:A,BugList!H:H)</f>
        <v/>
      </c>
      <c r="L840" t="str">
        <f>IF(K840 = "","",_xlfn.XLOOKUP(B840, BugList!A:A,BugList!B:B,""))</f>
        <v/>
      </c>
      <c r="M840">
        <f>_xlfn.XLOOKUP(D840,BugList!C:C,BugList!N:N)</f>
        <v>9</v>
      </c>
      <c r="N840">
        <f>_xlfn.XLOOKUP(B840,BugList!A:A,BugList!R:R)</f>
        <v>9</v>
      </c>
      <c r="O840" t="b">
        <f>_xlfn.XLOOKUP(B840,BugList!A:A,BugList!L:L)</f>
        <v>1</v>
      </c>
      <c r="P840" t="b">
        <f t="shared" si="93"/>
        <v>0</v>
      </c>
      <c r="R840" t="b">
        <f>SUMPRODUCT(COUNTIF(_xlfn.XLOOKUP(B840,BugList!A:A,BugList!P:P), "*SC*"))&gt;0</f>
        <v>0</v>
      </c>
      <c r="S840" t="str">
        <f>_xlfn.XLOOKUP(B840,BugList!A:A,BugList!W:W)</f>
        <v/>
      </c>
      <c r="T840">
        <f t="shared" si="97"/>
        <v>54</v>
      </c>
      <c r="U840">
        <f t="shared" si="98"/>
        <v>54</v>
      </c>
    </row>
    <row r="841" spans="1:21">
      <c r="A841" t="s">
        <v>2664</v>
      </c>
      <c r="B841">
        <v>620</v>
      </c>
      <c r="D841" t="s">
        <v>113</v>
      </c>
      <c r="E841" t="s">
        <v>113</v>
      </c>
      <c r="F841">
        <v>1</v>
      </c>
      <c r="J841">
        <v>1</v>
      </c>
      <c r="K841" t="str">
        <f>_xlfn.XLOOKUP(B841,BugList!A:A,BugList!H:H)</f>
        <v/>
      </c>
      <c r="L841" t="str">
        <f>IF(K841 = "","",_xlfn.XLOOKUP(B841, BugList!A:A,BugList!B:B,""))</f>
        <v/>
      </c>
      <c r="M841">
        <f>_xlfn.XLOOKUP(D841,BugList!C:C,BugList!N:N)</f>
        <v>1</v>
      </c>
      <c r="N841">
        <f>_xlfn.XLOOKUP(B841,BugList!A:A,BugList!R:R)</f>
        <v>1</v>
      </c>
      <c r="O841" t="b">
        <f>_xlfn.XLOOKUP(B841,BugList!A:A,BugList!L:L)</f>
        <v>1</v>
      </c>
      <c r="P841" t="b">
        <f t="shared" si="93"/>
        <v>0</v>
      </c>
      <c r="R841" t="b">
        <f>SUMPRODUCT(COUNTIF(_xlfn.XLOOKUP(B841,BugList!A:A,BugList!P:P), "*SC*"))&gt;0</f>
        <v>0</v>
      </c>
      <c r="S841" t="str">
        <f>_xlfn.XLOOKUP(B841,BugList!A:A,BugList!W:W)</f>
        <v>3</v>
      </c>
      <c r="T841">
        <f t="shared" si="97"/>
        <v>1</v>
      </c>
      <c r="U841">
        <f t="shared" si="98"/>
        <v>1</v>
      </c>
    </row>
    <row r="842" spans="1:21">
      <c r="A842" t="s">
        <v>2664</v>
      </c>
      <c r="B842">
        <v>935</v>
      </c>
      <c r="D842" t="s">
        <v>98</v>
      </c>
      <c r="E842" t="s">
        <v>98</v>
      </c>
      <c r="F842">
        <v>11</v>
      </c>
      <c r="J842">
        <v>11</v>
      </c>
      <c r="K842" t="str">
        <f>_xlfn.XLOOKUP(B842,BugList!A:A,BugList!H:H)</f>
        <v/>
      </c>
      <c r="L842" t="str">
        <f>IF(K842 = "","",_xlfn.XLOOKUP(B842, BugList!A:A,BugList!B:B,""))</f>
        <v/>
      </c>
      <c r="M842">
        <f>_xlfn.XLOOKUP(D842,BugList!C:C,BugList!N:N)</f>
        <v>4</v>
      </c>
      <c r="N842">
        <f>_xlfn.XLOOKUP(B842,BugList!A:A,BugList!R:R)</f>
        <v>4</v>
      </c>
      <c r="O842" t="b">
        <f>_xlfn.XLOOKUP(B842,BugList!A:A,BugList!L:L)</f>
        <v>1</v>
      </c>
      <c r="P842" t="b">
        <f t="shared" si="93"/>
        <v>0</v>
      </c>
      <c r="R842" t="b">
        <f>SUMPRODUCT(COUNTIF(_xlfn.XLOOKUP(B842,BugList!A:A,BugList!P:P), "*SC*"))&gt;0</f>
        <v>1</v>
      </c>
      <c r="S842" t="str">
        <f>_xlfn.XLOOKUP(B842,BugList!A:A,BugList!W:W)</f>
        <v/>
      </c>
      <c r="T842">
        <f t="shared" si="97"/>
        <v>44</v>
      </c>
      <c r="U842">
        <f t="shared" si="98"/>
        <v>44</v>
      </c>
    </row>
    <row r="843" spans="1:21">
      <c r="A843" t="s">
        <v>2664</v>
      </c>
      <c r="B843">
        <v>1002</v>
      </c>
      <c r="D843" t="s">
        <v>100</v>
      </c>
      <c r="E843" t="s">
        <v>100</v>
      </c>
      <c r="F843">
        <v>15</v>
      </c>
      <c r="J843">
        <v>15</v>
      </c>
      <c r="K843" t="str">
        <f>_xlfn.XLOOKUP(B843,BugList!A:A,BugList!H:H)</f>
        <v/>
      </c>
      <c r="L843" t="str">
        <f>IF(K843 = "","",_xlfn.XLOOKUP(B843, BugList!A:A,BugList!B:B,""))</f>
        <v/>
      </c>
      <c r="M843">
        <f>_xlfn.XLOOKUP(D843,BugList!C:C,BugList!N:N)</f>
        <v>4</v>
      </c>
      <c r="N843">
        <f>_xlfn.XLOOKUP(B843,BugList!A:A,BugList!R:R)</f>
        <v>4</v>
      </c>
      <c r="O843" t="b">
        <f>_xlfn.XLOOKUP(B843,BugList!A:A,BugList!L:L)</f>
        <v>1</v>
      </c>
      <c r="P843" t="b">
        <f t="shared" si="93"/>
        <v>0</v>
      </c>
      <c r="R843" t="b">
        <f>SUMPRODUCT(COUNTIF(_xlfn.XLOOKUP(B843,BugList!A:A,BugList!P:P), "*SC*"))&gt;0</f>
        <v>1</v>
      </c>
      <c r="S843" t="str">
        <f>_xlfn.XLOOKUP(B843,BugList!A:A,BugList!W:W)</f>
        <v/>
      </c>
      <c r="T843">
        <f t="shared" si="97"/>
        <v>60</v>
      </c>
      <c r="U843">
        <f t="shared" si="98"/>
        <v>60</v>
      </c>
    </row>
    <row r="844" spans="1:21">
      <c r="A844" t="s">
        <v>2664</v>
      </c>
      <c r="B844">
        <v>1088</v>
      </c>
      <c r="D844" t="s">
        <v>90</v>
      </c>
      <c r="E844" t="s">
        <v>90</v>
      </c>
      <c r="F844">
        <v>2</v>
      </c>
      <c r="J844">
        <v>2</v>
      </c>
      <c r="K844" t="str">
        <f>_xlfn.XLOOKUP(B844,BugList!A:A,BugList!H:H)</f>
        <v/>
      </c>
      <c r="L844" t="str">
        <f>IF(K844 = "","",_xlfn.XLOOKUP(B844, BugList!A:A,BugList!B:B,""))</f>
        <v/>
      </c>
      <c r="M844">
        <f>_xlfn.XLOOKUP(D844,BugList!C:C,BugList!N:N)</f>
        <v>6</v>
      </c>
      <c r="N844">
        <f>_xlfn.XLOOKUP(B844,BugList!A:A,BugList!R:R)</f>
        <v>6</v>
      </c>
      <c r="O844" t="b">
        <f>_xlfn.XLOOKUP(B844,BugList!A:A,BugList!L:L)</f>
        <v>1</v>
      </c>
      <c r="P844" t="b">
        <f t="shared" si="93"/>
        <v>0</v>
      </c>
      <c r="R844" t="b">
        <f>SUMPRODUCT(COUNTIF(_xlfn.XLOOKUP(B844,BugList!A:A,BugList!P:P), "*SC*"))&gt;0</f>
        <v>0</v>
      </c>
      <c r="S844" t="str">
        <f>_xlfn.XLOOKUP(B844,BugList!A:A,BugList!W:W)</f>
        <v/>
      </c>
      <c r="T844">
        <f t="shared" si="97"/>
        <v>12</v>
      </c>
      <c r="U844">
        <f t="shared" si="98"/>
        <v>12</v>
      </c>
    </row>
    <row r="845" spans="1:21">
      <c r="A845" t="s">
        <v>2664</v>
      </c>
      <c r="B845">
        <v>1497</v>
      </c>
      <c r="D845" t="s">
        <v>108</v>
      </c>
      <c r="E845" t="s">
        <v>108</v>
      </c>
      <c r="F845">
        <v>1</v>
      </c>
      <c r="J845">
        <v>1</v>
      </c>
      <c r="K845" t="str">
        <f>_xlfn.XLOOKUP(B845,BugList!A:A,BugList!H:H)</f>
        <v/>
      </c>
      <c r="L845" t="str">
        <f>IF(K845 = "","",_xlfn.XLOOKUP(B845, BugList!A:A,BugList!B:B,""))</f>
        <v/>
      </c>
      <c r="M845">
        <f>_xlfn.XLOOKUP(D845,BugList!C:C,BugList!N:N)</f>
        <v>3</v>
      </c>
      <c r="N845">
        <f>_xlfn.XLOOKUP(B845,BugList!A:A,BugList!R:R)</f>
        <v>3</v>
      </c>
      <c r="O845" t="b">
        <f>_xlfn.XLOOKUP(B845,BugList!A:A,BugList!L:L)</f>
        <v>1</v>
      </c>
      <c r="P845" t="b">
        <f t="shared" si="93"/>
        <v>0</v>
      </c>
      <c r="R845" t="b">
        <f>SUMPRODUCT(COUNTIF(_xlfn.XLOOKUP(B845,BugList!A:A,BugList!P:P), "*SC*"))&gt;0</f>
        <v>0</v>
      </c>
      <c r="S845" t="str">
        <f>_xlfn.XLOOKUP(B845,BugList!A:A,BugList!W:W)</f>
        <v/>
      </c>
      <c r="T845">
        <f t="shared" si="97"/>
        <v>3</v>
      </c>
      <c r="U845">
        <f t="shared" si="98"/>
        <v>3</v>
      </c>
    </row>
    <row r="846" spans="1:21">
      <c r="A846" t="s">
        <v>2664</v>
      </c>
      <c r="B846">
        <v>1696</v>
      </c>
      <c r="D846" t="s">
        <v>94</v>
      </c>
      <c r="E846" t="s">
        <v>94</v>
      </c>
      <c r="F846">
        <v>4</v>
      </c>
      <c r="J846">
        <v>4</v>
      </c>
      <c r="K846" t="str">
        <f>_xlfn.XLOOKUP(B846,BugList!A:A,BugList!H:H)</f>
        <v/>
      </c>
      <c r="L846" t="str">
        <f>IF(K846 = "","",_xlfn.XLOOKUP(B846, BugList!A:A,BugList!B:B,""))</f>
        <v/>
      </c>
      <c r="M846">
        <f>_xlfn.XLOOKUP(D846,BugList!C:C,BugList!N:N)</f>
        <v>8</v>
      </c>
      <c r="N846">
        <f>_xlfn.XLOOKUP(B846,BugList!A:A,BugList!R:R)</f>
        <v>8</v>
      </c>
      <c r="O846" t="b">
        <f>_xlfn.XLOOKUP(B846,BugList!A:A,BugList!L:L)</f>
        <v>0</v>
      </c>
      <c r="P846" t="b">
        <f t="shared" si="93"/>
        <v>0</v>
      </c>
      <c r="R846" t="b">
        <f>SUMPRODUCT(COUNTIF(_xlfn.XLOOKUP(B846,BugList!A:A,BugList!P:P), "*SC*"))&gt;0</f>
        <v>0</v>
      </c>
      <c r="S846" t="str">
        <f>_xlfn.XLOOKUP(B846,BugList!A:A,BugList!W:W)</f>
        <v/>
      </c>
      <c r="T846">
        <f t="shared" si="97"/>
        <v>32</v>
      </c>
      <c r="U846">
        <f t="shared" si="98"/>
        <v>32</v>
      </c>
    </row>
    <row r="847" spans="1:21">
      <c r="A847" t="s">
        <v>2664</v>
      </c>
      <c r="B847">
        <v>2781</v>
      </c>
      <c r="D847" t="s">
        <v>109</v>
      </c>
      <c r="E847" t="s">
        <v>109</v>
      </c>
      <c r="F847">
        <v>5</v>
      </c>
      <c r="J847">
        <v>5</v>
      </c>
      <c r="K847" t="str">
        <f>_xlfn.XLOOKUP(B847,BugList!A:A,BugList!H:H)</f>
        <v/>
      </c>
      <c r="L847" t="str">
        <f>IF(K847 = "","",_xlfn.XLOOKUP(B847, BugList!A:A,BugList!B:B,""))</f>
        <v/>
      </c>
      <c r="M847">
        <f>_xlfn.XLOOKUP(D847,BugList!C:C,BugList!N:N)</f>
        <v>6</v>
      </c>
      <c r="N847">
        <f>_xlfn.XLOOKUP(B847,BugList!A:A,BugList!R:R)</f>
        <v>4</v>
      </c>
      <c r="O847" t="b">
        <f>_xlfn.XLOOKUP(B847,BugList!A:A,BugList!L:L)</f>
        <v>0</v>
      </c>
      <c r="P847" t="b">
        <f t="shared" si="93"/>
        <v>0</v>
      </c>
      <c r="R847" t="b">
        <f>SUMPRODUCT(COUNTIF(_xlfn.XLOOKUP(B847,BugList!A:A,BugList!P:P), "*SC*"))&gt;0</f>
        <v>0</v>
      </c>
      <c r="S847" t="str">
        <f>_xlfn.XLOOKUP(B847,BugList!A:A,BugList!W:W)</f>
        <v/>
      </c>
      <c r="T847">
        <f t="shared" si="97"/>
        <v>30</v>
      </c>
      <c r="U847">
        <f t="shared" si="98"/>
        <v>20</v>
      </c>
    </row>
    <row r="848" spans="1:21">
      <c r="A848" t="s">
        <v>2665</v>
      </c>
      <c r="B848">
        <v>88</v>
      </c>
      <c r="D848" t="s">
        <v>85</v>
      </c>
      <c r="E848" t="s">
        <v>85</v>
      </c>
      <c r="F848">
        <v>7</v>
      </c>
      <c r="G848">
        <f t="shared" ref="G848:G911" si="99">(F848/(SUMIFS(F:F,A:A,A848))*100)</f>
        <v>6.9306930693069315</v>
      </c>
      <c r="H848">
        <f t="shared" ref="H848:H911" si="100">INT(G848)</f>
        <v>6</v>
      </c>
      <c r="I848">
        <f t="shared" ref="I848:I911" si="101">G848-H848</f>
        <v>0.93069306930693152</v>
      </c>
      <c r="J848" cm="1">
        <f t="array" ref="J848">INT(G848)+IF(100-SUM(INT(G$848:G$866))&gt;=RANK(I848,I$848:I$866)+COUNTIF(I$747:I949,I848)-1,1,0)</f>
        <v>7</v>
      </c>
      <c r="K848" t="str">
        <f>_xlfn.XLOOKUP(B848,BugList!A:A,BugList!H:H)</f>
        <v/>
      </c>
      <c r="L848" t="str">
        <f>IF(K848 = "","",_xlfn.XLOOKUP(B848, BugList!A:A,BugList!B:B,""))</f>
        <v/>
      </c>
      <c r="M848">
        <f>_xlfn.XLOOKUP(D848,BugList!C:C,BugList!N:N)</f>
        <v>4</v>
      </c>
      <c r="N848">
        <f>_xlfn.XLOOKUP(B848,BugList!A:A,BugList!R:R)</f>
        <v>4</v>
      </c>
      <c r="O848" t="b">
        <f>_xlfn.XLOOKUP(B848,BugList!A:A,BugList!L:L)</f>
        <v>0</v>
      </c>
      <c r="P848" t="b">
        <f t="shared" si="93"/>
        <v>0</v>
      </c>
      <c r="R848" t="b">
        <f>SUMPRODUCT(COUNTIF(_xlfn.XLOOKUP(B848,BugList!A:A,BugList!P:P), "*SC*"))&gt;0</f>
        <v>0</v>
      </c>
      <c r="S848" t="str">
        <f>_xlfn.XLOOKUP(B848,BugList!A:A,BugList!W:W)</f>
        <v/>
      </c>
      <c r="T848">
        <f t="shared" si="97"/>
        <v>28</v>
      </c>
      <c r="U848">
        <f t="shared" si="98"/>
        <v>28</v>
      </c>
    </row>
    <row r="849" spans="1:21">
      <c r="A849" t="s">
        <v>2665</v>
      </c>
      <c r="B849">
        <v>247</v>
      </c>
      <c r="D849" t="s">
        <v>87</v>
      </c>
      <c r="E849" t="s">
        <v>87</v>
      </c>
      <c r="F849">
        <v>12</v>
      </c>
      <c r="G849">
        <f t="shared" si="99"/>
        <v>11.881188118811881</v>
      </c>
      <c r="H849">
        <f t="shared" si="100"/>
        <v>11</v>
      </c>
      <c r="I849">
        <f t="shared" si="101"/>
        <v>0.88118811881188108</v>
      </c>
      <c r="J849" cm="1">
        <f t="array" ref="J849">INT(G849)+IF(100-SUM(INT(G$848:G$866))&gt;=RANK(I849,I$848:I$866)+COUNTIF(I$748:I949,I849)-1,1,0)</f>
        <v>12</v>
      </c>
      <c r="K849" t="str">
        <f>_xlfn.XLOOKUP(B849,BugList!A:A,BugList!H:H)</f>
        <v/>
      </c>
      <c r="L849" t="str">
        <f>IF(K849 = "","",_xlfn.XLOOKUP(B849, BugList!A:A,BugList!B:B,""))</f>
        <v/>
      </c>
      <c r="M849">
        <f>_xlfn.XLOOKUP(D849,BugList!C:C,BugList!N:N)</f>
        <v>4</v>
      </c>
      <c r="N849">
        <f>_xlfn.XLOOKUP(B849,BugList!A:A,BugList!R:R)</f>
        <v>4</v>
      </c>
      <c r="O849" t="b">
        <f>_xlfn.XLOOKUP(B849,BugList!A:A,BugList!L:L)</f>
        <v>0</v>
      </c>
      <c r="P849" t="b">
        <f t="shared" si="93"/>
        <v>0</v>
      </c>
      <c r="R849" t="b">
        <f>SUMPRODUCT(COUNTIF(_xlfn.XLOOKUP(B849,BugList!A:A,BugList!P:P), "*SC*"))&gt;0</f>
        <v>0</v>
      </c>
      <c r="S849" t="str">
        <f>_xlfn.XLOOKUP(B849,BugList!A:A,BugList!W:W)</f>
        <v/>
      </c>
      <c r="T849">
        <f t="shared" si="97"/>
        <v>48</v>
      </c>
      <c r="U849">
        <f t="shared" si="98"/>
        <v>48</v>
      </c>
    </row>
    <row r="850" spans="1:21">
      <c r="A850" t="s">
        <v>2665</v>
      </c>
      <c r="B850">
        <v>500</v>
      </c>
      <c r="D850" t="s">
        <v>151</v>
      </c>
      <c r="E850" t="s">
        <v>151</v>
      </c>
      <c r="F850">
        <v>17</v>
      </c>
      <c r="G850">
        <f t="shared" si="99"/>
        <v>16.831683168316832</v>
      </c>
      <c r="H850">
        <f t="shared" si="100"/>
        <v>16</v>
      </c>
      <c r="I850">
        <f t="shared" si="101"/>
        <v>0.83168316831683242</v>
      </c>
      <c r="J850" cm="1">
        <f t="array" ref="J850">INT(G850)+IF(100-SUM(INT(G$848:G$866))&gt;=RANK(I850,I$848:I$866)+COUNTIF(I$749:I949,I850)-1,1,0)</f>
        <v>17</v>
      </c>
      <c r="K850" t="str">
        <f>_xlfn.XLOOKUP(B850,BugList!A:A,BugList!H:H)</f>
        <v>*</v>
      </c>
      <c r="L850" t="str">
        <f>IF(K850 = "","",_xlfn.XLOOKUP(B850, BugList!A:A,BugList!B:B,""))</f>
        <v>Ephemeroptera</v>
      </c>
      <c r="M850">
        <f>_xlfn.XLOOKUP(D850,BugList!C:C,BugList!N:N)</f>
        <v>1</v>
      </c>
      <c r="N850">
        <f>_xlfn.XLOOKUP(B850,BugList!A:A,BugList!R:R)</f>
        <v>1</v>
      </c>
      <c r="O850" t="b">
        <f>_xlfn.XLOOKUP(B850,BugList!A:A,BugList!L:L)</f>
        <v>1</v>
      </c>
      <c r="P850" t="b">
        <f t="shared" si="93"/>
        <v>1</v>
      </c>
      <c r="R850" t="b">
        <f>SUMPRODUCT(COUNTIF(_xlfn.XLOOKUP(B850,BugList!A:A,BugList!P:P), "*SC*"))&gt;0</f>
        <v>1</v>
      </c>
      <c r="S850" t="str">
        <f>_xlfn.XLOOKUP(B850,BugList!A:A,BugList!W:W)</f>
        <v/>
      </c>
      <c r="T850">
        <f t="shared" si="97"/>
        <v>17</v>
      </c>
      <c r="U850">
        <f t="shared" si="98"/>
        <v>17</v>
      </c>
    </row>
    <row r="851" spans="1:21">
      <c r="A851" t="s">
        <v>2665</v>
      </c>
      <c r="B851">
        <v>602</v>
      </c>
      <c r="D851" t="s">
        <v>97</v>
      </c>
      <c r="E851" t="s">
        <v>97</v>
      </c>
      <c r="F851">
        <v>1</v>
      </c>
      <c r="G851">
        <f t="shared" si="99"/>
        <v>0.99009900990099009</v>
      </c>
      <c r="H851">
        <f t="shared" si="100"/>
        <v>0</v>
      </c>
      <c r="I851">
        <f t="shared" si="101"/>
        <v>0.99009900990099009</v>
      </c>
      <c r="J851" cm="1">
        <f t="array" ref="J851">INT(G851)+IF(100-SUM(INT(G$848:G$866))&gt;=RANK(I851,I$848:I$866)+COUNTIF(I$750:I949,I851)-1,1,0)</f>
        <v>1</v>
      </c>
      <c r="K851" t="str">
        <f>_xlfn.XLOOKUP(B851,BugList!A:A,BugList!H:H)</f>
        <v/>
      </c>
      <c r="L851" t="str">
        <f>IF(K851 = "","",_xlfn.XLOOKUP(B851, BugList!A:A,BugList!B:B,""))</f>
        <v/>
      </c>
      <c r="M851">
        <f>_xlfn.XLOOKUP(D851,BugList!C:C,BugList!N:N)</f>
        <v>9</v>
      </c>
      <c r="N851">
        <f>_xlfn.XLOOKUP(B851,BugList!A:A,BugList!R:R)</f>
        <v>9</v>
      </c>
      <c r="O851" t="b">
        <f>_xlfn.XLOOKUP(B851,BugList!A:A,BugList!L:L)</f>
        <v>1</v>
      </c>
      <c r="P851" t="b">
        <f t="shared" si="93"/>
        <v>0</v>
      </c>
      <c r="R851" t="b">
        <f>SUMPRODUCT(COUNTIF(_xlfn.XLOOKUP(B851,BugList!A:A,BugList!P:P), "*SC*"))&gt;0</f>
        <v>0</v>
      </c>
      <c r="S851" t="str">
        <f>_xlfn.XLOOKUP(B851,BugList!A:A,BugList!W:W)</f>
        <v/>
      </c>
      <c r="T851">
        <f t="shared" si="97"/>
        <v>9</v>
      </c>
      <c r="U851">
        <f t="shared" si="98"/>
        <v>9</v>
      </c>
    </row>
    <row r="852" spans="1:21">
      <c r="A852" t="s">
        <v>2665</v>
      </c>
      <c r="B852">
        <v>620</v>
      </c>
      <c r="D852" t="s">
        <v>113</v>
      </c>
      <c r="E852" t="s">
        <v>113</v>
      </c>
      <c r="F852">
        <v>1</v>
      </c>
      <c r="G852">
        <f t="shared" si="99"/>
        <v>0.99009900990099009</v>
      </c>
      <c r="H852">
        <f t="shared" si="100"/>
        <v>0</v>
      </c>
      <c r="I852">
        <f t="shared" si="101"/>
        <v>0.99009900990099009</v>
      </c>
      <c r="J852" cm="1">
        <f t="array" ref="J852">INT(G852)+IF(100-SUM(INT(G$848:G$866))&gt;=RANK(I852,I$848:I$866)+COUNTIF(I$751:I949,I852)-1,1,0)</f>
        <v>1</v>
      </c>
      <c r="K852" t="str">
        <f>_xlfn.XLOOKUP(B852,BugList!A:A,BugList!H:H)</f>
        <v/>
      </c>
      <c r="L852" t="str">
        <f>IF(K852 = "","",_xlfn.XLOOKUP(B852, BugList!A:A,BugList!B:B,""))</f>
        <v/>
      </c>
      <c r="M852">
        <f>_xlfn.XLOOKUP(D852,BugList!C:C,BugList!N:N)</f>
        <v>1</v>
      </c>
      <c r="N852">
        <f>_xlfn.XLOOKUP(B852,BugList!A:A,BugList!R:R)</f>
        <v>1</v>
      </c>
      <c r="O852" t="b">
        <f>_xlfn.XLOOKUP(B852,BugList!A:A,BugList!L:L)</f>
        <v>1</v>
      </c>
      <c r="P852" t="b">
        <f t="shared" si="93"/>
        <v>0</v>
      </c>
      <c r="R852" t="b">
        <f>SUMPRODUCT(COUNTIF(_xlfn.XLOOKUP(B852,BugList!A:A,BugList!P:P), "*SC*"))&gt;0</f>
        <v>0</v>
      </c>
      <c r="S852" t="str">
        <f>_xlfn.XLOOKUP(B852,BugList!A:A,BugList!W:W)</f>
        <v>3</v>
      </c>
      <c r="T852">
        <f t="shared" si="97"/>
        <v>1</v>
      </c>
      <c r="U852">
        <f t="shared" si="98"/>
        <v>1</v>
      </c>
    </row>
    <row r="853" spans="1:21">
      <c r="A853" t="s">
        <v>2665</v>
      </c>
      <c r="B853">
        <v>701</v>
      </c>
      <c r="D853" t="s">
        <v>1202</v>
      </c>
      <c r="E853" t="s">
        <v>1202</v>
      </c>
      <c r="F853">
        <v>2</v>
      </c>
      <c r="G853">
        <f t="shared" si="99"/>
        <v>1.9801980198019802</v>
      </c>
      <c r="H853">
        <f t="shared" si="100"/>
        <v>1</v>
      </c>
      <c r="I853">
        <f t="shared" si="101"/>
        <v>0.98019801980198018</v>
      </c>
      <c r="J853" cm="1">
        <f t="array" ref="J853">INT(G853)+IF(100-SUM(INT(G$848:G$866))&gt;=RANK(I853,I$848:I$866)+COUNTIF(I$752:I949,I853)-1,1,0)</f>
        <v>2</v>
      </c>
      <c r="K853" t="str">
        <f>_xlfn.XLOOKUP(B853,BugList!A:A,BugList!H:H)</f>
        <v/>
      </c>
      <c r="L853" t="str">
        <f>IF(K853 = "","",_xlfn.XLOOKUP(B853, BugList!A:A,BugList!B:B,""))</f>
        <v/>
      </c>
      <c r="M853">
        <f>_xlfn.XLOOKUP(D853,BugList!C:C,BugList!N:N)</f>
        <v>9</v>
      </c>
      <c r="N853">
        <f>_xlfn.XLOOKUP(B853,BugList!A:A,BugList!R:R)</f>
        <v>9</v>
      </c>
      <c r="O853" t="b">
        <f>_xlfn.XLOOKUP(B853,BugList!A:A,BugList!L:L)</f>
        <v>1</v>
      </c>
      <c r="P853" t="b">
        <f t="shared" si="93"/>
        <v>0</v>
      </c>
      <c r="R853" t="b">
        <f>SUMPRODUCT(COUNTIF(_xlfn.XLOOKUP(B853,BugList!A:A,BugList!P:P), "*SC*"))&gt;0</f>
        <v>0</v>
      </c>
      <c r="S853" t="str">
        <f>_xlfn.XLOOKUP(B853,BugList!A:A,BugList!W:W)</f>
        <v/>
      </c>
      <c r="T853">
        <f t="shared" si="97"/>
        <v>18</v>
      </c>
      <c r="U853">
        <f t="shared" si="98"/>
        <v>18</v>
      </c>
    </row>
    <row r="854" spans="1:21">
      <c r="A854" t="s">
        <v>2665</v>
      </c>
      <c r="B854">
        <v>837</v>
      </c>
      <c r="D854" t="s">
        <v>107</v>
      </c>
      <c r="E854" t="s">
        <v>107</v>
      </c>
      <c r="F854">
        <v>1</v>
      </c>
      <c r="G854">
        <f t="shared" si="99"/>
        <v>0.99009900990099009</v>
      </c>
      <c r="H854">
        <f t="shared" si="100"/>
        <v>0</v>
      </c>
      <c r="I854">
        <f t="shared" si="101"/>
        <v>0.99009900990099009</v>
      </c>
      <c r="J854" cm="1">
        <f t="array" ref="J854">INT(G854)+IF(100-SUM(INT(G$848:G$866))&gt;=RANK(I854,I$848:I$866)+COUNTIF(I$753:I949,I854)-1,1,0)</f>
        <v>1</v>
      </c>
      <c r="K854" t="str">
        <f>_xlfn.XLOOKUP(B854,BugList!A:A,BugList!H:H)</f>
        <v>*</v>
      </c>
      <c r="L854" t="str">
        <f>IF(K854 = "","",_xlfn.XLOOKUP(B854, BugList!A:A,BugList!B:B,""))</f>
        <v>Trichoptera</v>
      </c>
      <c r="M854">
        <f>_xlfn.XLOOKUP(D854,BugList!C:C,BugList!N:N)</f>
        <v>3</v>
      </c>
      <c r="N854">
        <f>_xlfn.XLOOKUP(B854,BugList!A:A,BugList!R:R)</f>
        <v>3</v>
      </c>
      <c r="O854" t="b">
        <f>_xlfn.XLOOKUP(B854,BugList!A:A,BugList!L:L)</f>
        <v>1</v>
      </c>
      <c r="P854" t="b">
        <f t="shared" si="93"/>
        <v>1</v>
      </c>
      <c r="R854" t="b">
        <f>SUMPRODUCT(COUNTIF(_xlfn.XLOOKUP(B854,BugList!A:A,BugList!P:P), "*SC*"))&gt;0</f>
        <v>0</v>
      </c>
      <c r="S854" t="str">
        <f>_xlfn.XLOOKUP(B854,BugList!A:A,BugList!W:W)</f>
        <v/>
      </c>
      <c r="T854">
        <f t="shared" si="97"/>
        <v>3</v>
      </c>
      <c r="U854">
        <f t="shared" si="98"/>
        <v>3</v>
      </c>
    </row>
    <row r="855" spans="1:21">
      <c r="A855" t="s">
        <v>2665</v>
      </c>
      <c r="B855">
        <v>893</v>
      </c>
      <c r="D855" t="s">
        <v>174</v>
      </c>
      <c r="E855" t="s">
        <v>174</v>
      </c>
      <c r="F855">
        <v>1</v>
      </c>
      <c r="G855">
        <f t="shared" si="99"/>
        <v>0.99009900990099009</v>
      </c>
      <c r="H855">
        <f t="shared" si="100"/>
        <v>0</v>
      </c>
      <c r="I855">
        <f t="shared" si="101"/>
        <v>0.99009900990099009</v>
      </c>
      <c r="J855" cm="1">
        <f t="array" ref="J855">INT(G855)+IF(100-SUM(INT(G$848:G$866))&gt;=RANK(I855,I$848:I$866)+COUNTIF(I$754:I949,I855)-1,1,0)</f>
        <v>1</v>
      </c>
      <c r="K855" t="str">
        <f>_xlfn.XLOOKUP(B855,BugList!A:A,BugList!H:H)</f>
        <v/>
      </c>
      <c r="L855" t="str">
        <f>IF(K855 = "","",_xlfn.XLOOKUP(B855, BugList!A:A,BugList!B:B,""))</f>
        <v/>
      </c>
      <c r="M855">
        <f>_xlfn.XLOOKUP(D855,BugList!C:C,BugList!N:N)</f>
        <v>5</v>
      </c>
      <c r="N855">
        <f>_xlfn.XLOOKUP(B855,BugList!A:A,BugList!R:R)</f>
        <v>5</v>
      </c>
      <c r="O855" t="b">
        <f>_xlfn.XLOOKUP(B855,BugList!A:A,BugList!L:L)</f>
        <v>1</v>
      </c>
      <c r="P855" t="b">
        <f t="shared" si="93"/>
        <v>0</v>
      </c>
      <c r="R855" t="b">
        <f>SUMPRODUCT(COUNTIF(_xlfn.XLOOKUP(B855,BugList!A:A,BugList!P:P), "*SC*"))&gt;0</f>
        <v>0</v>
      </c>
      <c r="S855" t="str">
        <f>_xlfn.XLOOKUP(B855,BugList!A:A,BugList!W:W)</f>
        <v/>
      </c>
      <c r="T855">
        <f t="shared" si="97"/>
        <v>5</v>
      </c>
      <c r="U855">
        <f t="shared" si="98"/>
        <v>5</v>
      </c>
    </row>
    <row r="856" spans="1:21">
      <c r="A856" t="s">
        <v>2665</v>
      </c>
      <c r="B856">
        <v>935</v>
      </c>
      <c r="D856" t="s">
        <v>98</v>
      </c>
      <c r="E856" t="s">
        <v>98</v>
      </c>
      <c r="F856">
        <v>5</v>
      </c>
      <c r="G856">
        <f t="shared" si="99"/>
        <v>4.9504950495049505</v>
      </c>
      <c r="H856">
        <f t="shared" si="100"/>
        <v>4</v>
      </c>
      <c r="I856">
        <f t="shared" si="101"/>
        <v>0.95049504950495045</v>
      </c>
      <c r="J856" cm="1">
        <f t="array" ref="J856">INT(G856)+IF(100-SUM(INT(G$848:G$866))&gt;=RANK(I856,I$848:I$866)+COUNTIF(I$755:I949,I856)-1,1,0)</f>
        <v>5</v>
      </c>
      <c r="K856" t="str">
        <f>_xlfn.XLOOKUP(B856,BugList!A:A,BugList!H:H)</f>
        <v/>
      </c>
      <c r="L856" t="str">
        <f>IF(K856 = "","",_xlfn.XLOOKUP(B856, BugList!A:A,BugList!B:B,""))</f>
        <v/>
      </c>
      <c r="M856">
        <f>_xlfn.XLOOKUP(D856,BugList!C:C,BugList!N:N)</f>
        <v>4</v>
      </c>
      <c r="N856">
        <f>_xlfn.XLOOKUP(B856,BugList!A:A,BugList!R:R)</f>
        <v>4</v>
      </c>
      <c r="O856" t="b">
        <f>_xlfn.XLOOKUP(B856,BugList!A:A,BugList!L:L)</f>
        <v>1</v>
      </c>
      <c r="P856" t="b">
        <f t="shared" si="93"/>
        <v>0</v>
      </c>
      <c r="R856" t="b">
        <f>SUMPRODUCT(COUNTIF(_xlfn.XLOOKUP(B856,BugList!A:A,BugList!P:P), "*SC*"))&gt;0</f>
        <v>1</v>
      </c>
      <c r="S856" t="str">
        <f>_xlfn.XLOOKUP(B856,BugList!A:A,BugList!W:W)</f>
        <v/>
      </c>
      <c r="T856">
        <f t="shared" si="97"/>
        <v>20</v>
      </c>
      <c r="U856">
        <f t="shared" si="98"/>
        <v>20</v>
      </c>
    </row>
    <row r="857" spans="1:21">
      <c r="A857" t="s">
        <v>2665</v>
      </c>
      <c r="B857">
        <v>1002</v>
      </c>
      <c r="D857" t="s">
        <v>100</v>
      </c>
      <c r="E857" t="s">
        <v>100</v>
      </c>
      <c r="F857">
        <v>28</v>
      </c>
      <c r="G857">
        <f t="shared" si="99"/>
        <v>27.722772277227726</v>
      </c>
      <c r="H857">
        <f t="shared" si="100"/>
        <v>27</v>
      </c>
      <c r="I857">
        <f t="shared" si="101"/>
        <v>0.72277227722772608</v>
      </c>
      <c r="J857" cm="1">
        <f t="array" ref="J857">INT(G857)+IF(100-SUM(INT(G$848:G$866))&gt;=RANK(I857,I$848:I$866)+COUNTIF(I$756:I949,I857)-1,1,0)</f>
        <v>27</v>
      </c>
      <c r="K857" t="str">
        <f>_xlfn.XLOOKUP(B857,BugList!A:A,BugList!H:H)</f>
        <v/>
      </c>
      <c r="L857" t="str">
        <f>IF(K857 = "","",_xlfn.XLOOKUP(B857, BugList!A:A,BugList!B:B,""))</f>
        <v/>
      </c>
      <c r="M857">
        <f>_xlfn.XLOOKUP(D857,BugList!C:C,BugList!N:N)</f>
        <v>4</v>
      </c>
      <c r="N857">
        <f>_xlfn.XLOOKUP(B857,BugList!A:A,BugList!R:R)</f>
        <v>4</v>
      </c>
      <c r="O857" t="b">
        <f>_xlfn.XLOOKUP(B857,BugList!A:A,BugList!L:L)</f>
        <v>1</v>
      </c>
      <c r="P857" t="b">
        <f t="shared" si="93"/>
        <v>0</v>
      </c>
      <c r="R857" t="b">
        <f>SUMPRODUCT(COUNTIF(_xlfn.XLOOKUP(B857,BugList!A:A,BugList!P:P), "*SC*"))&gt;0</f>
        <v>1</v>
      </c>
      <c r="S857" t="str">
        <f>_xlfn.XLOOKUP(B857,BugList!A:A,BugList!W:W)</f>
        <v/>
      </c>
      <c r="T857">
        <f t="shared" si="97"/>
        <v>108</v>
      </c>
      <c r="U857">
        <f t="shared" si="98"/>
        <v>108</v>
      </c>
    </row>
    <row r="858" spans="1:21">
      <c r="A858" t="s">
        <v>2665</v>
      </c>
      <c r="B858">
        <v>1199</v>
      </c>
      <c r="D858" t="s">
        <v>131</v>
      </c>
      <c r="E858" t="s">
        <v>131</v>
      </c>
      <c r="F858">
        <v>1</v>
      </c>
      <c r="G858">
        <f t="shared" si="99"/>
        <v>0.99009900990099009</v>
      </c>
      <c r="H858">
        <f t="shared" si="100"/>
        <v>0</v>
      </c>
      <c r="I858">
        <f t="shared" si="101"/>
        <v>0.99009900990099009</v>
      </c>
      <c r="J858" cm="1">
        <f t="array" ref="J858">INT(G858)+IF(100-SUM(INT(G$848:G$866))&gt;=RANK(I858,I$848:I$866)+COUNTIF(I$757:I949,I858)-1,1,0)</f>
        <v>1</v>
      </c>
      <c r="K858" t="str">
        <f>_xlfn.XLOOKUP(B858,BugList!A:A,BugList!H:H)</f>
        <v/>
      </c>
      <c r="L858" t="str">
        <f>IF(K858 = "","",_xlfn.XLOOKUP(B858, BugList!A:A,BugList!B:B,""))</f>
        <v/>
      </c>
      <c r="M858">
        <f>_xlfn.XLOOKUP(D858,BugList!C:C,BugList!N:N)</f>
        <v>6</v>
      </c>
      <c r="N858">
        <f>_xlfn.XLOOKUP(B858,BugList!A:A,BugList!R:R)</f>
        <v>6</v>
      </c>
      <c r="O858" t="b">
        <f>_xlfn.XLOOKUP(B858,BugList!A:A,BugList!L:L)</f>
        <v>1</v>
      </c>
      <c r="P858" t="b">
        <f t="shared" si="93"/>
        <v>0</v>
      </c>
      <c r="R858" t="b">
        <f>SUMPRODUCT(COUNTIF(_xlfn.XLOOKUP(B858,BugList!A:A,BugList!P:P), "*SC*"))&gt;0</f>
        <v>0</v>
      </c>
      <c r="S858" t="str">
        <f>_xlfn.XLOOKUP(B858,BugList!A:A,BugList!W:W)</f>
        <v/>
      </c>
      <c r="T858">
        <f t="shared" si="97"/>
        <v>6</v>
      </c>
      <c r="U858">
        <f t="shared" si="98"/>
        <v>6</v>
      </c>
    </row>
    <row r="859" spans="1:21">
      <c r="A859" t="s">
        <v>2665</v>
      </c>
      <c r="B859">
        <v>1497</v>
      </c>
      <c r="D859" t="s">
        <v>108</v>
      </c>
      <c r="E859" t="s">
        <v>108</v>
      </c>
      <c r="F859">
        <v>1</v>
      </c>
      <c r="G859">
        <f t="shared" si="99"/>
        <v>0.99009900990099009</v>
      </c>
      <c r="H859">
        <f t="shared" si="100"/>
        <v>0</v>
      </c>
      <c r="I859">
        <f t="shared" si="101"/>
        <v>0.99009900990099009</v>
      </c>
      <c r="J859" cm="1">
        <f t="array" ref="J859">INT(G859)+IF(100-SUM(INT(G$848:G$866))&gt;=RANK(I859,I$848:I$866)+COUNTIF(I$758:I949,I859)-1,1,0)</f>
        <v>1</v>
      </c>
      <c r="K859" t="str">
        <f>_xlfn.XLOOKUP(B859,BugList!A:A,BugList!H:H)</f>
        <v/>
      </c>
      <c r="L859" t="str">
        <f>IF(K859 = "","",_xlfn.XLOOKUP(B859, BugList!A:A,BugList!B:B,""))</f>
        <v/>
      </c>
      <c r="M859">
        <f>_xlfn.XLOOKUP(D859,BugList!C:C,BugList!N:N)</f>
        <v>3</v>
      </c>
      <c r="N859">
        <f>_xlfn.XLOOKUP(B859,BugList!A:A,BugList!R:R)</f>
        <v>3</v>
      </c>
      <c r="O859" t="b">
        <f>_xlfn.XLOOKUP(B859,BugList!A:A,BugList!L:L)</f>
        <v>1</v>
      </c>
      <c r="P859" t="b">
        <f t="shared" si="93"/>
        <v>0</v>
      </c>
      <c r="R859" t="b">
        <f>SUMPRODUCT(COUNTIF(_xlfn.XLOOKUP(B859,BugList!A:A,BugList!P:P), "*SC*"))&gt;0</f>
        <v>0</v>
      </c>
      <c r="S859" t="str">
        <f>_xlfn.XLOOKUP(B859,BugList!A:A,BugList!W:W)</f>
        <v/>
      </c>
      <c r="T859">
        <f t="shared" si="97"/>
        <v>3</v>
      </c>
      <c r="U859">
        <f t="shared" si="98"/>
        <v>3</v>
      </c>
    </row>
    <row r="860" spans="1:21">
      <c r="A860" t="s">
        <v>2665</v>
      </c>
      <c r="B860">
        <v>1578</v>
      </c>
      <c r="D860" t="s">
        <v>102</v>
      </c>
      <c r="E860" t="s">
        <v>102</v>
      </c>
      <c r="F860">
        <v>4</v>
      </c>
      <c r="G860">
        <f t="shared" si="99"/>
        <v>3.9603960396039604</v>
      </c>
      <c r="H860">
        <f t="shared" si="100"/>
        <v>3</v>
      </c>
      <c r="I860">
        <f t="shared" si="101"/>
        <v>0.96039603960396036</v>
      </c>
      <c r="J860" cm="1">
        <f t="array" ref="J860">INT(G860)+IF(100-SUM(INT(G$848:G$866))&gt;=RANK(I860,I$848:I$866)+COUNTIF(I$759:I949,I860)-1,1,0)</f>
        <v>4</v>
      </c>
      <c r="K860" t="str">
        <f>_xlfn.XLOOKUP(B860,BugList!A:A,BugList!H:H)</f>
        <v/>
      </c>
      <c r="L860" t="str">
        <f>IF(K860 = "","",_xlfn.XLOOKUP(B860, BugList!A:A,BugList!B:B,""))</f>
        <v/>
      </c>
      <c r="M860">
        <f>_xlfn.XLOOKUP(D860,BugList!C:C,BugList!N:N)</f>
        <v>7</v>
      </c>
      <c r="N860">
        <f>_xlfn.XLOOKUP(B860,BugList!A:A,BugList!R:R)</f>
        <v>7</v>
      </c>
      <c r="O860" t="b">
        <f>_xlfn.XLOOKUP(B860,BugList!A:A,BugList!L:L)</f>
        <v>0</v>
      </c>
      <c r="P860" t="b">
        <f t="shared" si="93"/>
        <v>0</v>
      </c>
      <c r="R860" t="b">
        <f>SUMPRODUCT(COUNTIF(_xlfn.XLOOKUP(B860,BugList!A:A,BugList!P:P), "*SC*"))&gt;0</f>
        <v>0</v>
      </c>
      <c r="S860" t="str">
        <f>_xlfn.XLOOKUP(B860,BugList!A:A,BugList!W:W)</f>
        <v/>
      </c>
      <c r="T860">
        <f t="shared" si="97"/>
        <v>28</v>
      </c>
      <c r="U860">
        <f t="shared" si="98"/>
        <v>28</v>
      </c>
    </row>
    <row r="861" spans="1:21">
      <c r="A861" t="s">
        <v>2665</v>
      </c>
      <c r="B861">
        <v>1582</v>
      </c>
      <c r="D861" t="s">
        <v>121</v>
      </c>
      <c r="E861" t="s">
        <v>121</v>
      </c>
      <c r="F861">
        <v>5</v>
      </c>
      <c r="G861">
        <f t="shared" si="99"/>
        <v>4.9504950495049505</v>
      </c>
      <c r="H861">
        <f t="shared" si="100"/>
        <v>4</v>
      </c>
      <c r="I861">
        <f t="shared" si="101"/>
        <v>0.95049504950495045</v>
      </c>
      <c r="J861" cm="1">
        <f t="array" ref="J861">INT(G861)+IF(100-SUM(INT(G$848:G$866))&gt;=RANK(I861,I$848:I$866)+COUNTIF(I$760:I949,I861)-1,1,0)</f>
        <v>5</v>
      </c>
      <c r="K861" t="str">
        <f>_xlfn.XLOOKUP(B861,BugList!A:A,BugList!H:H)</f>
        <v/>
      </c>
      <c r="L861" t="str">
        <f>IF(K861 = "","",_xlfn.XLOOKUP(B861, BugList!A:A,BugList!B:B,""))</f>
        <v/>
      </c>
      <c r="M861">
        <f>_xlfn.XLOOKUP(D861,BugList!C:C,BugList!N:N)</f>
        <v>6</v>
      </c>
      <c r="N861">
        <f>_xlfn.XLOOKUP(B861,BugList!A:A,BugList!R:R)</f>
        <v>6</v>
      </c>
      <c r="O861" t="b">
        <f>_xlfn.XLOOKUP(B861,BugList!A:A,BugList!L:L)</f>
        <v>0</v>
      </c>
      <c r="P861" t="b">
        <f t="shared" si="93"/>
        <v>0</v>
      </c>
      <c r="R861" t="b">
        <f>SUMPRODUCT(COUNTIF(_xlfn.XLOOKUP(B861,BugList!A:A,BugList!P:P), "*SC*"))&gt;0</f>
        <v>1</v>
      </c>
      <c r="S861" t="str">
        <f>_xlfn.XLOOKUP(B861,BugList!A:A,BugList!W:W)</f>
        <v/>
      </c>
      <c r="T861">
        <f t="shared" si="97"/>
        <v>30</v>
      </c>
      <c r="U861">
        <f t="shared" si="98"/>
        <v>30</v>
      </c>
    </row>
    <row r="862" spans="1:21">
      <c r="A862" t="s">
        <v>2665</v>
      </c>
      <c r="B862">
        <v>1614</v>
      </c>
      <c r="D862" t="s">
        <v>92</v>
      </c>
      <c r="E862" t="s">
        <v>92</v>
      </c>
      <c r="F862">
        <v>2</v>
      </c>
      <c r="G862">
        <f t="shared" si="99"/>
        <v>1.9801980198019802</v>
      </c>
      <c r="H862">
        <f t="shared" si="100"/>
        <v>1</v>
      </c>
      <c r="I862">
        <f t="shared" si="101"/>
        <v>0.98019801980198018</v>
      </c>
      <c r="J862" cm="1">
        <f t="array" ref="J862">INT(G862)+IF(100-SUM(INT(G$848:G$866))&gt;=RANK(I862,I$848:I$866)+COUNTIF(I$761:I949,I862)-1,1,0)</f>
        <v>2</v>
      </c>
      <c r="K862" t="str">
        <f>_xlfn.XLOOKUP(B862,BugList!A:A,BugList!H:H)</f>
        <v/>
      </c>
      <c r="L862" t="str">
        <f>IF(K862 = "","",_xlfn.XLOOKUP(B862, BugList!A:A,BugList!B:B,""))</f>
        <v/>
      </c>
      <c r="M862">
        <f>_xlfn.XLOOKUP(D862,BugList!C:C,BugList!N:N)</f>
        <v>8</v>
      </c>
      <c r="N862">
        <f>_xlfn.XLOOKUP(B862,BugList!A:A,BugList!R:R)</f>
        <v>8</v>
      </c>
      <c r="O862" t="b">
        <f>_xlfn.XLOOKUP(B862,BugList!A:A,BugList!L:L)</f>
        <v>0</v>
      </c>
      <c r="P862" t="b">
        <f t="shared" si="93"/>
        <v>0</v>
      </c>
      <c r="R862" t="b">
        <f>SUMPRODUCT(COUNTIF(_xlfn.XLOOKUP(B862,BugList!A:A,BugList!P:P), "*SC*"))&gt;0</f>
        <v>0</v>
      </c>
      <c r="S862" t="str">
        <f>_xlfn.XLOOKUP(B862,BugList!A:A,BugList!W:W)</f>
        <v/>
      </c>
      <c r="T862">
        <f t="shared" si="97"/>
        <v>16</v>
      </c>
      <c r="U862">
        <f t="shared" si="98"/>
        <v>16</v>
      </c>
    </row>
    <row r="863" spans="1:21">
      <c r="A863" t="s">
        <v>2665</v>
      </c>
      <c r="B863">
        <v>1629</v>
      </c>
      <c r="D863" t="s">
        <v>93</v>
      </c>
      <c r="E863" t="s">
        <v>93</v>
      </c>
      <c r="F863">
        <v>1</v>
      </c>
      <c r="G863">
        <f t="shared" si="99"/>
        <v>0.99009900990099009</v>
      </c>
      <c r="H863">
        <f t="shared" si="100"/>
        <v>0</v>
      </c>
      <c r="I863">
        <f t="shared" si="101"/>
        <v>0.99009900990099009</v>
      </c>
      <c r="J863" cm="1">
        <f t="array" ref="J863">INT(G863)+IF(100-SUM(INT(G$848:G$866))&gt;=RANK(I863,I$848:I$866)+COUNTIF(I$762:I949,I863)-1,1,0)</f>
        <v>1</v>
      </c>
      <c r="K863" t="str">
        <f>_xlfn.XLOOKUP(B863,BugList!A:A,BugList!H:H)</f>
        <v/>
      </c>
      <c r="L863" t="str">
        <f>IF(K863 = "","",_xlfn.XLOOKUP(B863, BugList!A:A,BugList!B:B,""))</f>
        <v/>
      </c>
      <c r="M863">
        <f>_xlfn.XLOOKUP(D863,BugList!C:C,BugList!N:N)</f>
        <v>8</v>
      </c>
      <c r="N863">
        <f>_xlfn.XLOOKUP(B863,BugList!A:A,BugList!R:R)</f>
        <v>8</v>
      </c>
      <c r="O863" t="b">
        <f>_xlfn.XLOOKUP(B863,BugList!A:A,BugList!L:L)</f>
        <v>0</v>
      </c>
      <c r="P863" t="b">
        <f t="shared" si="93"/>
        <v>0</v>
      </c>
      <c r="R863" t="b">
        <f>SUMPRODUCT(COUNTIF(_xlfn.XLOOKUP(B863,BugList!A:A,BugList!P:P), "*SC*"))&gt;0</f>
        <v>0</v>
      </c>
      <c r="S863" t="str">
        <f>_xlfn.XLOOKUP(B863,BugList!A:A,BugList!W:W)</f>
        <v/>
      </c>
      <c r="T863">
        <f t="shared" si="97"/>
        <v>8</v>
      </c>
      <c r="U863">
        <f t="shared" si="98"/>
        <v>8</v>
      </c>
    </row>
    <row r="864" spans="1:21">
      <c r="A864" t="s">
        <v>2665</v>
      </c>
      <c r="B864">
        <v>1678</v>
      </c>
      <c r="D864" t="s">
        <v>166</v>
      </c>
      <c r="E864" t="s">
        <v>166</v>
      </c>
      <c r="F864">
        <v>2</v>
      </c>
      <c r="G864">
        <f t="shared" si="99"/>
        <v>1.9801980198019802</v>
      </c>
      <c r="H864">
        <f t="shared" si="100"/>
        <v>1</v>
      </c>
      <c r="I864">
        <f t="shared" si="101"/>
        <v>0.98019801980198018</v>
      </c>
      <c r="J864" cm="1">
        <f t="array" ref="J864">INT(G864)+IF(100-SUM(INT(G$848:G$866))&gt;=RANK(I864,I$848:I$866)+COUNTIF(I$763:I949,I864)-1,1,0)</f>
        <v>2</v>
      </c>
      <c r="K864" t="str">
        <f>_xlfn.XLOOKUP(B864,BugList!A:A,BugList!H:H)</f>
        <v/>
      </c>
      <c r="L864" t="str">
        <f>IF(K864 = "","",_xlfn.XLOOKUP(B864, BugList!A:A,BugList!B:B,""))</f>
        <v/>
      </c>
      <c r="M864">
        <f>_xlfn.XLOOKUP(D864,BugList!C:C,BugList!N:N)</f>
        <v>6</v>
      </c>
      <c r="N864">
        <f>_xlfn.XLOOKUP(B864,BugList!A:A,BugList!R:R)</f>
        <v>6</v>
      </c>
      <c r="O864" t="b">
        <f>_xlfn.XLOOKUP(B864,BugList!A:A,BugList!L:L)</f>
        <v>0</v>
      </c>
      <c r="P864" t="b">
        <f t="shared" si="93"/>
        <v>0</v>
      </c>
      <c r="R864" t="b">
        <f>SUMPRODUCT(COUNTIF(_xlfn.XLOOKUP(B864,BugList!A:A,BugList!P:P), "*SC*"))&gt;0</f>
        <v>1</v>
      </c>
      <c r="S864" t="str">
        <f>_xlfn.XLOOKUP(B864,BugList!A:A,BugList!W:W)</f>
        <v/>
      </c>
      <c r="T864">
        <f t="shared" si="97"/>
        <v>12</v>
      </c>
      <c r="U864">
        <f t="shared" si="98"/>
        <v>12</v>
      </c>
    </row>
    <row r="865" spans="1:21">
      <c r="A865" t="s">
        <v>2665</v>
      </c>
      <c r="B865">
        <v>1696</v>
      </c>
      <c r="D865" t="s">
        <v>94</v>
      </c>
      <c r="E865" t="s">
        <v>94</v>
      </c>
      <c r="F865">
        <v>9</v>
      </c>
      <c r="G865">
        <f t="shared" si="99"/>
        <v>8.9108910891089099</v>
      </c>
      <c r="H865">
        <f t="shared" si="100"/>
        <v>8</v>
      </c>
      <c r="I865">
        <f t="shared" si="101"/>
        <v>0.91089108910890992</v>
      </c>
      <c r="J865" cm="1">
        <f t="array" ref="J865">INT(G865)+IF(100-SUM(INT(G$848:G$866))&gt;=RANK(I865,I$848:I$866)+COUNTIF(I$764:I949,I865)-1,1,0)</f>
        <v>9</v>
      </c>
      <c r="K865" t="str">
        <f>_xlfn.XLOOKUP(B865,BugList!A:A,BugList!H:H)</f>
        <v/>
      </c>
      <c r="L865" t="str">
        <f>IF(K865 = "","",_xlfn.XLOOKUP(B865, BugList!A:A,BugList!B:B,""))</f>
        <v/>
      </c>
      <c r="M865">
        <f>_xlfn.XLOOKUP(D865,BugList!C:C,BugList!N:N)</f>
        <v>8</v>
      </c>
      <c r="N865">
        <f>_xlfn.XLOOKUP(B865,BugList!A:A,BugList!R:R)</f>
        <v>8</v>
      </c>
      <c r="O865" t="b">
        <f>_xlfn.XLOOKUP(B865,BugList!A:A,BugList!L:L)</f>
        <v>0</v>
      </c>
      <c r="P865" t="b">
        <f t="shared" si="93"/>
        <v>0</v>
      </c>
      <c r="R865" t="b">
        <f>SUMPRODUCT(COUNTIF(_xlfn.XLOOKUP(B865,BugList!A:A,BugList!P:P), "*SC*"))&gt;0</f>
        <v>0</v>
      </c>
      <c r="S865" t="str">
        <f>_xlfn.XLOOKUP(B865,BugList!A:A,BugList!W:W)</f>
        <v/>
      </c>
      <c r="T865">
        <f t="shared" si="97"/>
        <v>72</v>
      </c>
      <c r="U865">
        <f t="shared" si="98"/>
        <v>72</v>
      </c>
    </row>
    <row r="866" spans="1:21">
      <c r="A866" t="s">
        <v>2665</v>
      </c>
      <c r="B866">
        <v>2781</v>
      </c>
      <c r="D866" t="s">
        <v>109</v>
      </c>
      <c r="E866" t="s">
        <v>109</v>
      </c>
      <c r="F866">
        <v>1</v>
      </c>
      <c r="G866">
        <f t="shared" si="99"/>
        <v>0.99009900990099009</v>
      </c>
      <c r="H866">
        <f t="shared" si="100"/>
        <v>0</v>
      </c>
      <c r="I866">
        <f t="shared" si="101"/>
        <v>0.99009900990099009</v>
      </c>
      <c r="J866" cm="1">
        <f t="array" ref="J866">INT(G866)+IF(100-SUM(INT(G$848:G$866))&gt;=RANK(I866,I$848:I$866)+COUNTIF(I$765:I949,I866)-1,1,0)</f>
        <v>1</v>
      </c>
      <c r="K866" t="str">
        <f>_xlfn.XLOOKUP(B866,BugList!A:A,BugList!H:H)</f>
        <v/>
      </c>
      <c r="L866" t="str">
        <f>IF(K866 = "","",_xlfn.XLOOKUP(B866, BugList!A:A,BugList!B:B,""))</f>
        <v/>
      </c>
      <c r="M866">
        <f>_xlfn.XLOOKUP(D866,BugList!C:C,BugList!N:N)</f>
        <v>6</v>
      </c>
      <c r="N866">
        <f>_xlfn.XLOOKUP(B866,BugList!A:A,BugList!R:R)</f>
        <v>4</v>
      </c>
      <c r="O866" t="b">
        <f>_xlfn.XLOOKUP(B866,BugList!A:A,BugList!L:L)</f>
        <v>0</v>
      </c>
      <c r="P866" t="b">
        <f t="shared" si="93"/>
        <v>0</v>
      </c>
      <c r="R866" t="b">
        <f>SUMPRODUCT(COUNTIF(_xlfn.XLOOKUP(B866,BugList!A:A,BugList!P:P), "*SC*"))&gt;0</f>
        <v>0</v>
      </c>
      <c r="S866" t="str">
        <f>_xlfn.XLOOKUP(B866,BugList!A:A,BugList!W:W)</f>
        <v/>
      </c>
      <c r="T866">
        <f t="shared" si="97"/>
        <v>6</v>
      </c>
      <c r="U866">
        <f t="shared" si="98"/>
        <v>4</v>
      </c>
    </row>
    <row r="867" spans="1:21">
      <c r="A867" t="s">
        <v>2666</v>
      </c>
      <c r="B867">
        <v>372</v>
      </c>
      <c r="D867" t="s">
        <v>88</v>
      </c>
      <c r="E867" t="s">
        <v>88</v>
      </c>
      <c r="F867">
        <v>4</v>
      </c>
      <c r="G867">
        <f t="shared" si="99"/>
        <v>2.7210884353741496</v>
      </c>
      <c r="H867">
        <f t="shared" si="100"/>
        <v>2</v>
      </c>
      <c r="I867">
        <f t="shared" si="101"/>
        <v>0.72108843537414957</v>
      </c>
      <c r="J867" cm="1">
        <f t="array" ref="J867">INT(G867)+IF(100-SUM(INT(G$867:G$877))&gt;=RANK(I867,I$867:I$877)+COUNTIF(I$766:I968,I867)-1,1,0)</f>
        <v>3</v>
      </c>
      <c r="K867" t="str">
        <f>_xlfn.XLOOKUP(B867,BugList!A:A,BugList!H:H)</f>
        <v/>
      </c>
      <c r="L867" t="str">
        <f>IF(K867 = "","",_xlfn.XLOOKUP(B867, BugList!A:A,BugList!B:B,""))</f>
        <v/>
      </c>
      <c r="M867">
        <f>_xlfn.XLOOKUP(D867,BugList!C:C,BugList!N:N)</f>
        <v>8</v>
      </c>
      <c r="N867">
        <f>_xlfn.XLOOKUP(B867,BugList!A:A,BugList!R:R)</f>
        <v>8</v>
      </c>
      <c r="O867" t="b">
        <f>_xlfn.XLOOKUP(B867,BugList!A:A,BugList!L:L)</f>
        <v>0</v>
      </c>
      <c r="P867" t="b">
        <f t="shared" si="93"/>
        <v>0</v>
      </c>
      <c r="R867" t="b">
        <f>SUMPRODUCT(COUNTIF(_xlfn.XLOOKUP(B867,BugList!A:A,BugList!P:P), "*SC*"))&gt;0</f>
        <v>0</v>
      </c>
      <c r="S867" t="str">
        <f>_xlfn.XLOOKUP(B867,BugList!A:A,BugList!W:W)</f>
        <v/>
      </c>
      <c r="T867">
        <f t="shared" si="97"/>
        <v>24</v>
      </c>
      <c r="U867">
        <f t="shared" si="98"/>
        <v>24</v>
      </c>
    </row>
    <row r="868" spans="1:21">
      <c r="A868" t="s">
        <v>2666</v>
      </c>
      <c r="B868">
        <v>513</v>
      </c>
      <c r="D868" t="s">
        <v>111</v>
      </c>
      <c r="E868" t="s">
        <v>111</v>
      </c>
      <c r="F868">
        <v>5</v>
      </c>
      <c r="G868">
        <f t="shared" si="99"/>
        <v>3.4013605442176873</v>
      </c>
      <c r="H868">
        <f t="shared" si="100"/>
        <v>3</v>
      </c>
      <c r="I868">
        <f t="shared" si="101"/>
        <v>0.4013605442176873</v>
      </c>
      <c r="J868" cm="1">
        <f t="array" ref="J868">INT(G868)+IF(100-SUM(INT(G$867:G$877))&gt;=RANK(I868,I$867:I$877)+COUNTIF(I$767:I968,I868)-1,1,0)</f>
        <v>3</v>
      </c>
      <c r="K868" t="str">
        <f>_xlfn.XLOOKUP(B868,BugList!A:A,BugList!H:H)</f>
        <v>*</v>
      </c>
      <c r="L868" t="str">
        <f>IF(K868 = "","",_xlfn.XLOOKUP(B868, BugList!A:A,BugList!B:B,""))</f>
        <v>Ephemeroptera</v>
      </c>
      <c r="M868">
        <f>_xlfn.XLOOKUP(D868,BugList!C:C,BugList!N:N)</f>
        <v>4</v>
      </c>
      <c r="N868">
        <f>_xlfn.XLOOKUP(B868,BugList!A:A,BugList!R:R)</f>
        <v>4</v>
      </c>
      <c r="O868" t="b">
        <f>_xlfn.XLOOKUP(B868,BugList!A:A,BugList!L:L)</f>
        <v>1</v>
      </c>
      <c r="P868" t="b">
        <f t="shared" si="93"/>
        <v>1</v>
      </c>
      <c r="R868" t="b">
        <f>SUMPRODUCT(COUNTIF(_xlfn.XLOOKUP(B868,BugList!A:A,BugList!P:P), "*SC*"))&gt;0</f>
        <v>1</v>
      </c>
      <c r="S868" t="str">
        <f>_xlfn.XLOOKUP(B868,BugList!A:A,BugList!W:W)</f>
        <v/>
      </c>
      <c r="T868">
        <f t="shared" si="97"/>
        <v>12</v>
      </c>
      <c r="U868">
        <f t="shared" si="98"/>
        <v>12</v>
      </c>
    </row>
    <row r="869" spans="1:21">
      <c r="A869" t="s">
        <v>2666</v>
      </c>
      <c r="B869">
        <v>602</v>
      </c>
      <c r="D869" t="s">
        <v>97</v>
      </c>
      <c r="E869" t="s">
        <v>97</v>
      </c>
      <c r="F869">
        <v>39</v>
      </c>
      <c r="G869">
        <f t="shared" si="99"/>
        <v>26.530612244897959</v>
      </c>
      <c r="H869">
        <f t="shared" si="100"/>
        <v>26</v>
      </c>
      <c r="I869">
        <f t="shared" si="101"/>
        <v>0.53061224489795933</v>
      </c>
      <c r="J869" cm="1">
        <f t="array" ref="J869">INT(G869)+IF(100-SUM(INT(G$867:G$877))&gt;=RANK(I869,I$867:I$877)+COUNTIF(I$768:I968,I869)-1,1,0)</f>
        <v>27</v>
      </c>
      <c r="K869" t="str">
        <f>_xlfn.XLOOKUP(B869,BugList!A:A,BugList!H:H)</f>
        <v/>
      </c>
      <c r="L869" t="str">
        <f>IF(K869 = "","",_xlfn.XLOOKUP(B869, BugList!A:A,BugList!B:B,""))</f>
        <v/>
      </c>
      <c r="M869">
        <f>_xlfn.XLOOKUP(D869,BugList!C:C,BugList!N:N)</f>
        <v>9</v>
      </c>
      <c r="N869">
        <f>_xlfn.XLOOKUP(B869,BugList!A:A,BugList!R:R)</f>
        <v>9</v>
      </c>
      <c r="O869" t="b">
        <f>_xlfn.XLOOKUP(B869,BugList!A:A,BugList!L:L)</f>
        <v>1</v>
      </c>
      <c r="P869" t="b">
        <f t="shared" si="93"/>
        <v>0</v>
      </c>
      <c r="R869" t="b">
        <f>SUMPRODUCT(COUNTIF(_xlfn.XLOOKUP(B869,BugList!A:A,BugList!P:P), "*SC*"))&gt;0</f>
        <v>0</v>
      </c>
      <c r="S869" t="str">
        <f>_xlfn.XLOOKUP(B869,BugList!A:A,BugList!W:W)</f>
        <v/>
      </c>
      <c r="T869">
        <f t="shared" si="97"/>
        <v>243</v>
      </c>
      <c r="U869">
        <f t="shared" si="98"/>
        <v>243</v>
      </c>
    </row>
    <row r="870" spans="1:21">
      <c r="A870" t="s">
        <v>2666</v>
      </c>
      <c r="B870">
        <v>794</v>
      </c>
      <c r="D870" t="s">
        <v>89</v>
      </c>
      <c r="E870" t="s">
        <v>89</v>
      </c>
      <c r="F870">
        <v>2</v>
      </c>
      <c r="G870">
        <f t="shared" si="99"/>
        <v>1.3605442176870748</v>
      </c>
      <c r="H870">
        <f t="shared" si="100"/>
        <v>1</v>
      </c>
      <c r="I870">
        <f t="shared" si="101"/>
        <v>0.36054421768707479</v>
      </c>
      <c r="J870" cm="1">
        <f t="array" ref="J870">INT(G870)+IF(100-SUM(INT(G$867:G$877))&gt;=RANK(I870,I$867:I$877)+COUNTIF(I$769:I968,I870)-1,1,0)</f>
        <v>1</v>
      </c>
      <c r="K870" t="str">
        <f>_xlfn.XLOOKUP(B870,BugList!A:A,BugList!H:H)</f>
        <v>*</v>
      </c>
      <c r="L870" t="str">
        <f>IF(K870 = "","",_xlfn.XLOOKUP(B870, BugList!A:A,BugList!B:B,""))</f>
        <v>Trichoptera</v>
      </c>
      <c r="M870">
        <f>_xlfn.XLOOKUP(D870,BugList!C:C,BugList!N:N)</f>
        <v>4</v>
      </c>
      <c r="N870">
        <f>_xlfn.XLOOKUP(B870,BugList!A:A,BugList!R:R)</f>
        <v>4</v>
      </c>
      <c r="O870" t="b">
        <f>_xlfn.XLOOKUP(B870,BugList!A:A,BugList!L:L)</f>
        <v>1</v>
      </c>
      <c r="P870" t="b">
        <f t="shared" si="93"/>
        <v>0</v>
      </c>
      <c r="R870" t="b">
        <f>SUMPRODUCT(COUNTIF(_xlfn.XLOOKUP(B870,BugList!A:A,BugList!P:P), "*SC*"))&gt;0</f>
        <v>0</v>
      </c>
      <c r="S870" t="str">
        <f>_xlfn.XLOOKUP(B870,BugList!A:A,BugList!W:W)</f>
        <v/>
      </c>
      <c r="T870">
        <f t="shared" si="97"/>
        <v>4</v>
      </c>
      <c r="U870">
        <f t="shared" si="98"/>
        <v>4</v>
      </c>
    </row>
    <row r="871" spans="1:21">
      <c r="A871" t="s">
        <v>2666</v>
      </c>
      <c r="B871">
        <v>935</v>
      </c>
      <c r="D871" t="s">
        <v>98</v>
      </c>
      <c r="E871" t="s">
        <v>98</v>
      </c>
      <c r="F871">
        <v>8</v>
      </c>
      <c r="G871">
        <f t="shared" si="99"/>
        <v>5.4421768707482991</v>
      </c>
      <c r="H871">
        <f t="shared" si="100"/>
        <v>5</v>
      </c>
      <c r="I871">
        <f t="shared" si="101"/>
        <v>0.44217687074829914</v>
      </c>
      <c r="J871" cm="1">
        <f t="array" ref="J871">INT(G871)+IF(100-SUM(INT(G$867:G$877))&gt;=RANK(I871,I$867:I$877)+COUNTIF(I$770:I968,I871)-1,1,0)</f>
        <v>6</v>
      </c>
      <c r="K871" t="str">
        <f>_xlfn.XLOOKUP(B871,BugList!A:A,BugList!H:H)</f>
        <v/>
      </c>
      <c r="L871" t="str">
        <f>IF(K871 = "","",_xlfn.XLOOKUP(B871, BugList!A:A,BugList!B:B,""))</f>
        <v/>
      </c>
      <c r="M871">
        <f>_xlfn.XLOOKUP(D871,BugList!C:C,BugList!N:N)</f>
        <v>4</v>
      </c>
      <c r="N871">
        <f>_xlfn.XLOOKUP(B871,BugList!A:A,BugList!R:R)</f>
        <v>4</v>
      </c>
      <c r="O871" t="b">
        <f>_xlfn.XLOOKUP(B871,BugList!A:A,BugList!L:L)</f>
        <v>1</v>
      </c>
      <c r="P871" t="b">
        <f t="shared" si="93"/>
        <v>0</v>
      </c>
      <c r="R871" t="b">
        <f>SUMPRODUCT(COUNTIF(_xlfn.XLOOKUP(B871,BugList!A:A,BugList!P:P), "*SC*"))&gt;0</f>
        <v>1</v>
      </c>
      <c r="S871" t="str">
        <f>_xlfn.XLOOKUP(B871,BugList!A:A,BugList!W:W)</f>
        <v/>
      </c>
      <c r="T871">
        <f t="shared" si="97"/>
        <v>24</v>
      </c>
      <c r="U871">
        <f t="shared" si="98"/>
        <v>24</v>
      </c>
    </row>
    <row r="872" spans="1:21">
      <c r="A872" t="s">
        <v>2666</v>
      </c>
      <c r="B872">
        <v>1002</v>
      </c>
      <c r="D872" t="s">
        <v>100</v>
      </c>
      <c r="E872" t="s">
        <v>100</v>
      </c>
      <c r="F872">
        <v>72</v>
      </c>
      <c r="G872">
        <f t="shared" si="99"/>
        <v>48.979591836734691</v>
      </c>
      <c r="H872">
        <f t="shared" si="100"/>
        <v>48</v>
      </c>
      <c r="I872">
        <f t="shared" si="101"/>
        <v>0.97959183673469141</v>
      </c>
      <c r="J872" cm="1">
        <f t="array" ref="J872">INT(G872)+IF(100-SUM(INT(G$867:G$877))&gt;=RANK(I872,I$867:I$877)+COUNTIF(I$771:I968,I872)-1,1,0)</f>
        <v>49</v>
      </c>
      <c r="K872" t="str">
        <f>_xlfn.XLOOKUP(B872,BugList!A:A,BugList!H:H)</f>
        <v/>
      </c>
      <c r="L872" t="str">
        <f>IF(K872 = "","",_xlfn.XLOOKUP(B872, BugList!A:A,BugList!B:B,""))</f>
        <v/>
      </c>
      <c r="M872">
        <f>_xlfn.XLOOKUP(D872,BugList!C:C,BugList!N:N)</f>
        <v>4</v>
      </c>
      <c r="N872">
        <f>_xlfn.XLOOKUP(B872,BugList!A:A,BugList!R:R)</f>
        <v>4</v>
      </c>
      <c r="O872" t="b">
        <f>_xlfn.XLOOKUP(B872,BugList!A:A,BugList!L:L)</f>
        <v>1</v>
      </c>
      <c r="P872" t="b">
        <f t="shared" si="93"/>
        <v>0</v>
      </c>
      <c r="R872" t="b">
        <f>SUMPRODUCT(COUNTIF(_xlfn.XLOOKUP(B872,BugList!A:A,BugList!P:P), "*SC*"))&gt;0</f>
        <v>1</v>
      </c>
      <c r="S872" t="str">
        <f>_xlfn.XLOOKUP(B872,BugList!A:A,BugList!W:W)</f>
        <v/>
      </c>
      <c r="T872">
        <f t="shared" si="97"/>
        <v>196</v>
      </c>
      <c r="U872">
        <f t="shared" si="98"/>
        <v>196</v>
      </c>
    </row>
    <row r="873" spans="1:21">
      <c r="A873" t="s">
        <v>2666</v>
      </c>
      <c r="B873">
        <v>1497</v>
      </c>
      <c r="D873" t="s">
        <v>108</v>
      </c>
      <c r="E873" t="s">
        <v>108</v>
      </c>
      <c r="F873">
        <v>1</v>
      </c>
      <c r="G873">
        <f t="shared" si="99"/>
        <v>0.68027210884353739</v>
      </c>
      <c r="H873">
        <f t="shared" si="100"/>
        <v>0</v>
      </c>
      <c r="I873">
        <f t="shared" si="101"/>
        <v>0.68027210884353739</v>
      </c>
      <c r="J873" cm="1">
        <f t="array" ref="J873">INT(G873)+IF(100-SUM(INT(G$867:G$877))&gt;=RANK(I873,I$867:I$877)+COUNTIF(I$772:I968,I873)-1,1,0)</f>
        <v>1</v>
      </c>
      <c r="K873" t="str">
        <f>_xlfn.XLOOKUP(B873,BugList!A:A,BugList!H:H)</f>
        <v/>
      </c>
      <c r="L873" t="str">
        <f>IF(K873 = "","",_xlfn.XLOOKUP(B873, BugList!A:A,BugList!B:B,""))</f>
        <v/>
      </c>
      <c r="M873">
        <f>_xlfn.XLOOKUP(D873,BugList!C:C,BugList!N:N)</f>
        <v>3</v>
      </c>
      <c r="N873">
        <f>_xlfn.XLOOKUP(B873,BugList!A:A,BugList!R:R)</f>
        <v>3</v>
      </c>
      <c r="O873" t="b">
        <f>_xlfn.XLOOKUP(B873,BugList!A:A,BugList!L:L)</f>
        <v>1</v>
      </c>
      <c r="P873" t="b">
        <f t="shared" si="93"/>
        <v>0</v>
      </c>
      <c r="R873" t="b">
        <f>SUMPRODUCT(COUNTIF(_xlfn.XLOOKUP(B873,BugList!A:A,BugList!P:P), "*SC*"))&gt;0</f>
        <v>0</v>
      </c>
      <c r="S873" t="str">
        <f>_xlfn.XLOOKUP(B873,BugList!A:A,BugList!W:W)</f>
        <v/>
      </c>
      <c r="T873">
        <f t="shared" si="97"/>
        <v>3</v>
      </c>
      <c r="U873">
        <f t="shared" si="98"/>
        <v>3</v>
      </c>
    </row>
    <row r="874" spans="1:21">
      <c r="A874" t="s">
        <v>2666</v>
      </c>
      <c r="B874">
        <v>1582</v>
      </c>
      <c r="D874" t="s">
        <v>121</v>
      </c>
      <c r="E874" t="s">
        <v>121</v>
      </c>
      <c r="F874">
        <v>2</v>
      </c>
      <c r="G874">
        <f t="shared" si="99"/>
        <v>1.3605442176870748</v>
      </c>
      <c r="H874">
        <f t="shared" si="100"/>
        <v>1</v>
      </c>
      <c r="I874">
        <f t="shared" si="101"/>
        <v>0.36054421768707479</v>
      </c>
      <c r="J874" cm="1">
        <f t="array" ref="J874">INT(G874)+IF(100-SUM(INT(G$867:G$877))&gt;=RANK(I874,I$867:I$877)+COUNTIF(I$773:I968,I874)-1,1,0)</f>
        <v>1</v>
      </c>
      <c r="K874" t="str">
        <f>_xlfn.XLOOKUP(B874,BugList!A:A,BugList!H:H)</f>
        <v/>
      </c>
      <c r="L874" t="str">
        <f>IF(K874 = "","",_xlfn.XLOOKUP(B874, BugList!A:A,BugList!B:B,""))</f>
        <v/>
      </c>
      <c r="M874">
        <f>_xlfn.XLOOKUP(D874,BugList!C:C,BugList!N:N)</f>
        <v>6</v>
      </c>
      <c r="N874">
        <f>_xlfn.XLOOKUP(B874,BugList!A:A,BugList!R:R)</f>
        <v>6</v>
      </c>
      <c r="O874" t="b">
        <f>_xlfn.XLOOKUP(B874,BugList!A:A,BugList!L:L)</f>
        <v>0</v>
      </c>
      <c r="P874" t="b">
        <f t="shared" si="93"/>
        <v>0</v>
      </c>
      <c r="R874" t="b">
        <f>SUMPRODUCT(COUNTIF(_xlfn.XLOOKUP(B874,BugList!A:A,BugList!P:P), "*SC*"))&gt;0</f>
        <v>1</v>
      </c>
      <c r="S874" t="str">
        <f>_xlfn.XLOOKUP(B874,BugList!A:A,BugList!W:W)</f>
        <v/>
      </c>
      <c r="T874">
        <f t="shared" si="97"/>
        <v>6</v>
      </c>
      <c r="U874">
        <f t="shared" si="98"/>
        <v>6</v>
      </c>
    </row>
    <row r="875" spans="1:21">
      <c r="A875" t="s">
        <v>2666</v>
      </c>
      <c r="B875">
        <v>1614</v>
      </c>
      <c r="D875" t="s">
        <v>92</v>
      </c>
      <c r="E875" t="s">
        <v>92</v>
      </c>
      <c r="F875">
        <v>5</v>
      </c>
      <c r="G875">
        <f t="shared" si="99"/>
        <v>3.4013605442176873</v>
      </c>
      <c r="H875">
        <f t="shared" si="100"/>
        <v>3</v>
      </c>
      <c r="I875">
        <f t="shared" si="101"/>
        <v>0.4013605442176873</v>
      </c>
      <c r="J875" cm="1">
        <f t="array" ref="J875">INT(G875)+IF(100-SUM(INT(G$867:G$877))&gt;=RANK(I875,I$867:I$877)+COUNTIF(I$774:I968,I875)-1,1,0)</f>
        <v>3</v>
      </c>
      <c r="K875" t="str">
        <f>_xlfn.XLOOKUP(B875,BugList!A:A,BugList!H:H)</f>
        <v/>
      </c>
      <c r="L875" t="str">
        <f>IF(K875 = "","",_xlfn.XLOOKUP(B875, BugList!A:A,BugList!B:B,""))</f>
        <v/>
      </c>
      <c r="M875">
        <f>_xlfn.XLOOKUP(D875,BugList!C:C,BugList!N:N)</f>
        <v>8</v>
      </c>
      <c r="N875">
        <f>_xlfn.XLOOKUP(B875,BugList!A:A,BugList!R:R)</f>
        <v>8</v>
      </c>
      <c r="O875" t="b">
        <f>_xlfn.XLOOKUP(B875,BugList!A:A,BugList!L:L)</f>
        <v>0</v>
      </c>
      <c r="P875" t="b">
        <f t="shared" si="93"/>
        <v>0</v>
      </c>
      <c r="R875" t="b">
        <f>SUMPRODUCT(COUNTIF(_xlfn.XLOOKUP(B875,BugList!A:A,BugList!P:P), "*SC*"))&gt;0</f>
        <v>0</v>
      </c>
      <c r="S875" t="str">
        <f>_xlfn.XLOOKUP(B875,BugList!A:A,BugList!W:W)</f>
        <v/>
      </c>
      <c r="T875">
        <f t="shared" si="97"/>
        <v>24</v>
      </c>
      <c r="U875">
        <f t="shared" si="98"/>
        <v>24</v>
      </c>
    </row>
    <row r="876" spans="1:21">
      <c r="A876" t="s">
        <v>2666</v>
      </c>
      <c r="B876">
        <v>1629</v>
      </c>
      <c r="D876" t="s">
        <v>93</v>
      </c>
      <c r="E876" t="s">
        <v>93</v>
      </c>
      <c r="F876">
        <v>2</v>
      </c>
      <c r="G876">
        <f t="shared" si="99"/>
        <v>1.3605442176870748</v>
      </c>
      <c r="H876">
        <f t="shared" si="100"/>
        <v>1</v>
      </c>
      <c r="I876">
        <f t="shared" si="101"/>
        <v>0.36054421768707479</v>
      </c>
      <c r="J876" cm="1">
        <f t="array" ref="J876">INT(G876)+IF(100-SUM(INT(G$867:G$877))&gt;=RANK(I876,I$867:I$877)+COUNTIF(I$775:I968,I876)-1,1,0)</f>
        <v>1</v>
      </c>
      <c r="K876" t="str">
        <f>_xlfn.XLOOKUP(B876,BugList!A:A,BugList!H:H)</f>
        <v/>
      </c>
      <c r="L876" t="str">
        <f>IF(K876 = "","",_xlfn.XLOOKUP(B876, BugList!A:A,BugList!B:B,""))</f>
        <v/>
      </c>
      <c r="M876">
        <f>_xlfn.XLOOKUP(D876,BugList!C:C,BugList!N:N)</f>
        <v>8</v>
      </c>
      <c r="N876">
        <f>_xlfn.XLOOKUP(B876,BugList!A:A,BugList!R:R)</f>
        <v>8</v>
      </c>
      <c r="O876" t="b">
        <f>_xlfn.XLOOKUP(B876,BugList!A:A,BugList!L:L)</f>
        <v>0</v>
      </c>
      <c r="P876" t="b">
        <f t="shared" si="93"/>
        <v>0</v>
      </c>
      <c r="R876" t="b">
        <f>SUMPRODUCT(COUNTIF(_xlfn.XLOOKUP(B876,BugList!A:A,BugList!P:P), "*SC*"))&gt;0</f>
        <v>0</v>
      </c>
      <c r="S876" t="str">
        <f>_xlfn.XLOOKUP(B876,BugList!A:A,BugList!W:W)</f>
        <v/>
      </c>
      <c r="T876">
        <f t="shared" si="97"/>
        <v>8</v>
      </c>
      <c r="U876">
        <f t="shared" si="98"/>
        <v>8</v>
      </c>
    </row>
    <row r="877" spans="1:21">
      <c r="A877" t="s">
        <v>2666</v>
      </c>
      <c r="B877">
        <v>1678</v>
      </c>
      <c r="D877" t="s">
        <v>166</v>
      </c>
      <c r="E877" t="s">
        <v>166</v>
      </c>
      <c r="F877">
        <v>7</v>
      </c>
      <c r="G877">
        <f t="shared" si="99"/>
        <v>4.7619047619047619</v>
      </c>
      <c r="H877">
        <f t="shared" si="100"/>
        <v>4</v>
      </c>
      <c r="I877">
        <f t="shared" si="101"/>
        <v>0.76190476190476186</v>
      </c>
      <c r="J877" cm="1">
        <f t="array" ref="J877">INT(G877)+IF(100-SUM(INT(G$867:G$877))&gt;=RANK(I877,I$867:I$877)+COUNTIF(I$776:I968,I877)-1,1,0)</f>
        <v>5</v>
      </c>
      <c r="K877" t="str">
        <f>_xlfn.XLOOKUP(B877,BugList!A:A,BugList!H:H)</f>
        <v/>
      </c>
      <c r="L877" t="str">
        <f>IF(K877 = "","",_xlfn.XLOOKUP(B877, BugList!A:A,BugList!B:B,""))</f>
        <v/>
      </c>
      <c r="M877">
        <f>_xlfn.XLOOKUP(D877,BugList!C:C,BugList!N:N)</f>
        <v>6</v>
      </c>
      <c r="N877">
        <f>_xlfn.XLOOKUP(B877,BugList!A:A,BugList!R:R)</f>
        <v>6</v>
      </c>
      <c r="O877" t="b">
        <f>_xlfn.XLOOKUP(B877,BugList!A:A,BugList!L:L)</f>
        <v>0</v>
      </c>
      <c r="P877" t="b">
        <f t="shared" ref="P877:P940" si="102">IF(K877="*",IF(D877="Hydropsychidae", IF(E877="Diplectrona",TRUE,FALSE),TRUE),FALSE)</f>
        <v>0</v>
      </c>
      <c r="R877" t="b">
        <f>SUMPRODUCT(COUNTIF(_xlfn.XLOOKUP(B877,BugList!A:A,BugList!P:P), "*SC*"))&gt;0</f>
        <v>1</v>
      </c>
      <c r="S877" t="str">
        <f>_xlfn.XLOOKUP(B877,BugList!A:A,BugList!W:W)</f>
        <v/>
      </c>
      <c r="T877">
        <f t="shared" si="97"/>
        <v>30</v>
      </c>
      <c r="U877">
        <f t="shared" si="98"/>
        <v>30</v>
      </c>
    </row>
    <row r="878" spans="1:21">
      <c r="A878" t="s">
        <v>2667</v>
      </c>
      <c r="B878">
        <v>402</v>
      </c>
      <c r="D878" t="s">
        <v>104</v>
      </c>
      <c r="E878" t="s">
        <v>104</v>
      </c>
      <c r="F878">
        <v>2</v>
      </c>
      <c r="G878">
        <f t="shared" si="99"/>
        <v>1.6949152542372881</v>
      </c>
      <c r="H878">
        <f t="shared" si="100"/>
        <v>1</v>
      </c>
      <c r="I878">
        <f t="shared" si="101"/>
        <v>0.69491525423728806</v>
      </c>
      <c r="J878" cm="1">
        <f t="array" ref="J878">INT(G878)+IF(100-SUM(INT(G$878:G$895))&gt;=RANK(I878,I$878:I$895)+COUNTIF(I$878:I878,I878)-1,1,0)</f>
        <v>2</v>
      </c>
      <c r="K878" t="str">
        <f>_xlfn.XLOOKUP(B878,BugList!A:A,BugList!H:H)</f>
        <v>*</v>
      </c>
      <c r="L878" t="str">
        <f>IF(K878 = "","",_xlfn.XLOOKUP(B878, BugList!A:A,BugList!B:B,""))</f>
        <v>Plecoptera</v>
      </c>
      <c r="M878">
        <f>_xlfn.XLOOKUP(D878,BugList!C:C,BugList!N:N)</f>
        <v>2</v>
      </c>
      <c r="N878">
        <f>_xlfn.XLOOKUP(B878,BugList!A:A,BugList!R:R)</f>
        <v>2</v>
      </c>
      <c r="O878" t="b">
        <f>_xlfn.XLOOKUP(B878,BugList!A:A,BugList!L:L)</f>
        <v>1</v>
      </c>
      <c r="P878" t="b">
        <f t="shared" si="102"/>
        <v>1</v>
      </c>
      <c r="R878" t="b">
        <f>SUMPRODUCT(COUNTIF(_xlfn.XLOOKUP(B878,BugList!A:A,BugList!P:P), "*SC*"))&gt;0</f>
        <v>0</v>
      </c>
      <c r="S878" t="str">
        <f>_xlfn.XLOOKUP(B878,BugList!A:A,BugList!W:W)</f>
        <v/>
      </c>
      <c r="T878">
        <f t="shared" si="97"/>
        <v>4</v>
      </c>
      <c r="U878">
        <f t="shared" si="98"/>
        <v>4</v>
      </c>
    </row>
    <row r="879" spans="1:21">
      <c r="A879" t="s">
        <v>2667</v>
      </c>
      <c r="B879">
        <v>421</v>
      </c>
      <c r="D879" t="s">
        <v>105</v>
      </c>
      <c r="E879" t="s">
        <v>105</v>
      </c>
      <c r="F879">
        <v>2</v>
      </c>
      <c r="G879">
        <f t="shared" si="99"/>
        <v>1.6949152542372881</v>
      </c>
      <c r="H879">
        <f t="shared" si="100"/>
        <v>1</v>
      </c>
      <c r="I879">
        <f t="shared" si="101"/>
        <v>0.69491525423728806</v>
      </c>
      <c r="J879" cm="1">
        <f t="array" ref="J879">INT(G879)+IF(100-SUM(INT(G$878:G$895))&gt;=RANK(I879,I$878:I$895)+COUNTIF(I$878:I879,I879)-1,1,0)</f>
        <v>2</v>
      </c>
      <c r="K879" t="str">
        <f>_xlfn.XLOOKUP(B879,BugList!A:A,BugList!H:H)</f>
        <v>*</v>
      </c>
      <c r="L879" t="str">
        <f>IF(K879 = "","",_xlfn.XLOOKUP(B879, BugList!A:A,BugList!B:B,""))</f>
        <v>Plecoptera</v>
      </c>
      <c r="M879">
        <f>_xlfn.XLOOKUP(D879,BugList!C:C,BugList!N:N)</f>
        <v>1</v>
      </c>
      <c r="N879">
        <f>_xlfn.XLOOKUP(B879,BugList!A:A,BugList!R:R)</f>
        <v>1</v>
      </c>
      <c r="O879" t="b">
        <f>_xlfn.XLOOKUP(B879,BugList!A:A,BugList!L:L)</f>
        <v>1</v>
      </c>
      <c r="P879" t="b">
        <f t="shared" si="102"/>
        <v>1</v>
      </c>
      <c r="R879" t="b">
        <f>SUMPRODUCT(COUNTIF(_xlfn.XLOOKUP(B879,BugList!A:A,BugList!P:P), "*SC*"))&gt;0</f>
        <v>0</v>
      </c>
      <c r="S879" t="str">
        <f>_xlfn.XLOOKUP(B879,BugList!A:A,BugList!W:W)</f>
        <v/>
      </c>
      <c r="T879">
        <f t="shared" si="97"/>
        <v>2</v>
      </c>
      <c r="U879">
        <f t="shared" si="98"/>
        <v>2</v>
      </c>
    </row>
    <row r="880" spans="1:21">
      <c r="A880" t="s">
        <v>2667</v>
      </c>
      <c r="B880">
        <v>450</v>
      </c>
      <c r="D880" t="s">
        <v>96</v>
      </c>
      <c r="E880" t="s">
        <v>96</v>
      </c>
      <c r="F880">
        <v>1</v>
      </c>
      <c r="G880">
        <f t="shared" si="99"/>
        <v>0.84745762711864403</v>
      </c>
      <c r="H880">
        <f t="shared" si="100"/>
        <v>0</v>
      </c>
      <c r="I880">
        <f t="shared" si="101"/>
        <v>0.84745762711864403</v>
      </c>
      <c r="J880" cm="1">
        <f t="array" ref="J880">INT(G880)+IF(100-SUM(INT(G$878:G$895))&gt;=RANK(I880,I$878:I$895)+COUNTIF(I$878:I880,I880)-1,1,0)</f>
        <v>1</v>
      </c>
      <c r="K880" t="str">
        <f>_xlfn.XLOOKUP(B880,BugList!A:A,BugList!H:H)</f>
        <v>*</v>
      </c>
      <c r="L880" t="str">
        <f>IF(K880 = "","",_xlfn.XLOOKUP(B880, BugList!A:A,BugList!B:B,""))</f>
        <v>Ephemeroptera</v>
      </c>
      <c r="M880">
        <f>_xlfn.XLOOKUP(D880,BugList!C:C,BugList!N:N)</f>
        <v>4</v>
      </c>
      <c r="N880">
        <f>_xlfn.XLOOKUP(B880,BugList!A:A,BugList!R:R)</f>
        <v>4</v>
      </c>
      <c r="O880" t="b">
        <f>_xlfn.XLOOKUP(B880,BugList!A:A,BugList!L:L)</f>
        <v>1</v>
      </c>
      <c r="P880" t="b">
        <f t="shared" si="102"/>
        <v>1</v>
      </c>
      <c r="R880" t="b">
        <f>SUMPRODUCT(COUNTIF(_xlfn.XLOOKUP(B880,BugList!A:A,BugList!P:P), "*SC*"))&gt;0</f>
        <v>1</v>
      </c>
      <c r="S880" t="str">
        <f>_xlfn.XLOOKUP(B880,BugList!A:A,BugList!W:W)</f>
        <v>3</v>
      </c>
      <c r="T880">
        <f t="shared" si="97"/>
        <v>4</v>
      </c>
      <c r="U880">
        <f t="shared" si="98"/>
        <v>4</v>
      </c>
    </row>
    <row r="881" spans="1:21">
      <c r="A881" t="s">
        <v>2667</v>
      </c>
      <c r="B881">
        <v>500</v>
      </c>
      <c r="D881" t="s">
        <v>151</v>
      </c>
      <c r="E881" t="s">
        <v>151</v>
      </c>
      <c r="F881">
        <v>4</v>
      </c>
      <c r="G881">
        <f t="shared" si="99"/>
        <v>3.3898305084745761</v>
      </c>
      <c r="H881">
        <f t="shared" si="100"/>
        <v>3</v>
      </c>
      <c r="I881">
        <f t="shared" si="101"/>
        <v>0.38983050847457612</v>
      </c>
      <c r="J881" cm="1">
        <f t="array" ref="J881">INT(G881)+IF(100-SUM(INT(G$878:G$895))&gt;=RANK(I881,I$878:I$895)+COUNTIF(I$878:I881,I881)-1,1,0)</f>
        <v>3</v>
      </c>
      <c r="K881" t="str">
        <f>_xlfn.XLOOKUP(B881,BugList!A:A,BugList!H:H)</f>
        <v>*</v>
      </c>
      <c r="L881" t="str">
        <f>IF(K881 = "","",_xlfn.XLOOKUP(B881, BugList!A:A,BugList!B:B,""))</f>
        <v>Ephemeroptera</v>
      </c>
      <c r="M881">
        <f>_xlfn.XLOOKUP(D881,BugList!C:C,BugList!N:N)</f>
        <v>1</v>
      </c>
      <c r="N881">
        <f>_xlfn.XLOOKUP(B881,BugList!A:A,BugList!R:R)</f>
        <v>1</v>
      </c>
      <c r="O881" t="b">
        <f>_xlfn.XLOOKUP(B881,BugList!A:A,BugList!L:L)</f>
        <v>1</v>
      </c>
      <c r="P881" t="b">
        <f t="shared" si="102"/>
        <v>1</v>
      </c>
      <c r="R881" t="b">
        <f>SUMPRODUCT(COUNTIF(_xlfn.XLOOKUP(B881,BugList!A:A,BugList!P:P), "*SC*"))&gt;0</f>
        <v>1</v>
      </c>
      <c r="S881" t="str">
        <f>_xlfn.XLOOKUP(B881,BugList!A:A,BugList!W:W)</f>
        <v/>
      </c>
      <c r="T881">
        <f t="shared" si="97"/>
        <v>3</v>
      </c>
      <c r="U881">
        <f t="shared" si="98"/>
        <v>3</v>
      </c>
    </row>
    <row r="882" spans="1:21">
      <c r="A882" t="s">
        <v>2667</v>
      </c>
      <c r="B882">
        <v>513</v>
      </c>
      <c r="D882" t="s">
        <v>111</v>
      </c>
      <c r="E882" t="s">
        <v>111</v>
      </c>
      <c r="F882">
        <v>3</v>
      </c>
      <c r="G882">
        <f t="shared" si="99"/>
        <v>2.5423728813559325</v>
      </c>
      <c r="H882">
        <f t="shared" si="100"/>
        <v>2</v>
      </c>
      <c r="I882">
        <f t="shared" si="101"/>
        <v>0.54237288135593253</v>
      </c>
      <c r="J882" cm="1">
        <f t="array" ref="J882">INT(G882)+IF(100-SUM(INT(G$878:G$895))&gt;=RANK(I882,I$878:I$895)+COUNTIF(I$878:I882,I882)-1,1,0)</f>
        <v>2</v>
      </c>
      <c r="K882" t="str">
        <f>_xlfn.XLOOKUP(B882,BugList!A:A,BugList!H:H)</f>
        <v>*</v>
      </c>
      <c r="L882" t="str">
        <f>IF(K882 = "","",_xlfn.XLOOKUP(B882, BugList!A:A,BugList!B:B,""))</f>
        <v>Ephemeroptera</v>
      </c>
      <c r="M882">
        <f>_xlfn.XLOOKUP(D882,BugList!C:C,BugList!N:N)</f>
        <v>4</v>
      </c>
      <c r="N882">
        <f>_xlfn.XLOOKUP(B882,BugList!A:A,BugList!R:R)</f>
        <v>4</v>
      </c>
      <c r="O882" t="b">
        <f>_xlfn.XLOOKUP(B882,BugList!A:A,BugList!L:L)</f>
        <v>1</v>
      </c>
      <c r="P882" t="b">
        <f t="shared" si="102"/>
        <v>1</v>
      </c>
      <c r="R882" t="b">
        <f>SUMPRODUCT(COUNTIF(_xlfn.XLOOKUP(B882,BugList!A:A,BugList!P:P), "*SC*"))&gt;0</f>
        <v>1</v>
      </c>
      <c r="S882" t="str">
        <f>_xlfn.XLOOKUP(B882,BugList!A:A,BugList!W:W)</f>
        <v/>
      </c>
      <c r="T882">
        <f t="shared" si="97"/>
        <v>8</v>
      </c>
      <c r="U882">
        <f t="shared" si="98"/>
        <v>8</v>
      </c>
    </row>
    <row r="883" spans="1:21">
      <c r="A883" t="s">
        <v>2667</v>
      </c>
      <c r="B883">
        <v>602</v>
      </c>
      <c r="D883" t="s">
        <v>97</v>
      </c>
      <c r="E883" t="s">
        <v>97</v>
      </c>
      <c r="F883">
        <v>1</v>
      </c>
      <c r="G883">
        <f t="shared" si="99"/>
        <v>0.84745762711864403</v>
      </c>
      <c r="H883">
        <f t="shared" si="100"/>
        <v>0</v>
      </c>
      <c r="I883">
        <f t="shared" si="101"/>
        <v>0.84745762711864403</v>
      </c>
      <c r="J883" cm="1">
        <f t="array" ref="J883">INT(G883)+IF(100-SUM(INT(G$878:G$895))&gt;=RANK(I883,I$878:I$895)+COUNTIF(I$878:I883,I883)-1,1,0)</f>
        <v>1</v>
      </c>
      <c r="K883" t="str">
        <f>_xlfn.XLOOKUP(B883,BugList!A:A,BugList!H:H)</f>
        <v/>
      </c>
      <c r="L883" t="str">
        <f>IF(K883 = "","",_xlfn.XLOOKUP(B883, BugList!A:A,BugList!B:B,""))</f>
        <v/>
      </c>
      <c r="M883">
        <f>_xlfn.XLOOKUP(D883,BugList!C:C,BugList!N:N)</f>
        <v>9</v>
      </c>
      <c r="N883">
        <f>_xlfn.XLOOKUP(B883,BugList!A:A,BugList!R:R)</f>
        <v>9</v>
      </c>
      <c r="O883" t="b">
        <f>_xlfn.XLOOKUP(B883,BugList!A:A,BugList!L:L)</f>
        <v>1</v>
      </c>
      <c r="P883" t="b">
        <f t="shared" si="102"/>
        <v>0</v>
      </c>
      <c r="R883" t="b">
        <f>SUMPRODUCT(COUNTIF(_xlfn.XLOOKUP(B883,BugList!A:A,BugList!P:P), "*SC*"))&gt;0</f>
        <v>0</v>
      </c>
      <c r="S883" t="str">
        <f>_xlfn.XLOOKUP(B883,BugList!A:A,BugList!W:W)</f>
        <v/>
      </c>
      <c r="T883">
        <f t="shared" si="97"/>
        <v>9</v>
      </c>
      <c r="U883">
        <f t="shared" si="98"/>
        <v>9</v>
      </c>
    </row>
    <row r="884" spans="1:21">
      <c r="A884" t="s">
        <v>2667</v>
      </c>
      <c r="B884">
        <v>620</v>
      </c>
      <c r="D884" t="s">
        <v>113</v>
      </c>
      <c r="E884" t="s">
        <v>113</v>
      </c>
      <c r="F884">
        <v>3</v>
      </c>
      <c r="G884">
        <f t="shared" si="99"/>
        <v>2.5423728813559325</v>
      </c>
      <c r="H884">
        <f t="shared" si="100"/>
        <v>2</v>
      </c>
      <c r="I884">
        <f t="shared" si="101"/>
        <v>0.54237288135593253</v>
      </c>
      <c r="J884" cm="1">
        <f t="array" ref="J884">INT(G884)+IF(100-SUM(INT(G$878:G$895))&gt;=RANK(I884,I$878:I$895)+COUNTIF(I$878:I884,I884)-1,1,0)</f>
        <v>2</v>
      </c>
      <c r="K884" t="str">
        <f>_xlfn.XLOOKUP(B884,BugList!A:A,BugList!H:H)</f>
        <v/>
      </c>
      <c r="L884" t="str">
        <f>IF(K884 = "","",_xlfn.XLOOKUP(B884, BugList!A:A,BugList!B:B,""))</f>
        <v/>
      </c>
      <c r="M884">
        <f>_xlfn.XLOOKUP(D884,BugList!C:C,BugList!N:N)</f>
        <v>1</v>
      </c>
      <c r="N884">
        <f>_xlfn.XLOOKUP(B884,BugList!A:A,BugList!R:R)</f>
        <v>1</v>
      </c>
      <c r="O884" t="b">
        <f>_xlfn.XLOOKUP(B884,BugList!A:A,BugList!L:L)</f>
        <v>1</v>
      </c>
      <c r="P884" t="b">
        <f t="shared" si="102"/>
        <v>0</v>
      </c>
      <c r="R884" t="b">
        <f>SUMPRODUCT(COUNTIF(_xlfn.XLOOKUP(B884,BugList!A:A,BugList!P:P), "*SC*"))&gt;0</f>
        <v>0</v>
      </c>
      <c r="S884" t="str">
        <f>_xlfn.XLOOKUP(B884,BugList!A:A,BugList!W:W)</f>
        <v>3</v>
      </c>
      <c r="T884">
        <f t="shared" si="97"/>
        <v>2</v>
      </c>
      <c r="U884">
        <f t="shared" si="98"/>
        <v>2</v>
      </c>
    </row>
    <row r="885" spans="1:21">
      <c r="A885" t="s">
        <v>2667</v>
      </c>
      <c r="B885">
        <v>794</v>
      </c>
      <c r="D885" t="s">
        <v>89</v>
      </c>
      <c r="E885" t="s">
        <v>89</v>
      </c>
      <c r="F885">
        <v>2</v>
      </c>
      <c r="G885">
        <f t="shared" si="99"/>
        <v>1.6949152542372881</v>
      </c>
      <c r="H885">
        <f t="shared" si="100"/>
        <v>1</v>
      </c>
      <c r="I885">
        <f t="shared" si="101"/>
        <v>0.69491525423728806</v>
      </c>
      <c r="J885" cm="1">
        <f t="array" ref="J885">INT(G885)+IF(100-SUM(INT(G$878:G$895))&gt;=RANK(I885,I$878:I$895)+COUNTIF(I$878:I885,I885)-1,1,0)</f>
        <v>2</v>
      </c>
      <c r="K885" t="str">
        <f>_xlfn.XLOOKUP(B885,BugList!A:A,BugList!H:H)</f>
        <v>*</v>
      </c>
      <c r="L885" t="str">
        <f>IF(K885 = "","",_xlfn.XLOOKUP(B885, BugList!A:A,BugList!B:B,""))</f>
        <v>Trichoptera</v>
      </c>
      <c r="M885">
        <f>_xlfn.XLOOKUP(D885,BugList!C:C,BugList!N:N)</f>
        <v>4</v>
      </c>
      <c r="N885">
        <f>_xlfn.XLOOKUP(B885,BugList!A:A,BugList!R:R)</f>
        <v>4</v>
      </c>
      <c r="O885" t="b">
        <f>_xlfn.XLOOKUP(B885,BugList!A:A,BugList!L:L)</f>
        <v>1</v>
      </c>
      <c r="P885" t="b">
        <f t="shared" si="102"/>
        <v>0</v>
      </c>
      <c r="R885" t="b">
        <f>SUMPRODUCT(COUNTIF(_xlfn.XLOOKUP(B885,BugList!A:A,BugList!P:P), "*SC*"))&gt;0</f>
        <v>0</v>
      </c>
      <c r="S885" t="str">
        <f>_xlfn.XLOOKUP(B885,BugList!A:A,BugList!W:W)</f>
        <v/>
      </c>
      <c r="T885">
        <f t="shared" si="97"/>
        <v>8</v>
      </c>
      <c r="U885">
        <f t="shared" si="98"/>
        <v>8</v>
      </c>
    </row>
    <row r="886" spans="1:21">
      <c r="A886" t="s">
        <v>2667</v>
      </c>
      <c r="B886">
        <v>837</v>
      </c>
      <c r="D886" t="s">
        <v>107</v>
      </c>
      <c r="E886" t="s">
        <v>107</v>
      </c>
      <c r="F886">
        <v>2</v>
      </c>
      <c r="G886">
        <f t="shared" si="99"/>
        <v>1.6949152542372881</v>
      </c>
      <c r="H886">
        <f t="shared" si="100"/>
        <v>1</v>
      </c>
      <c r="I886">
        <f t="shared" si="101"/>
        <v>0.69491525423728806</v>
      </c>
      <c r="J886" cm="1">
        <f t="array" ref="J886">INT(G886)+IF(100-SUM(INT(G$878:G$895))&gt;=RANK(I886,I$878:I$895)+COUNTIF(I$878:I886,I886)-1,1,0)</f>
        <v>2</v>
      </c>
      <c r="K886" t="str">
        <f>_xlfn.XLOOKUP(B886,BugList!A:A,BugList!H:H)</f>
        <v>*</v>
      </c>
      <c r="L886" t="str">
        <f>IF(K886 = "","",_xlfn.XLOOKUP(B886, BugList!A:A,BugList!B:B,""))</f>
        <v>Trichoptera</v>
      </c>
      <c r="M886">
        <f>_xlfn.XLOOKUP(D886,BugList!C:C,BugList!N:N)</f>
        <v>3</v>
      </c>
      <c r="N886">
        <f>_xlfn.XLOOKUP(B886,BugList!A:A,BugList!R:R)</f>
        <v>3</v>
      </c>
      <c r="O886" t="b">
        <f>_xlfn.XLOOKUP(B886,BugList!A:A,BugList!L:L)</f>
        <v>1</v>
      </c>
      <c r="P886" t="b">
        <f t="shared" si="102"/>
        <v>1</v>
      </c>
      <c r="R886" t="b">
        <f>SUMPRODUCT(COUNTIF(_xlfn.XLOOKUP(B886,BugList!A:A,BugList!P:P), "*SC*"))&gt;0</f>
        <v>0</v>
      </c>
      <c r="S886" t="str">
        <f>_xlfn.XLOOKUP(B886,BugList!A:A,BugList!W:W)</f>
        <v/>
      </c>
      <c r="T886">
        <f t="shared" si="97"/>
        <v>6</v>
      </c>
      <c r="U886">
        <f t="shared" si="98"/>
        <v>6</v>
      </c>
    </row>
    <row r="887" spans="1:21">
      <c r="A887" t="s">
        <v>2667</v>
      </c>
      <c r="B887">
        <v>842</v>
      </c>
      <c r="D887" t="s">
        <v>163</v>
      </c>
      <c r="E887" t="s">
        <v>163</v>
      </c>
      <c r="F887">
        <v>1</v>
      </c>
      <c r="G887">
        <f t="shared" si="99"/>
        <v>0.84745762711864403</v>
      </c>
      <c r="H887">
        <f t="shared" si="100"/>
        <v>0</v>
      </c>
      <c r="I887">
        <f t="shared" si="101"/>
        <v>0.84745762711864403</v>
      </c>
      <c r="J887" cm="1">
        <f t="array" ref="J887">INT(G887)+IF(100-SUM(INT(G$878:G$895))&gt;=RANK(I887,I$878:I$895)+COUNTIF(I$878:I887,I887)-1,1,0)</f>
        <v>1</v>
      </c>
      <c r="K887" t="str">
        <f>_xlfn.XLOOKUP(B887,BugList!A:A,BugList!H:H)</f>
        <v>*</v>
      </c>
      <c r="L887" t="str">
        <f>IF(K887 = "","",_xlfn.XLOOKUP(B887, BugList!A:A,BugList!B:B,""))</f>
        <v>Trichoptera</v>
      </c>
      <c r="M887">
        <f>_xlfn.XLOOKUP(D887,BugList!C:C,BugList!N:N)</f>
        <v>6</v>
      </c>
      <c r="N887">
        <f>_xlfn.XLOOKUP(B887,BugList!A:A,BugList!R:R)</f>
        <v>6</v>
      </c>
      <c r="O887" t="b">
        <f>_xlfn.XLOOKUP(B887,BugList!A:A,BugList!L:L)</f>
        <v>1</v>
      </c>
      <c r="P887" t="b">
        <f t="shared" si="102"/>
        <v>1</v>
      </c>
      <c r="R887" t="b">
        <f>SUMPRODUCT(COUNTIF(_xlfn.XLOOKUP(B887,BugList!A:A,BugList!P:P), "*SC*"))&gt;0</f>
        <v>0</v>
      </c>
      <c r="S887" t="str">
        <f>_xlfn.XLOOKUP(B887,BugList!A:A,BugList!W:W)</f>
        <v/>
      </c>
      <c r="T887">
        <f t="shared" si="97"/>
        <v>6</v>
      </c>
      <c r="U887">
        <f t="shared" si="98"/>
        <v>6</v>
      </c>
    </row>
    <row r="888" spans="1:21">
      <c r="A888" t="s">
        <v>2667</v>
      </c>
      <c r="B888">
        <v>930</v>
      </c>
      <c r="D888" t="s">
        <v>1503</v>
      </c>
      <c r="E888" t="s">
        <v>1503</v>
      </c>
      <c r="F888">
        <v>1</v>
      </c>
      <c r="G888">
        <f t="shared" si="99"/>
        <v>0.84745762711864403</v>
      </c>
      <c r="H888">
        <f t="shared" si="100"/>
        <v>0</v>
      </c>
      <c r="I888">
        <f t="shared" si="101"/>
        <v>0.84745762711864403</v>
      </c>
      <c r="J888" cm="1">
        <f t="array" ref="J888">INT(G888)+IF(100-SUM(INT(G$878:G$895))&gt;=RANK(I888,I$878:I$895)+COUNTIF(I$878:I888,I888)-1,1,0)</f>
        <v>1</v>
      </c>
      <c r="K888" t="str">
        <f>_xlfn.XLOOKUP(B888,BugList!A:A,BugList!H:H)</f>
        <v/>
      </c>
      <c r="L888" t="str">
        <f>IF(K888 = "","",_xlfn.XLOOKUP(B888, BugList!A:A,BugList!B:B,""))</f>
        <v/>
      </c>
      <c r="M888">
        <f>_xlfn.XLOOKUP(D888,BugList!C:C,BugList!N:N)</f>
        <v>5</v>
      </c>
      <c r="N888">
        <f>_xlfn.XLOOKUP(B888,BugList!A:A,BugList!R:R)</f>
        <v>5</v>
      </c>
      <c r="O888" t="b">
        <f>_xlfn.XLOOKUP(B888,BugList!A:A,BugList!L:L)</f>
        <v>1</v>
      </c>
      <c r="P888" t="b">
        <f t="shared" si="102"/>
        <v>0</v>
      </c>
      <c r="R888" t="b">
        <f>SUMPRODUCT(COUNTIF(_xlfn.XLOOKUP(B888,BugList!A:A,BugList!P:P), "*SC*"))&gt;0</f>
        <v>0</v>
      </c>
      <c r="S888" t="str">
        <f>_xlfn.XLOOKUP(B888,BugList!A:A,BugList!W:W)</f>
        <v/>
      </c>
      <c r="T888">
        <f t="shared" si="97"/>
        <v>5</v>
      </c>
      <c r="U888">
        <f t="shared" si="98"/>
        <v>5</v>
      </c>
    </row>
    <row r="889" spans="1:21">
      <c r="A889" t="s">
        <v>2667</v>
      </c>
      <c r="B889">
        <v>935</v>
      </c>
      <c r="D889" t="s">
        <v>98</v>
      </c>
      <c r="E889" t="s">
        <v>98</v>
      </c>
      <c r="F889">
        <v>3</v>
      </c>
      <c r="G889">
        <f t="shared" si="99"/>
        <v>2.5423728813559325</v>
      </c>
      <c r="H889">
        <f t="shared" si="100"/>
        <v>2</v>
      </c>
      <c r="I889">
        <f t="shared" si="101"/>
        <v>0.54237288135593253</v>
      </c>
      <c r="J889" cm="1">
        <f t="array" ref="J889">INT(G889)+IF(100-SUM(INT(G$878:G$895))&gt;=RANK(I889,I$878:I$895)+COUNTIF(I$878:I889,I889)-1,1,0)</f>
        <v>2</v>
      </c>
      <c r="K889" t="str">
        <f>_xlfn.XLOOKUP(B889,BugList!A:A,BugList!H:H)</f>
        <v/>
      </c>
      <c r="L889" t="str">
        <f>IF(K889 = "","",_xlfn.XLOOKUP(B889, BugList!A:A,BugList!B:B,""))</f>
        <v/>
      </c>
      <c r="M889">
        <f>_xlfn.XLOOKUP(D889,BugList!C:C,BugList!N:N)</f>
        <v>4</v>
      </c>
      <c r="N889">
        <f>_xlfn.XLOOKUP(B889,BugList!A:A,BugList!R:R)</f>
        <v>4</v>
      </c>
      <c r="O889" t="b">
        <f>_xlfn.XLOOKUP(B889,BugList!A:A,BugList!L:L)</f>
        <v>1</v>
      </c>
      <c r="P889" t="b">
        <f t="shared" si="102"/>
        <v>0</v>
      </c>
      <c r="R889" t="b">
        <f>SUMPRODUCT(COUNTIF(_xlfn.XLOOKUP(B889,BugList!A:A,BugList!P:P), "*SC*"))&gt;0</f>
        <v>1</v>
      </c>
      <c r="S889" t="str">
        <f>_xlfn.XLOOKUP(B889,BugList!A:A,BugList!W:W)</f>
        <v/>
      </c>
      <c r="T889">
        <f t="shared" si="97"/>
        <v>8</v>
      </c>
      <c r="U889">
        <f t="shared" si="98"/>
        <v>8</v>
      </c>
    </row>
    <row r="890" spans="1:21">
      <c r="A890" t="s">
        <v>2667</v>
      </c>
      <c r="B890">
        <v>1002</v>
      </c>
      <c r="D890" t="s">
        <v>100</v>
      </c>
      <c r="E890" t="s">
        <v>100</v>
      </c>
      <c r="F890">
        <v>8</v>
      </c>
      <c r="G890">
        <f t="shared" si="99"/>
        <v>6.7796610169491522</v>
      </c>
      <c r="H890">
        <f t="shared" si="100"/>
        <v>6</v>
      </c>
      <c r="I890">
        <f t="shared" si="101"/>
        <v>0.77966101694915224</v>
      </c>
      <c r="J890" cm="1">
        <f t="array" ref="J890">INT(G890)+IF(100-SUM(INT(G$878:G$895))&gt;=RANK(I890,I$878:I$895)+COUNTIF(I$878:I890,I890)-1,1,0)</f>
        <v>7</v>
      </c>
      <c r="K890" t="str">
        <f>_xlfn.XLOOKUP(B890,BugList!A:A,BugList!H:H)</f>
        <v/>
      </c>
      <c r="L890" t="str">
        <f>IF(K890 = "","",_xlfn.XLOOKUP(B890, BugList!A:A,BugList!B:B,""))</f>
        <v/>
      </c>
      <c r="M890">
        <f>_xlfn.XLOOKUP(D890,BugList!C:C,BugList!N:N)</f>
        <v>4</v>
      </c>
      <c r="N890">
        <f>_xlfn.XLOOKUP(B890,BugList!A:A,BugList!R:R)</f>
        <v>4</v>
      </c>
      <c r="O890" t="b">
        <f>_xlfn.XLOOKUP(B890,BugList!A:A,BugList!L:L)</f>
        <v>1</v>
      </c>
      <c r="P890" t="b">
        <f t="shared" si="102"/>
        <v>0</v>
      </c>
      <c r="R890" t="b">
        <f>SUMPRODUCT(COUNTIF(_xlfn.XLOOKUP(B890,BugList!A:A,BugList!P:P), "*SC*"))&gt;0</f>
        <v>1</v>
      </c>
      <c r="S890" t="str">
        <f>_xlfn.XLOOKUP(B890,BugList!A:A,BugList!W:W)</f>
        <v/>
      </c>
      <c r="T890">
        <f t="shared" si="97"/>
        <v>28</v>
      </c>
      <c r="U890">
        <f t="shared" si="98"/>
        <v>28</v>
      </c>
    </row>
    <row r="891" spans="1:21">
      <c r="A891" t="s">
        <v>2667</v>
      </c>
      <c r="B891">
        <v>1088</v>
      </c>
      <c r="D891" t="s">
        <v>90</v>
      </c>
      <c r="E891" t="s">
        <v>90</v>
      </c>
      <c r="F891">
        <v>35</v>
      </c>
      <c r="G891">
        <f t="shared" si="99"/>
        <v>29.66101694915254</v>
      </c>
      <c r="H891">
        <f t="shared" si="100"/>
        <v>29</v>
      </c>
      <c r="I891">
        <f t="shared" si="101"/>
        <v>0.66101694915253972</v>
      </c>
      <c r="J891" cm="1">
        <f t="array" ref="J891">INT(G891)+IF(100-SUM(INT(G$878:G$895))&gt;=RANK(I891,I$878:I$895)+COUNTIF(I$878:I891,I891)-1,1,0)</f>
        <v>29</v>
      </c>
      <c r="K891" t="str">
        <f>_xlfn.XLOOKUP(B891,BugList!A:A,BugList!H:H)</f>
        <v/>
      </c>
      <c r="L891" t="str">
        <f>IF(K891 = "","",_xlfn.XLOOKUP(B891, BugList!A:A,BugList!B:B,""))</f>
        <v/>
      </c>
      <c r="M891">
        <f>_xlfn.XLOOKUP(D891,BugList!C:C,BugList!N:N)</f>
        <v>6</v>
      </c>
      <c r="N891">
        <f>_xlfn.XLOOKUP(B891,BugList!A:A,BugList!R:R)</f>
        <v>6</v>
      </c>
      <c r="O891" t="b">
        <f>_xlfn.XLOOKUP(B891,BugList!A:A,BugList!L:L)</f>
        <v>1</v>
      </c>
      <c r="P891" t="b">
        <f t="shared" si="102"/>
        <v>0</v>
      </c>
      <c r="R891" t="b">
        <f>SUMPRODUCT(COUNTIF(_xlfn.XLOOKUP(B891,BugList!A:A,BugList!P:P), "*SC*"))&gt;0</f>
        <v>0</v>
      </c>
      <c r="S891" t="str">
        <f>_xlfn.XLOOKUP(B891,BugList!A:A,BugList!W:W)</f>
        <v/>
      </c>
      <c r="T891">
        <f t="shared" si="97"/>
        <v>174</v>
      </c>
      <c r="U891">
        <f t="shared" si="98"/>
        <v>174</v>
      </c>
    </row>
    <row r="892" spans="1:21">
      <c r="A892" t="s">
        <v>2667</v>
      </c>
      <c r="B892">
        <v>1199</v>
      </c>
      <c r="D892" t="s">
        <v>131</v>
      </c>
      <c r="E892" t="s">
        <v>131</v>
      </c>
      <c r="F892">
        <v>1</v>
      </c>
      <c r="G892">
        <f t="shared" si="99"/>
        <v>0.84745762711864403</v>
      </c>
      <c r="H892">
        <f t="shared" si="100"/>
        <v>0</v>
      </c>
      <c r="I892">
        <f t="shared" si="101"/>
        <v>0.84745762711864403</v>
      </c>
      <c r="J892" cm="1">
        <f t="array" ref="J892">INT(G892)+IF(100-SUM(INT(G$878:G$895))&gt;=RANK(I892,I$878:I$895)+COUNTIF(I$878:I892,I892)-1,1,0)</f>
        <v>1</v>
      </c>
      <c r="K892" t="str">
        <f>_xlfn.XLOOKUP(B892,BugList!A:A,BugList!H:H)</f>
        <v/>
      </c>
      <c r="L892" t="str">
        <f>IF(K892 = "","",_xlfn.XLOOKUP(B892, BugList!A:A,BugList!B:B,""))</f>
        <v/>
      </c>
      <c r="M892">
        <f>_xlfn.XLOOKUP(D892,BugList!C:C,BugList!N:N)</f>
        <v>6</v>
      </c>
      <c r="N892">
        <f>_xlfn.XLOOKUP(B892,BugList!A:A,BugList!R:R)</f>
        <v>6</v>
      </c>
      <c r="O892" t="b">
        <f>_xlfn.XLOOKUP(B892,BugList!A:A,BugList!L:L)</f>
        <v>1</v>
      </c>
      <c r="P892" t="b">
        <f t="shared" si="102"/>
        <v>0</v>
      </c>
      <c r="R892" t="b">
        <f>SUMPRODUCT(COUNTIF(_xlfn.XLOOKUP(B892,BugList!A:A,BugList!P:P), "*SC*"))&gt;0</f>
        <v>0</v>
      </c>
      <c r="S892" t="str">
        <f>_xlfn.XLOOKUP(B892,BugList!A:A,BugList!W:W)</f>
        <v/>
      </c>
      <c r="T892">
        <f t="shared" si="97"/>
        <v>6</v>
      </c>
      <c r="U892">
        <f t="shared" si="98"/>
        <v>6</v>
      </c>
    </row>
    <row r="893" spans="1:21">
      <c r="A893" t="s">
        <v>2667</v>
      </c>
      <c r="B893">
        <v>1436</v>
      </c>
      <c r="D893" t="s">
        <v>101</v>
      </c>
      <c r="E893" t="s">
        <v>101</v>
      </c>
      <c r="F893">
        <v>7</v>
      </c>
      <c r="G893">
        <f t="shared" si="99"/>
        <v>5.9322033898305087</v>
      </c>
      <c r="H893">
        <f t="shared" si="100"/>
        <v>5</v>
      </c>
      <c r="I893">
        <f t="shared" si="101"/>
        <v>0.93220338983050866</v>
      </c>
      <c r="J893" cm="1">
        <f t="array" ref="J893">INT(G893)+IF(100-SUM(INT(G$878:G$895))&gt;=RANK(I893,I$878:I$895)+COUNTIF(I$878:I893,I893)-1,1,0)</f>
        <v>6</v>
      </c>
      <c r="K893" t="str">
        <f>_xlfn.XLOOKUP(B893,BugList!A:A,BugList!H:H)</f>
        <v/>
      </c>
      <c r="L893" t="str">
        <f>IF(K893 = "","",_xlfn.XLOOKUP(B893, BugList!A:A,BugList!B:B,""))</f>
        <v/>
      </c>
      <c r="M893">
        <f>_xlfn.XLOOKUP(D893,BugList!C:C,BugList!N:N)</f>
        <v>6</v>
      </c>
      <c r="N893">
        <f>_xlfn.XLOOKUP(B893,BugList!A:A,BugList!R:R)</f>
        <v>6</v>
      </c>
      <c r="O893" t="b">
        <f>_xlfn.XLOOKUP(B893,BugList!A:A,BugList!L:L)</f>
        <v>1</v>
      </c>
      <c r="P893" t="b">
        <f t="shared" si="102"/>
        <v>0</v>
      </c>
      <c r="R893" t="b">
        <f>SUMPRODUCT(COUNTIF(_xlfn.XLOOKUP(B893,BugList!A:A,BugList!P:P), "*SC*"))&gt;0</f>
        <v>0</v>
      </c>
      <c r="S893" t="str">
        <f>_xlfn.XLOOKUP(B893,BugList!A:A,BugList!W:W)</f>
        <v/>
      </c>
      <c r="T893">
        <f t="shared" si="97"/>
        <v>36</v>
      </c>
      <c r="U893">
        <f t="shared" si="98"/>
        <v>36</v>
      </c>
    </row>
    <row r="894" spans="1:21">
      <c r="A894" t="s">
        <v>2667</v>
      </c>
      <c r="B894">
        <v>2775</v>
      </c>
      <c r="D894" t="s">
        <v>828</v>
      </c>
      <c r="E894" t="s">
        <v>828</v>
      </c>
      <c r="F894">
        <v>41</v>
      </c>
      <c r="G894">
        <f t="shared" si="99"/>
        <v>34.745762711864408</v>
      </c>
      <c r="H894">
        <f t="shared" si="100"/>
        <v>34</v>
      </c>
      <c r="I894">
        <f t="shared" si="101"/>
        <v>0.74576271186440835</v>
      </c>
      <c r="J894" cm="1">
        <f t="array" ref="J894">INT(G894)+IF(100-SUM(INT(G$878:G$895))&gt;=RANK(I894,I$878:I$895)+COUNTIF(I$878:I894,I894)-1,1,0)</f>
        <v>35</v>
      </c>
      <c r="K894" t="str">
        <f>_xlfn.XLOOKUP(B894,BugList!A:A,BugList!H:H)</f>
        <v>*</v>
      </c>
      <c r="L894" t="str">
        <f>IF(K894 = "","",_xlfn.XLOOKUP(B894, BugList!A:A,BugList!B:B,""))</f>
        <v>Ephemeroptera</v>
      </c>
      <c r="M894">
        <f>_xlfn.XLOOKUP(D894,BugList!C:C,BugList!N:N)</f>
        <v>7</v>
      </c>
      <c r="N894">
        <f>_xlfn.XLOOKUP(B894,BugList!A:A,BugList!R:R)</f>
        <v>0</v>
      </c>
      <c r="O894" t="b">
        <f>_xlfn.XLOOKUP(B894,BugList!A:A,BugList!L:L)</f>
        <v>1</v>
      </c>
      <c r="P894" t="b">
        <f t="shared" si="102"/>
        <v>1</v>
      </c>
      <c r="R894" t="b">
        <f>SUMPRODUCT(COUNTIF(_xlfn.XLOOKUP(B894,BugList!A:A,BugList!P:P), "*SC*"))&gt;0</f>
        <v>0</v>
      </c>
      <c r="S894" t="str">
        <f>_xlfn.XLOOKUP(B894,BugList!A:A,BugList!W:W)</f>
        <v/>
      </c>
      <c r="T894">
        <f t="shared" si="97"/>
        <v>245</v>
      </c>
      <c r="U894">
        <f t="shared" si="98"/>
        <v>0</v>
      </c>
    </row>
    <row r="895" spans="1:21">
      <c r="A895" t="s">
        <v>2667</v>
      </c>
      <c r="B895">
        <v>2781</v>
      </c>
      <c r="D895" t="s">
        <v>109</v>
      </c>
      <c r="E895" t="s">
        <v>109</v>
      </c>
      <c r="F895">
        <v>1</v>
      </c>
      <c r="G895">
        <f t="shared" si="99"/>
        <v>0.84745762711864403</v>
      </c>
      <c r="H895">
        <f t="shared" si="100"/>
        <v>0</v>
      </c>
      <c r="I895">
        <f t="shared" si="101"/>
        <v>0.84745762711864403</v>
      </c>
      <c r="J895" cm="1">
        <f t="array" ref="J895">INT(G895)+IF(100-SUM(INT(G$878:G$895))&gt;=RANK(I895,I$878:I$895)+COUNTIF(I$878:I895,I895)-1,1,0)</f>
        <v>1</v>
      </c>
      <c r="K895" t="str">
        <f>_xlfn.XLOOKUP(B895,BugList!A:A,BugList!H:H)</f>
        <v/>
      </c>
      <c r="L895" t="str">
        <f>IF(K895 = "","",_xlfn.XLOOKUP(B895, BugList!A:A,BugList!B:B,""))</f>
        <v/>
      </c>
      <c r="M895">
        <f>_xlfn.XLOOKUP(D895,BugList!C:C,BugList!N:N)</f>
        <v>6</v>
      </c>
      <c r="N895">
        <f>_xlfn.XLOOKUP(B895,BugList!A:A,BugList!R:R)</f>
        <v>4</v>
      </c>
      <c r="O895" t="b">
        <f>_xlfn.XLOOKUP(B895,BugList!A:A,BugList!L:L)</f>
        <v>0</v>
      </c>
      <c r="P895" t="b">
        <f t="shared" si="102"/>
        <v>0</v>
      </c>
      <c r="R895" t="b">
        <f>SUMPRODUCT(COUNTIF(_xlfn.XLOOKUP(B895,BugList!A:A,BugList!P:P), "*SC*"))&gt;0</f>
        <v>0</v>
      </c>
      <c r="S895" t="str">
        <f>_xlfn.XLOOKUP(B895,BugList!A:A,BugList!W:W)</f>
        <v/>
      </c>
      <c r="T895">
        <f t="shared" si="97"/>
        <v>6</v>
      </c>
      <c r="U895">
        <f t="shared" si="98"/>
        <v>4</v>
      </c>
    </row>
    <row r="896" spans="1:21">
      <c r="A896" t="s">
        <v>2668</v>
      </c>
      <c r="B896">
        <v>88</v>
      </c>
      <c r="D896" t="s">
        <v>85</v>
      </c>
      <c r="E896" t="s">
        <v>85</v>
      </c>
      <c r="F896">
        <v>1</v>
      </c>
      <c r="G896">
        <f t="shared" si="99"/>
        <v>0.95238095238095244</v>
      </c>
      <c r="H896">
        <f t="shared" si="100"/>
        <v>0</v>
      </c>
      <c r="I896">
        <f t="shared" si="101"/>
        <v>0.95238095238095244</v>
      </c>
      <c r="J896" cm="1">
        <f t="array" ref="J896">INT(JG896)+IF(100-SUM(INT(G$896:G$911))&gt;=RANK(I896,I$896:I$911)+COUNTIF(I$896:I896,I896)-1,1,0)</f>
        <v>1</v>
      </c>
      <c r="K896" t="str">
        <f>_xlfn.XLOOKUP(B896,BugList!A:A,BugList!H:H)</f>
        <v/>
      </c>
      <c r="L896" t="str">
        <f>IF(K896 = "","",_xlfn.XLOOKUP(B896, BugList!A:A,BugList!B:B,""))</f>
        <v/>
      </c>
      <c r="M896">
        <f>_xlfn.XLOOKUP(D896,BugList!C:C,BugList!N:N)</f>
        <v>4</v>
      </c>
      <c r="N896">
        <f>_xlfn.XLOOKUP(B896,BugList!A:A,BugList!R:R)</f>
        <v>4</v>
      </c>
      <c r="O896" t="b">
        <f>_xlfn.XLOOKUP(B896,BugList!A:A,BugList!L:L)</f>
        <v>0</v>
      </c>
      <c r="P896" t="b">
        <f t="shared" si="102"/>
        <v>0</v>
      </c>
      <c r="R896" t="b">
        <f>SUMPRODUCT(COUNTIF(_xlfn.XLOOKUP(B896,BugList!A:A,BugList!P:P), "*SC*"))&gt;0</f>
        <v>0</v>
      </c>
      <c r="S896" t="str">
        <f>_xlfn.XLOOKUP(B896,BugList!A:A,BugList!W:W)</f>
        <v/>
      </c>
      <c r="T896">
        <f t="shared" si="97"/>
        <v>4</v>
      </c>
      <c r="U896">
        <f t="shared" si="98"/>
        <v>4</v>
      </c>
    </row>
    <row r="897" spans="1:21">
      <c r="A897" t="s">
        <v>2668</v>
      </c>
      <c r="B897">
        <v>372</v>
      </c>
      <c r="D897" t="s">
        <v>88</v>
      </c>
      <c r="E897" t="s">
        <v>88</v>
      </c>
      <c r="F897">
        <v>2</v>
      </c>
      <c r="G897">
        <f t="shared" si="99"/>
        <v>1.9047619047619049</v>
      </c>
      <c r="H897">
        <f t="shared" si="100"/>
        <v>1</v>
      </c>
      <c r="I897">
        <f t="shared" si="101"/>
        <v>0.90476190476190488</v>
      </c>
      <c r="J897" cm="1">
        <f t="array" ref="J897">INT(G897)+IF(100-SUM(INT(G$896:G$911))&gt;=RANK(I897,I$896:I$911)+COUNTIF(I$896:I897,I897)-1,1,0)</f>
        <v>2</v>
      </c>
      <c r="K897" t="str">
        <f>_xlfn.XLOOKUP(B897,BugList!A:A,BugList!H:H)</f>
        <v/>
      </c>
      <c r="L897" t="str">
        <f>IF(K897 = "","",_xlfn.XLOOKUP(B897, BugList!A:A,BugList!B:B,""))</f>
        <v/>
      </c>
      <c r="M897">
        <f>_xlfn.XLOOKUP(D897,BugList!C:C,BugList!N:N)</f>
        <v>8</v>
      </c>
      <c r="N897">
        <f>_xlfn.XLOOKUP(B897,BugList!A:A,BugList!R:R)</f>
        <v>8</v>
      </c>
      <c r="O897" t="b">
        <f>_xlfn.XLOOKUP(B897,BugList!A:A,BugList!L:L)</f>
        <v>0</v>
      </c>
      <c r="P897" t="b">
        <f t="shared" si="102"/>
        <v>0</v>
      </c>
      <c r="R897" t="b">
        <f>SUMPRODUCT(COUNTIF(_xlfn.XLOOKUP(B897,BugList!A:A,BugList!P:P), "*SC*"))&gt;0</f>
        <v>0</v>
      </c>
      <c r="S897" t="str">
        <f>_xlfn.XLOOKUP(B897,BugList!A:A,BugList!W:W)</f>
        <v/>
      </c>
      <c r="T897">
        <f t="shared" si="97"/>
        <v>16</v>
      </c>
      <c r="U897">
        <f t="shared" si="98"/>
        <v>16</v>
      </c>
    </row>
    <row r="898" spans="1:21">
      <c r="A898" t="s">
        <v>2668</v>
      </c>
      <c r="B898">
        <v>513</v>
      </c>
      <c r="D898" t="s">
        <v>111</v>
      </c>
      <c r="E898" t="s">
        <v>111</v>
      </c>
      <c r="F898">
        <v>7</v>
      </c>
      <c r="G898">
        <f t="shared" si="99"/>
        <v>6.666666666666667</v>
      </c>
      <c r="H898">
        <f t="shared" si="100"/>
        <v>6</v>
      </c>
      <c r="I898">
        <f t="shared" si="101"/>
        <v>0.66666666666666696</v>
      </c>
      <c r="J898" cm="1">
        <f t="array" ref="J898">INT(G898)+IF(100-SUM(INT(G$896:G$911))&gt;=RANK(I898,I$896:I$911)+COUNTIF(I$896:I898,I898)-1,1,0)</f>
        <v>6</v>
      </c>
      <c r="K898" t="str">
        <f>_xlfn.XLOOKUP(B898,BugList!A:A,BugList!H:H)</f>
        <v>*</v>
      </c>
      <c r="L898" t="str">
        <f>IF(K898 = "","",_xlfn.XLOOKUP(B898, BugList!A:A,BugList!B:B,""))</f>
        <v>Ephemeroptera</v>
      </c>
      <c r="M898">
        <f>_xlfn.XLOOKUP(D898,BugList!C:C,BugList!N:N)</f>
        <v>4</v>
      </c>
      <c r="N898">
        <f>_xlfn.XLOOKUP(B898,BugList!A:A,BugList!R:R)</f>
        <v>4</v>
      </c>
      <c r="O898" t="b">
        <f>_xlfn.XLOOKUP(B898,BugList!A:A,BugList!L:L)</f>
        <v>1</v>
      </c>
      <c r="P898" t="b">
        <f t="shared" si="102"/>
        <v>1</v>
      </c>
      <c r="R898" t="b">
        <f>SUMPRODUCT(COUNTIF(_xlfn.XLOOKUP(B898,BugList!A:A,BugList!P:P), "*SC*"))&gt;0</f>
        <v>1</v>
      </c>
      <c r="S898" t="str">
        <f>_xlfn.XLOOKUP(B898,BugList!A:A,BugList!W:W)</f>
        <v/>
      </c>
      <c r="T898">
        <f t="shared" ref="T898:T961" si="103">J898*M898</f>
        <v>24</v>
      </c>
      <c r="U898">
        <f t="shared" ref="U898:U961" si="104">J898*N898</f>
        <v>24</v>
      </c>
    </row>
    <row r="899" spans="1:21">
      <c r="A899" t="s">
        <v>2668</v>
      </c>
      <c r="B899">
        <v>598</v>
      </c>
      <c r="D899" t="s">
        <v>112</v>
      </c>
      <c r="E899" t="s">
        <v>112</v>
      </c>
      <c r="F899">
        <v>4</v>
      </c>
      <c r="G899">
        <f t="shared" si="99"/>
        <v>3.8095238095238098</v>
      </c>
      <c r="H899">
        <f t="shared" si="100"/>
        <v>3</v>
      </c>
      <c r="I899">
        <f t="shared" si="101"/>
        <v>0.80952380952380976</v>
      </c>
      <c r="J899" cm="1">
        <f t="array" ref="J899">INT(G899)+IF(100-SUM(INT(G$896:G$911))&gt;=RANK(I899,I$896:I$911)+COUNTIF(I$896:I899,I899)-1,1,0)</f>
        <v>4</v>
      </c>
      <c r="K899" t="str">
        <f>_xlfn.XLOOKUP(B899,BugList!A:A,BugList!H:H)</f>
        <v/>
      </c>
      <c r="L899" t="str">
        <f>IF(K899 = "","",_xlfn.XLOOKUP(B899, BugList!A:A,BugList!B:B,""))</f>
        <v/>
      </c>
      <c r="M899">
        <f>_xlfn.XLOOKUP(D899,BugList!C:C,BugList!N:N)</f>
        <v>5</v>
      </c>
      <c r="N899">
        <f>_xlfn.XLOOKUP(B899,BugList!A:A,BugList!R:R)</f>
        <v>5</v>
      </c>
      <c r="O899" t="b">
        <f>_xlfn.XLOOKUP(B899,BugList!A:A,BugList!L:L)</f>
        <v>1</v>
      </c>
      <c r="P899" t="b">
        <f t="shared" si="102"/>
        <v>0</v>
      </c>
      <c r="R899" t="b">
        <f>SUMPRODUCT(COUNTIF(_xlfn.XLOOKUP(B899,BugList!A:A,BugList!P:P), "*SC*"))&gt;0</f>
        <v>0</v>
      </c>
      <c r="S899" t="str">
        <f>_xlfn.XLOOKUP(B899,BugList!A:A,BugList!W:W)</f>
        <v/>
      </c>
      <c r="T899">
        <f t="shared" si="103"/>
        <v>20</v>
      </c>
      <c r="U899">
        <f t="shared" si="104"/>
        <v>20</v>
      </c>
    </row>
    <row r="900" spans="1:21">
      <c r="A900" t="s">
        <v>2668</v>
      </c>
      <c r="B900">
        <v>602</v>
      </c>
      <c r="D900" t="s">
        <v>97</v>
      </c>
      <c r="E900" t="s">
        <v>97</v>
      </c>
      <c r="F900">
        <v>2</v>
      </c>
      <c r="G900">
        <f t="shared" si="99"/>
        <v>1.9047619047619049</v>
      </c>
      <c r="H900">
        <f t="shared" si="100"/>
        <v>1</v>
      </c>
      <c r="I900">
        <f t="shared" si="101"/>
        <v>0.90476190476190488</v>
      </c>
      <c r="J900" cm="1">
        <f t="array" ref="J900">INT(G900)+IF(100-SUM(INT(G$896:G$911))&gt;=RANK(I900,I$896:I$911)+COUNTIF(I$896:I900,I900)-1,1,0)</f>
        <v>2</v>
      </c>
      <c r="K900" t="str">
        <f>_xlfn.XLOOKUP(B900,BugList!A:A,BugList!H:H)</f>
        <v/>
      </c>
      <c r="L900" t="str">
        <f>IF(K900 = "","",_xlfn.XLOOKUP(B900, BugList!A:A,BugList!B:B,""))</f>
        <v/>
      </c>
      <c r="M900">
        <f>_xlfn.XLOOKUP(D900,BugList!C:C,BugList!N:N)</f>
        <v>9</v>
      </c>
      <c r="N900">
        <f>_xlfn.XLOOKUP(B900,BugList!A:A,BugList!R:R)</f>
        <v>9</v>
      </c>
      <c r="O900" t="b">
        <f>_xlfn.XLOOKUP(B900,BugList!A:A,BugList!L:L)</f>
        <v>1</v>
      </c>
      <c r="P900" t="b">
        <f t="shared" si="102"/>
        <v>0</v>
      </c>
      <c r="R900" t="b">
        <f>SUMPRODUCT(COUNTIF(_xlfn.XLOOKUP(B900,BugList!A:A,BugList!P:P), "*SC*"))&gt;0</f>
        <v>0</v>
      </c>
      <c r="S900" t="str">
        <f>_xlfn.XLOOKUP(B900,BugList!A:A,BugList!W:W)</f>
        <v/>
      </c>
      <c r="T900">
        <f t="shared" si="103"/>
        <v>18</v>
      </c>
      <c r="U900">
        <f t="shared" si="104"/>
        <v>18</v>
      </c>
    </row>
    <row r="901" spans="1:21">
      <c r="A901" t="s">
        <v>2668</v>
      </c>
      <c r="B901">
        <v>620</v>
      </c>
      <c r="D901" t="s">
        <v>113</v>
      </c>
      <c r="E901" t="s">
        <v>113</v>
      </c>
      <c r="F901">
        <v>2</v>
      </c>
      <c r="G901">
        <f t="shared" si="99"/>
        <v>1.9047619047619049</v>
      </c>
      <c r="H901">
        <f t="shared" si="100"/>
        <v>1</v>
      </c>
      <c r="I901">
        <f t="shared" si="101"/>
        <v>0.90476190476190488</v>
      </c>
      <c r="J901" cm="1">
        <f t="array" ref="J901">INT(G901)+IF(100-SUM(INT(G$896:G$911))&gt;=RANK(I901,I$896:I$911)+COUNTIF(I$896:I901,I901)-1,1,0)</f>
        <v>2</v>
      </c>
      <c r="K901" t="str">
        <f>_xlfn.XLOOKUP(B901,BugList!A:A,BugList!H:H)</f>
        <v/>
      </c>
      <c r="L901" t="str">
        <f>IF(K901 = "","",_xlfn.XLOOKUP(B901, BugList!A:A,BugList!B:B,""))</f>
        <v/>
      </c>
      <c r="M901">
        <f>_xlfn.XLOOKUP(D901,BugList!C:C,BugList!N:N)</f>
        <v>1</v>
      </c>
      <c r="N901">
        <f>_xlfn.XLOOKUP(B901,BugList!A:A,BugList!R:R)</f>
        <v>1</v>
      </c>
      <c r="O901" t="b">
        <f>_xlfn.XLOOKUP(B901,BugList!A:A,BugList!L:L)</f>
        <v>1</v>
      </c>
      <c r="P901" t="b">
        <f t="shared" si="102"/>
        <v>0</v>
      </c>
      <c r="R901" t="b">
        <f>SUMPRODUCT(COUNTIF(_xlfn.XLOOKUP(B901,BugList!A:A,BugList!P:P), "*SC*"))&gt;0</f>
        <v>0</v>
      </c>
      <c r="S901" t="str">
        <f>_xlfn.XLOOKUP(B901,BugList!A:A,BugList!W:W)</f>
        <v>3</v>
      </c>
      <c r="T901">
        <f t="shared" si="103"/>
        <v>2</v>
      </c>
      <c r="U901">
        <f t="shared" si="104"/>
        <v>2</v>
      </c>
    </row>
    <row r="902" spans="1:21">
      <c r="A902" t="s">
        <v>2668</v>
      </c>
      <c r="B902">
        <v>794</v>
      </c>
      <c r="D902" t="s">
        <v>89</v>
      </c>
      <c r="E902" t="s">
        <v>89</v>
      </c>
      <c r="F902">
        <v>2</v>
      </c>
      <c r="G902">
        <f t="shared" si="99"/>
        <v>1.9047619047619049</v>
      </c>
      <c r="H902">
        <f t="shared" si="100"/>
        <v>1</v>
      </c>
      <c r="I902">
        <f t="shared" si="101"/>
        <v>0.90476190476190488</v>
      </c>
      <c r="J902" cm="1">
        <f t="array" ref="J902">INT(G902)+IF(100-SUM(INT(G$896:G$911))&gt;=RANK(I902,I$896:I$911)+COUNTIF(I$896:I902,I902)-1,1,0)</f>
        <v>2</v>
      </c>
      <c r="K902" t="str">
        <f>_xlfn.XLOOKUP(B902,BugList!A:A,BugList!H:H)</f>
        <v>*</v>
      </c>
      <c r="L902" t="str">
        <f>IF(K902 = "","",_xlfn.XLOOKUP(B902, BugList!A:A,BugList!B:B,""))</f>
        <v>Trichoptera</v>
      </c>
      <c r="M902">
        <f>_xlfn.XLOOKUP(D902,BugList!C:C,BugList!N:N)</f>
        <v>4</v>
      </c>
      <c r="N902">
        <f>_xlfn.XLOOKUP(B902,BugList!A:A,BugList!R:R)</f>
        <v>4</v>
      </c>
      <c r="O902" t="b">
        <f>_xlfn.XLOOKUP(B902,BugList!A:A,BugList!L:L)</f>
        <v>1</v>
      </c>
      <c r="P902" t="b">
        <f t="shared" si="102"/>
        <v>0</v>
      </c>
      <c r="R902" t="b">
        <f>SUMPRODUCT(COUNTIF(_xlfn.XLOOKUP(B902,BugList!A:A,BugList!P:P), "*SC*"))&gt;0</f>
        <v>0</v>
      </c>
      <c r="S902" t="str">
        <f>_xlfn.XLOOKUP(B902,BugList!A:A,BugList!W:W)</f>
        <v/>
      </c>
      <c r="T902">
        <f t="shared" si="103"/>
        <v>8</v>
      </c>
      <c r="U902">
        <f t="shared" si="104"/>
        <v>8</v>
      </c>
    </row>
    <row r="903" spans="1:21">
      <c r="A903" t="s">
        <v>2668</v>
      </c>
      <c r="B903">
        <v>1002</v>
      </c>
      <c r="D903" t="s">
        <v>100</v>
      </c>
      <c r="E903" t="s">
        <v>100</v>
      </c>
      <c r="F903">
        <v>72</v>
      </c>
      <c r="G903">
        <f t="shared" si="99"/>
        <v>68.571428571428569</v>
      </c>
      <c r="H903">
        <f t="shared" si="100"/>
        <v>68</v>
      </c>
      <c r="I903">
        <f t="shared" si="101"/>
        <v>0.5714285714285694</v>
      </c>
      <c r="J903" cm="1">
        <f t="array" ref="J903">INT(G903)+IF(100-SUM(INT(G$896:G$911))&gt;=RANK(I903,I$896:I$911)+COUNTIF(I$896:I903,I903)-1,1,0)</f>
        <v>68</v>
      </c>
      <c r="K903" t="str">
        <f>_xlfn.XLOOKUP(B903,BugList!A:A,BugList!H:H)</f>
        <v/>
      </c>
      <c r="L903" t="str">
        <f>IF(K903 = "","",_xlfn.XLOOKUP(B903, BugList!A:A,BugList!B:B,""))</f>
        <v/>
      </c>
      <c r="M903">
        <f>_xlfn.XLOOKUP(D903,BugList!C:C,BugList!N:N)</f>
        <v>4</v>
      </c>
      <c r="N903">
        <f>_xlfn.XLOOKUP(B903,BugList!A:A,BugList!R:R)</f>
        <v>4</v>
      </c>
      <c r="O903" t="b">
        <f>_xlfn.XLOOKUP(B903,BugList!A:A,BugList!L:L)</f>
        <v>1</v>
      </c>
      <c r="P903" t="b">
        <f t="shared" si="102"/>
        <v>0</v>
      </c>
      <c r="R903" t="b">
        <f>SUMPRODUCT(COUNTIF(_xlfn.XLOOKUP(B903,BugList!A:A,BugList!P:P), "*SC*"))&gt;0</f>
        <v>1</v>
      </c>
      <c r="S903" t="str">
        <f>_xlfn.XLOOKUP(B903,BugList!A:A,BugList!W:W)</f>
        <v/>
      </c>
      <c r="T903">
        <f t="shared" si="103"/>
        <v>272</v>
      </c>
      <c r="U903">
        <f t="shared" si="104"/>
        <v>272</v>
      </c>
    </row>
    <row r="904" spans="1:21">
      <c r="A904" t="s">
        <v>2668</v>
      </c>
      <c r="B904">
        <v>1083</v>
      </c>
      <c r="D904" t="s">
        <v>124</v>
      </c>
      <c r="E904" t="s">
        <v>124</v>
      </c>
      <c r="F904">
        <v>1</v>
      </c>
      <c r="G904">
        <f t="shared" si="99"/>
        <v>0.95238095238095244</v>
      </c>
      <c r="H904">
        <f t="shared" si="100"/>
        <v>0</v>
      </c>
      <c r="I904">
        <f t="shared" si="101"/>
        <v>0.95238095238095244</v>
      </c>
      <c r="J904" cm="1">
        <f t="array" ref="J904">INT(G904)+IF(100-SUM(INT(G$896:G$911))&gt;=RANK(I904,I$896:I$911)+COUNTIF(I$896:I904,I904)-1,1,0)</f>
        <v>1</v>
      </c>
      <c r="K904" t="str">
        <f>_xlfn.XLOOKUP(B904,BugList!A:A,BugList!H:H)</f>
        <v/>
      </c>
      <c r="L904" t="str">
        <f>IF(K904 = "","",_xlfn.XLOOKUP(B904, BugList!A:A,BugList!B:B,""))</f>
        <v/>
      </c>
      <c r="M904">
        <f>_xlfn.XLOOKUP(D904,BugList!C:C,BugList!N:N)</f>
        <v>6</v>
      </c>
      <c r="N904">
        <f>_xlfn.XLOOKUP(B904,BugList!A:A,BugList!R:R)</f>
        <v>6</v>
      </c>
      <c r="O904" t="b">
        <f>_xlfn.XLOOKUP(B904,BugList!A:A,BugList!L:L)</f>
        <v>1</v>
      </c>
      <c r="P904" t="b">
        <f t="shared" si="102"/>
        <v>0</v>
      </c>
      <c r="R904" t="b">
        <f>SUMPRODUCT(COUNTIF(_xlfn.XLOOKUP(B904,BugList!A:A,BugList!P:P), "*SC*"))&gt;0</f>
        <v>0</v>
      </c>
      <c r="S904" t="str">
        <f>_xlfn.XLOOKUP(B904,BugList!A:A,BugList!W:W)</f>
        <v/>
      </c>
      <c r="T904">
        <f t="shared" si="103"/>
        <v>6</v>
      </c>
      <c r="U904">
        <f t="shared" si="104"/>
        <v>6</v>
      </c>
    </row>
    <row r="905" spans="1:21">
      <c r="A905" t="s">
        <v>2668</v>
      </c>
      <c r="B905">
        <v>1089</v>
      </c>
      <c r="D905" t="s">
        <v>126</v>
      </c>
      <c r="E905" t="s">
        <v>127</v>
      </c>
      <c r="F905">
        <v>2</v>
      </c>
      <c r="G905">
        <f t="shared" si="99"/>
        <v>1.9047619047619049</v>
      </c>
      <c r="H905">
        <f t="shared" si="100"/>
        <v>1</v>
      </c>
      <c r="I905">
        <f t="shared" si="101"/>
        <v>0.90476190476190488</v>
      </c>
      <c r="J905" cm="1">
        <f t="array" ref="J905">INT(G905)+IF(100-SUM(INT(G$896:G$911))&gt;=RANK(I905,I$896:I$911)+COUNTIF(I$896:I905,I905)-1,1,0)</f>
        <v>2</v>
      </c>
      <c r="K905" t="str">
        <f>_xlfn.XLOOKUP(B905,BugList!A:A,BugList!H:H)</f>
        <v/>
      </c>
      <c r="L905" t="str">
        <f>IF(K905 = "","",_xlfn.XLOOKUP(B905, BugList!A:A,BugList!B:B,""))</f>
        <v/>
      </c>
      <c r="M905">
        <f>_xlfn.XLOOKUP(D905,BugList!C:C,BugList!N:N)</f>
        <v>8</v>
      </c>
      <c r="N905">
        <f>_xlfn.XLOOKUP(B905,BugList!A:A,BugList!R:R)</f>
        <v>10</v>
      </c>
      <c r="O905" t="b">
        <f>_xlfn.XLOOKUP(B905,BugList!A:A,BugList!L:L)</f>
        <v>1</v>
      </c>
      <c r="P905" t="b">
        <f t="shared" si="102"/>
        <v>0</v>
      </c>
      <c r="R905" t="b">
        <f>SUMPRODUCT(COUNTIF(_xlfn.XLOOKUP(B905,BugList!A:A,BugList!P:P), "*SC*"))&gt;0</f>
        <v>0</v>
      </c>
      <c r="S905" t="str">
        <f>_xlfn.XLOOKUP(B905,BugList!A:A,BugList!W:W)</f>
        <v/>
      </c>
      <c r="T905">
        <f t="shared" si="103"/>
        <v>16</v>
      </c>
      <c r="U905">
        <f t="shared" si="104"/>
        <v>20</v>
      </c>
    </row>
    <row r="906" spans="1:21">
      <c r="A906" t="s">
        <v>2668</v>
      </c>
      <c r="B906">
        <v>1436</v>
      </c>
      <c r="D906" t="s">
        <v>101</v>
      </c>
      <c r="E906" t="s">
        <v>101</v>
      </c>
      <c r="F906">
        <v>1</v>
      </c>
      <c r="G906">
        <f t="shared" si="99"/>
        <v>0.95238095238095244</v>
      </c>
      <c r="H906">
        <f t="shared" si="100"/>
        <v>0</v>
      </c>
      <c r="I906">
        <f t="shared" si="101"/>
        <v>0.95238095238095244</v>
      </c>
      <c r="J906" cm="1">
        <f t="array" ref="J906">INT(G906)+IF(100-SUM(INT(G$896:G$911))&gt;=RANK(I906,I$896:I$911)+COUNTIF(I$896:I906,I906)-1,1,0)</f>
        <v>1</v>
      </c>
      <c r="K906" t="str">
        <f>_xlfn.XLOOKUP(B906,BugList!A:A,BugList!H:H)</f>
        <v/>
      </c>
      <c r="L906" t="str">
        <f>IF(K906 = "","",_xlfn.XLOOKUP(B906, BugList!A:A,BugList!B:B,""))</f>
        <v/>
      </c>
      <c r="M906">
        <f>_xlfn.XLOOKUP(D906,BugList!C:C,BugList!N:N)</f>
        <v>6</v>
      </c>
      <c r="N906">
        <f>_xlfn.XLOOKUP(B906,BugList!A:A,BugList!R:R)</f>
        <v>6</v>
      </c>
      <c r="O906" t="b">
        <f>_xlfn.XLOOKUP(B906,BugList!A:A,BugList!L:L)</f>
        <v>1</v>
      </c>
      <c r="P906" t="b">
        <f t="shared" si="102"/>
        <v>0</v>
      </c>
      <c r="R906" t="b">
        <f>SUMPRODUCT(COUNTIF(_xlfn.XLOOKUP(B906,BugList!A:A,BugList!P:P), "*SC*"))&gt;0</f>
        <v>0</v>
      </c>
      <c r="S906" t="str">
        <f>_xlfn.XLOOKUP(B906,BugList!A:A,BugList!W:W)</f>
        <v/>
      </c>
      <c r="T906">
        <f t="shared" si="103"/>
        <v>6</v>
      </c>
      <c r="U906">
        <f t="shared" si="104"/>
        <v>6</v>
      </c>
    </row>
    <row r="907" spans="1:21">
      <c r="A907" t="s">
        <v>2668</v>
      </c>
      <c r="B907">
        <v>1497</v>
      </c>
      <c r="D907" t="s">
        <v>108</v>
      </c>
      <c r="E907" t="s">
        <v>108</v>
      </c>
      <c r="F907">
        <v>1</v>
      </c>
      <c r="G907">
        <f t="shared" si="99"/>
        <v>0.95238095238095244</v>
      </c>
      <c r="H907">
        <f t="shared" si="100"/>
        <v>0</v>
      </c>
      <c r="I907">
        <f t="shared" si="101"/>
        <v>0.95238095238095244</v>
      </c>
      <c r="J907" cm="1">
        <f t="array" ref="J907">INT(G907)+IF(100-SUM(INT(G$896:G$911))&gt;=RANK(I907,I$896:I$911)+COUNTIF(I$896:I907,I907)-1,1,0)</f>
        <v>1</v>
      </c>
      <c r="K907" t="str">
        <f>_xlfn.XLOOKUP(B907,BugList!A:A,BugList!H:H)</f>
        <v/>
      </c>
      <c r="L907" t="str">
        <f>IF(K907 = "","",_xlfn.XLOOKUP(B907, BugList!A:A,BugList!B:B,""))</f>
        <v/>
      </c>
      <c r="M907">
        <f>_xlfn.XLOOKUP(D907,BugList!C:C,BugList!N:N)</f>
        <v>3</v>
      </c>
      <c r="N907">
        <f>_xlfn.XLOOKUP(B907,BugList!A:A,BugList!R:R)</f>
        <v>3</v>
      </c>
      <c r="O907" t="b">
        <f>_xlfn.XLOOKUP(B907,BugList!A:A,BugList!L:L)</f>
        <v>1</v>
      </c>
      <c r="P907" t="b">
        <f t="shared" si="102"/>
        <v>0</v>
      </c>
      <c r="R907" t="b">
        <f>SUMPRODUCT(COUNTIF(_xlfn.XLOOKUP(B907,BugList!A:A,BugList!P:P), "*SC*"))&gt;0</f>
        <v>0</v>
      </c>
      <c r="S907" t="str">
        <f>_xlfn.XLOOKUP(B907,BugList!A:A,BugList!W:W)</f>
        <v/>
      </c>
      <c r="T907">
        <f t="shared" si="103"/>
        <v>3</v>
      </c>
      <c r="U907">
        <f t="shared" si="104"/>
        <v>3</v>
      </c>
    </row>
    <row r="908" spans="1:21">
      <c r="A908" t="s">
        <v>2668</v>
      </c>
      <c r="B908">
        <v>1555</v>
      </c>
      <c r="D908" t="s">
        <v>120</v>
      </c>
      <c r="E908" t="s">
        <v>120</v>
      </c>
      <c r="F908">
        <v>1</v>
      </c>
      <c r="G908">
        <f t="shared" si="99"/>
        <v>0.95238095238095244</v>
      </c>
      <c r="H908">
        <f t="shared" si="100"/>
        <v>0</v>
      </c>
      <c r="I908">
        <f t="shared" si="101"/>
        <v>0.95238095238095244</v>
      </c>
      <c r="J908" cm="1">
        <f t="array" ref="J908">INT(G908)+IF(100-SUM(INT(G$896:G$911))&gt;=RANK(I908,I$896:I$911)+COUNTIF(I$896:I908,I908)-1,1,0)</f>
        <v>1</v>
      </c>
      <c r="K908" t="str">
        <f>_xlfn.XLOOKUP(B908,BugList!A:A,BugList!H:H)</f>
        <v/>
      </c>
      <c r="L908" t="str">
        <f>IF(K908 = "","",_xlfn.XLOOKUP(B908, BugList!A:A,BugList!B:B,""))</f>
        <v/>
      </c>
      <c r="M908">
        <f>_xlfn.XLOOKUP(D908,BugList!C:C,BugList!N:N)</f>
        <v>8</v>
      </c>
      <c r="N908">
        <f>_xlfn.XLOOKUP(B908,BugList!A:A,BugList!R:R)</f>
        <v>8</v>
      </c>
      <c r="O908" t="b">
        <f>_xlfn.XLOOKUP(B908,BugList!A:A,BugList!L:L)</f>
        <v>0</v>
      </c>
      <c r="P908" t="b">
        <f t="shared" si="102"/>
        <v>0</v>
      </c>
      <c r="R908" t="b">
        <f>SUMPRODUCT(COUNTIF(_xlfn.XLOOKUP(B908,BugList!A:A,BugList!P:P), "*SC*"))&gt;0</f>
        <v>1</v>
      </c>
      <c r="S908" t="str">
        <f>_xlfn.XLOOKUP(B908,BugList!A:A,BugList!W:W)</f>
        <v/>
      </c>
      <c r="T908">
        <f t="shared" si="103"/>
        <v>8</v>
      </c>
      <c r="U908">
        <f t="shared" si="104"/>
        <v>8</v>
      </c>
    </row>
    <row r="909" spans="1:21">
      <c r="A909" t="s">
        <v>2668</v>
      </c>
      <c r="B909">
        <v>1582</v>
      </c>
      <c r="D909" t="s">
        <v>121</v>
      </c>
      <c r="E909" t="s">
        <v>121</v>
      </c>
      <c r="F909">
        <v>3</v>
      </c>
      <c r="G909">
        <f t="shared" si="99"/>
        <v>2.8571428571428572</v>
      </c>
      <c r="H909">
        <f t="shared" si="100"/>
        <v>2</v>
      </c>
      <c r="I909">
        <f t="shared" si="101"/>
        <v>0.85714285714285721</v>
      </c>
      <c r="J909" cm="1">
        <f t="array" ref="J909">INT(G909)+IF(100-SUM(INT(G$896:G$911))&gt;=RANK(I909,I$896:I$911)+COUNTIF(I$896:I909,I909)-1,1,0)</f>
        <v>3</v>
      </c>
      <c r="K909" t="str">
        <f>_xlfn.XLOOKUP(B909,BugList!A:A,BugList!H:H)</f>
        <v/>
      </c>
      <c r="L909" t="str">
        <f>IF(K909 = "","",_xlfn.XLOOKUP(B909, BugList!A:A,BugList!B:B,""))</f>
        <v/>
      </c>
      <c r="M909">
        <f>_xlfn.XLOOKUP(D909,BugList!C:C,BugList!N:N)</f>
        <v>6</v>
      </c>
      <c r="N909">
        <f>_xlfn.XLOOKUP(B909,BugList!A:A,BugList!R:R)</f>
        <v>6</v>
      </c>
      <c r="O909" t="b">
        <f>_xlfn.XLOOKUP(B909,BugList!A:A,BugList!L:L)</f>
        <v>0</v>
      </c>
      <c r="P909" t="b">
        <f t="shared" si="102"/>
        <v>0</v>
      </c>
      <c r="R909" t="b">
        <f>SUMPRODUCT(COUNTIF(_xlfn.XLOOKUP(B909,BugList!A:A,BugList!P:P), "*SC*"))&gt;0</f>
        <v>1</v>
      </c>
      <c r="S909" t="str">
        <f>_xlfn.XLOOKUP(B909,BugList!A:A,BugList!W:W)</f>
        <v/>
      </c>
      <c r="T909">
        <f t="shared" si="103"/>
        <v>18</v>
      </c>
      <c r="U909">
        <f t="shared" si="104"/>
        <v>18</v>
      </c>
    </row>
    <row r="910" spans="1:21">
      <c r="A910" t="s">
        <v>2668</v>
      </c>
      <c r="B910">
        <v>1614</v>
      </c>
      <c r="D910" t="s">
        <v>92</v>
      </c>
      <c r="E910" t="s">
        <v>92</v>
      </c>
      <c r="F910">
        <v>2</v>
      </c>
      <c r="G910">
        <f t="shared" si="99"/>
        <v>1.9047619047619049</v>
      </c>
      <c r="H910">
        <f t="shared" si="100"/>
        <v>1</v>
      </c>
      <c r="I910">
        <f t="shared" si="101"/>
        <v>0.90476190476190488</v>
      </c>
      <c r="J910" cm="1">
        <f t="array" ref="J910">INT(G910)+IF(100-SUM(INT(G$896:G$911))&gt;=RANK(I910,I$896:I$911)+COUNTIF(I$896:I910,I910)-1,1,0)</f>
        <v>2</v>
      </c>
      <c r="K910" t="str">
        <f>_xlfn.XLOOKUP(B910,BugList!A:A,BugList!H:H)</f>
        <v/>
      </c>
      <c r="L910" t="str">
        <f>IF(K910 = "","",_xlfn.XLOOKUP(B910, BugList!A:A,BugList!B:B,""))</f>
        <v/>
      </c>
      <c r="M910">
        <f>_xlfn.XLOOKUP(D910,BugList!C:C,BugList!N:N)</f>
        <v>8</v>
      </c>
      <c r="N910">
        <f>_xlfn.XLOOKUP(B910,BugList!A:A,BugList!R:R)</f>
        <v>8</v>
      </c>
      <c r="O910" t="b">
        <f>_xlfn.XLOOKUP(B910,BugList!A:A,BugList!L:L)</f>
        <v>0</v>
      </c>
      <c r="P910" t="b">
        <f t="shared" si="102"/>
        <v>0</v>
      </c>
      <c r="R910" t="b">
        <f>SUMPRODUCT(COUNTIF(_xlfn.XLOOKUP(B910,BugList!A:A,BugList!P:P), "*SC*"))&gt;0</f>
        <v>0</v>
      </c>
      <c r="S910" t="str">
        <f>_xlfn.XLOOKUP(B910,BugList!A:A,BugList!W:W)</f>
        <v/>
      </c>
      <c r="T910">
        <f t="shared" si="103"/>
        <v>16</v>
      </c>
      <c r="U910">
        <f t="shared" si="104"/>
        <v>16</v>
      </c>
    </row>
    <row r="911" spans="1:21">
      <c r="A911" t="s">
        <v>2668</v>
      </c>
      <c r="B911">
        <v>1629</v>
      </c>
      <c r="D911" t="s">
        <v>93</v>
      </c>
      <c r="E911" t="s">
        <v>93</v>
      </c>
      <c r="F911">
        <v>2</v>
      </c>
      <c r="G911">
        <f t="shared" si="99"/>
        <v>1.9047619047619049</v>
      </c>
      <c r="H911">
        <f t="shared" si="100"/>
        <v>1</v>
      </c>
      <c r="I911">
        <f t="shared" si="101"/>
        <v>0.90476190476190488</v>
      </c>
      <c r="J911" cm="1">
        <f t="array" ref="J911">INT(G911)+IF(100-SUM(INT(G$896:G$911))&gt;=RANK(I911,I$896:I$911)+COUNTIF(I$896:I911,I911)-1,1,0)</f>
        <v>2</v>
      </c>
      <c r="K911" t="str">
        <f>_xlfn.XLOOKUP(B911,BugList!A:A,BugList!H:H)</f>
        <v/>
      </c>
      <c r="L911" t="str">
        <f>IF(K911 = "","",_xlfn.XLOOKUP(B911, BugList!A:A,BugList!B:B,""))</f>
        <v/>
      </c>
      <c r="M911">
        <f>_xlfn.XLOOKUP(D911,BugList!C:C,BugList!N:N)</f>
        <v>8</v>
      </c>
      <c r="N911">
        <f>_xlfn.XLOOKUP(B911,BugList!A:A,BugList!R:R)</f>
        <v>8</v>
      </c>
      <c r="O911" t="b">
        <f>_xlfn.XLOOKUP(B911,BugList!A:A,BugList!L:L)</f>
        <v>0</v>
      </c>
      <c r="P911" t="b">
        <f t="shared" si="102"/>
        <v>0</v>
      </c>
      <c r="R911" t="b">
        <f>SUMPRODUCT(COUNTIF(_xlfn.XLOOKUP(B911,BugList!A:A,BugList!P:P), "*SC*"))&gt;0</f>
        <v>0</v>
      </c>
      <c r="S911" t="str">
        <f>_xlfn.XLOOKUP(B911,BugList!A:A,BugList!W:W)</f>
        <v/>
      </c>
      <c r="T911">
        <f t="shared" si="103"/>
        <v>16</v>
      </c>
      <c r="U911">
        <f t="shared" si="104"/>
        <v>16</v>
      </c>
    </row>
    <row r="912" spans="1:21">
      <c r="A912" t="s">
        <v>2669</v>
      </c>
      <c r="B912">
        <v>88</v>
      </c>
      <c r="D912" t="s">
        <v>85</v>
      </c>
      <c r="E912" t="s">
        <v>85</v>
      </c>
      <c r="F912">
        <v>6</v>
      </c>
      <c r="G912">
        <f t="shared" ref="G912:G975" si="105">(F912/(SUMIFS(F:F,A:A,A912))*100)</f>
        <v>5.5045871559633035</v>
      </c>
      <c r="H912">
        <f t="shared" ref="H912:H975" si="106">INT(G912)</f>
        <v>5</v>
      </c>
      <c r="I912">
        <f t="shared" ref="I912:I975" si="107">G912-H912</f>
        <v>0.5045871559633035</v>
      </c>
      <c r="J912" cm="1">
        <f t="array" ref="J912">INT(G912)+IF(100-SUM(INT(G$912:G$921))&gt;=RANK(I912,I$912:I$921)+COUNTIF(I$912:I912,I912)-1,1,0)</f>
        <v>5</v>
      </c>
      <c r="K912" t="str">
        <f>_xlfn.XLOOKUP(B912,BugList!A:A,BugList!H:H)</f>
        <v/>
      </c>
      <c r="L912" t="str">
        <f>IF(K912 = "","",_xlfn.XLOOKUP(B912, BugList!A:A,BugList!B:B,""))</f>
        <v/>
      </c>
      <c r="M912">
        <f>_xlfn.XLOOKUP(D912,BugList!C:C,BugList!N:N)</f>
        <v>4</v>
      </c>
      <c r="N912">
        <f>_xlfn.XLOOKUP(B912,BugList!A:A,BugList!R:R)</f>
        <v>4</v>
      </c>
      <c r="O912" t="b">
        <f>_xlfn.XLOOKUP(B912,BugList!A:A,BugList!L:L)</f>
        <v>0</v>
      </c>
      <c r="P912" t="b">
        <f t="shared" si="102"/>
        <v>0</v>
      </c>
      <c r="R912" t="b">
        <f>SUMPRODUCT(COUNTIF(_xlfn.XLOOKUP(B912,BugList!A:A,BugList!P:P), "*SC*"))&gt;0</f>
        <v>0</v>
      </c>
      <c r="S912" t="str">
        <f>_xlfn.XLOOKUP(B912,BugList!A:A,BugList!W:W)</f>
        <v/>
      </c>
      <c r="T912">
        <f t="shared" si="103"/>
        <v>20</v>
      </c>
      <c r="U912">
        <f t="shared" si="104"/>
        <v>20</v>
      </c>
    </row>
    <row r="913" spans="1:21">
      <c r="A913" t="s">
        <v>2669</v>
      </c>
      <c r="B913">
        <v>469</v>
      </c>
      <c r="D913" t="s">
        <v>154</v>
      </c>
      <c r="E913" t="s">
        <v>154</v>
      </c>
      <c r="F913">
        <v>5</v>
      </c>
      <c r="G913">
        <f t="shared" si="105"/>
        <v>4.5871559633027523</v>
      </c>
      <c r="H913">
        <f t="shared" si="106"/>
        <v>4</v>
      </c>
      <c r="I913">
        <f t="shared" si="107"/>
        <v>0.58715596330275233</v>
      </c>
      <c r="J913" cm="1">
        <f t="array" ref="J913">INT(G913)+IF(100-SUM(INT(G$912:G$921))&gt;=RANK(I913,I$912:I$921)+COUNTIF(I$912:I913,I913)-1,1,0)</f>
        <v>5</v>
      </c>
      <c r="K913" t="str">
        <f>_xlfn.XLOOKUP(B913,BugList!A:A,BugList!H:H)</f>
        <v>*</v>
      </c>
      <c r="L913" t="str">
        <f>IF(K913 = "","",_xlfn.XLOOKUP(B913, BugList!A:A,BugList!B:B,""))</f>
        <v>Ephemeroptera</v>
      </c>
      <c r="M913">
        <f>_xlfn.XLOOKUP(D913,BugList!C:C,BugList!N:N)</f>
        <v>7</v>
      </c>
      <c r="N913">
        <f>_xlfn.XLOOKUP(B913,BugList!A:A,BugList!R:R)</f>
        <v>7</v>
      </c>
      <c r="O913" t="b">
        <f>_xlfn.XLOOKUP(B913,BugList!A:A,BugList!L:L)</f>
        <v>1</v>
      </c>
      <c r="P913" t="b">
        <f t="shared" si="102"/>
        <v>1</v>
      </c>
      <c r="R913" t="b">
        <f>SUMPRODUCT(COUNTIF(_xlfn.XLOOKUP(B913,BugList!A:A,BugList!P:P), "*SC*"))&gt;0</f>
        <v>0</v>
      </c>
      <c r="S913" t="str">
        <f>_xlfn.XLOOKUP(B913,BugList!A:A,BugList!W:W)</f>
        <v/>
      </c>
      <c r="T913">
        <f t="shared" si="103"/>
        <v>35</v>
      </c>
      <c r="U913">
        <f t="shared" si="104"/>
        <v>35</v>
      </c>
    </row>
    <row r="914" spans="1:21">
      <c r="A914" t="s">
        <v>2669</v>
      </c>
      <c r="B914">
        <v>513</v>
      </c>
      <c r="D914" t="s">
        <v>111</v>
      </c>
      <c r="E914" t="s">
        <v>111</v>
      </c>
      <c r="F914">
        <v>2</v>
      </c>
      <c r="G914">
        <f t="shared" si="105"/>
        <v>1.834862385321101</v>
      </c>
      <c r="H914">
        <f t="shared" si="106"/>
        <v>1</v>
      </c>
      <c r="I914">
        <f t="shared" si="107"/>
        <v>0.83486238532110102</v>
      </c>
      <c r="J914" cm="1">
        <f t="array" ref="J914">INT(G914)+IF(100-SUM(INT(G$912:G$921))&gt;=RANK(I914,I$912:I$921)+COUNTIF(I$912:I914,I914)-1,1,0)</f>
        <v>2</v>
      </c>
      <c r="K914" t="str">
        <f>_xlfn.XLOOKUP(B914,BugList!A:A,BugList!H:H)</f>
        <v>*</v>
      </c>
      <c r="L914" t="str">
        <f>IF(K914 = "","",_xlfn.XLOOKUP(B914, BugList!A:A,BugList!B:B,""))</f>
        <v>Ephemeroptera</v>
      </c>
      <c r="M914">
        <f>_xlfn.XLOOKUP(D914,BugList!C:C,BugList!N:N)</f>
        <v>4</v>
      </c>
      <c r="N914">
        <f>_xlfn.XLOOKUP(B914,BugList!A:A,BugList!R:R)</f>
        <v>4</v>
      </c>
      <c r="O914" t="b">
        <f>_xlfn.XLOOKUP(B914,BugList!A:A,BugList!L:L)</f>
        <v>1</v>
      </c>
      <c r="P914" t="b">
        <f t="shared" si="102"/>
        <v>1</v>
      </c>
      <c r="R914" t="b">
        <f>SUMPRODUCT(COUNTIF(_xlfn.XLOOKUP(B914,BugList!A:A,BugList!P:P), "*SC*"))&gt;0</f>
        <v>1</v>
      </c>
      <c r="S914" t="str">
        <f>_xlfn.XLOOKUP(B914,BugList!A:A,BugList!W:W)</f>
        <v/>
      </c>
      <c r="T914">
        <f t="shared" si="103"/>
        <v>8</v>
      </c>
      <c r="U914">
        <f t="shared" si="104"/>
        <v>8</v>
      </c>
    </row>
    <row r="915" spans="1:21">
      <c r="A915" t="s">
        <v>2669</v>
      </c>
      <c r="B915">
        <v>935</v>
      </c>
      <c r="D915" t="s">
        <v>98</v>
      </c>
      <c r="E915" t="s">
        <v>98</v>
      </c>
      <c r="F915">
        <v>21</v>
      </c>
      <c r="G915">
        <f t="shared" si="105"/>
        <v>19.26605504587156</v>
      </c>
      <c r="H915">
        <f t="shared" si="106"/>
        <v>19</v>
      </c>
      <c r="I915">
        <f t="shared" si="107"/>
        <v>0.26605504587156048</v>
      </c>
      <c r="J915" cm="1">
        <f t="array" ref="J915">INT(G915)+IF(100-SUM(INT(G$912:G$921))&gt;=RANK(I915,I$912:I$921)+COUNTIF(I$912:I915,I915)-1,1,0)</f>
        <v>19</v>
      </c>
      <c r="K915" t="str">
        <f>_xlfn.XLOOKUP(B915,BugList!A:A,BugList!H:H)</f>
        <v/>
      </c>
      <c r="L915" t="str">
        <f>IF(K915 = "","",_xlfn.XLOOKUP(B915, BugList!A:A,BugList!B:B,""))</f>
        <v/>
      </c>
      <c r="M915">
        <f>_xlfn.XLOOKUP(D915,BugList!C:C,BugList!N:N)</f>
        <v>4</v>
      </c>
      <c r="N915">
        <f>_xlfn.XLOOKUP(B915,BugList!A:A,BugList!R:R)</f>
        <v>4</v>
      </c>
      <c r="O915" t="b">
        <f>_xlfn.XLOOKUP(B915,BugList!A:A,BugList!L:L)</f>
        <v>1</v>
      </c>
      <c r="P915" t="b">
        <f t="shared" si="102"/>
        <v>0</v>
      </c>
      <c r="R915" t="b">
        <f>SUMPRODUCT(COUNTIF(_xlfn.XLOOKUP(B915,BugList!A:A,BugList!P:P), "*SC*"))&gt;0</f>
        <v>1</v>
      </c>
      <c r="S915" t="str">
        <f>_xlfn.XLOOKUP(B915,BugList!A:A,BugList!W:W)</f>
        <v/>
      </c>
      <c r="T915">
        <f t="shared" si="103"/>
        <v>76</v>
      </c>
      <c r="U915">
        <f t="shared" si="104"/>
        <v>76</v>
      </c>
    </row>
    <row r="916" spans="1:21">
      <c r="A916" t="s">
        <v>2669</v>
      </c>
      <c r="B916">
        <v>1002</v>
      </c>
      <c r="D916" t="s">
        <v>100</v>
      </c>
      <c r="E916" t="s">
        <v>100</v>
      </c>
      <c r="F916">
        <v>28</v>
      </c>
      <c r="G916">
        <f t="shared" si="105"/>
        <v>25.688073394495415</v>
      </c>
      <c r="H916">
        <f t="shared" si="106"/>
        <v>25</v>
      </c>
      <c r="I916">
        <f t="shared" si="107"/>
        <v>0.68807339449541516</v>
      </c>
      <c r="J916" cm="1">
        <f t="array" ref="J916">INT(G916)+IF(100-SUM(INT(G$912:G$921))&gt;=RANK(I916,I$912:I$921)+COUNTIF(I$912:I916,I916)-1,1,0)</f>
        <v>26</v>
      </c>
      <c r="K916" t="str">
        <f>_xlfn.XLOOKUP(B916,BugList!A:A,BugList!H:H)</f>
        <v/>
      </c>
      <c r="L916" t="str">
        <f>IF(K916 = "","",_xlfn.XLOOKUP(B916, BugList!A:A,BugList!B:B,""))</f>
        <v/>
      </c>
      <c r="M916">
        <f>_xlfn.XLOOKUP(D916,BugList!C:C,BugList!N:N)</f>
        <v>4</v>
      </c>
      <c r="N916">
        <f>_xlfn.XLOOKUP(B916,BugList!A:A,BugList!R:R)</f>
        <v>4</v>
      </c>
      <c r="O916" t="b">
        <f>_xlfn.XLOOKUP(B916,BugList!A:A,BugList!L:L)</f>
        <v>1</v>
      </c>
      <c r="P916" t="b">
        <f t="shared" si="102"/>
        <v>0</v>
      </c>
      <c r="R916" t="b">
        <f>SUMPRODUCT(COUNTIF(_xlfn.XLOOKUP(B916,BugList!A:A,BugList!P:P), "*SC*"))&gt;0</f>
        <v>1</v>
      </c>
      <c r="S916" t="str">
        <f>_xlfn.XLOOKUP(B916,BugList!A:A,BugList!W:W)</f>
        <v/>
      </c>
      <c r="T916">
        <f t="shared" si="103"/>
        <v>104</v>
      </c>
      <c r="U916">
        <f t="shared" si="104"/>
        <v>104</v>
      </c>
    </row>
    <row r="917" spans="1:21">
      <c r="A917" t="s">
        <v>2669</v>
      </c>
      <c r="B917">
        <v>1088</v>
      </c>
      <c r="D917" t="s">
        <v>90</v>
      </c>
      <c r="E917" t="s">
        <v>90</v>
      </c>
      <c r="F917">
        <v>6</v>
      </c>
      <c r="G917">
        <f t="shared" si="105"/>
        <v>5.5045871559633035</v>
      </c>
      <c r="H917">
        <f t="shared" si="106"/>
        <v>5</v>
      </c>
      <c r="I917">
        <f t="shared" si="107"/>
        <v>0.5045871559633035</v>
      </c>
      <c r="J917" cm="1">
        <f t="array" ref="J917">INT(G917)+IF(100-SUM(INT(G$912:G$921))&gt;=RANK(I917,I$912:I$921)+COUNTIF(I$912:I917,I917)-1,1,0)</f>
        <v>5</v>
      </c>
      <c r="K917" t="str">
        <f>_xlfn.XLOOKUP(B917,BugList!A:A,BugList!H:H)</f>
        <v/>
      </c>
      <c r="L917" t="str">
        <f>IF(K917 = "","",_xlfn.XLOOKUP(B917, BugList!A:A,BugList!B:B,""))</f>
        <v/>
      </c>
      <c r="M917">
        <f>_xlfn.XLOOKUP(D917,BugList!C:C,BugList!N:N)</f>
        <v>6</v>
      </c>
      <c r="N917">
        <f>_xlfn.XLOOKUP(B917,BugList!A:A,BugList!R:R)</f>
        <v>6</v>
      </c>
      <c r="O917" t="b">
        <f>_xlfn.XLOOKUP(B917,BugList!A:A,BugList!L:L)</f>
        <v>1</v>
      </c>
      <c r="P917" t="b">
        <f t="shared" si="102"/>
        <v>0</v>
      </c>
      <c r="R917" t="b">
        <f>SUMPRODUCT(COUNTIF(_xlfn.XLOOKUP(B917,BugList!A:A,BugList!P:P), "*SC*"))&gt;0</f>
        <v>0</v>
      </c>
      <c r="S917" t="str">
        <f>_xlfn.XLOOKUP(B917,BugList!A:A,BugList!W:W)</f>
        <v/>
      </c>
      <c r="T917">
        <f t="shared" si="103"/>
        <v>30</v>
      </c>
      <c r="U917">
        <f t="shared" si="104"/>
        <v>30</v>
      </c>
    </row>
    <row r="918" spans="1:21">
      <c r="A918" t="s">
        <v>2669</v>
      </c>
      <c r="B918">
        <v>1089</v>
      </c>
      <c r="D918" t="s">
        <v>126</v>
      </c>
      <c r="E918" t="s">
        <v>127</v>
      </c>
      <c r="F918">
        <v>10</v>
      </c>
      <c r="G918">
        <f t="shared" si="105"/>
        <v>9.1743119266055047</v>
      </c>
      <c r="H918">
        <f t="shared" si="106"/>
        <v>9</v>
      </c>
      <c r="I918">
        <f t="shared" si="107"/>
        <v>0.17431192660550465</v>
      </c>
      <c r="J918" cm="1">
        <f t="array" ref="J918">INT(G918)+IF(100-SUM(INT(G$912:G$921))&gt;=RANK(I918,I$912:I$921)+COUNTIF(I$912:I918,I918)-1,1,0)</f>
        <v>9</v>
      </c>
      <c r="K918" t="str">
        <f>_xlfn.XLOOKUP(B918,BugList!A:A,BugList!H:H)</f>
        <v/>
      </c>
      <c r="L918" t="str">
        <f>IF(K918 = "","",_xlfn.XLOOKUP(B918, BugList!A:A,BugList!B:B,""))</f>
        <v/>
      </c>
      <c r="M918">
        <f>_xlfn.XLOOKUP(D918,BugList!C:C,BugList!N:N)</f>
        <v>8</v>
      </c>
      <c r="N918">
        <f>_xlfn.XLOOKUP(B918,BugList!A:A,BugList!R:R)</f>
        <v>10</v>
      </c>
      <c r="O918" t="b">
        <f>_xlfn.XLOOKUP(B918,BugList!A:A,BugList!L:L)</f>
        <v>1</v>
      </c>
      <c r="P918" t="b">
        <f t="shared" si="102"/>
        <v>0</v>
      </c>
      <c r="R918" t="b">
        <f>SUMPRODUCT(COUNTIF(_xlfn.XLOOKUP(B918,BugList!A:A,BugList!P:P), "*SC*"))&gt;0</f>
        <v>0</v>
      </c>
      <c r="S918" t="str">
        <f>_xlfn.XLOOKUP(B918,BugList!A:A,BugList!W:W)</f>
        <v/>
      </c>
      <c r="T918">
        <f t="shared" si="103"/>
        <v>72</v>
      </c>
      <c r="U918">
        <f t="shared" si="104"/>
        <v>90</v>
      </c>
    </row>
    <row r="919" spans="1:21">
      <c r="A919" t="s">
        <v>2669</v>
      </c>
      <c r="B919">
        <v>1629</v>
      </c>
      <c r="D919" t="s">
        <v>93</v>
      </c>
      <c r="E919" t="s">
        <v>93</v>
      </c>
      <c r="F919">
        <v>1</v>
      </c>
      <c r="G919">
        <f t="shared" si="105"/>
        <v>0.91743119266055051</v>
      </c>
      <c r="H919">
        <f t="shared" si="106"/>
        <v>0</v>
      </c>
      <c r="I919">
        <f t="shared" si="107"/>
        <v>0.91743119266055051</v>
      </c>
      <c r="J919" cm="1">
        <f t="array" ref="J919">INT(G919)+IF(100-SUM(INT(G$912:G$921))&gt;=RANK(I919,I$912:I$921)+COUNTIF(I$912:I919,I919)-1,1,0)</f>
        <v>1</v>
      </c>
      <c r="K919" t="str">
        <f>_xlfn.XLOOKUP(B919,BugList!A:A,BugList!H:H)</f>
        <v/>
      </c>
      <c r="L919" t="str">
        <f>IF(K919 = "","",_xlfn.XLOOKUP(B919, BugList!A:A,BugList!B:B,""))</f>
        <v/>
      </c>
      <c r="M919">
        <f>_xlfn.XLOOKUP(D919,BugList!C:C,BugList!N:N)</f>
        <v>8</v>
      </c>
      <c r="N919">
        <f>_xlfn.XLOOKUP(B919,BugList!A:A,BugList!R:R)</f>
        <v>8</v>
      </c>
      <c r="O919" t="b">
        <f>_xlfn.XLOOKUP(B919,BugList!A:A,BugList!L:L)</f>
        <v>0</v>
      </c>
      <c r="P919" t="b">
        <f t="shared" si="102"/>
        <v>0</v>
      </c>
      <c r="R919" t="b">
        <f>SUMPRODUCT(COUNTIF(_xlfn.XLOOKUP(B919,BugList!A:A,BugList!P:P), "*SC*"))&gt;0</f>
        <v>0</v>
      </c>
      <c r="S919" t="str">
        <f>_xlfn.XLOOKUP(B919,BugList!A:A,BugList!W:W)</f>
        <v/>
      </c>
      <c r="T919">
        <f t="shared" si="103"/>
        <v>8</v>
      </c>
      <c r="U919">
        <f t="shared" si="104"/>
        <v>8</v>
      </c>
    </row>
    <row r="920" spans="1:21">
      <c r="A920" t="s">
        <v>2669</v>
      </c>
      <c r="B920">
        <v>1678</v>
      </c>
      <c r="D920" t="s">
        <v>166</v>
      </c>
      <c r="E920" t="s">
        <v>166</v>
      </c>
      <c r="F920">
        <v>2</v>
      </c>
      <c r="G920">
        <f t="shared" si="105"/>
        <v>1.834862385321101</v>
      </c>
      <c r="H920">
        <f t="shared" si="106"/>
        <v>1</v>
      </c>
      <c r="I920">
        <f t="shared" si="107"/>
        <v>0.83486238532110102</v>
      </c>
      <c r="J920" cm="1">
        <f t="array" ref="J920">INT(G920)+IF(100-SUM(INT(G$912:G$921))&gt;=RANK(I920,I$912:I$921)+COUNTIF(I$912:I920,I920)-1,1,0)</f>
        <v>2</v>
      </c>
      <c r="K920" t="str">
        <f>_xlfn.XLOOKUP(B920,BugList!A:A,BugList!H:H)</f>
        <v/>
      </c>
      <c r="L920" t="str">
        <f>IF(K920 = "","",_xlfn.XLOOKUP(B920, BugList!A:A,BugList!B:B,""))</f>
        <v/>
      </c>
      <c r="M920">
        <f>_xlfn.XLOOKUP(D920,BugList!C:C,BugList!N:N)</f>
        <v>6</v>
      </c>
      <c r="N920">
        <f>_xlfn.XLOOKUP(B920,BugList!A:A,BugList!R:R)</f>
        <v>6</v>
      </c>
      <c r="O920" t="b">
        <f>_xlfn.XLOOKUP(B920,BugList!A:A,BugList!L:L)</f>
        <v>0</v>
      </c>
      <c r="P920" t="b">
        <f t="shared" si="102"/>
        <v>0</v>
      </c>
      <c r="R920" t="b">
        <f>SUMPRODUCT(COUNTIF(_xlfn.XLOOKUP(B920,BugList!A:A,BugList!P:P), "*SC*"))&gt;0</f>
        <v>1</v>
      </c>
      <c r="S920" t="str">
        <f>_xlfn.XLOOKUP(B920,BugList!A:A,BugList!W:W)</f>
        <v/>
      </c>
      <c r="T920">
        <f t="shared" si="103"/>
        <v>12</v>
      </c>
      <c r="U920">
        <f t="shared" si="104"/>
        <v>12</v>
      </c>
    </row>
    <row r="921" spans="1:21">
      <c r="A921" t="s">
        <v>2669</v>
      </c>
      <c r="B921">
        <v>1696</v>
      </c>
      <c r="D921" t="s">
        <v>94</v>
      </c>
      <c r="E921" t="s">
        <v>94</v>
      </c>
      <c r="F921">
        <v>28</v>
      </c>
      <c r="G921">
        <f t="shared" si="105"/>
        <v>25.688073394495415</v>
      </c>
      <c r="H921">
        <f t="shared" si="106"/>
        <v>25</v>
      </c>
      <c r="I921">
        <f t="shared" si="107"/>
        <v>0.68807339449541516</v>
      </c>
      <c r="J921" cm="1">
        <f t="array" ref="J921">INT(G921)+IF(100-SUM(INT(G$912:G$921))&gt;=RANK(I921,I$912:I$921)+COUNTIF(I$912:I921,I921)-1,1,0)</f>
        <v>26</v>
      </c>
      <c r="K921" t="str">
        <f>_xlfn.XLOOKUP(B921,BugList!A:A,BugList!H:H)</f>
        <v/>
      </c>
      <c r="L921" t="str">
        <f>IF(K921 = "","",_xlfn.XLOOKUP(B921, BugList!A:A,BugList!B:B,""))</f>
        <v/>
      </c>
      <c r="M921">
        <f>_xlfn.XLOOKUP(D921,BugList!C:C,BugList!N:N)</f>
        <v>8</v>
      </c>
      <c r="N921">
        <f>_xlfn.XLOOKUP(B921,BugList!A:A,BugList!R:R)</f>
        <v>8</v>
      </c>
      <c r="O921" t="b">
        <f>_xlfn.XLOOKUP(B921,BugList!A:A,BugList!L:L)</f>
        <v>0</v>
      </c>
      <c r="P921" t="b">
        <f t="shared" si="102"/>
        <v>0</v>
      </c>
      <c r="R921" t="b">
        <f>SUMPRODUCT(COUNTIF(_xlfn.XLOOKUP(B921,BugList!A:A,BugList!P:P), "*SC*"))&gt;0</f>
        <v>0</v>
      </c>
      <c r="S921" t="str">
        <f>_xlfn.XLOOKUP(B921,BugList!A:A,BugList!W:W)</f>
        <v/>
      </c>
      <c r="T921">
        <f t="shared" si="103"/>
        <v>208</v>
      </c>
      <c r="U921">
        <f t="shared" si="104"/>
        <v>208</v>
      </c>
    </row>
    <row r="922" spans="1:21">
      <c r="A922" t="s">
        <v>2670</v>
      </c>
      <c r="B922">
        <v>63</v>
      </c>
      <c r="D922" t="s">
        <v>84</v>
      </c>
      <c r="E922" t="s">
        <v>84</v>
      </c>
      <c r="F922">
        <v>1</v>
      </c>
      <c r="G922">
        <f t="shared" si="105"/>
        <v>0.95238095238095244</v>
      </c>
      <c r="H922">
        <f t="shared" si="106"/>
        <v>0</v>
      </c>
      <c r="I922">
        <f t="shared" si="107"/>
        <v>0.95238095238095244</v>
      </c>
      <c r="J922" cm="1">
        <f t="array" ref="J922">INT(G922)+IF(100-SUM(INT(G$922:G$936))&gt;=RANK(I922,I$922:I$936)+COUNTIF(I$922:I922,I922)-1,1,0)</f>
        <v>1</v>
      </c>
      <c r="K922" t="str">
        <f>_xlfn.XLOOKUP(B922,BugList!A:A,BugList!H:H)</f>
        <v/>
      </c>
      <c r="L922" t="str">
        <f>IF(K922 = "","",_xlfn.XLOOKUP(B922, BugList!A:A,BugList!B:B,""))</f>
        <v/>
      </c>
      <c r="M922">
        <f>_xlfn.XLOOKUP(D922,BugList!C:C,BugList!N:N)</f>
        <v>8</v>
      </c>
      <c r="N922">
        <f>_xlfn.XLOOKUP(B922,BugList!A:A,BugList!R:R)</f>
        <v>8</v>
      </c>
      <c r="O922" t="b">
        <f>_xlfn.XLOOKUP(B922,BugList!A:A,BugList!L:L)</f>
        <v>0</v>
      </c>
      <c r="P922" t="b">
        <f t="shared" si="102"/>
        <v>0</v>
      </c>
      <c r="R922" t="b">
        <f>SUMPRODUCT(COUNTIF(_xlfn.XLOOKUP(B922,BugList!A:A,BugList!P:P), "*SC*"))&gt;0</f>
        <v>0</v>
      </c>
      <c r="S922" t="str">
        <f>_xlfn.XLOOKUP(B922,BugList!A:A,BugList!W:W)</f>
        <v/>
      </c>
      <c r="T922">
        <f t="shared" si="103"/>
        <v>8</v>
      </c>
      <c r="U922">
        <f t="shared" si="104"/>
        <v>8</v>
      </c>
    </row>
    <row r="923" spans="1:21">
      <c r="A923" t="s">
        <v>2670</v>
      </c>
      <c r="B923">
        <v>88</v>
      </c>
      <c r="D923" t="s">
        <v>85</v>
      </c>
      <c r="E923" t="s">
        <v>85</v>
      </c>
      <c r="F923">
        <v>23</v>
      </c>
      <c r="G923">
        <f t="shared" si="105"/>
        <v>21.904761904761905</v>
      </c>
      <c r="H923">
        <f t="shared" si="106"/>
        <v>21</v>
      </c>
      <c r="I923">
        <f t="shared" si="107"/>
        <v>0.9047619047619051</v>
      </c>
      <c r="J923" cm="1">
        <f t="array" ref="J923">INT(G923)+IF(100-SUM(INT(G$922:G$936))&gt;=RANK(I923,I$922:I$936)+COUNTIF(I$922:I923,I923)-1,1,0)</f>
        <v>22</v>
      </c>
      <c r="K923" t="str">
        <f>_xlfn.XLOOKUP(B923,BugList!A:A,BugList!H:H)</f>
        <v/>
      </c>
      <c r="L923" t="str">
        <f>IF(K923 = "","",_xlfn.XLOOKUP(B923, BugList!A:A,BugList!B:B,""))</f>
        <v/>
      </c>
      <c r="M923">
        <f>_xlfn.XLOOKUP(D923,BugList!C:C,BugList!N:N)</f>
        <v>4</v>
      </c>
      <c r="N923">
        <f>_xlfn.XLOOKUP(B923,BugList!A:A,BugList!R:R)</f>
        <v>4</v>
      </c>
      <c r="O923" t="b">
        <f>_xlfn.XLOOKUP(B923,BugList!A:A,BugList!L:L)</f>
        <v>0</v>
      </c>
      <c r="P923" t="b">
        <f t="shared" si="102"/>
        <v>0</v>
      </c>
      <c r="R923" t="b">
        <f>SUMPRODUCT(COUNTIF(_xlfn.XLOOKUP(B923,BugList!A:A,BugList!P:P), "*SC*"))&gt;0</f>
        <v>0</v>
      </c>
      <c r="S923" t="str">
        <f>_xlfn.XLOOKUP(B923,BugList!A:A,BugList!W:W)</f>
        <v/>
      </c>
      <c r="T923">
        <f t="shared" si="103"/>
        <v>88</v>
      </c>
      <c r="U923">
        <f t="shared" si="104"/>
        <v>88</v>
      </c>
    </row>
    <row r="924" spans="1:21">
      <c r="A924" t="s">
        <v>2670</v>
      </c>
      <c r="B924">
        <v>99</v>
      </c>
      <c r="D924" t="s">
        <v>169</v>
      </c>
      <c r="E924" t="s">
        <v>169</v>
      </c>
      <c r="F924">
        <v>4</v>
      </c>
      <c r="G924">
        <f t="shared" si="105"/>
        <v>3.8095238095238098</v>
      </c>
      <c r="H924">
        <f t="shared" si="106"/>
        <v>3</v>
      </c>
      <c r="I924">
        <f t="shared" si="107"/>
        <v>0.80952380952380976</v>
      </c>
      <c r="J924" cm="1">
        <f t="array" ref="J924">INT(G924)+IF(100-SUM(INT(G$922:G$936))&gt;=RANK(I924,I$922:I$936)+COUNTIF(I$922:I924,I924)-1,1,0)</f>
        <v>4</v>
      </c>
      <c r="K924" t="str">
        <f>_xlfn.XLOOKUP(B924,BugList!A:A,BugList!H:H)</f>
        <v/>
      </c>
      <c r="L924" t="str">
        <f>IF(K924 = "","",_xlfn.XLOOKUP(B924, BugList!A:A,BugList!B:B,""))</f>
        <v/>
      </c>
      <c r="M924">
        <f>_xlfn.XLOOKUP(D924,BugList!C:C,BugList!N:N)</f>
        <v>5</v>
      </c>
      <c r="N924">
        <f>_xlfn.XLOOKUP(B924,BugList!A:A,BugList!R:R)</f>
        <v>5</v>
      </c>
      <c r="O924" t="b">
        <f>_xlfn.XLOOKUP(B924,BugList!A:A,BugList!L:L)</f>
        <v>0</v>
      </c>
      <c r="P924" t="b">
        <f t="shared" si="102"/>
        <v>0</v>
      </c>
      <c r="R924" t="b">
        <f>SUMPRODUCT(COUNTIF(_xlfn.XLOOKUP(B924,BugList!A:A,BugList!P:P), "*SC*"))&gt;0</f>
        <v>0</v>
      </c>
      <c r="S924" t="str">
        <f>_xlfn.XLOOKUP(B924,BugList!A:A,BugList!W:W)</f>
        <v/>
      </c>
      <c r="T924">
        <f t="shared" si="103"/>
        <v>20</v>
      </c>
      <c r="U924">
        <f t="shared" si="104"/>
        <v>20</v>
      </c>
    </row>
    <row r="925" spans="1:21">
      <c r="A925" t="s">
        <v>2670</v>
      </c>
      <c r="B925">
        <v>418</v>
      </c>
      <c r="D925" t="s">
        <v>783</v>
      </c>
      <c r="E925" t="s">
        <v>783</v>
      </c>
      <c r="F925">
        <v>1</v>
      </c>
      <c r="G925">
        <f t="shared" si="105"/>
        <v>0.95238095238095244</v>
      </c>
      <c r="H925">
        <f t="shared" si="106"/>
        <v>0</v>
      </c>
      <c r="I925">
        <f t="shared" si="107"/>
        <v>0.95238095238095244</v>
      </c>
      <c r="J925" cm="1">
        <f t="array" ref="J925">INT(G925)+IF(100-SUM(INT(G$922:G$936))&gt;=RANK(I925,I$922:I$936)+COUNTIF(I$922:I925,I925)-1,1,0)</f>
        <v>1</v>
      </c>
      <c r="K925" t="str">
        <f>_xlfn.XLOOKUP(B925,BugList!A:A,BugList!H:H)</f>
        <v>*</v>
      </c>
      <c r="L925" t="str">
        <f>IF(K925 = "","",_xlfn.XLOOKUP(B925, BugList!A:A,BugList!B:B,""))</f>
        <v>Plecoptera</v>
      </c>
      <c r="M925">
        <f>_xlfn.XLOOKUP(D925,BugList!C:C,BugList!N:N)</f>
        <v>1</v>
      </c>
      <c r="N925">
        <f>_xlfn.XLOOKUP(B925,BugList!A:A,BugList!R:R)</f>
        <v>1</v>
      </c>
      <c r="O925" t="b">
        <f>_xlfn.XLOOKUP(B925,BugList!A:A,BugList!L:L)</f>
        <v>1</v>
      </c>
      <c r="P925" t="b">
        <f t="shared" si="102"/>
        <v>1</v>
      </c>
      <c r="R925" t="b">
        <f>SUMPRODUCT(COUNTIF(_xlfn.XLOOKUP(B925,BugList!A:A,BugList!P:P), "*SC*"))&gt;0</f>
        <v>0</v>
      </c>
      <c r="S925" t="str">
        <f>_xlfn.XLOOKUP(B925,BugList!A:A,BugList!W:W)</f>
        <v/>
      </c>
      <c r="T925">
        <f t="shared" si="103"/>
        <v>1</v>
      </c>
      <c r="U925">
        <f t="shared" si="104"/>
        <v>1</v>
      </c>
    </row>
    <row r="926" spans="1:21">
      <c r="A926" t="s">
        <v>2670</v>
      </c>
      <c r="B926">
        <v>425</v>
      </c>
      <c r="D926" t="s">
        <v>153</v>
      </c>
      <c r="E926" t="s">
        <v>153</v>
      </c>
      <c r="F926">
        <v>3</v>
      </c>
      <c r="G926">
        <f t="shared" si="105"/>
        <v>2.8571428571428572</v>
      </c>
      <c r="H926">
        <f t="shared" si="106"/>
        <v>2</v>
      </c>
      <c r="I926">
        <f t="shared" si="107"/>
        <v>0.85714285714285721</v>
      </c>
      <c r="J926" cm="1">
        <f t="array" ref="J926">INT(G926)+IF(100-SUM(INT(G$922:G$936))&gt;=RANK(I926,I$922:I$936)+COUNTIF(I$922:I926,I926)-1,1,0)</f>
        <v>3</v>
      </c>
      <c r="K926" t="str">
        <f>_xlfn.XLOOKUP(B926,BugList!A:A,BugList!H:H)</f>
        <v>*</v>
      </c>
      <c r="L926" t="str">
        <f>IF(K926 = "","",_xlfn.XLOOKUP(B926, BugList!A:A,BugList!B:B,""))</f>
        <v>Plecoptera</v>
      </c>
      <c r="M926">
        <f>_xlfn.XLOOKUP(D926,BugList!C:C,BugList!N:N)</f>
        <v>2</v>
      </c>
      <c r="N926">
        <f>_xlfn.XLOOKUP(B926,BugList!A:A,BugList!R:R)</f>
        <v>2</v>
      </c>
      <c r="O926" t="b">
        <f>_xlfn.XLOOKUP(B926,BugList!A:A,BugList!L:L)</f>
        <v>1</v>
      </c>
      <c r="P926" t="b">
        <f t="shared" si="102"/>
        <v>1</v>
      </c>
      <c r="R926" t="b">
        <f>SUMPRODUCT(COUNTIF(_xlfn.XLOOKUP(B926,BugList!A:A,BugList!P:P), "*SC*"))&gt;0</f>
        <v>0</v>
      </c>
      <c r="S926" t="str">
        <f>_xlfn.XLOOKUP(B926,BugList!A:A,BugList!W:W)</f>
        <v>2</v>
      </c>
      <c r="T926">
        <f t="shared" si="103"/>
        <v>6</v>
      </c>
      <c r="U926">
        <f t="shared" si="104"/>
        <v>6</v>
      </c>
    </row>
    <row r="927" spans="1:21">
      <c r="A927" t="s">
        <v>2670</v>
      </c>
      <c r="B927">
        <v>436</v>
      </c>
      <c r="D927" t="s">
        <v>106</v>
      </c>
      <c r="E927" t="s">
        <v>106</v>
      </c>
      <c r="F927">
        <v>1</v>
      </c>
      <c r="G927">
        <f t="shared" si="105"/>
        <v>0.95238095238095244</v>
      </c>
      <c r="H927">
        <f t="shared" si="106"/>
        <v>0</v>
      </c>
      <c r="I927">
        <f t="shared" si="107"/>
        <v>0.95238095238095244</v>
      </c>
      <c r="J927" cm="1">
        <f t="array" ref="J927">INT(G927)+IF(100-SUM(INT(G$922:G$936))&gt;=RANK(I927,I$922:I$936)+COUNTIF(I$922:I927,I927)-1,1,0)</f>
        <v>1</v>
      </c>
      <c r="K927" t="str">
        <f>_xlfn.XLOOKUP(B927,BugList!A:A,BugList!H:H)</f>
        <v>*</v>
      </c>
      <c r="L927" t="str">
        <f>IF(K927 = "","",_xlfn.XLOOKUP(B927, BugList!A:A,BugList!B:B,""))</f>
        <v>Plecoptera</v>
      </c>
      <c r="M927">
        <f>_xlfn.XLOOKUP(D927,BugList!C:C,BugList!N:N)</f>
        <v>2</v>
      </c>
      <c r="N927">
        <f>_xlfn.XLOOKUP(B927,BugList!A:A,BugList!R:R)</f>
        <v>2</v>
      </c>
      <c r="O927" t="b">
        <f>_xlfn.XLOOKUP(B927,BugList!A:A,BugList!L:L)</f>
        <v>1</v>
      </c>
      <c r="P927" t="b">
        <f t="shared" si="102"/>
        <v>1</v>
      </c>
      <c r="R927" t="b">
        <f>SUMPRODUCT(COUNTIF(_xlfn.XLOOKUP(B927,BugList!A:A,BugList!P:P), "*SC*"))&gt;0</f>
        <v>0</v>
      </c>
      <c r="S927" t="str">
        <f>_xlfn.XLOOKUP(B927,BugList!A:A,BugList!W:W)</f>
        <v/>
      </c>
      <c r="T927">
        <f t="shared" si="103"/>
        <v>2</v>
      </c>
      <c r="U927">
        <f t="shared" si="104"/>
        <v>2</v>
      </c>
    </row>
    <row r="928" spans="1:21">
      <c r="A928" t="s">
        <v>2670</v>
      </c>
      <c r="B928">
        <v>450</v>
      </c>
      <c r="D928" t="s">
        <v>96</v>
      </c>
      <c r="E928" t="s">
        <v>96</v>
      </c>
      <c r="F928">
        <v>2</v>
      </c>
      <c r="G928">
        <f t="shared" si="105"/>
        <v>1.9047619047619049</v>
      </c>
      <c r="H928">
        <f t="shared" si="106"/>
        <v>1</v>
      </c>
      <c r="I928">
        <f t="shared" si="107"/>
        <v>0.90476190476190488</v>
      </c>
      <c r="J928" cm="1">
        <f t="array" ref="J928">INT(G928)+IF(100-SUM(INT(G$922:G$936))&gt;=RANK(I928,I$922:I$936)+COUNTIF(I$922:I928,I928)-1,1,0)</f>
        <v>2</v>
      </c>
      <c r="K928" t="str">
        <f>_xlfn.XLOOKUP(B928,BugList!A:A,BugList!H:H)</f>
        <v>*</v>
      </c>
      <c r="L928" t="str">
        <f>IF(K928 = "","",_xlfn.XLOOKUP(B928, BugList!A:A,BugList!B:B,""))</f>
        <v>Ephemeroptera</v>
      </c>
      <c r="M928">
        <f>_xlfn.XLOOKUP(D928,BugList!C:C,BugList!N:N)</f>
        <v>4</v>
      </c>
      <c r="N928">
        <f>_xlfn.XLOOKUP(B928,BugList!A:A,BugList!R:R)</f>
        <v>4</v>
      </c>
      <c r="O928" t="b">
        <f>_xlfn.XLOOKUP(B928,BugList!A:A,BugList!L:L)</f>
        <v>1</v>
      </c>
      <c r="P928" t="b">
        <f t="shared" si="102"/>
        <v>1</v>
      </c>
      <c r="R928" t="b">
        <f>SUMPRODUCT(COUNTIF(_xlfn.XLOOKUP(B928,BugList!A:A,BugList!P:P), "*SC*"))&gt;0</f>
        <v>1</v>
      </c>
      <c r="S928" t="str">
        <f>_xlfn.XLOOKUP(B928,BugList!A:A,BugList!W:W)</f>
        <v>3</v>
      </c>
      <c r="T928">
        <f t="shared" si="103"/>
        <v>8</v>
      </c>
      <c r="U928">
        <f t="shared" si="104"/>
        <v>8</v>
      </c>
    </row>
    <row r="929" spans="1:21">
      <c r="A929" t="s">
        <v>2670</v>
      </c>
      <c r="B929">
        <v>513</v>
      </c>
      <c r="D929" t="s">
        <v>111</v>
      </c>
      <c r="E929" t="s">
        <v>111</v>
      </c>
      <c r="F929">
        <v>2</v>
      </c>
      <c r="G929">
        <f t="shared" si="105"/>
        <v>1.9047619047619049</v>
      </c>
      <c r="H929">
        <f t="shared" si="106"/>
        <v>1</v>
      </c>
      <c r="I929">
        <f t="shared" si="107"/>
        <v>0.90476190476190488</v>
      </c>
      <c r="J929" cm="1">
        <f t="array" ref="J929">INT(G929)+IF(100-SUM(INT(G$922:G$936))&gt;=RANK(I929,I$922:I$936)+COUNTIF(I$922:I929,I929)-1,1,0)</f>
        <v>2</v>
      </c>
      <c r="K929" t="str">
        <f>_xlfn.XLOOKUP(B929,BugList!A:A,BugList!H:H)</f>
        <v>*</v>
      </c>
      <c r="L929" t="str">
        <f>IF(K929 = "","",_xlfn.XLOOKUP(B929, BugList!A:A,BugList!B:B,""))</f>
        <v>Ephemeroptera</v>
      </c>
      <c r="M929">
        <f>_xlfn.XLOOKUP(D929,BugList!C:C,BugList!N:N)</f>
        <v>4</v>
      </c>
      <c r="N929">
        <f>_xlfn.XLOOKUP(B929,BugList!A:A,BugList!R:R)</f>
        <v>4</v>
      </c>
      <c r="O929" t="b">
        <f>_xlfn.XLOOKUP(B929,BugList!A:A,BugList!L:L)</f>
        <v>1</v>
      </c>
      <c r="P929" t="b">
        <f t="shared" si="102"/>
        <v>1</v>
      </c>
      <c r="R929" t="b">
        <f>SUMPRODUCT(COUNTIF(_xlfn.XLOOKUP(B929,BugList!A:A,BugList!P:P), "*SC*"))&gt;0</f>
        <v>1</v>
      </c>
      <c r="S929" t="str">
        <f>_xlfn.XLOOKUP(B929,BugList!A:A,BugList!W:W)</f>
        <v/>
      </c>
      <c r="T929">
        <f t="shared" si="103"/>
        <v>8</v>
      </c>
      <c r="U929">
        <f t="shared" si="104"/>
        <v>8</v>
      </c>
    </row>
    <row r="930" spans="1:21">
      <c r="A930" t="s">
        <v>2670</v>
      </c>
      <c r="B930">
        <v>545</v>
      </c>
      <c r="D930" t="s">
        <v>969</v>
      </c>
      <c r="E930" t="s">
        <v>969</v>
      </c>
      <c r="F930">
        <v>5</v>
      </c>
      <c r="G930">
        <f t="shared" si="105"/>
        <v>4.7619047619047619</v>
      </c>
      <c r="H930">
        <f t="shared" si="106"/>
        <v>4</v>
      </c>
      <c r="I930">
        <f t="shared" si="107"/>
        <v>0.76190476190476186</v>
      </c>
      <c r="J930" cm="1">
        <f t="array" ref="J930">INT(G930)+IF(100-SUM(INT(G$922:G$936))&gt;=RANK(I930,I$922:I$936)+COUNTIF(I$922:I930,I930)-1,1,0)</f>
        <v>5</v>
      </c>
      <c r="K930" t="str">
        <f>_xlfn.XLOOKUP(B930,BugList!A:A,BugList!H:H)</f>
        <v>*</v>
      </c>
      <c r="L930" t="str">
        <f>IF(K930 = "","",_xlfn.XLOOKUP(B930, BugList!A:A,BugList!B:B,""))</f>
        <v>Ephemeroptera</v>
      </c>
      <c r="M930">
        <f>_xlfn.XLOOKUP(D930,BugList!C:C,BugList!N:N)</f>
        <v>7</v>
      </c>
      <c r="N930">
        <f>_xlfn.XLOOKUP(B930,BugList!A:A,BugList!R:R)</f>
        <v>7</v>
      </c>
      <c r="O930" t="b">
        <f>_xlfn.XLOOKUP(B930,BugList!A:A,BugList!L:L)</f>
        <v>1</v>
      </c>
      <c r="P930" t="b">
        <f t="shared" si="102"/>
        <v>1</v>
      </c>
      <c r="R930" t="b">
        <f>SUMPRODUCT(COUNTIF(_xlfn.XLOOKUP(B930,BugList!A:A,BugList!P:P), "*SC*"))&gt;0</f>
        <v>0</v>
      </c>
      <c r="S930" t="str">
        <f>_xlfn.XLOOKUP(B930,BugList!A:A,BugList!W:W)</f>
        <v/>
      </c>
      <c r="T930">
        <f t="shared" si="103"/>
        <v>35</v>
      </c>
      <c r="U930">
        <f t="shared" si="104"/>
        <v>35</v>
      </c>
    </row>
    <row r="931" spans="1:21">
      <c r="A931" t="s">
        <v>2670</v>
      </c>
      <c r="B931">
        <v>602</v>
      </c>
      <c r="D931" t="s">
        <v>97</v>
      </c>
      <c r="E931" t="s">
        <v>97</v>
      </c>
      <c r="F931">
        <v>1</v>
      </c>
      <c r="G931">
        <f t="shared" si="105"/>
        <v>0.95238095238095244</v>
      </c>
      <c r="H931">
        <f t="shared" si="106"/>
        <v>0</v>
      </c>
      <c r="I931">
        <f t="shared" si="107"/>
        <v>0.95238095238095244</v>
      </c>
      <c r="J931" cm="1">
        <f t="array" ref="J931">INT(G931)+IF(100-SUM(INT(G$922:G$936))&gt;=RANK(I931,I$922:I$936)+COUNTIF(I$922:I931,I931)-1,1,0)</f>
        <v>1</v>
      </c>
      <c r="K931" t="str">
        <f>_xlfn.XLOOKUP(B931,BugList!A:A,BugList!H:H)</f>
        <v/>
      </c>
      <c r="L931" t="str">
        <f>IF(K931 = "","",_xlfn.XLOOKUP(B931, BugList!A:A,BugList!B:B,""))</f>
        <v/>
      </c>
      <c r="M931">
        <f>_xlfn.XLOOKUP(D931,BugList!C:C,BugList!N:N)</f>
        <v>9</v>
      </c>
      <c r="N931">
        <f>_xlfn.XLOOKUP(B931,BugList!A:A,BugList!R:R)</f>
        <v>9</v>
      </c>
      <c r="O931" t="b">
        <f>_xlfn.XLOOKUP(B931,BugList!A:A,BugList!L:L)</f>
        <v>1</v>
      </c>
      <c r="P931" t="b">
        <f t="shared" si="102"/>
        <v>0</v>
      </c>
      <c r="R931" t="b">
        <f>SUMPRODUCT(COUNTIF(_xlfn.XLOOKUP(B931,BugList!A:A,BugList!P:P), "*SC*"))&gt;0</f>
        <v>0</v>
      </c>
      <c r="S931" t="str">
        <f>_xlfn.XLOOKUP(B931,BugList!A:A,BugList!W:W)</f>
        <v/>
      </c>
      <c r="T931">
        <f t="shared" si="103"/>
        <v>9</v>
      </c>
      <c r="U931">
        <f t="shared" si="104"/>
        <v>9</v>
      </c>
    </row>
    <row r="932" spans="1:21">
      <c r="A932" t="s">
        <v>2670</v>
      </c>
      <c r="B932">
        <v>794</v>
      </c>
      <c r="D932" t="s">
        <v>89</v>
      </c>
      <c r="E932" t="s">
        <v>89</v>
      </c>
      <c r="F932">
        <v>1</v>
      </c>
      <c r="G932">
        <f t="shared" si="105"/>
        <v>0.95238095238095244</v>
      </c>
      <c r="H932">
        <f t="shared" si="106"/>
        <v>0</v>
      </c>
      <c r="I932">
        <f t="shared" si="107"/>
        <v>0.95238095238095244</v>
      </c>
      <c r="J932" cm="1">
        <f t="array" ref="J932">INT(G932)+IF(100-SUM(INT(G$922:G$936))&gt;=RANK(I932,I$922:I$936)+COUNTIF(I$922:I932,I932)-1,1,0)</f>
        <v>1</v>
      </c>
      <c r="K932" t="str">
        <f>_xlfn.XLOOKUP(B932,BugList!A:A,BugList!H:H)</f>
        <v>*</v>
      </c>
      <c r="L932" t="str">
        <f>IF(K932 = "","",_xlfn.XLOOKUP(B932, BugList!A:A,BugList!B:B,""))</f>
        <v>Trichoptera</v>
      </c>
      <c r="M932">
        <f>_xlfn.XLOOKUP(D932,BugList!C:C,BugList!N:N)</f>
        <v>4</v>
      </c>
      <c r="N932">
        <f>_xlfn.XLOOKUP(B932,BugList!A:A,BugList!R:R)</f>
        <v>4</v>
      </c>
      <c r="O932" t="b">
        <f>_xlfn.XLOOKUP(B932,BugList!A:A,BugList!L:L)</f>
        <v>1</v>
      </c>
      <c r="P932" t="b">
        <f t="shared" si="102"/>
        <v>0</v>
      </c>
      <c r="R932" t="b">
        <f>SUMPRODUCT(COUNTIF(_xlfn.XLOOKUP(B932,BugList!A:A,BugList!P:P), "*SC*"))&gt;0</f>
        <v>0</v>
      </c>
      <c r="S932" t="str">
        <f>_xlfn.XLOOKUP(B932,BugList!A:A,BugList!W:W)</f>
        <v/>
      </c>
      <c r="T932">
        <f t="shared" si="103"/>
        <v>4</v>
      </c>
      <c r="U932">
        <f t="shared" si="104"/>
        <v>4</v>
      </c>
    </row>
    <row r="933" spans="1:21">
      <c r="A933" t="s">
        <v>2670</v>
      </c>
      <c r="B933">
        <v>943</v>
      </c>
      <c r="D933" t="s">
        <v>1536</v>
      </c>
      <c r="E933" t="s">
        <v>1536</v>
      </c>
      <c r="F933">
        <v>1</v>
      </c>
      <c r="G933">
        <f t="shared" si="105"/>
        <v>0.95238095238095244</v>
      </c>
      <c r="H933">
        <f t="shared" si="106"/>
        <v>0</v>
      </c>
      <c r="I933">
        <f t="shared" si="107"/>
        <v>0.95238095238095244</v>
      </c>
      <c r="J933" cm="1">
        <f t="array" ref="J933">INT(G933)+IF(100-SUM(INT(G$922:G$936))&gt;=RANK(I933,I$922:I$936)+COUNTIF(I$922:I933,I933)-1,1,0)</f>
        <v>1</v>
      </c>
      <c r="K933" t="str">
        <f>_xlfn.XLOOKUP(B933,BugList!A:A,BugList!H:H)</f>
        <v/>
      </c>
      <c r="L933" t="str">
        <f>IF(K933 = "","",_xlfn.XLOOKUP(B933, BugList!A:A,BugList!B:B,""))</f>
        <v/>
      </c>
      <c r="M933">
        <f>_xlfn.XLOOKUP(D933,BugList!C:C,BugList!N:N)</f>
        <v>3</v>
      </c>
      <c r="N933">
        <f>_xlfn.XLOOKUP(B933,BugList!A:A,BugList!R:R)</f>
        <v>3</v>
      </c>
      <c r="O933" t="b">
        <f>_xlfn.XLOOKUP(B933,BugList!A:A,BugList!L:L)</f>
        <v>1</v>
      </c>
      <c r="P933" t="b">
        <f t="shared" si="102"/>
        <v>0</v>
      </c>
      <c r="R933" t="b">
        <f>SUMPRODUCT(COUNTIF(_xlfn.XLOOKUP(B933,BugList!A:A,BugList!P:P), "*SC*"))&gt;0</f>
        <v>0</v>
      </c>
      <c r="S933" t="str">
        <f>_xlfn.XLOOKUP(B933,BugList!A:A,BugList!W:W)</f>
        <v/>
      </c>
      <c r="T933">
        <f t="shared" si="103"/>
        <v>3</v>
      </c>
      <c r="U933">
        <f t="shared" si="104"/>
        <v>3</v>
      </c>
    </row>
    <row r="934" spans="1:21">
      <c r="A934" t="s">
        <v>2670</v>
      </c>
      <c r="B934">
        <v>1002</v>
      </c>
      <c r="D934" t="s">
        <v>100</v>
      </c>
      <c r="E934" t="s">
        <v>100</v>
      </c>
      <c r="F934">
        <v>6</v>
      </c>
      <c r="G934">
        <f t="shared" si="105"/>
        <v>5.7142857142857144</v>
      </c>
      <c r="H934">
        <f t="shared" si="106"/>
        <v>5</v>
      </c>
      <c r="I934">
        <f t="shared" si="107"/>
        <v>0.71428571428571441</v>
      </c>
      <c r="J934" cm="1">
        <f t="array" ref="J934">INT(G934)+IF(100-SUM(INT(G$922:G$936))&gt;=RANK(I934,I$922:I$936)+COUNTIF(I$922:I934,I934)-1,1,0)</f>
        <v>5</v>
      </c>
      <c r="K934" t="str">
        <f>_xlfn.XLOOKUP(B934,BugList!A:A,BugList!H:H)</f>
        <v/>
      </c>
      <c r="L934" t="str">
        <f>IF(K934 = "","",_xlfn.XLOOKUP(B934, BugList!A:A,BugList!B:B,""))</f>
        <v/>
      </c>
      <c r="M934">
        <f>_xlfn.XLOOKUP(D934,BugList!C:C,BugList!N:N)</f>
        <v>4</v>
      </c>
      <c r="N934">
        <f>_xlfn.XLOOKUP(B934,BugList!A:A,BugList!R:R)</f>
        <v>4</v>
      </c>
      <c r="O934" t="b">
        <f>_xlfn.XLOOKUP(B934,BugList!A:A,BugList!L:L)</f>
        <v>1</v>
      </c>
      <c r="P934" t="b">
        <f t="shared" si="102"/>
        <v>0</v>
      </c>
      <c r="R934" t="b">
        <f>SUMPRODUCT(COUNTIF(_xlfn.XLOOKUP(B934,BugList!A:A,BugList!P:P), "*SC*"))&gt;0</f>
        <v>1</v>
      </c>
      <c r="S934" t="str">
        <f>_xlfn.XLOOKUP(B934,BugList!A:A,BugList!W:W)</f>
        <v/>
      </c>
      <c r="T934">
        <f t="shared" si="103"/>
        <v>20</v>
      </c>
      <c r="U934">
        <f t="shared" si="104"/>
        <v>20</v>
      </c>
    </row>
    <row r="935" spans="1:21">
      <c r="A935" t="s">
        <v>2670</v>
      </c>
      <c r="B935">
        <v>1436</v>
      </c>
      <c r="D935" t="s">
        <v>101</v>
      </c>
      <c r="E935" t="s">
        <v>101</v>
      </c>
      <c r="F935">
        <v>48</v>
      </c>
      <c r="G935">
        <f t="shared" si="105"/>
        <v>45.714285714285715</v>
      </c>
      <c r="H935">
        <f t="shared" si="106"/>
        <v>45</v>
      </c>
      <c r="I935">
        <f t="shared" si="107"/>
        <v>0.7142857142857153</v>
      </c>
      <c r="J935" cm="1">
        <f t="array" ref="J935">INT(G935)+IF(100-SUM(INT(G$922:G$936))&gt;=RANK(I935,I$922:I$936)+COUNTIF(I$922:I935,I935)-1,1,0)</f>
        <v>46</v>
      </c>
      <c r="K935" t="str">
        <f>_xlfn.XLOOKUP(B935,BugList!A:A,BugList!H:H)</f>
        <v/>
      </c>
      <c r="L935" t="str">
        <f>IF(K935 = "","",_xlfn.XLOOKUP(B935, BugList!A:A,BugList!B:B,""))</f>
        <v/>
      </c>
      <c r="M935">
        <f>_xlfn.XLOOKUP(D935,BugList!C:C,BugList!N:N)</f>
        <v>6</v>
      </c>
      <c r="N935">
        <f>_xlfn.XLOOKUP(B935,BugList!A:A,BugList!R:R)</f>
        <v>6</v>
      </c>
      <c r="O935" t="b">
        <f>_xlfn.XLOOKUP(B935,BugList!A:A,BugList!L:L)</f>
        <v>1</v>
      </c>
      <c r="P935" t="b">
        <f t="shared" si="102"/>
        <v>0</v>
      </c>
      <c r="R935" t="b">
        <f>SUMPRODUCT(COUNTIF(_xlfn.XLOOKUP(B935,BugList!A:A,BugList!P:P), "*SC*"))&gt;0</f>
        <v>0</v>
      </c>
      <c r="S935" t="str">
        <f>_xlfn.XLOOKUP(B935,BugList!A:A,BugList!W:W)</f>
        <v/>
      </c>
      <c r="T935">
        <f t="shared" si="103"/>
        <v>276</v>
      </c>
      <c r="U935">
        <f t="shared" si="104"/>
        <v>276</v>
      </c>
    </row>
    <row r="936" spans="1:21">
      <c r="A936" t="s">
        <v>2670</v>
      </c>
      <c r="B936">
        <v>2781</v>
      </c>
      <c r="D936" t="s">
        <v>109</v>
      </c>
      <c r="E936" t="s">
        <v>109</v>
      </c>
      <c r="F936">
        <v>6</v>
      </c>
      <c r="G936">
        <f t="shared" si="105"/>
        <v>5.7142857142857144</v>
      </c>
      <c r="H936">
        <f t="shared" si="106"/>
        <v>5</v>
      </c>
      <c r="I936">
        <f t="shared" si="107"/>
        <v>0.71428571428571441</v>
      </c>
      <c r="J936" cm="1">
        <f t="array" ref="J936">INT(G936)+IF(100-SUM(INT(G$922:G$936))&gt;=RANK(I936,I$922:I$936)+COUNTIF(I$922:I936,I936)-1,1,0)</f>
        <v>5</v>
      </c>
      <c r="K936" t="str">
        <f>_xlfn.XLOOKUP(B936,BugList!A:A,BugList!H:H)</f>
        <v/>
      </c>
      <c r="L936" t="str">
        <f>IF(K936 = "","",_xlfn.XLOOKUP(B936, BugList!A:A,BugList!B:B,""))</f>
        <v/>
      </c>
      <c r="M936">
        <f>_xlfn.XLOOKUP(D936,BugList!C:C,BugList!N:N)</f>
        <v>6</v>
      </c>
      <c r="N936">
        <f>_xlfn.XLOOKUP(B936,BugList!A:A,BugList!R:R)</f>
        <v>4</v>
      </c>
      <c r="O936" t="b">
        <f>_xlfn.XLOOKUP(B936,BugList!A:A,BugList!L:L)</f>
        <v>0</v>
      </c>
      <c r="P936" t="b">
        <f t="shared" si="102"/>
        <v>0</v>
      </c>
      <c r="R936" t="b">
        <f>SUMPRODUCT(COUNTIF(_xlfn.XLOOKUP(B936,BugList!A:A,BugList!P:P), "*SC*"))&gt;0</f>
        <v>0</v>
      </c>
      <c r="S936" t="str">
        <f>_xlfn.XLOOKUP(B936,BugList!A:A,BugList!W:W)</f>
        <v/>
      </c>
      <c r="T936">
        <f t="shared" si="103"/>
        <v>30</v>
      </c>
      <c r="U936">
        <f t="shared" si="104"/>
        <v>20</v>
      </c>
    </row>
    <row r="937" spans="1:21">
      <c r="A937" t="s">
        <v>2671</v>
      </c>
      <c r="B937">
        <v>63</v>
      </c>
      <c r="D937" t="s">
        <v>84</v>
      </c>
      <c r="E937" t="s">
        <v>84</v>
      </c>
      <c r="F937">
        <v>1</v>
      </c>
      <c r="G937">
        <f t="shared" si="105"/>
        <v>0.74626865671641784</v>
      </c>
      <c r="H937">
        <f t="shared" si="106"/>
        <v>0</v>
      </c>
      <c r="I937">
        <f t="shared" si="107"/>
        <v>0.74626865671641784</v>
      </c>
      <c r="J937" cm="1">
        <f t="array" ref="J937">INT(G937)+IF(100-SUM(INT(G$937:G$949))&gt;=RANK(I937,I$937:I$949)+COUNTIF(I$937:I937,I937)-1,1,0)</f>
        <v>1</v>
      </c>
      <c r="K937" t="str">
        <f>_xlfn.XLOOKUP(B937,BugList!A:A,BugList!H:H)</f>
        <v/>
      </c>
      <c r="L937" t="str">
        <f>IF(K937 = "","",_xlfn.XLOOKUP(B937, BugList!A:A,BugList!B:B,""))</f>
        <v/>
      </c>
      <c r="M937">
        <f>_xlfn.XLOOKUP(D937,BugList!C:C,BugList!N:N)</f>
        <v>8</v>
      </c>
      <c r="N937">
        <f>_xlfn.XLOOKUP(B937,BugList!A:A,BugList!R:R)</f>
        <v>8</v>
      </c>
      <c r="O937" t="b">
        <f>_xlfn.XLOOKUP(B937,BugList!A:A,BugList!L:L)</f>
        <v>0</v>
      </c>
      <c r="P937" t="b">
        <f t="shared" si="102"/>
        <v>0</v>
      </c>
      <c r="R937" t="b">
        <f>SUMPRODUCT(COUNTIF(_xlfn.XLOOKUP(B937,BugList!A:A,BugList!P:P), "*SC*"))&gt;0</f>
        <v>0</v>
      </c>
      <c r="S937" t="str">
        <f>_xlfn.XLOOKUP(B937,BugList!A:A,BugList!W:W)</f>
        <v/>
      </c>
      <c r="T937">
        <f t="shared" si="103"/>
        <v>8</v>
      </c>
      <c r="U937">
        <f t="shared" si="104"/>
        <v>8</v>
      </c>
    </row>
    <row r="938" spans="1:21">
      <c r="A938" t="s">
        <v>2671</v>
      </c>
      <c r="B938">
        <v>513</v>
      </c>
      <c r="D938" t="s">
        <v>111</v>
      </c>
      <c r="E938" t="s">
        <v>111</v>
      </c>
      <c r="F938">
        <v>4</v>
      </c>
      <c r="G938">
        <f t="shared" si="105"/>
        <v>2.9850746268656714</v>
      </c>
      <c r="H938">
        <f t="shared" si="106"/>
        <v>2</v>
      </c>
      <c r="I938">
        <f t="shared" si="107"/>
        <v>0.98507462686567138</v>
      </c>
      <c r="J938" cm="1">
        <f t="array" ref="J938">INT(G938)+IF(100-SUM(INT(G$937:G$949))&gt;=RANK(I938,I$937:I$949)+COUNTIF(I$937:I938,I938)-1,1,0)</f>
        <v>3</v>
      </c>
      <c r="K938" t="str">
        <f>_xlfn.XLOOKUP(B938,BugList!A:A,BugList!H:H)</f>
        <v>*</v>
      </c>
      <c r="L938" t="str">
        <f>IF(K938 = "","",_xlfn.XLOOKUP(B938, BugList!A:A,BugList!B:B,""))</f>
        <v>Ephemeroptera</v>
      </c>
      <c r="M938">
        <f>_xlfn.XLOOKUP(D938,BugList!C:C,BugList!N:N)</f>
        <v>4</v>
      </c>
      <c r="N938">
        <f>_xlfn.XLOOKUP(B938,BugList!A:A,BugList!R:R)</f>
        <v>4</v>
      </c>
      <c r="O938" t="b">
        <f>_xlfn.XLOOKUP(B938,BugList!A:A,BugList!L:L)</f>
        <v>1</v>
      </c>
      <c r="P938" t="b">
        <f t="shared" si="102"/>
        <v>1</v>
      </c>
      <c r="R938" t="b">
        <f>SUMPRODUCT(COUNTIF(_xlfn.XLOOKUP(B938,BugList!A:A,BugList!P:P), "*SC*"))&gt;0</f>
        <v>1</v>
      </c>
      <c r="S938" t="str">
        <f>_xlfn.XLOOKUP(B938,BugList!A:A,BugList!W:W)</f>
        <v/>
      </c>
      <c r="T938">
        <f t="shared" si="103"/>
        <v>12</v>
      </c>
      <c r="U938">
        <f t="shared" si="104"/>
        <v>12</v>
      </c>
    </row>
    <row r="939" spans="1:21">
      <c r="A939" t="s">
        <v>2671</v>
      </c>
      <c r="B939">
        <v>602</v>
      </c>
      <c r="D939" t="s">
        <v>97</v>
      </c>
      <c r="E939" t="s">
        <v>97</v>
      </c>
      <c r="F939">
        <v>3</v>
      </c>
      <c r="G939">
        <f t="shared" si="105"/>
        <v>2.2388059701492535</v>
      </c>
      <c r="H939">
        <f t="shared" si="106"/>
        <v>2</v>
      </c>
      <c r="I939">
        <f t="shared" si="107"/>
        <v>0.23880597014925353</v>
      </c>
      <c r="J939" cm="1">
        <f t="array" ref="J939">INT(G939)+IF(100-SUM(INT(G$937:G$949))&gt;=RANK(I939,I$937:I$949)+COUNTIF(I$937:I939,I939)-1,1,0)</f>
        <v>2</v>
      </c>
      <c r="K939" t="str">
        <f>_xlfn.XLOOKUP(B939,BugList!A:A,BugList!H:H)</f>
        <v/>
      </c>
      <c r="L939" t="str">
        <f>IF(K939 = "","",_xlfn.XLOOKUP(B939, BugList!A:A,BugList!B:B,""))</f>
        <v/>
      </c>
      <c r="M939">
        <f>_xlfn.XLOOKUP(D939,BugList!C:C,BugList!N:N)</f>
        <v>9</v>
      </c>
      <c r="N939">
        <f>_xlfn.XLOOKUP(B939,BugList!A:A,BugList!R:R)</f>
        <v>9</v>
      </c>
      <c r="O939" t="b">
        <f>_xlfn.XLOOKUP(B939,BugList!A:A,BugList!L:L)</f>
        <v>1</v>
      </c>
      <c r="P939" t="b">
        <f t="shared" si="102"/>
        <v>0</v>
      </c>
      <c r="R939" t="b">
        <f>SUMPRODUCT(COUNTIF(_xlfn.XLOOKUP(B939,BugList!A:A,BugList!P:P), "*SC*"))&gt;0</f>
        <v>0</v>
      </c>
      <c r="S939" t="str">
        <f>_xlfn.XLOOKUP(B939,BugList!A:A,BugList!W:W)</f>
        <v/>
      </c>
      <c r="T939">
        <f t="shared" si="103"/>
        <v>18</v>
      </c>
      <c r="U939">
        <f t="shared" si="104"/>
        <v>18</v>
      </c>
    </row>
    <row r="940" spans="1:21">
      <c r="A940" t="s">
        <v>2671</v>
      </c>
      <c r="B940">
        <v>620</v>
      </c>
      <c r="D940" t="s">
        <v>113</v>
      </c>
      <c r="E940" t="s">
        <v>113</v>
      </c>
      <c r="F940">
        <v>5</v>
      </c>
      <c r="G940">
        <f t="shared" si="105"/>
        <v>3.7313432835820892</v>
      </c>
      <c r="H940">
        <f t="shared" si="106"/>
        <v>3</v>
      </c>
      <c r="I940">
        <f t="shared" si="107"/>
        <v>0.73134328358208922</v>
      </c>
      <c r="J940" cm="1">
        <f t="array" ref="J940">INT(G940)+IF(100-SUM(INT(G$937:G$949))&gt;=RANK(I940,I$937:I$949)+COUNTIF(I$937:I940,I940)-1,1,0)</f>
        <v>4</v>
      </c>
      <c r="K940" t="str">
        <f>_xlfn.XLOOKUP(B940,BugList!A:A,BugList!H:H)</f>
        <v/>
      </c>
      <c r="L940" t="str">
        <f>IF(K940 = "","",_xlfn.XLOOKUP(B940, BugList!A:A,BugList!B:B,""))</f>
        <v/>
      </c>
      <c r="M940">
        <f>_xlfn.XLOOKUP(D940,BugList!C:C,BugList!N:N)</f>
        <v>1</v>
      </c>
      <c r="N940">
        <f>_xlfn.XLOOKUP(B940,BugList!A:A,BugList!R:R)</f>
        <v>1</v>
      </c>
      <c r="O940" t="b">
        <f>_xlfn.XLOOKUP(B940,BugList!A:A,BugList!L:L)</f>
        <v>1</v>
      </c>
      <c r="P940" t="b">
        <f t="shared" si="102"/>
        <v>0</v>
      </c>
      <c r="R940" t="b">
        <f>SUMPRODUCT(COUNTIF(_xlfn.XLOOKUP(B940,BugList!A:A,BugList!P:P), "*SC*"))&gt;0</f>
        <v>0</v>
      </c>
      <c r="S940" t="str">
        <f>_xlfn.XLOOKUP(B940,BugList!A:A,BugList!W:W)</f>
        <v>3</v>
      </c>
      <c r="T940">
        <f t="shared" si="103"/>
        <v>4</v>
      </c>
      <c r="U940">
        <f t="shared" si="104"/>
        <v>4</v>
      </c>
    </row>
    <row r="941" spans="1:21">
      <c r="A941" t="s">
        <v>2671</v>
      </c>
      <c r="B941">
        <v>725</v>
      </c>
      <c r="D941" t="s">
        <v>181</v>
      </c>
      <c r="E941" t="s">
        <v>181</v>
      </c>
      <c r="F941">
        <v>1</v>
      </c>
      <c r="G941">
        <f t="shared" si="105"/>
        <v>0.74626865671641784</v>
      </c>
      <c r="H941">
        <f t="shared" si="106"/>
        <v>0</v>
      </c>
      <c r="I941">
        <f t="shared" si="107"/>
        <v>0.74626865671641784</v>
      </c>
      <c r="J941" cm="1">
        <f t="array" ref="J941">INT(G941)+IF(100-SUM(INT(G$937:G$949))&gt;=RANK(I941,I$937:I$949)+COUNTIF(I$937:I941,I941)-1,1,0)</f>
        <v>1</v>
      </c>
      <c r="K941" t="str">
        <f>_xlfn.XLOOKUP(B941,BugList!A:A,BugList!H:H)</f>
        <v/>
      </c>
      <c r="L941" t="str">
        <f>IF(K941 = "","",_xlfn.XLOOKUP(B941, BugList!A:A,BugList!B:B,""))</f>
        <v/>
      </c>
      <c r="M941">
        <f>_xlfn.XLOOKUP(D941,BugList!C:C,BugList!N:N)</f>
        <v>4</v>
      </c>
      <c r="N941">
        <f>_xlfn.XLOOKUP(B941,BugList!A:A,BugList!R:R)</f>
        <v>4</v>
      </c>
      <c r="O941" t="b">
        <f>_xlfn.XLOOKUP(B941,BugList!A:A,BugList!L:L)</f>
        <v>1</v>
      </c>
      <c r="P941" t="b">
        <f t="shared" ref="P941:P1004" si="108">IF(K941="*",IF(D941="Hydropsychidae", IF(E941="Diplectrona",TRUE,FALSE),TRUE),FALSE)</f>
        <v>0</v>
      </c>
      <c r="R941" t="b">
        <f>SUMPRODUCT(COUNTIF(_xlfn.XLOOKUP(B941,BugList!A:A,BugList!P:P), "*SC*"))&gt;0</f>
        <v>0</v>
      </c>
      <c r="S941" t="str">
        <f>_xlfn.XLOOKUP(B941,BugList!A:A,BugList!W:W)</f>
        <v/>
      </c>
      <c r="T941">
        <f t="shared" si="103"/>
        <v>4</v>
      </c>
      <c r="U941">
        <f t="shared" si="104"/>
        <v>4</v>
      </c>
    </row>
    <row r="942" spans="1:21">
      <c r="A942" t="s">
        <v>2671</v>
      </c>
      <c r="B942">
        <v>794</v>
      </c>
      <c r="D942" t="s">
        <v>89</v>
      </c>
      <c r="E942" t="s">
        <v>89</v>
      </c>
      <c r="F942">
        <v>36</v>
      </c>
      <c r="G942">
        <f t="shared" si="105"/>
        <v>26.865671641791046</v>
      </c>
      <c r="H942">
        <f t="shared" si="106"/>
        <v>26</v>
      </c>
      <c r="I942">
        <f t="shared" si="107"/>
        <v>0.86567164179104594</v>
      </c>
      <c r="J942" cm="1">
        <f t="array" ref="J942">INT(G942)+IF(100-SUM(INT(G$937:G$949))&gt;=RANK(I942,I$937:I$949)+COUNTIF(I$937:I942,I942)-1,1,0)</f>
        <v>27</v>
      </c>
      <c r="K942" t="str">
        <f>_xlfn.XLOOKUP(B942,BugList!A:A,BugList!H:H)</f>
        <v>*</v>
      </c>
      <c r="L942" t="str">
        <f>IF(K942 = "","",_xlfn.XLOOKUP(B942, BugList!A:A,BugList!B:B,""))</f>
        <v>Trichoptera</v>
      </c>
      <c r="M942">
        <f>_xlfn.XLOOKUP(D942,BugList!C:C,BugList!N:N)</f>
        <v>4</v>
      </c>
      <c r="N942">
        <f>_xlfn.XLOOKUP(B942,BugList!A:A,BugList!R:R)</f>
        <v>4</v>
      </c>
      <c r="O942" t="b">
        <f>_xlfn.XLOOKUP(B942,BugList!A:A,BugList!L:L)</f>
        <v>1</v>
      </c>
      <c r="P942" t="b">
        <f t="shared" si="108"/>
        <v>0</v>
      </c>
      <c r="R942" t="b">
        <f>SUMPRODUCT(COUNTIF(_xlfn.XLOOKUP(B942,BugList!A:A,BugList!P:P), "*SC*"))&gt;0</f>
        <v>0</v>
      </c>
      <c r="S942" t="str">
        <f>_xlfn.XLOOKUP(B942,BugList!A:A,BugList!W:W)</f>
        <v/>
      </c>
      <c r="T942">
        <f t="shared" si="103"/>
        <v>108</v>
      </c>
      <c r="U942">
        <f t="shared" si="104"/>
        <v>108</v>
      </c>
    </row>
    <row r="943" spans="1:21">
      <c r="A943" t="s">
        <v>2671</v>
      </c>
      <c r="B943">
        <v>837</v>
      </c>
      <c r="D943" t="s">
        <v>107</v>
      </c>
      <c r="E943" t="s">
        <v>107</v>
      </c>
      <c r="F943">
        <v>27</v>
      </c>
      <c r="G943">
        <f t="shared" si="105"/>
        <v>20.149253731343283</v>
      </c>
      <c r="H943">
        <f t="shared" si="106"/>
        <v>20</v>
      </c>
      <c r="I943">
        <f t="shared" si="107"/>
        <v>0.14925373134328268</v>
      </c>
      <c r="J943" cm="1">
        <f t="array" ref="J943">INT(G943)+IF(100-SUM(INT(G$937:G$949))&gt;=RANK(I943,I$937:I$949)+COUNTIF(I$937:I943,I943)-1,1,0)</f>
        <v>20</v>
      </c>
      <c r="K943" t="str">
        <f>_xlfn.XLOOKUP(B943,BugList!A:A,BugList!H:H)</f>
        <v>*</v>
      </c>
      <c r="L943" t="str">
        <f>IF(K943 = "","",_xlfn.XLOOKUP(B943, BugList!A:A,BugList!B:B,""))</f>
        <v>Trichoptera</v>
      </c>
      <c r="M943">
        <f>_xlfn.XLOOKUP(D943,BugList!C:C,BugList!N:N)</f>
        <v>3</v>
      </c>
      <c r="N943">
        <f>_xlfn.XLOOKUP(B943,BugList!A:A,BugList!R:R)</f>
        <v>3</v>
      </c>
      <c r="O943" t="b">
        <f>_xlfn.XLOOKUP(B943,BugList!A:A,BugList!L:L)</f>
        <v>1</v>
      </c>
      <c r="P943" t="b">
        <f t="shared" si="108"/>
        <v>1</v>
      </c>
      <c r="R943" t="b">
        <f>SUMPRODUCT(COUNTIF(_xlfn.XLOOKUP(B943,BugList!A:A,BugList!P:P), "*SC*"))&gt;0</f>
        <v>0</v>
      </c>
      <c r="S943" t="str">
        <f>_xlfn.XLOOKUP(B943,BugList!A:A,BugList!W:W)</f>
        <v/>
      </c>
      <c r="T943">
        <f t="shared" si="103"/>
        <v>60</v>
      </c>
      <c r="U943">
        <f t="shared" si="104"/>
        <v>60</v>
      </c>
    </row>
    <row r="944" spans="1:21">
      <c r="A944" t="s">
        <v>2671</v>
      </c>
      <c r="B944">
        <v>842</v>
      </c>
      <c r="D944" t="s">
        <v>163</v>
      </c>
      <c r="E944" t="s">
        <v>163</v>
      </c>
      <c r="F944">
        <v>4</v>
      </c>
      <c r="G944">
        <f t="shared" si="105"/>
        <v>2.9850746268656714</v>
      </c>
      <c r="H944">
        <f t="shared" si="106"/>
        <v>2</v>
      </c>
      <c r="I944">
        <f t="shared" si="107"/>
        <v>0.98507462686567138</v>
      </c>
      <c r="J944" cm="1">
        <f t="array" ref="J944">INT(G944)+IF(100-SUM(INT(G$937:G$949))&gt;=RANK(I944,I$937:I$949)+COUNTIF(I$937:I944,I944)-1,1,0)</f>
        <v>3</v>
      </c>
      <c r="K944" t="str">
        <f>_xlfn.XLOOKUP(B944,BugList!A:A,BugList!H:H)</f>
        <v>*</v>
      </c>
      <c r="L944" t="str">
        <f>IF(K944 = "","",_xlfn.XLOOKUP(B944, BugList!A:A,BugList!B:B,""))</f>
        <v>Trichoptera</v>
      </c>
      <c r="M944">
        <f>_xlfn.XLOOKUP(D944,BugList!C:C,BugList!N:N)</f>
        <v>6</v>
      </c>
      <c r="N944">
        <f>_xlfn.XLOOKUP(B944,BugList!A:A,BugList!R:R)</f>
        <v>6</v>
      </c>
      <c r="O944" t="b">
        <f>_xlfn.XLOOKUP(B944,BugList!A:A,BugList!L:L)</f>
        <v>1</v>
      </c>
      <c r="P944" t="b">
        <f t="shared" si="108"/>
        <v>1</v>
      </c>
      <c r="R944" t="b">
        <f>SUMPRODUCT(COUNTIF(_xlfn.XLOOKUP(B944,BugList!A:A,BugList!P:P), "*SC*"))&gt;0</f>
        <v>0</v>
      </c>
      <c r="S944" t="str">
        <f>_xlfn.XLOOKUP(B944,BugList!A:A,BugList!W:W)</f>
        <v/>
      </c>
      <c r="T944">
        <f t="shared" si="103"/>
        <v>18</v>
      </c>
      <c r="U944">
        <f t="shared" si="104"/>
        <v>18</v>
      </c>
    </row>
    <row r="945" spans="1:21">
      <c r="A945" t="s">
        <v>2671</v>
      </c>
      <c r="B945">
        <v>935</v>
      </c>
      <c r="D945" t="s">
        <v>98</v>
      </c>
      <c r="E945" t="s">
        <v>98</v>
      </c>
      <c r="F945">
        <v>3</v>
      </c>
      <c r="G945">
        <f t="shared" si="105"/>
        <v>2.2388059701492535</v>
      </c>
      <c r="H945">
        <f t="shared" si="106"/>
        <v>2</v>
      </c>
      <c r="I945">
        <f t="shared" si="107"/>
        <v>0.23880597014925353</v>
      </c>
      <c r="J945" cm="1">
        <f t="array" ref="J945">INT(G945)+IF(100-SUM(INT(G$937:G$949))&gt;=RANK(I945,I$937:I$949)+COUNTIF(I$937:I945,I945)-1,1,0)</f>
        <v>2</v>
      </c>
      <c r="K945" t="str">
        <f>_xlfn.XLOOKUP(B945,BugList!A:A,BugList!H:H)</f>
        <v/>
      </c>
      <c r="L945" t="str">
        <f>IF(K945 = "","",_xlfn.XLOOKUP(B945, BugList!A:A,BugList!B:B,""))</f>
        <v/>
      </c>
      <c r="M945">
        <f>_xlfn.XLOOKUP(D945,BugList!C:C,BugList!N:N)</f>
        <v>4</v>
      </c>
      <c r="N945">
        <f>_xlfn.XLOOKUP(B945,BugList!A:A,BugList!R:R)</f>
        <v>4</v>
      </c>
      <c r="O945" t="b">
        <f>_xlfn.XLOOKUP(B945,BugList!A:A,BugList!L:L)</f>
        <v>1</v>
      </c>
      <c r="P945" t="b">
        <f t="shared" si="108"/>
        <v>0</v>
      </c>
      <c r="R945" t="b">
        <f>SUMPRODUCT(COUNTIF(_xlfn.XLOOKUP(B945,BugList!A:A,BugList!P:P), "*SC*"))&gt;0</f>
        <v>1</v>
      </c>
      <c r="S945" t="str">
        <f>_xlfn.XLOOKUP(B945,BugList!A:A,BugList!W:W)</f>
        <v/>
      </c>
      <c r="T945">
        <f t="shared" si="103"/>
        <v>8</v>
      </c>
      <c r="U945">
        <f t="shared" si="104"/>
        <v>8</v>
      </c>
    </row>
    <row r="946" spans="1:21">
      <c r="A946" t="s">
        <v>2671</v>
      </c>
      <c r="B946">
        <v>1002</v>
      </c>
      <c r="D946" t="s">
        <v>100</v>
      </c>
      <c r="E946" t="s">
        <v>100</v>
      </c>
      <c r="F946">
        <v>42</v>
      </c>
      <c r="G946">
        <f t="shared" si="105"/>
        <v>31.343283582089555</v>
      </c>
      <c r="H946">
        <f t="shared" si="106"/>
        <v>31</v>
      </c>
      <c r="I946">
        <f t="shared" si="107"/>
        <v>0.34328358208955478</v>
      </c>
      <c r="J946" cm="1">
        <f t="array" ref="J946">INT(G946)+IF(100-SUM(INT(G$937:G$949))&gt;=RANK(I946,I$937:I$949)+COUNTIF(I$937:I946,I946)-1,1,0)</f>
        <v>31</v>
      </c>
      <c r="K946" t="str">
        <f>_xlfn.XLOOKUP(B946,BugList!A:A,BugList!H:H)</f>
        <v/>
      </c>
      <c r="L946" t="str">
        <f>IF(K946 = "","",_xlfn.XLOOKUP(B946, BugList!A:A,BugList!B:B,""))</f>
        <v/>
      </c>
      <c r="M946">
        <f>_xlfn.XLOOKUP(D946,BugList!C:C,BugList!N:N)</f>
        <v>4</v>
      </c>
      <c r="N946">
        <f>_xlfn.XLOOKUP(B946,BugList!A:A,BugList!R:R)</f>
        <v>4</v>
      </c>
      <c r="O946" t="b">
        <f>_xlfn.XLOOKUP(B946,BugList!A:A,BugList!L:L)</f>
        <v>1</v>
      </c>
      <c r="P946" t="b">
        <f t="shared" si="108"/>
        <v>0</v>
      </c>
      <c r="R946" t="b">
        <f>SUMPRODUCT(COUNTIF(_xlfn.XLOOKUP(B946,BugList!A:A,BugList!P:P), "*SC*"))&gt;0</f>
        <v>1</v>
      </c>
      <c r="S946" t="str">
        <f>_xlfn.XLOOKUP(B946,BugList!A:A,BugList!W:W)</f>
        <v/>
      </c>
      <c r="T946">
        <f t="shared" si="103"/>
        <v>124</v>
      </c>
      <c r="U946">
        <f t="shared" si="104"/>
        <v>124</v>
      </c>
    </row>
    <row r="947" spans="1:21">
      <c r="A947" t="s">
        <v>2671</v>
      </c>
      <c r="B947">
        <v>1089</v>
      </c>
      <c r="D947" t="s">
        <v>126</v>
      </c>
      <c r="E947" t="s">
        <v>127</v>
      </c>
      <c r="F947">
        <v>5</v>
      </c>
      <c r="G947">
        <f t="shared" si="105"/>
        <v>3.7313432835820892</v>
      </c>
      <c r="H947">
        <f t="shared" si="106"/>
        <v>3</v>
      </c>
      <c r="I947">
        <f t="shared" si="107"/>
        <v>0.73134328358208922</v>
      </c>
      <c r="J947" cm="1">
        <f t="array" ref="J947">INT(G947)+IF(100-SUM(INT(G$937:G$949))&gt;=RANK(I947,I$937:I$949)+COUNTIF(I$937:I947,I947)-1,1,0)</f>
        <v>4</v>
      </c>
      <c r="K947" t="str">
        <f>_xlfn.XLOOKUP(B947,BugList!A:A,BugList!H:H)</f>
        <v/>
      </c>
      <c r="L947" t="str">
        <f>IF(K947 = "","",_xlfn.XLOOKUP(B947, BugList!A:A,BugList!B:B,""))</f>
        <v/>
      </c>
      <c r="M947">
        <f>_xlfn.XLOOKUP(D947,BugList!C:C,BugList!N:N)</f>
        <v>8</v>
      </c>
      <c r="N947">
        <f>_xlfn.XLOOKUP(B947,BugList!A:A,BugList!R:R)</f>
        <v>10</v>
      </c>
      <c r="O947" t="b">
        <f>_xlfn.XLOOKUP(B947,BugList!A:A,BugList!L:L)</f>
        <v>1</v>
      </c>
      <c r="P947" t="b">
        <f t="shared" si="108"/>
        <v>0</v>
      </c>
      <c r="R947" t="b">
        <f>SUMPRODUCT(COUNTIF(_xlfn.XLOOKUP(B947,BugList!A:A,BugList!P:P), "*SC*"))&gt;0</f>
        <v>0</v>
      </c>
      <c r="S947" t="str">
        <f>_xlfn.XLOOKUP(B947,BugList!A:A,BugList!W:W)</f>
        <v/>
      </c>
      <c r="T947">
        <f t="shared" si="103"/>
        <v>32</v>
      </c>
      <c r="U947">
        <f t="shared" si="104"/>
        <v>40</v>
      </c>
    </row>
    <row r="948" spans="1:21">
      <c r="A948" t="s">
        <v>2671</v>
      </c>
      <c r="B948">
        <v>1497</v>
      </c>
      <c r="D948" t="s">
        <v>108</v>
      </c>
      <c r="E948" t="s">
        <v>108</v>
      </c>
      <c r="F948">
        <v>2</v>
      </c>
      <c r="G948">
        <f t="shared" si="105"/>
        <v>1.4925373134328357</v>
      </c>
      <c r="H948">
        <f t="shared" si="106"/>
        <v>1</v>
      </c>
      <c r="I948">
        <f t="shared" si="107"/>
        <v>0.49253731343283569</v>
      </c>
      <c r="J948" cm="1">
        <f t="array" ref="J948">INT(G948)+IF(100-SUM(INT(G$937:G$949))&gt;=RANK(I948,I$937:I$949)+COUNTIF(I$937:I948,I948)-1,1,0)</f>
        <v>1</v>
      </c>
      <c r="K948" t="str">
        <f>_xlfn.XLOOKUP(B948,BugList!A:A,BugList!H:H)</f>
        <v/>
      </c>
      <c r="L948" t="str">
        <f>IF(K948 = "","",_xlfn.XLOOKUP(B948, BugList!A:A,BugList!B:B,""))</f>
        <v/>
      </c>
      <c r="M948">
        <f>_xlfn.XLOOKUP(D948,BugList!C:C,BugList!N:N)</f>
        <v>3</v>
      </c>
      <c r="N948">
        <f>_xlfn.XLOOKUP(B948,BugList!A:A,BugList!R:R)</f>
        <v>3</v>
      </c>
      <c r="O948" t="b">
        <f>_xlfn.XLOOKUP(B948,BugList!A:A,BugList!L:L)</f>
        <v>1</v>
      </c>
      <c r="P948" t="b">
        <f t="shared" si="108"/>
        <v>0</v>
      </c>
      <c r="R948" t="b">
        <f>SUMPRODUCT(COUNTIF(_xlfn.XLOOKUP(B948,BugList!A:A,BugList!P:P), "*SC*"))&gt;0</f>
        <v>0</v>
      </c>
      <c r="S948" t="str">
        <f>_xlfn.XLOOKUP(B948,BugList!A:A,BugList!W:W)</f>
        <v/>
      </c>
      <c r="T948">
        <f t="shared" si="103"/>
        <v>3</v>
      </c>
      <c r="U948">
        <f t="shared" si="104"/>
        <v>3</v>
      </c>
    </row>
    <row r="949" spans="1:21">
      <c r="A949" t="s">
        <v>2671</v>
      </c>
      <c r="B949">
        <v>2781</v>
      </c>
      <c r="D949" t="s">
        <v>109</v>
      </c>
      <c r="E949" t="s">
        <v>109</v>
      </c>
      <c r="F949">
        <v>1</v>
      </c>
      <c r="G949">
        <f t="shared" si="105"/>
        <v>0.74626865671641784</v>
      </c>
      <c r="H949">
        <f t="shared" si="106"/>
        <v>0</v>
      </c>
      <c r="I949">
        <f t="shared" si="107"/>
        <v>0.74626865671641784</v>
      </c>
      <c r="J949" cm="1">
        <f t="array" ref="J949">INT(G949)+IF(100-SUM(INT(G$937:G$949))&gt;=RANK(I949,I$937:I$949)+COUNTIF(I$937:I949,I949)-1,1,0)</f>
        <v>1</v>
      </c>
      <c r="K949" t="str">
        <f>_xlfn.XLOOKUP(B949,BugList!A:A,BugList!H:H)</f>
        <v/>
      </c>
      <c r="L949" t="str">
        <f>IF(K949 = "","",_xlfn.XLOOKUP(B949, BugList!A:A,BugList!B:B,""))</f>
        <v/>
      </c>
      <c r="M949">
        <f>_xlfn.XLOOKUP(D949,BugList!C:C,BugList!N:N)</f>
        <v>6</v>
      </c>
      <c r="N949">
        <f>_xlfn.XLOOKUP(B949,BugList!A:A,BugList!R:R)</f>
        <v>4</v>
      </c>
      <c r="O949" t="b">
        <f>_xlfn.XLOOKUP(B949,BugList!A:A,BugList!L:L)</f>
        <v>0</v>
      </c>
      <c r="P949" t="b">
        <f t="shared" si="108"/>
        <v>0</v>
      </c>
      <c r="R949" t="b">
        <f>SUMPRODUCT(COUNTIF(_xlfn.XLOOKUP(B949,BugList!A:A,BugList!P:P), "*SC*"))&gt;0</f>
        <v>0</v>
      </c>
      <c r="S949" t="str">
        <f>_xlfn.XLOOKUP(B949,BugList!A:A,BugList!W:W)</f>
        <v/>
      </c>
      <c r="T949">
        <f t="shared" si="103"/>
        <v>6</v>
      </c>
      <c r="U949">
        <f t="shared" si="104"/>
        <v>4</v>
      </c>
    </row>
    <row r="950" spans="1:21">
      <c r="A950" t="s">
        <v>2672</v>
      </c>
      <c r="B950">
        <v>88</v>
      </c>
      <c r="D950" t="s">
        <v>85</v>
      </c>
      <c r="E950" t="s">
        <v>85</v>
      </c>
      <c r="F950">
        <v>24</v>
      </c>
      <c r="G950">
        <f t="shared" si="105"/>
        <v>22.222222222222221</v>
      </c>
      <c r="H950">
        <f t="shared" si="106"/>
        <v>22</v>
      </c>
      <c r="I950">
        <f t="shared" si="107"/>
        <v>0.22222222222222143</v>
      </c>
      <c r="J950" cm="1">
        <f t="array" ref="J950">INT(G950)+IF(100-SUM(INT(G$950:G$964))&gt;=RANK(I950,I$950:I$964)+COUNTIF(I$950:I950,I950)-1,1,0)</f>
        <v>22</v>
      </c>
      <c r="K950" t="str">
        <f>_xlfn.XLOOKUP(B950,BugList!A:A,BugList!H:H)</f>
        <v/>
      </c>
      <c r="L950" t="str">
        <f>IF(K950 = "","",_xlfn.XLOOKUP(B950, BugList!A:A,BugList!B:B,""))</f>
        <v/>
      </c>
      <c r="M950">
        <f>_xlfn.XLOOKUP(D950,BugList!C:C,BugList!N:N)</f>
        <v>4</v>
      </c>
      <c r="N950">
        <f>_xlfn.XLOOKUP(B950,BugList!A:A,BugList!R:R)</f>
        <v>4</v>
      </c>
      <c r="O950" t="b">
        <f>_xlfn.XLOOKUP(B950,BugList!A:A,BugList!L:L)</f>
        <v>0</v>
      </c>
      <c r="P950" t="b">
        <f t="shared" si="108"/>
        <v>0</v>
      </c>
      <c r="R950" t="b">
        <f>SUMPRODUCT(COUNTIF(_xlfn.XLOOKUP(B950,BugList!A:A,BugList!P:P), "*SC*"))&gt;0</f>
        <v>0</v>
      </c>
      <c r="S950" t="str">
        <f>_xlfn.XLOOKUP(B950,BugList!A:A,BugList!W:W)</f>
        <v/>
      </c>
      <c r="T950">
        <f t="shared" si="103"/>
        <v>88</v>
      </c>
      <c r="U950">
        <f t="shared" si="104"/>
        <v>88</v>
      </c>
    </row>
    <row r="951" spans="1:21">
      <c r="A951" t="s">
        <v>2672</v>
      </c>
      <c r="B951">
        <v>372</v>
      </c>
      <c r="D951" t="s">
        <v>88</v>
      </c>
      <c r="E951" t="s">
        <v>88</v>
      </c>
      <c r="F951">
        <v>10</v>
      </c>
      <c r="G951">
        <f t="shared" si="105"/>
        <v>9.2592592592592595</v>
      </c>
      <c r="H951">
        <f t="shared" si="106"/>
        <v>9</v>
      </c>
      <c r="I951">
        <f t="shared" si="107"/>
        <v>0.25925925925925952</v>
      </c>
      <c r="J951" cm="1">
        <f t="array" ref="J951">INT(G951)+IF(100-SUM(INT(G$950:G$964))&gt;=RANK(I951,I$950:I$964)+COUNTIF(I$950:I951,I951)-1,1,0)</f>
        <v>9</v>
      </c>
      <c r="K951" t="str">
        <f>_xlfn.XLOOKUP(B951,BugList!A:A,BugList!H:H)</f>
        <v/>
      </c>
      <c r="L951" t="str">
        <f>IF(K951 = "","",_xlfn.XLOOKUP(B951, BugList!A:A,BugList!B:B,""))</f>
        <v/>
      </c>
      <c r="M951">
        <f>_xlfn.XLOOKUP(D951,BugList!C:C,BugList!N:N)</f>
        <v>8</v>
      </c>
      <c r="N951">
        <f>_xlfn.XLOOKUP(B951,BugList!A:A,BugList!R:R)</f>
        <v>8</v>
      </c>
      <c r="O951" t="b">
        <f>_xlfn.XLOOKUP(B951,BugList!A:A,BugList!L:L)</f>
        <v>0</v>
      </c>
      <c r="P951" t="b">
        <f t="shared" si="108"/>
        <v>0</v>
      </c>
      <c r="R951" t="b">
        <f>SUMPRODUCT(COUNTIF(_xlfn.XLOOKUP(B951,BugList!A:A,BugList!P:P), "*SC*"))&gt;0</f>
        <v>0</v>
      </c>
      <c r="S951" t="str">
        <f>_xlfn.XLOOKUP(B951,BugList!A:A,BugList!W:W)</f>
        <v/>
      </c>
      <c r="T951">
        <f t="shared" si="103"/>
        <v>72</v>
      </c>
      <c r="U951">
        <f t="shared" si="104"/>
        <v>72</v>
      </c>
    </row>
    <row r="952" spans="1:21">
      <c r="A952" t="s">
        <v>2672</v>
      </c>
      <c r="B952">
        <v>513</v>
      </c>
      <c r="D952" t="s">
        <v>111</v>
      </c>
      <c r="E952" t="s">
        <v>111</v>
      </c>
      <c r="F952">
        <v>14</v>
      </c>
      <c r="G952">
        <f t="shared" si="105"/>
        <v>12.962962962962962</v>
      </c>
      <c r="H952">
        <f t="shared" si="106"/>
        <v>12</v>
      </c>
      <c r="I952">
        <f t="shared" si="107"/>
        <v>0.96296296296296191</v>
      </c>
      <c r="J952" cm="1">
        <f t="array" ref="J952">INT(G952)+IF(100-SUM(INT(G$950:G$964))&gt;=RANK(I952,I$950:I$964)+COUNTIF(I$950:I952,I952)-1,1,0)</f>
        <v>13</v>
      </c>
      <c r="K952" t="str">
        <f>_xlfn.XLOOKUP(B952,BugList!A:A,BugList!H:H)</f>
        <v>*</v>
      </c>
      <c r="L952" t="str">
        <f>IF(K952 = "","",_xlfn.XLOOKUP(B952, BugList!A:A,BugList!B:B,""))</f>
        <v>Ephemeroptera</v>
      </c>
      <c r="M952">
        <f>_xlfn.XLOOKUP(D952,BugList!C:C,BugList!N:N)</f>
        <v>4</v>
      </c>
      <c r="N952">
        <f>_xlfn.XLOOKUP(B952,BugList!A:A,BugList!R:R)</f>
        <v>4</v>
      </c>
      <c r="O952" t="b">
        <f>_xlfn.XLOOKUP(B952,BugList!A:A,BugList!L:L)</f>
        <v>1</v>
      </c>
      <c r="P952" t="b">
        <f t="shared" si="108"/>
        <v>1</v>
      </c>
      <c r="R952" t="b">
        <f>SUMPRODUCT(COUNTIF(_xlfn.XLOOKUP(B952,BugList!A:A,BugList!P:P), "*SC*"))&gt;0</f>
        <v>1</v>
      </c>
      <c r="S952" t="str">
        <f>_xlfn.XLOOKUP(B952,BugList!A:A,BugList!W:W)</f>
        <v/>
      </c>
      <c r="T952">
        <f t="shared" si="103"/>
        <v>52</v>
      </c>
      <c r="U952">
        <f t="shared" si="104"/>
        <v>52</v>
      </c>
    </row>
    <row r="953" spans="1:21">
      <c r="A953" t="s">
        <v>2672</v>
      </c>
      <c r="B953">
        <v>602</v>
      </c>
      <c r="D953" t="s">
        <v>97</v>
      </c>
      <c r="E953" t="s">
        <v>97</v>
      </c>
      <c r="F953">
        <v>1</v>
      </c>
      <c r="G953">
        <f t="shared" si="105"/>
        <v>0.92592592592592582</v>
      </c>
      <c r="H953">
        <f t="shared" si="106"/>
        <v>0</v>
      </c>
      <c r="I953">
        <f t="shared" si="107"/>
        <v>0.92592592592592582</v>
      </c>
      <c r="J953" cm="1">
        <f t="array" ref="J953">INT(G953)+IF(100-SUM(INT(G$950:G$964))&gt;=RANK(I953,I$950:I$964)+COUNTIF(I$950:I953,I953)-1,1,0)</f>
        <v>1</v>
      </c>
      <c r="K953" t="str">
        <f>_xlfn.XLOOKUP(B953,BugList!A:A,BugList!H:H)</f>
        <v/>
      </c>
      <c r="L953" t="str">
        <f>IF(K953 = "","",_xlfn.XLOOKUP(B953, BugList!A:A,BugList!B:B,""))</f>
        <v/>
      </c>
      <c r="M953">
        <f>_xlfn.XLOOKUP(D953,BugList!C:C,BugList!N:N)</f>
        <v>9</v>
      </c>
      <c r="N953">
        <f>_xlfn.XLOOKUP(B953,BugList!A:A,BugList!R:R)</f>
        <v>9</v>
      </c>
      <c r="O953" t="b">
        <f>_xlfn.XLOOKUP(B953,BugList!A:A,BugList!L:L)</f>
        <v>1</v>
      </c>
      <c r="P953" t="b">
        <f t="shared" si="108"/>
        <v>0</v>
      </c>
      <c r="R953" t="b">
        <f>SUMPRODUCT(COUNTIF(_xlfn.XLOOKUP(B953,BugList!A:A,BugList!P:P), "*SC*"))&gt;0</f>
        <v>0</v>
      </c>
      <c r="S953" t="str">
        <f>_xlfn.XLOOKUP(B953,BugList!A:A,BugList!W:W)</f>
        <v/>
      </c>
      <c r="T953">
        <f t="shared" si="103"/>
        <v>9</v>
      </c>
      <c r="U953">
        <f t="shared" si="104"/>
        <v>9</v>
      </c>
    </row>
    <row r="954" spans="1:21">
      <c r="A954" t="s">
        <v>2672</v>
      </c>
      <c r="B954">
        <v>935</v>
      </c>
      <c r="D954" t="s">
        <v>98</v>
      </c>
      <c r="E954" t="s">
        <v>98</v>
      </c>
      <c r="F954">
        <v>25</v>
      </c>
      <c r="G954">
        <f t="shared" si="105"/>
        <v>23.148148148148149</v>
      </c>
      <c r="H954">
        <f t="shared" si="106"/>
        <v>23</v>
      </c>
      <c r="I954">
        <f t="shared" si="107"/>
        <v>0.14814814814814881</v>
      </c>
      <c r="J954" cm="1">
        <f t="array" ref="J954">INT(G954)+IF(100-SUM(INT(G$950:G$964))&gt;=RANK(I954,I$950:I$964)+COUNTIF(I$950:I954,I954)-1,1,0)</f>
        <v>23</v>
      </c>
      <c r="K954" t="str">
        <f>_xlfn.XLOOKUP(B954,BugList!A:A,BugList!H:H)</f>
        <v/>
      </c>
      <c r="L954" t="str">
        <f>IF(K954 = "","",_xlfn.XLOOKUP(B954, BugList!A:A,BugList!B:B,""))</f>
        <v/>
      </c>
      <c r="M954">
        <f>_xlfn.XLOOKUP(D954,BugList!C:C,BugList!N:N)</f>
        <v>4</v>
      </c>
      <c r="N954">
        <f>_xlfn.XLOOKUP(B954,BugList!A:A,BugList!R:R)</f>
        <v>4</v>
      </c>
      <c r="O954" t="b">
        <f>_xlfn.XLOOKUP(B954,BugList!A:A,BugList!L:L)</f>
        <v>1</v>
      </c>
      <c r="P954" t="b">
        <f t="shared" si="108"/>
        <v>0</v>
      </c>
      <c r="R954" t="b">
        <f>SUMPRODUCT(COUNTIF(_xlfn.XLOOKUP(B954,BugList!A:A,BugList!P:P), "*SC*"))&gt;0</f>
        <v>1</v>
      </c>
      <c r="S954" t="str">
        <f>_xlfn.XLOOKUP(B954,BugList!A:A,BugList!W:W)</f>
        <v/>
      </c>
      <c r="T954">
        <f t="shared" si="103"/>
        <v>92</v>
      </c>
      <c r="U954">
        <f t="shared" si="104"/>
        <v>92</v>
      </c>
    </row>
    <row r="955" spans="1:21">
      <c r="A955" t="s">
        <v>2672</v>
      </c>
      <c r="B955">
        <v>1002</v>
      </c>
      <c r="D955" t="s">
        <v>100</v>
      </c>
      <c r="E955" t="s">
        <v>100</v>
      </c>
      <c r="F955">
        <v>4</v>
      </c>
      <c r="G955">
        <f t="shared" si="105"/>
        <v>3.7037037037037033</v>
      </c>
      <c r="H955">
        <f t="shared" si="106"/>
        <v>3</v>
      </c>
      <c r="I955">
        <f t="shared" si="107"/>
        <v>0.70370370370370328</v>
      </c>
      <c r="J955" cm="1">
        <f t="array" ref="J955">INT(G955)+IF(100-SUM(INT(G$950:G$964))&gt;=RANK(I955,I$950:I$964)+COUNTIF(I$950:I955,I955)-1,1,0)</f>
        <v>3</v>
      </c>
      <c r="K955" t="str">
        <f>_xlfn.XLOOKUP(B955,BugList!A:A,BugList!H:H)</f>
        <v/>
      </c>
      <c r="L955" t="str">
        <f>IF(K955 = "","",_xlfn.XLOOKUP(B955, BugList!A:A,BugList!B:B,""))</f>
        <v/>
      </c>
      <c r="M955">
        <f>_xlfn.XLOOKUP(D955,BugList!C:C,BugList!N:N)</f>
        <v>4</v>
      </c>
      <c r="N955">
        <f>_xlfn.XLOOKUP(B955,BugList!A:A,BugList!R:R)</f>
        <v>4</v>
      </c>
      <c r="O955" t="b">
        <f>_xlfn.XLOOKUP(B955,BugList!A:A,BugList!L:L)</f>
        <v>1</v>
      </c>
      <c r="P955" t="b">
        <f t="shared" si="108"/>
        <v>0</v>
      </c>
      <c r="R955" t="b">
        <f>SUMPRODUCT(COUNTIF(_xlfn.XLOOKUP(B955,BugList!A:A,BugList!P:P), "*SC*"))&gt;0</f>
        <v>1</v>
      </c>
      <c r="S955" t="str">
        <f>_xlfn.XLOOKUP(B955,BugList!A:A,BugList!W:W)</f>
        <v/>
      </c>
      <c r="T955">
        <f t="shared" si="103"/>
        <v>12</v>
      </c>
      <c r="U955">
        <f t="shared" si="104"/>
        <v>12</v>
      </c>
    </row>
    <row r="956" spans="1:21">
      <c r="A956" t="s">
        <v>2672</v>
      </c>
      <c r="B956">
        <v>1497</v>
      </c>
      <c r="D956" t="s">
        <v>108</v>
      </c>
      <c r="E956" t="s">
        <v>108</v>
      </c>
      <c r="F956">
        <v>3</v>
      </c>
      <c r="G956">
        <f t="shared" si="105"/>
        <v>2.7777777777777777</v>
      </c>
      <c r="H956">
        <f t="shared" si="106"/>
        <v>2</v>
      </c>
      <c r="I956">
        <f t="shared" si="107"/>
        <v>0.77777777777777768</v>
      </c>
      <c r="J956" cm="1">
        <f t="array" ref="J956">INT(G956)+IF(100-SUM(INT(G$950:G$964))&gt;=RANK(I956,I$950:I$964)+COUNTIF(I$950:I956,I956)-1,1,0)</f>
        <v>3</v>
      </c>
      <c r="K956" t="str">
        <f>_xlfn.XLOOKUP(B956,BugList!A:A,BugList!H:H)</f>
        <v/>
      </c>
      <c r="L956" t="str">
        <f>IF(K956 = "","",_xlfn.XLOOKUP(B956, BugList!A:A,BugList!B:B,""))</f>
        <v/>
      </c>
      <c r="M956">
        <f>_xlfn.XLOOKUP(D956,BugList!C:C,BugList!N:N)</f>
        <v>3</v>
      </c>
      <c r="N956">
        <f>_xlfn.XLOOKUP(B956,BugList!A:A,BugList!R:R)</f>
        <v>3</v>
      </c>
      <c r="O956" t="b">
        <f>_xlfn.XLOOKUP(B956,BugList!A:A,BugList!L:L)</f>
        <v>1</v>
      </c>
      <c r="P956" t="b">
        <f t="shared" si="108"/>
        <v>0</v>
      </c>
      <c r="R956" t="b">
        <f>SUMPRODUCT(COUNTIF(_xlfn.XLOOKUP(B956,BugList!A:A,BugList!P:P), "*SC*"))&gt;0</f>
        <v>0</v>
      </c>
      <c r="S956" t="str">
        <f>_xlfn.XLOOKUP(B956,BugList!A:A,BugList!W:W)</f>
        <v/>
      </c>
      <c r="T956">
        <f t="shared" si="103"/>
        <v>9</v>
      </c>
      <c r="U956">
        <f t="shared" si="104"/>
        <v>9</v>
      </c>
    </row>
    <row r="957" spans="1:21">
      <c r="A957" t="s">
        <v>2672</v>
      </c>
      <c r="B957">
        <v>1555</v>
      </c>
      <c r="D957" t="s">
        <v>120</v>
      </c>
      <c r="E957" t="s">
        <v>120</v>
      </c>
      <c r="F957">
        <v>2</v>
      </c>
      <c r="G957">
        <f t="shared" si="105"/>
        <v>1.8518518518518516</v>
      </c>
      <c r="H957">
        <f t="shared" si="106"/>
        <v>1</v>
      </c>
      <c r="I957">
        <f t="shared" si="107"/>
        <v>0.85185185185185164</v>
      </c>
      <c r="J957" cm="1">
        <f t="array" ref="J957">INT(G957)+IF(100-SUM(INT(G$950:G$964))&gt;=RANK(I957,I$950:I$964)+COUNTIF(I$950:I957,I957)-1,1,0)</f>
        <v>2</v>
      </c>
      <c r="K957" t="str">
        <f>_xlfn.XLOOKUP(B957,BugList!A:A,BugList!H:H)</f>
        <v/>
      </c>
      <c r="L957" t="str">
        <f>IF(K957 = "","",_xlfn.XLOOKUP(B957, BugList!A:A,BugList!B:B,""))</f>
        <v/>
      </c>
      <c r="M957">
        <f>_xlfn.XLOOKUP(D957,BugList!C:C,BugList!N:N)</f>
        <v>8</v>
      </c>
      <c r="N957">
        <f>_xlfn.XLOOKUP(B957,BugList!A:A,BugList!R:R)</f>
        <v>8</v>
      </c>
      <c r="O957" t="b">
        <f>_xlfn.XLOOKUP(B957,BugList!A:A,BugList!L:L)</f>
        <v>0</v>
      </c>
      <c r="P957" t="b">
        <f t="shared" si="108"/>
        <v>0</v>
      </c>
      <c r="R957" t="b">
        <f>SUMPRODUCT(COUNTIF(_xlfn.XLOOKUP(B957,BugList!A:A,BugList!P:P), "*SC*"))&gt;0</f>
        <v>1</v>
      </c>
      <c r="S957" t="str">
        <f>_xlfn.XLOOKUP(B957,BugList!A:A,BugList!W:W)</f>
        <v/>
      </c>
      <c r="T957">
        <f t="shared" si="103"/>
        <v>16</v>
      </c>
      <c r="U957">
        <f t="shared" si="104"/>
        <v>16</v>
      </c>
    </row>
    <row r="958" spans="1:21">
      <c r="A958" t="s">
        <v>2672</v>
      </c>
      <c r="B958">
        <v>1578</v>
      </c>
      <c r="D958" t="s">
        <v>102</v>
      </c>
      <c r="E958" t="s">
        <v>102</v>
      </c>
      <c r="F958">
        <v>2</v>
      </c>
      <c r="G958">
        <f t="shared" si="105"/>
        <v>1.8518518518518516</v>
      </c>
      <c r="H958">
        <f t="shared" si="106"/>
        <v>1</v>
      </c>
      <c r="I958">
        <f t="shared" si="107"/>
        <v>0.85185185185185164</v>
      </c>
      <c r="J958" cm="1">
        <f t="array" ref="J958">INT(G958)+IF(100-SUM(INT(G$950:G$964))&gt;=RANK(I958,I$950:I$964)+COUNTIF(I$950:I958,I958)-1,1,0)</f>
        <v>2</v>
      </c>
      <c r="K958" t="str">
        <f>_xlfn.XLOOKUP(B958,BugList!A:A,BugList!H:H)</f>
        <v/>
      </c>
      <c r="L958" t="str">
        <f>IF(K958 = "","",_xlfn.XLOOKUP(B958, BugList!A:A,BugList!B:B,""))</f>
        <v/>
      </c>
      <c r="M958">
        <f>_xlfn.XLOOKUP(D958,BugList!C:C,BugList!N:N)</f>
        <v>7</v>
      </c>
      <c r="N958">
        <f>_xlfn.XLOOKUP(B958,BugList!A:A,BugList!R:R)</f>
        <v>7</v>
      </c>
      <c r="O958" t="b">
        <f>_xlfn.XLOOKUP(B958,BugList!A:A,BugList!L:L)</f>
        <v>0</v>
      </c>
      <c r="P958" t="b">
        <f t="shared" si="108"/>
        <v>0</v>
      </c>
      <c r="R958" t="b">
        <f>SUMPRODUCT(COUNTIF(_xlfn.XLOOKUP(B958,BugList!A:A,BugList!P:P), "*SC*"))&gt;0</f>
        <v>0</v>
      </c>
      <c r="S958" t="str">
        <f>_xlfn.XLOOKUP(B958,BugList!A:A,BugList!W:W)</f>
        <v/>
      </c>
      <c r="T958">
        <f t="shared" si="103"/>
        <v>14</v>
      </c>
      <c r="U958">
        <f t="shared" si="104"/>
        <v>14</v>
      </c>
    </row>
    <row r="959" spans="1:21">
      <c r="A959" t="s">
        <v>2672</v>
      </c>
      <c r="B959">
        <v>1582</v>
      </c>
      <c r="D959" t="s">
        <v>121</v>
      </c>
      <c r="E959" t="s">
        <v>121</v>
      </c>
      <c r="F959">
        <v>12</v>
      </c>
      <c r="G959">
        <f t="shared" si="105"/>
        <v>11.111111111111111</v>
      </c>
      <c r="H959">
        <f t="shared" si="106"/>
        <v>11</v>
      </c>
      <c r="I959">
        <f t="shared" si="107"/>
        <v>0.11111111111111072</v>
      </c>
      <c r="J959" cm="1">
        <f t="array" ref="J959">INT(G959)+IF(100-SUM(INT(G$950:G$964))&gt;=RANK(I959,I$950:I$964)+COUNTIF(I$950:I959,I959)-1,1,0)</f>
        <v>11</v>
      </c>
      <c r="K959" t="str">
        <f>_xlfn.XLOOKUP(B959,BugList!A:A,BugList!H:H)</f>
        <v/>
      </c>
      <c r="L959" t="str">
        <f>IF(K959 = "","",_xlfn.XLOOKUP(B959, BugList!A:A,BugList!B:B,""))</f>
        <v/>
      </c>
      <c r="M959">
        <f>_xlfn.XLOOKUP(D959,BugList!C:C,BugList!N:N)</f>
        <v>6</v>
      </c>
      <c r="N959">
        <f>_xlfn.XLOOKUP(B959,BugList!A:A,BugList!R:R)</f>
        <v>6</v>
      </c>
      <c r="O959" t="b">
        <f>_xlfn.XLOOKUP(B959,BugList!A:A,BugList!L:L)</f>
        <v>0</v>
      </c>
      <c r="P959" t="b">
        <f t="shared" si="108"/>
        <v>0</v>
      </c>
      <c r="R959" t="b">
        <f>SUMPRODUCT(COUNTIF(_xlfn.XLOOKUP(B959,BugList!A:A,BugList!P:P), "*SC*"))&gt;0</f>
        <v>1</v>
      </c>
      <c r="S959" t="str">
        <f>_xlfn.XLOOKUP(B959,BugList!A:A,BugList!W:W)</f>
        <v/>
      </c>
      <c r="T959">
        <f t="shared" si="103"/>
        <v>66</v>
      </c>
      <c r="U959">
        <f t="shared" si="104"/>
        <v>66</v>
      </c>
    </row>
    <row r="960" spans="1:21">
      <c r="A960" t="s">
        <v>2672</v>
      </c>
      <c r="B960">
        <v>1587</v>
      </c>
      <c r="D960" t="s">
        <v>91</v>
      </c>
      <c r="E960" t="s">
        <v>91</v>
      </c>
      <c r="F960">
        <v>3</v>
      </c>
      <c r="G960">
        <f t="shared" si="105"/>
        <v>2.7777777777777777</v>
      </c>
      <c r="H960">
        <f t="shared" si="106"/>
        <v>2</v>
      </c>
      <c r="I960">
        <f t="shared" si="107"/>
        <v>0.77777777777777768</v>
      </c>
      <c r="J960" cm="1">
        <f t="array" ref="J960">INT(G960)+IF(100-SUM(INT(G$950:G$964))&gt;=RANK(I960,I$950:I$964)+COUNTIF(I$950:I960,I960)-1,1,0)</f>
        <v>3</v>
      </c>
      <c r="K960" t="str">
        <f>_xlfn.XLOOKUP(B960,BugList!A:A,BugList!H:H)</f>
        <v/>
      </c>
      <c r="L960" t="str">
        <f>IF(K960 = "","",_xlfn.XLOOKUP(B960, BugList!A:A,BugList!B:B,""))</f>
        <v/>
      </c>
      <c r="M960">
        <f>_xlfn.XLOOKUP(D960,BugList!C:C,BugList!N:N)</f>
        <v>6</v>
      </c>
      <c r="N960">
        <f>_xlfn.XLOOKUP(B960,BugList!A:A,BugList!R:R)</f>
        <v>6</v>
      </c>
      <c r="O960" t="b">
        <f>_xlfn.XLOOKUP(B960,BugList!A:A,BugList!L:L)</f>
        <v>0</v>
      </c>
      <c r="P960" t="b">
        <f t="shared" si="108"/>
        <v>0</v>
      </c>
      <c r="R960" t="b">
        <f>SUMPRODUCT(COUNTIF(_xlfn.XLOOKUP(B960,BugList!A:A,BugList!P:P), "*SC*"))&gt;0</f>
        <v>0</v>
      </c>
      <c r="S960" t="str">
        <f>_xlfn.XLOOKUP(B960,BugList!A:A,BugList!W:W)</f>
        <v/>
      </c>
      <c r="T960">
        <f t="shared" si="103"/>
        <v>18</v>
      </c>
      <c r="U960">
        <f t="shared" si="104"/>
        <v>18</v>
      </c>
    </row>
    <row r="961" spans="1:21">
      <c r="A961" t="s">
        <v>2672</v>
      </c>
      <c r="B961">
        <v>1614</v>
      </c>
      <c r="D961" t="s">
        <v>92</v>
      </c>
      <c r="E961" t="s">
        <v>92</v>
      </c>
      <c r="F961">
        <v>2</v>
      </c>
      <c r="G961">
        <f t="shared" si="105"/>
        <v>1.8518518518518516</v>
      </c>
      <c r="H961">
        <f t="shared" si="106"/>
        <v>1</v>
      </c>
      <c r="I961">
        <f t="shared" si="107"/>
        <v>0.85185185185185164</v>
      </c>
      <c r="J961" cm="1">
        <f t="array" ref="J961">INT(G961)+IF(100-SUM(INT(G$950:G$964))&gt;=RANK(I961,I$950:I$964)+COUNTIF(I$950:I961,I961)-1,1,0)</f>
        <v>2</v>
      </c>
      <c r="K961" t="str">
        <f>_xlfn.XLOOKUP(B961,BugList!A:A,BugList!H:H)</f>
        <v/>
      </c>
      <c r="L961" t="str">
        <f>IF(K961 = "","",_xlfn.XLOOKUP(B961, BugList!A:A,BugList!B:B,""))</f>
        <v/>
      </c>
      <c r="M961">
        <f>_xlfn.XLOOKUP(D961,BugList!C:C,BugList!N:N)</f>
        <v>8</v>
      </c>
      <c r="N961">
        <f>_xlfn.XLOOKUP(B961,BugList!A:A,BugList!R:R)</f>
        <v>8</v>
      </c>
      <c r="O961" t="b">
        <f>_xlfn.XLOOKUP(B961,BugList!A:A,BugList!L:L)</f>
        <v>0</v>
      </c>
      <c r="P961" t="b">
        <f t="shared" si="108"/>
        <v>0</v>
      </c>
      <c r="R961" t="b">
        <f>SUMPRODUCT(COUNTIF(_xlfn.XLOOKUP(B961,BugList!A:A,BugList!P:P), "*SC*"))&gt;0</f>
        <v>0</v>
      </c>
      <c r="S961" t="str">
        <f>_xlfn.XLOOKUP(B961,BugList!A:A,BugList!W:W)</f>
        <v/>
      </c>
      <c r="T961">
        <f t="shared" si="103"/>
        <v>16</v>
      </c>
      <c r="U961">
        <f t="shared" si="104"/>
        <v>16</v>
      </c>
    </row>
    <row r="962" spans="1:21">
      <c r="A962" t="s">
        <v>2672</v>
      </c>
      <c r="B962">
        <v>1629</v>
      </c>
      <c r="D962" t="s">
        <v>93</v>
      </c>
      <c r="E962" t="s">
        <v>93</v>
      </c>
      <c r="F962">
        <v>1</v>
      </c>
      <c r="G962">
        <f t="shared" si="105"/>
        <v>0.92592592592592582</v>
      </c>
      <c r="H962">
        <f t="shared" si="106"/>
        <v>0</v>
      </c>
      <c r="I962">
        <f t="shared" si="107"/>
        <v>0.92592592592592582</v>
      </c>
      <c r="J962" cm="1">
        <f t="array" ref="J962">INT(G962)+IF(100-SUM(INT(G$950:G$964))&gt;=RANK(I962,I$950:I$964)+COUNTIF(I$950:I962,I962)-1,1,0)</f>
        <v>1</v>
      </c>
      <c r="K962" t="str">
        <f>_xlfn.XLOOKUP(B962,BugList!A:A,BugList!H:H)</f>
        <v/>
      </c>
      <c r="L962" t="str">
        <f>IF(K962 = "","",_xlfn.XLOOKUP(B962, BugList!A:A,BugList!B:B,""))</f>
        <v/>
      </c>
      <c r="M962">
        <f>_xlfn.XLOOKUP(D962,BugList!C:C,BugList!N:N)</f>
        <v>8</v>
      </c>
      <c r="N962">
        <f>_xlfn.XLOOKUP(B962,BugList!A:A,BugList!R:R)</f>
        <v>8</v>
      </c>
      <c r="O962" t="b">
        <f>_xlfn.XLOOKUP(B962,BugList!A:A,BugList!L:L)</f>
        <v>0</v>
      </c>
      <c r="P962" t="b">
        <f t="shared" si="108"/>
        <v>0</v>
      </c>
      <c r="R962" t="b">
        <f>SUMPRODUCT(COUNTIF(_xlfn.XLOOKUP(B962,BugList!A:A,BugList!P:P), "*SC*"))&gt;0</f>
        <v>0</v>
      </c>
      <c r="S962" t="str">
        <f>_xlfn.XLOOKUP(B962,BugList!A:A,BugList!W:W)</f>
        <v/>
      </c>
      <c r="T962">
        <f t="shared" ref="T962:T1025" si="109">J962*M962</f>
        <v>8</v>
      </c>
      <c r="U962">
        <f t="shared" ref="U962:U1025" si="110">J962*N962</f>
        <v>8</v>
      </c>
    </row>
    <row r="963" spans="1:21">
      <c r="A963" t="s">
        <v>2672</v>
      </c>
      <c r="B963">
        <v>1678</v>
      </c>
      <c r="D963" t="s">
        <v>166</v>
      </c>
      <c r="E963" t="s">
        <v>166</v>
      </c>
      <c r="F963">
        <v>2</v>
      </c>
      <c r="G963">
        <f t="shared" si="105"/>
        <v>1.8518518518518516</v>
      </c>
      <c r="H963">
        <f t="shared" si="106"/>
        <v>1</v>
      </c>
      <c r="I963">
        <f t="shared" si="107"/>
        <v>0.85185185185185164</v>
      </c>
      <c r="J963" cm="1">
        <f t="array" ref="J963">INT(G963)+IF(100-SUM(INT(G$950:G$964))&gt;=RANK(I963,I$950:I$964)+COUNTIF(I$950:I963,I963)-1,1,0)</f>
        <v>2</v>
      </c>
      <c r="K963" t="str">
        <f>_xlfn.XLOOKUP(B963,BugList!A:A,BugList!H:H)</f>
        <v/>
      </c>
      <c r="L963" t="str">
        <f>IF(K963 = "","",_xlfn.XLOOKUP(B963, BugList!A:A,BugList!B:B,""))</f>
        <v/>
      </c>
      <c r="M963">
        <f>_xlfn.XLOOKUP(D963,BugList!C:C,BugList!N:N)</f>
        <v>6</v>
      </c>
      <c r="N963">
        <f>_xlfn.XLOOKUP(B963,BugList!A:A,BugList!R:R)</f>
        <v>6</v>
      </c>
      <c r="O963" t="b">
        <f>_xlfn.XLOOKUP(B963,BugList!A:A,BugList!L:L)</f>
        <v>0</v>
      </c>
      <c r="P963" t="b">
        <f t="shared" si="108"/>
        <v>0</v>
      </c>
      <c r="R963" t="b">
        <f>SUMPRODUCT(COUNTIF(_xlfn.XLOOKUP(B963,BugList!A:A,BugList!P:P), "*SC*"))&gt;0</f>
        <v>1</v>
      </c>
      <c r="S963" t="str">
        <f>_xlfn.XLOOKUP(B963,BugList!A:A,BugList!W:W)</f>
        <v/>
      </c>
      <c r="T963">
        <f t="shared" si="109"/>
        <v>12</v>
      </c>
      <c r="U963">
        <f t="shared" si="110"/>
        <v>12</v>
      </c>
    </row>
    <row r="964" spans="1:21">
      <c r="A964" t="s">
        <v>2672</v>
      </c>
      <c r="B964">
        <v>1696</v>
      </c>
      <c r="D964" t="s">
        <v>94</v>
      </c>
      <c r="E964" t="s">
        <v>94</v>
      </c>
      <c r="F964">
        <v>3</v>
      </c>
      <c r="G964">
        <f t="shared" si="105"/>
        <v>2.7777777777777777</v>
      </c>
      <c r="H964">
        <f t="shared" si="106"/>
        <v>2</v>
      </c>
      <c r="I964">
        <f t="shared" si="107"/>
        <v>0.77777777777777768</v>
      </c>
      <c r="J964" cm="1">
        <f t="array" ref="J964">INT(G964)+IF(100-SUM(INT(G$950:G$964))&gt;=RANK(I964,I$950:I$964)+COUNTIF(I$950:I964,I964)-1,1,0)</f>
        <v>3</v>
      </c>
      <c r="K964" t="str">
        <f>_xlfn.XLOOKUP(B964,BugList!A:A,BugList!H:H)</f>
        <v/>
      </c>
      <c r="L964" t="str">
        <f>IF(K964 = "","",_xlfn.XLOOKUP(B964, BugList!A:A,BugList!B:B,""))</f>
        <v/>
      </c>
      <c r="M964">
        <f>_xlfn.XLOOKUP(D964,BugList!C:C,BugList!N:N)</f>
        <v>8</v>
      </c>
      <c r="N964">
        <f>_xlfn.XLOOKUP(B964,BugList!A:A,BugList!R:R)</f>
        <v>8</v>
      </c>
      <c r="O964" t="b">
        <f>_xlfn.XLOOKUP(B964,BugList!A:A,BugList!L:L)</f>
        <v>0</v>
      </c>
      <c r="P964" t="b">
        <f t="shared" si="108"/>
        <v>0</v>
      </c>
      <c r="R964" t="b">
        <f>SUMPRODUCT(COUNTIF(_xlfn.XLOOKUP(B964,BugList!A:A,BugList!P:P), "*SC*"))&gt;0</f>
        <v>0</v>
      </c>
      <c r="S964" t="str">
        <f>_xlfn.XLOOKUP(B964,BugList!A:A,BugList!W:W)</f>
        <v/>
      </c>
      <c r="T964">
        <f t="shared" si="109"/>
        <v>24</v>
      </c>
      <c r="U964">
        <f t="shared" si="110"/>
        <v>24</v>
      </c>
    </row>
    <row r="965" spans="1:21">
      <c r="A965" t="s">
        <v>2673</v>
      </c>
      <c r="B965">
        <v>88</v>
      </c>
      <c r="D965" t="s">
        <v>85</v>
      </c>
      <c r="E965" t="s">
        <v>85</v>
      </c>
      <c r="F965">
        <v>25</v>
      </c>
      <c r="G965">
        <f t="shared" si="105"/>
        <v>20.66115702479339</v>
      </c>
      <c r="H965">
        <f t="shared" si="106"/>
        <v>20</v>
      </c>
      <c r="I965">
        <f t="shared" si="107"/>
        <v>0.66115702479338978</v>
      </c>
      <c r="J965" cm="1">
        <f t="array" ref="J965">INT(G965)+IF(100-SUM(INT(G$965:G$975))&gt;=RANK(I965,I$965:I$975)+COUNTIF(I$965:I965,I965)-1,1,0)</f>
        <v>20</v>
      </c>
      <c r="K965" t="str">
        <f>_xlfn.XLOOKUP(B965,BugList!A:A,BugList!H:H)</f>
        <v/>
      </c>
      <c r="L965" t="str">
        <f>IF(K965 = "","",_xlfn.XLOOKUP(B965, BugList!A:A,BugList!B:B,""))</f>
        <v/>
      </c>
      <c r="M965">
        <f>_xlfn.XLOOKUP(D965,BugList!C:C,BugList!N:N)</f>
        <v>4</v>
      </c>
      <c r="N965">
        <f>_xlfn.XLOOKUP(B965,BugList!A:A,BugList!R:R)</f>
        <v>4</v>
      </c>
      <c r="O965" t="b">
        <f>_xlfn.XLOOKUP(B965,BugList!A:A,BugList!L:L)</f>
        <v>0</v>
      </c>
      <c r="P965" t="b">
        <f t="shared" si="108"/>
        <v>0</v>
      </c>
      <c r="R965" t="b">
        <f>SUMPRODUCT(COUNTIF(_xlfn.XLOOKUP(B965,BugList!A:A,BugList!P:P), "*SC*"))&gt;0</f>
        <v>0</v>
      </c>
      <c r="S965" t="str">
        <f>_xlfn.XLOOKUP(B965,BugList!A:A,BugList!W:W)</f>
        <v/>
      </c>
      <c r="T965">
        <f t="shared" si="109"/>
        <v>80</v>
      </c>
      <c r="U965">
        <f t="shared" si="110"/>
        <v>80</v>
      </c>
    </row>
    <row r="966" spans="1:21">
      <c r="A966" t="s">
        <v>2673</v>
      </c>
      <c r="B966">
        <v>99</v>
      </c>
      <c r="D966" t="s">
        <v>169</v>
      </c>
      <c r="E966" t="s">
        <v>169</v>
      </c>
      <c r="F966">
        <v>1</v>
      </c>
      <c r="G966">
        <f t="shared" si="105"/>
        <v>0.82644628099173556</v>
      </c>
      <c r="H966">
        <f t="shared" si="106"/>
        <v>0</v>
      </c>
      <c r="I966">
        <f t="shared" si="107"/>
        <v>0.82644628099173556</v>
      </c>
      <c r="J966" cm="1">
        <f t="array" ref="J966">INT(G966)+IF(100-SUM(INT(G$965:G$975))&gt;=RANK(I966,I$965:I$975)+COUNTIF(I$965:I966,I966)-1,1,0)</f>
        <v>1</v>
      </c>
      <c r="K966" t="str">
        <f>_xlfn.XLOOKUP(B966,BugList!A:A,BugList!H:H)</f>
        <v/>
      </c>
      <c r="L966" t="str">
        <f>IF(K966 = "","",_xlfn.XLOOKUP(B966, BugList!A:A,BugList!B:B,""))</f>
        <v/>
      </c>
      <c r="M966">
        <f>_xlfn.XLOOKUP(D966,BugList!C:C,BugList!N:N)</f>
        <v>5</v>
      </c>
      <c r="N966">
        <f>_xlfn.XLOOKUP(B966,BugList!A:A,BugList!R:R)</f>
        <v>5</v>
      </c>
      <c r="O966" t="b">
        <f>_xlfn.XLOOKUP(B966,BugList!A:A,BugList!L:L)</f>
        <v>0</v>
      </c>
      <c r="P966" t="b">
        <f t="shared" si="108"/>
        <v>0</v>
      </c>
      <c r="R966" t="b">
        <f>SUMPRODUCT(COUNTIF(_xlfn.XLOOKUP(B966,BugList!A:A,BugList!P:P), "*SC*"))&gt;0</f>
        <v>0</v>
      </c>
      <c r="S966" t="str">
        <f>_xlfn.XLOOKUP(B966,BugList!A:A,BugList!W:W)</f>
        <v/>
      </c>
      <c r="T966">
        <f t="shared" si="109"/>
        <v>5</v>
      </c>
      <c r="U966">
        <f t="shared" si="110"/>
        <v>5</v>
      </c>
    </row>
    <row r="967" spans="1:21">
      <c r="A967" t="s">
        <v>2673</v>
      </c>
      <c r="B967">
        <v>372</v>
      </c>
      <c r="D967" t="s">
        <v>88</v>
      </c>
      <c r="E967" t="s">
        <v>88</v>
      </c>
      <c r="F967">
        <v>7</v>
      </c>
      <c r="G967">
        <f t="shared" si="105"/>
        <v>5.785123966942149</v>
      </c>
      <c r="H967">
        <f t="shared" si="106"/>
        <v>5</v>
      </c>
      <c r="I967">
        <f t="shared" si="107"/>
        <v>0.78512396694214903</v>
      </c>
      <c r="J967" cm="1">
        <f t="array" ref="J967">INT(G967)+IF(100-SUM(INT(G$965:G$975))&gt;=RANK(I967,I$965:I$975)+COUNTIF(I$965:I967,I967)-1,1,0)</f>
        <v>6</v>
      </c>
      <c r="K967" t="str">
        <f>_xlfn.XLOOKUP(B967,BugList!A:A,BugList!H:H)</f>
        <v/>
      </c>
      <c r="L967" t="str">
        <f>IF(K967 = "","",_xlfn.XLOOKUP(B967, BugList!A:A,BugList!B:B,""))</f>
        <v/>
      </c>
      <c r="M967">
        <f>_xlfn.XLOOKUP(D967,BugList!C:C,BugList!N:N)</f>
        <v>8</v>
      </c>
      <c r="N967">
        <f>_xlfn.XLOOKUP(B967,BugList!A:A,BugList!R:R)</f>
        <v>8</v>
      </c>
      <c r="O967" t="b">
        <f>_xlfn.XLOOKUP(B967,BugList!A:A,BugList!L:L)</f>
        <v>0</v>
      </c>
      <c r="P967" t="b">
        <f t="shared" si="108"/>
        <v>0</v>
      </c>
      <c r="R967" t="b">
        <f>SUMPRODUCT(COUNTIF(_xlfn.XLOOKUP(B967,BugList!A:A,BugList!P:P), "*SC*"))&gt;0</f>
        <v>0</v>
      </c>
      <c r="S967" t="str">
        <f>_xlfn.XLOOKUP(B967,BugList!A:A,BugList!W:W)</f>
        <v/>
      </c>
      <c r="T967">
        <f t="shared" si="109"/>
        <v>48</v>
      </c>
      <c r="U967">
        <f t="shared" si="110"/>
        <v>48</v>
      </c>
    </row>
    <row r="968" spans="1:21">
      <c r="A968" t="s">
        <v>2673</v>
      </c>
      <c r="B968">
        <v>513</v>
      </c>
      <c r="D968" t="s">
        <v>111</v>
      </c>
      <c r="E968" t="s">
        <v>111</v>
      </c>
      <c r="F968">
        <v>1</v>
      </c>
      <c r="G968">
        <f t="shared" si="105"/>
        <v>0.82644628099173556</v>
      </c>
      <c r="H968">
        <f t="shared" si="106"/>
        <v>0</v>
      </c>
      <c r="I968">
        <f t="shared" si="107"/>
        <v>0.82644628099173556</v>
      </c>
      <c r="J968" cm="1">
        <f t="array" ref="J968">INT(G968)+IF(100-SUM(INT(G$965:G$975))&gt;=RANK(I968,I$965:I$975)+COUNTIF(I$965:I968,I968)-1,1,0)</f>
        <v>1</v>
      </c>
      <c r="K968" t="str">
        <f>_xlfn.XLOOKUP(B968,BugList!A:A,BugList!H:H)</f>
        <v>*</v>
      </c>
      <c r="L968" t="str">
        <f>IF(K968 = "","",_xlfn.XLOOKUP(B968, BugList!A:A,BugList!B:B,""))</f>
        <v>Ephemeroptera</v>
      </c>
      <c r="M968">
        <f>_xlfn.XLOOKUP(D968,BugList!C:C,BugList!N:N)</f>
        <v>4</v>
      </c>
      <c r="N968">
        <f>_xlfn.XLOOKUP(B968,BugList!A:A,BugList!R:R)</f>
        <v>4</v>
      </c>
      <c r="O968" t="b">
        <f>_xlfn.XLOOKUP(B968,BugList!A:A,BugList!L:L)</f>
        <v>1</v>
      </c>
      <c r="P968" t="b">
        <f t="shared" si="108"/>
        <v>1</v>
      </c>
      <c r="R968" t="b">
        <f>SUMPRODUCT(COUNTIF(_xlfn.XLOOKUP(B968,BugList!A:A,BugList!P:P), "*SC*"))&gt;0</f>
        <v>1</v>
      </c>
      <c r="S968" t="str">
        <f>_xlfn.XLOOKUP(B968,BugList!A:A,BugList!W:W)</f>
        <v/>
      </c>
      <c r="T968">
        <f t="shared" si="109"/>
        <v>4</v>
      </c>
      <c r="U968">
        <f t="shared" si="110"/>
        <v>4</v>
      </c>
    </row>
    <row r="969" spans="1:21">
      <c r="A969" t="s">
        <v>2673</v>
      </c>
      <c r="B969">
        <v>602</v>
      </c>
      <c r="D969" t="s">
        <v>97</v>
      </c>
      <c r="E969" t="s">
        <v>97</v>
      </c>
      <c r="F969">
        <v>1</v>
      </c>
      <c r="G969">
        <f t="shared" si="105"/>
        <v>0.82644628099173556</v>
      </c>
      <c r="H969">
        <f t="shared" si="106"/>
        <v>0</v>
      </c>
      <c r="I969">
        <f t="shared" si="107"/>
        <v>0.82644628099173556</v>
      </c>
      <c r="J969" cm="1">
        <f t="array" ref="J969">INT(G969)+IF(100-SUM(INT(G$965:G$975))&gt;=RANK(I969,I$965:I$975)+COUNTIF(I$965:I969,I969)-1,1,0)</f>
        <v>1</v>
      </c>
      <c r="K969" t="str">
        <f>_xlfn.XLOOKUP(B969,BugList!A:A,BugList!H:H)</f>
        <v/>
      </c>
      <c r="L969" t="str">
        <f>IF(K969 = "","",_xlfn.XLOOKUP(B969, BugList!A:A,BugList!B:B,""))</f>
        <v/>
      </c>
      <c r="M969">
        <f>_xlfn.XLOOKUP(D969,BugList!C:C,BugList!N:N)</f>
        <v>9</v>
      </c>
      <c r="N969">
        <f>_xlfn.XLOOKUP(B969,BugList!A:A,BugList!R:R)</f>
        <v>9</v>
      </c>
      <c r="O969" t="b">
        <f>_xlfn.XLOOKUP(B969,BugList!A:A,BugList!L:L)</f>
        <v>1</v>
      </c>
      <c r="P969" t="b">
        <f t="shared" si="108"/>
        <v>0</v>
      </c>
      <c r="R969" t="b">
        <f>SUMPRODUCT(COUNTIF(_xlfn.XLOOKUP(B969,BugList!A:A,BugList!P:P), "*SC*"))&gt;0</f>
        <v>0</v>
      </c>
      <c r="S969" t="str">
        <f>_xlfn.XLOOKUP(B969,BugList!A:A,BugList!W:W)</f>
        <v/>
      </c>
      <c r="T969">
        <f t="shared" si="109"/>
        <v>9</v>
      </c>
      <c r="U969">
        <f t="shared" si="110"/>
        <v>9</v>
      </c>
    </row>
    <row r="970" spans="1:21">
      <c r="A970" t="s">
        <v>2673</v>
      </c>
      <c r="B970">
        <v>620</v>
      </c>
      <c r="D970" t="s">
        <v>113</v>
      </c>
      <c r="E970" t="s">
        <v>113</v>
      </c>
      <c r="F970">
        <v>1</v>
      </c>
      <c r="G970">
        <f t="shared" si="105"/>
        <v>0.82644628099173556</v>
      </c>
      <c r="H970">
        <f t="shared" si="106"/>
        <v>0</v>
      </c>
      <c r="I970">
        <f t="shared" si="107"/>
        <v>0.82644628099173556</v>
      </c>
      <c r="J970" cm="1">
        <f t="array" ref="J970">INT(G970)+IF(100-SUM(INT(G$965:G$975))&gt;=RANK(I970,I$965:I$975)+COUNTIF(I$965:I970,I970)-1,1,0)</f>
        <v>1</v>
      </c>
      <c r="K970" t="str">
        <f>_xlfn.XLOOKUP(B970,BugList!A:A,BugList!H:H)</f>
        <v/>
      </c>
      <c r="L970" t="str">
        <f>IF(K970 = "","",_xlfn.XLOOKUP(B970, BugList!A:A,BugList!B:B,""))</f>
        <v/>
      </c>
      <c r="M970">
        <f>_xlfn.XLOOKUP(D970,BugList!C:C,BugList!N:N)</f>
        <v>1</v>
      </c>
      <c r="N970">
        <f>_xlfn.XLOOKUP(B970,BugList!A:A,BugList!R:R)</f>
        <v>1</v>
      </c>
      <c r="O970" t="b">
        <f>_xlfn.XLOOKUP(B970,BugList!A:A,BugList!L:L)</f>
        <v>1</v>
      </c>
      <c r="P970" t="b">
        <f t="shared" si="108"/>
        <v>0</v>
      </c>
      <c r="R970" t="b">
        <f>SUMPRODUCT(COUNTIF(_xlfn.XLOOKUP(B970,BugList!A:A,BugList!P:P), "*SC*"))&gt;0</f>
        <v>0</v>
      </c>
      <c r="S970" t="str">
        <f>_xlfn.XLOOKUP(B970,BugList!A:A,BugList!W:W)</f>
        <v>3</v>
      </c>
      <c r="T970">
        <f t="shared" si="109"/>
        <v>1</v>
      </c>
      <c r="U970">
        <f t="shared" si="110"/>
        <v>1</v>
      </c>
    </row>
    <row r="971" spans="1:21">
      <c r="A971" t="s">
        <v>2673</v>
      </c>
      <c r="B971">
        <v>935</v>
      </c>
      <c r="D971" t="s">
        <v>98</v>
      </c>
      <c r="E971" t="s">
        <v>98</v>
      </c>
      <c r="F971">
        <v>1</v>
      </c>
      <c r="G971">
        <f t="shared" si="105"/>
        <v>0.82644628099173556</v>
      </c>
      <c r="H971">
        <f t="shared" si="106"/>
        <v>0</v>
      </c>
      <c r="I971">
        <f t="shared" si="107"/>
        <v>0.82644628099173556</v>
      </c>
      <c r="J971" cm="1">
        <f t="array" ref="J971">INT(G971)+IF(100-SUM(INT(G$965:G$975))&gt;=RANK(I971,I$965:I$975)+COUNTIF(I$965:I971,I971)-1,1,0)</f>
        <v>1</v>
      </c>
      <c r="K971" t="str">
        <f>_xlfn.XLOOKUP(B971,BugList!A:A,BugList!H:H)</f>
        <v/>
      </c>
      <c r="L971" t="str">
        <f>IF(K971 = "","",_xlfn.XLOOKUP(B971, BugList!A:A,BugList!B:B,""))</f>
        <v/>
      </c>
      <c r="M971">
        <f>_xlfn.XLOOKUP(D971,BugList!C:C,BugList!N:N)</f>
        <v>4</v>
      </c>
      <c r="N971">
        <f>_xlfn.XLOOKUP(B971,BugList!A:A,BugList!R:R)</f>
        <v>4</v>
      </c>
      <c r="O971" t="b">
        <f>_xlfn.XLOOKUP(B971,BugList!A:A,BugList!L:L)</f>
        <v>1</v>
      </c>
      <c r="P971" t="b">
        <f t="shared" si="108"/>
        <v>0</v>
      </c>
      <c r="R971" t="b">
        <f>SUMPRODUCT(COUNTIF(_xlfn.XLOOKUP(B971,BugList!A:A,BugList!P:P), "*SC*"))&gt;0</f>
        <v>1</v>
      </c>
      <c r="S971" t="str">
        <f>_xlfn.XLOOKUP(B971,BugList!A:A,BugList!W:W)</f>
        <v/>
      </c>
      <c r="T971">
        <f t="shared" si="109"/>
        <v>4</v>
      </c>
      <c r="U971">
        <f t="shared" si="110"/>
        <v>4</v>
      </c>
    </row>
    <row r="972" spans="1:21">
      <c r="A972" t="s">
        <v>2673</v>
      </c>
      <c r="B972">
        <v>1002</v>
      </c>
      <c r="D972" t="s">
        <v>100</v>
      </c>
      <c r="E972" t="s">
        <v>100</v>
      </c>
      <c r="F972">
        <v>43</v>
      </c>
      <c r="G972">
        <f t="shared" si="105"/>
        <v>35.537190082644628</v>
      </c>
      <c r="H972">
        <f t="shared" si="106"/>
        <v>35</v>
      </c>
      <c r="I972">
        <f t="shared" si="107"/>
        <v>0.53719008264462786</v>
      </c>
      <c r="J972" cm="1">
        <f t="array" ref="J972">INT(G972)+IF(100-SUM(INT(G$965:G$975))&gt;=RANK(I972,I$965:I$975)+COUNTIF(I$965:I972,I972)-1,1,0)</f>
        <v>35</v>
      </c>
      <c r="K972" t="str">
        <f>_xlfn.XLOOKUP(B972,BugList!A:A,BugList!H:H)</f>
        <v/>
      </c>
      <c r="L972" t="str">
        <f>IF(K972 = "","",_xlfn.XLOOKUP(B972, BugList!A:A,BugList!B:B,""))</f>
        <v/>
      </c>
      <c r="M972">
        <f>_xlfn.XLOOKUP(D972,BugList!C:C,BugList!N:N)</f>
        <v>4</v>
      </c>
      <c r="N972">
        <f>_xlfn.XLOOKUP(B972,BugList!A:A,BugList!R:R)</f>
        <v>4</v>
      </c>
      <c r="O972" t="b">
        <f>_xlfn.XLOOKUP(B972,BugList!A:A,BugList!L:L)</f>
        <v>1</v>
      </c>
      <c r="P972" t="b">
        <f t="shared" si="108"/>
        <v>0</v>
      </c>
      <c r="R972" t="b">
        <f>SUMPRODUCT(COUNTIF(_xlfn.XLOOKUP(B972,BugList!A:A,BugList!P:P), "*SC*"))&gt;0</f>
        <v>1</v>
      </c>
      <c r="S972" t="str">
        <f>_xlfn.XLOOKUP(B972,BugList!A:A,BugList!W:W)</f>
        <v/>
      </c>
      <c r="T972">
        <f t="shared" si="109"/>
        <v>140</v>
      </c>
      <c r="U972">
        <f t="shared" si="110"/>
        <v>140</v>
      </c>
    </row>
    <row r="973" spans="1:21">
      <c r="A973" t="s">
        <v>2673</v>
      </c>
      <c r="B973">
        <v>1578</v>
      </c>
      <c r="D973" t="s">
        <v>102</v>
      </c>
      <c r="E973" t="s">
        <v>102</v>
      </c>
      <c r="F973">
        <v>7</v>
      </c>
      <c r="G973">
        <f t="shared" si="105"/>
        <v>5.785123966942149</v>
      </c>
      <c r="H973">
        <f t="shared" si="106"/>
        <v>5</v>
      </c>
      <c r="I973">
        <f t="shared" si="107"/>
        <v>0.78512396694214903</v>
      </c>
      <c r="J973" cm="1">
        <f t="array" ref="J973">INT(G973)+IF(100-SUM(INT(G$965:G$975))&gt;=RANK(I973,I$965:I$975)+COUNTIF(I$965:I973,I973)-1,1,0)</f>
        <v>6</v>
      </c>
      <c r="K973" t="str">
        <f>_xlfn.XLOOKUP(B973,BugList!A:A,BugList!H:H)</f>
        <v/>
      </c>
      <c r="L973" t="str">
        <f>IF(K973 = "","",_xlfn.XLOOKUP(B973, BugList!A:A,BugList!B:B,""))</f>
        <v/>
      </c>
      <c r="M973">
        <f>_xlfn.XLOOKUP(D973,BugList!C:C,BugList!N:N)</f>
        <v>7</v>
      </c>
      <c r="N973">
        <f>_xlfn.XLOOKUP(B973,BugList!A:A,BugList!R:R)</f>
        <v>7</v>
      </c>
      <c r="O973" t="b">
        <f>_xlfn.XLOOKUP(B973,BugList!A:A,BugList!L:L)</f>
        <v>0</v>
      </c>
      <c r="P973" t="b">
        <f t="shared" si="108"/>
        <v>0</v>
      </c>
      <c r="R973" t="b">
        <f>SUMPRODUCT(COUNTIF(_xlfn.XLOOKUP(B973,BugList!A:A,BugList!P:P), "*SC*"))&gt;0</f>
        <v>0</v>
      </c>
      <c r="S973" t="str">
        <f>_xlfn.XLOOKUP(B973,BugList!A:A,BugList!W:W)</f>
        <v/>
      </c>
      <c r="T973">
        <f t="shared" si="109"/>
        <v>42</v>
      </c>
      <c r="U973">
        <f t="shared" si="110"/>
        <v>42</v>
      </c>
    </row>
    <row r="974" spans="1:21">
      <c r="A974" t="s">
        <v>2673</v>
      </c>
      <c r="B974">
        <v>1582</v>
      </c>
      <c r="D974" t="s">
        <v>121</v>
      </c>
      <c r="E974" t="s">
        <v>121</v>
      </c>
      <c r="F974">
        <v>18</v>
      </c>
      <c r="G974">
        <f t="shared" si="105"/>
        <v>14.87603305785124</v>
      </c>
      <c r="H974">
        <f t="shared" si="106"/>
        <v>14</v>
      </c>
      <c r="I974">
        <f t="shared" si="107"/>
        <v>0.87603305785123986</v>
      </c>
      <c r="J974" cm="1">
        <f t="array" ref="J974">INT(G974)+IF(100-SUM(INT(G$965:G$975))&gt;=RANK(I974,I$965:I$975)+COUNTIF(I$965:I974,I974)-1,1,0)</f>
        <v>15</v>
      </c>
      <c r="K974" t="str">
        <f>_xlfn.XLOOKUP(B974,BugList!A:A,BugList!H:H)</f>
        <v/>
      </c>
      <c r="L974" t="str">
        <f>IF(K974 = "","",_xlfn.XLOOKUP(B974, BugList!A:A,BugList!B:B,""))</f>
        <v/>
      </c>
      <c r="M974">
        <f>_xlfn.XLOOKUP(D974,BugList!C:C,BugList!N:N)</f>
        <v>6</v>
      </c>
      <c r="N974">
        <f>_xlfn.XLOOKUP(B974,BugList!A:A,BugList!R:R)</f>
        <v>6</v>
      </c>
      <c r="O974" t="b">
        <f>_xlfn.XLOOKUP(B974,BugList!A:A,BugList!L:L)</f>
        <v>0</v>
      </c>
      <c r="P974" t="b">
        <f t="shared" si="108"/>
        <v>0</v>
      </c>
      <c r="R974" t="b">
        <f>SUMPRODUCT(COUNTIF(_xlfn.XLOOKUP(B974,BugList!A:A,BugList!P:P), "*SC*"))&gt;0</f>
        <v>1</v>
      </c>
      <c r="S974" t="str">
        <f>_xlfn.XLOOKUP(B974,BugList!A:A,BugList!W:W)</f>
        <v/>
      </c>
      <c r="T974">
        <f t="shared" si="109"/>
        <v>90</v>
      </c>
      <c r="U974">
        <f t="shared" si="110"/>
        <v>90</v>
      </c>
    </row>
    <row r="975" spans="1:21">
      <c r="A975" t="s">
        <v>2673</v>
      </c>
      <c r="B975">
        <v>1614</v>
      </c>
      <c r="D975" t="s">
        <v>92</v>
      </c>
      <c r="E975" t="s">
        <v>92</v>
      </c>
      <c r="F975">
        <v>16</v>
      </c>
      <c r="G975">
        <f t="shared" si="105"/>
        <v>13.223140495867769</v>
      </c>
      <c r="H975">
        <f t="shared" si="106"/>
        <v>13</v>
      </c>
      <c r="I975">
        <f t="shared" si="107"/>
        <v>0.22314049586776896</v>
      </c>
      <c r="J975" cm="1">
        <f t="array" ref="J975">INT(G975)+IF(100-SUM(INT(G$965:G$975))&gt;=RANK(I975,I$965:I$975)+COUNTIF(I$965:I975,I975)-1,1,0)</f>
        <v>13</v>
      </c>
      <c r="K975" t="str">
        <f>_xlfn.XLOOKUP(B975,BugList!A:A,BugList!H:H)</f>
        <v/>
      </c>
      <c r="L975" t="str">
        <f>IF(K975 = "","",_xlfn.XLOOKUP(B975, BugList!A:A,BugList!B:B,""))</f>
        <v/>
      </c>
      <c r="M975">
        <f>_xlfn.XLOOKUP(D975,BugList!C:C,BugList!N:N)</f>
        <v>8</v>
      </c>
      <c r="N975">
        <f>_xlfn.XLOOKUP(B975,BugList!A:A,BugList!R:R)</f>
        <v>8</v>
      </c>
      <c r="O975" t="b">
        <f>_xlfn.XLOOKUP(B975,BugList!A:A,BugList!L:L)</f>
        <v>0</v>
      </c>
      <c r="P975" t="b">
        <f t="shared" si="108"/>
        <v>0</v>
      </c>
      <c r="R975" t="b">
        <f>SUMPRODUCT(COUNTIF(_xlfn.XLOOKUP(B975,BugList!A:A,BugList!P:P), "*SC*"))&gt;0</f>
        <v>0</v>
      </c>
      <c r="S975" t="str">
        <f>_xlfn.XLOOKUP(B975,BugList!A:A,BugList!W:W)</f>
        <v/>
      </c>
      <c r="T975">
        <f t="shared" si="109"/>
        <v>104</v>
      </c>
      <c r="U975">
        <f t="shared" si="110"/>
        <v>104</v>
      </c>
    </row>
    <row r="976" spans="1:21">
      <c r="A976" t="s">
        <v>2674</v>
      </c>
      <c r="B976">
        <v>88</v>
      </c>
      <c r="D976" t="s">
        <v>85</v>
      </c>
      <c r="E976" t="s">
        <v>85</v>
      </c>
      <c r="F976">
        <v>9</v>
      </c>
      <c r="G976">
        <f t="shared" ref="G976:G1039" si="111">(F976/(SUMIFS(F:F,A:A,A976))*100)</f>
        <v>7.4380165289256199</v>
      </c>
      <c r="H976">
        <f t="shared" ref="H976:H1039" si="112">INT(G976)</f>
        <v>7</v>
      </c>
      <c r="I976">
        <f t="shared" ref="I976:I1039" si="113">G976-H976</f>
        <v>0.43801652892561993</v>
      </c>
      <c r="J976" cm="1">
        <f t="array" ref="J976">INT(G976)+IF(100-SUM(INT(G$976:G$985))&gt;=RANK(I976,I$976:I$985)+COUNTIF(I$976:I976,I976)-1,1,0)</f>
        <v>7</v>
      </c>
      <c r="K976" t="str">
        <f>_xlfn.XLOOKUP(B976,BugList!A:A,BugList!H:H)</f>
        <v/>
      </c>
      <c r="L976" t="str">
        <f>IF(K976 = "","",_xlfn.XLOOKUP(B976, BugList!A:A,BugList!B:B,""))</f>
        <v/>
      </c>
      <c r="M976">
        <f>_xlfn.XLOOKUP(D976,BugList!C:C,BugList!N:N)</f>
        <v>4</v>
      </c>
      <c r="N976">
        <f>_xlfn.XLOOKUP(B976,BugList!A:A,BugList!R:R)</f>
        <v>4</v>
      </c>
      <c r="O976" t="b">
        <f>_xlfn.XLOOKUP(B976,BugList!A:A,BugList!L:L)</f>
        <v>0</v>
      </c>
      <c r="P976" t="b">
        <f t="shared" si="108"/>
        <v>0</v>
      </c>
      <c r="R976" t="b">
        <f>SUMPRODUCT(COUNTIF(_xlfn.XLOOKUP(B976,BugList!A:A,BugList!P:P), "*SC*"))&gt;0</f>
        <v>0</v>
      </c>
      <c r="S976" t="str">
        <f>_xlfn.XLOOKUP(B976,BugList!A:A,BugList!W:W)</f>
        <v/>
      </c>
      <c r="T976">
        <f t="shared" si="109"/>
        <v>28</v>
      </c>
      <c r="U976">
        <f t="shared" si="110"/>
        <v>28</v>
      </c>
    </row>
    <row r="977" spans="1:21">
      <c r="A977" t="s">
        <v>2674</v>
      </c>
      <c r="B977">
        <v>99</v>
      </c>
      <c r="D977" t="s">
        <v>169</v>
      </c>
      <c r="E977" t="s">
        <v>169</v>
      </c>
      <c r="F977">
        <v>3</v>
      </c>
      <c r="G977">
        <f t="shared" si="111"/>
        <v>2.4793388429752068</v>
      </c>
      <c r="H977">
        <f t="shared" si="112"/>
        <v>2</v>
      </c>
      <c r="I977">
        <f t="shared" si="113"/>
        <v>0.47933884297520679</v>
      </c>
      <c r="J977" cm="1">
        <f t="array" ref="J977">INT(G977)+IF(100-SUM(INT(G$976:G$985))&gt;=RANK(I977,I$976:I$985)+COUNTIF(I$976:I977,I977)-1,1,0)</f>
        <v>3</v>
      </c>
      <c r="K977" t="str">
        <f>_xlfn.XLOOKUP(B977,BugList!A:A,BugList!H:H)</f>
        <v/>
      </c>
      <c r="L977" t="str">
        <f>IF(K977 = "","",_xlfn.XLOOKUP(B977, BugList!A:A,BugList!B:B,""))</f>
        <v/>
      </c>
      <c r="M977">
        <f>_xlfn.XLOOKUP(D977,BugList!C:C,BugList!N:N)</f>
        <v>5</v>
      </c>
      <c r="N977">
        <f>_xlfn.XLOOKUP(B977,BugList!A:A,BugList!R:R)</f>
        <v>5</v>
      </c>
      <c r="O977" t="b">
        <f>_xlfn.XLOOKUP(B977,BugList!A:A,BugList!L:L)</f>
        <v>0</v>
      </c>
      <c r="P977" t="b">
        <f t="shared" si="108"/>
        <v>0</v>
      </c>
      <c r="R977" t="b">
        <f>SUMPRODUCT(COUNTIF(_xlfn.XLOOKUP(B977,BugList!A:A,BugList!P:P), "*SC*"))&gt;0</f>
        <v>0</v>
      </c>
      <c r="S977" t="str">
        <f>_xlfn.XLOOKUP(B977,BugList!A:A,BugList!W:W)</f>
        <v/>
      </c>
      <c r="T977">
        <f t="shared" si="109"/>
        <v>15</v>
      </c>
      <c r="U977">
        <f t="shared" si="110"/>
        <v>15</v>
      </c>
    </row>
    <row r="978" spans="1:21">
      <c r="A978" t="s">
        <v>2674</v>
      </c>
      <c r="B978">
        <v>469</v>
      </c>
      <c r="D978" t="s">
        <v>154</v>
      </c>
      <c r="E978" t="s">
        <v>154</v>
      </c>
      <c r="F978">
        <v>1</v>
      </c>
      <c r="G978">
        <f t="shared" si="111"/>
        <v>0.82644628099173556</v>
      </c>
      <c r="H978">
        <f t="shared" si="112"/>
        <v>0</v>
      </c>
      <c r="I978">
        <f t="shared" si="113"/>
        <v>0.82644628099173556</v>
      </c>
      <c r="J978" cm="1">
        <f t="array" ref="J978">INT(G978)+IF(100-SUM(INT(G$976:G$985))&gt;=RANK(I978,I$976:I$985)+COUNTIF(I$976:I978,I978)-1,1,0)</f>
        <v>1</v>
      </c>
      <c r="K978" t="str">
        <f>_xlfn.XLOOKUP(B978,BugList!A:A,BugList!H:H)</f>
        <v>*</v>
      </c>
      <c r="L978" t="str">
        <f>IF(K978 = "","",_xlfn.XLOOKUP(B978, BugList!A:A,BugList!B:B,""))</f>
        <v>Ephemeroptera</v>
      </c>
      <c r="M978">
        <f>_xlfn.XLOOKUP(D978,BugList!C:C,BugList!N:N)</f>
        <v>7</v>
      </c>
      <c r="N978">
        <f>_xlfn.XLOOKUP(B978,BugList!A:A,BugList!R:R)</f>
        <v>7</v>
      </c>
      <c r="O978" t="b">
        <f>_xlfn.XLOOKUP(B978,BugList!A:A,BugList!L:L)</f>
        <v>1</v>
      </c>
      <c r="P978" t="b">
        <f t="shared" si="108"/>
        <v>1</v>
      </c>
      <c r="R978" t="b">
        <f>SUMPRODUCT(COUNTIF(_xlfn.XLOOKUP(B978,BugList!A:A,BugList!P:P), "*SC*"))&gt;0</f>
        <v>0</v>
      </c>
      <c r="S978" t="str">
        <f>_xlfn.XLOOKUP(B978,BugList!A:A,BugList!W:W)</f>
        <v/>
      </c>
      <c r="T978">
        <f t="shared" si="109"/>
        <v>7</v>
      </c>
      <c r="U978">
        <f t="shared" si="110"/>
        <v>7</v>
      </c>
    </row>
    <row r="979" spans="1:21">
      <c r="A979" t="s">
        <v>2674</v>
      </c>
      <c r="B979">
        <v>935</v>
      </c>
      <c r="D979" t="s">
        <v>98</v>
      </c>
      <c r="E979" t="s">
        <v>98</v>
      </c>
      <c r="F979">
        <v>1</v>
      </c>
      <c r="G979">
        <f t="shared" si="111"/>
        <v>0.82644628099173556</v>
      </c>
      <c r="H979">
        <f t="shared" si="112"/>
        <v>0</v>
      </c>
      <c r="I979">
        <f t="shared" si="113"/>
        <v>0.82644628099173556</v>
      </c>
      <c r="J979" cm="1">
        <f t="array" ref="J979">INT(G979)+IF(100-SUM(INT(G$976:G$985))&gt;=RANK(I979,I$976:I$985)+COUNTIF(I$976:I979,I979)-1,1,0)</f>
        <v>1</v>
      </c>
      <c r="K979" t="str">
        <f>_xlfn.XLOOKUP(B979,BugList!A:A,BugList!H:H)</f>
        <v/>
      </c>
      <c r="L979" t="str">
        <f>IF(K979 = "","",_xlfn.XLOOKUP(B979, BugList!A:A,BugList!B:B,""))</f>
        <v/>
      </c>
      <c r="M979">
        <f>_xlfn.XLOOKUP(D979,BugList!C:C,BugList!N:N)</f>
        <v>4</v>
      </c>
      <c r="N979">
        <f>_xlfn.XLOOKUP(B979,BugList!A:A,BugList!R:R)</f>
        <v>4</v>
      </c>
      <c r="O979" t="b">
        <f>_xlfn.XLOOKUP(B979,BugList!A:A,BugList!L:L)</f>
        <v>1</v>
      </c>
      <c r="P979" t="b">
        <f t="shared" si="108"/>
        <v>0</v>
      </c>
      <c r="R979" t="b">
        <f>SUMPRODUCT(COUNTIF(_xlfn.XLOOKUP(B979,BugList!A:A,BugList!P:P), "*SC*"))&gt;0</f>
        <v>1</v>
      </c>
      <c r="S979" t="str">
        <f>_xlfn.XLOOKUP(B979,BugList!A:A,BugList!W:W)</f>
        <v/>
      </c>
      <c r="T979">
        <f t="shared" si="109"/>
        <v>4</v>
      </c>
      <c r="U979">
        <f t="shared" si="110"/>
        <v>4</v>
      </c>
    </row>
    <row r="980" spans="1:21">
      <c r="A980" t="s">
        <v>2674</v>
      </c>
      <c r="B980">
        <v>1002</v>
      </c>
      <c r="D980" t="s">
        <v>100</v>
      </c>
      <c r="E980" t="s">
        <v>100</v>
      </c>
      <c r="F980">
        <v>6</v>
      </c>
      <c r="G980">
        <f t="shared" si="111"/>
        <v>4.9586776859504136</v>
      </c>
      <c r="H980">
        <f t="shared" si="112"/>
        <v>4</v>
      </c>
      <c r="I980">
        <f t="shared" si="113"/>
        <v>0.95867768595041358</v>
      </c>
      <c r="J980" cm="1">
        <f t="array" ref="J980">INT(G980)+IF(100-SUM(INT(G$976:G$985))&gt;=RANK(I980,I$976:I$985)+COUNTIF(I$976:I980,I980)-1,1,0)</f>
        <v>5</v>
      </c>
      <c r="K980" t="str">
        <f>_xlfn.XLOOKUP(B980,BugList!A:A,BugList!H:H)</f>
        <v/>
      </c>
      <c r="L980" t="str">
        <f>IF(K980 = "","",_xlfn.XLOOKUP(B980, BugList!A:A,BugList!B:B,""))</f>
        <v/>
      </c>
      <c r="M980">
        <f>_xlfn.XLOOKUP(D980,BugList!C:C,BugList!N:N)</f>
        <v>4</v>
      </c>
      <c r="N980">
        <f>_xlfn.XLOOKUP(B980,BugList!A:A,BugList!R:R)</f>
        <v>4</v>
      </c>
      <c r="O980" t="b">
        <f>_xlfn.XLOOKUP(B980,BugList!A:A,BugList!L:L)</f>
        <v>1</v>
      </c>
      <c r="P980" t="b">
        <f t="shared" si="108"/>
        <v>0</v>
      </c>
      <c r="R980" t="b">
        <f>SUMPRODUCT(COUNTIF(_xlfn.XLOOKUP(B980,BugList!A:A,BugList!P:P), "*SC*"))&gt;0</f>
        <v>1</v>
      </c>
      <c r="S980" t="str">
        <f>_xlfn.XLOOKUP(B980,BugList!A:A,BugList!W:W)</f>
        <v/>
      </c>
      <c r="T980">
        <f t="shared" si="109"/>
        <v>20</v>
      </c>
      <c r="U980">
        <f t="shared" si="110"/>
        <v>20</v>
      </c>
    </row>
    <row r="981" spans="1:21">
      <c r="A981" t="s">
        <v>2674</v>
      </c>
      <c r="B981">
        <v>1089</v>
      </c>
      <c r="D981" t="s">
        <v>126</v>
      </c>
      <c r="E981" t="s">
        <v>127</v>
      </c>
      <c r="F981">
        <v>87</v>
      </c>
      <c r="G981">
        <f t="shared" si="111"/>
        <v>71.900826446281002</v>
      </c>
      <c r="H981">
        <f t="shared" si="112"/>
        <v>71</v>
      </c>
      <c r="I981">
        <f t="shared" si="113"/>
        <v>0.90082644628100184</v>
      </c>
      <c r="J981" cm="1">
        <f t="array" ref="J981">INT(G981)+IF(100-SUM(INT(G$976:G$985))&gt;=RANK(I981,I$976:I$985)+COUNTIF(I$976:I981,I981)-1,1,0)</f>
        <v>72</v>
      </c>
      <c r="K981" t="str">
        <f>_xlfn.XLOOKUP(B981,BugList!A:A,BugList!H:H)</f>
        <v/>
      </c>
      <c r="L981" t="str">
        <f>IF(K981 = "","",_xlfn.XLOOKUP(B981, BugList!A:A,BugList!B:B,""))</f>
        <v/>
      </c>
      <c r="M981">
        <f>_xlfn.XLOOKUP(D981,BugList!C:C,BugList!N:N)</f>
        <v>8</v>
      </c>
      <c r="N981">
        <f>_xlfn.XLOOKUP(B981,BugList!A:A,BugList!R:R)</f>
        <v>10</v>
      </c>
      <c r="O981" t="b">
        <f>_xlfn.XLOOKUP(B981,BugList!A:A,BugList!L:L)</f>
        <v>1</v>
      </c>
      <c r="P981" t="b">
        <f t="shared" si="108"/>
        <v>0</v>
      </c>
      <c r="R981" t="b">
        <f>SUMPRODUCT(COUNTIF(_xlfn.XLOOKUP(B981,BugList!A:A,BugList!P:P), "*SC*"))&gt;0</f>
        <v>0</v>
      </c>
      <c r="S981" t="str">
        <f>_xlfn.XLOOKUP(B981,BugList!A:A,BugList!W:W)</f>
        <v/>
      </c>
      <c r="T981">
        <f t="shared" si="109"/>
        <v>576</v>
      </c>
      <c r="U981">
        <f t="shared" si="110"/>
        <v>720</v>
      </c>
    </row>
    <row r="982" spans="1:21">
      <c r="A982" t="s">
        <v>2674</v>
      </c>
      <c r="B982">
        <v>1578</v>
      </c>
      <c r="D982" t="s">
        <v>102</v>
      </c>
      <c r="E982" t="s">
        <v>102</v>
      </c>
      <c r="F982">
        <v>1</v>
      </c>
      <c r="G982">
        <f t="shared" si="111"/>
        <v>0.82644628099173556</v>
      </c>
      <c r="H982">
        <f t="shared" si="112"/>
        <v>0</v>
      </c>
      <c r="I982">
        <f t="shared" si="113"/>
        <v>0.82644628099173556</v>
      </c>
      <c r="J982" cm="1">
        <f t="array" ref="J982">INT(G982)+IF(100-SUM(INT(G$976:G$985))&gt;=RANK(I982,I$976:I$985)+COUNTIF(I$976:I982,I982)-1,1,0)</f>
        <v>1</v>
      </c>
      <c r="K982" t="str">
        <f>_xlfn.XLOOKUP(B982,BugList!A:A,BugList!H:H)</f>
        <v/>
      </c>
      <c r="L982" t="str">
        <f>IF(K982 = "","",_xlfn.XLOOKUP(B982, BugList!A:A,BugList!B:B,""))</f>
        <v/>
      </c>
      <c r="M982">
        <f>_xlfn.XLOOKUP(D982,BugList!C:C,BugList!N:N)</f>
        <v>7</v>
      </c>
      <c r="N982">
        <f>_xlfn.XLOOKUP(B982,BugList!A:A,BugList!R:R)</f>
        <v>7</v>
      </c>
      <c r="O982" t="b">
        <f>_xlfn.XLOOKUP(B982,BugList!A:A,BugList!L:L)</f>
        <v>0</v>
      </c>
      <c r="P982" t="b">
        <f t="shared" si="108"/>
        <v>0</v>
      </c>
      <c r="R982" t="b">
        <f>SUMPRODUCT(COUNTIF(_xlfn.XLOOKUP(B982,BugList!A:A,BugList!P:P), "*SC*"))&gt;0</f>
        <v>0</v>
      </c>
      <c r="S982" t="str">
        <f>_xlfn.XLOOKUP(B982,BugList!A:A,BugList!W:W)</f>
        <v/>
      </c>
      <c r="T982">
        <f t="shared" si="109"/>
        <v>7</v>
      </c>
      <c r="U982">
        <f t="shared" si="110"/>
        <v>7</v>
      </c>
    </row>
    <row r="983" spans="1:21">
      <c r="A983" t="s">
        <v>2674</v>
      </c>
      <c r="B983">
        <v>1582</v>
      </c>
      <c r="D983" t="s">
        <v>121</v>
      </c>
      <c r="E983" t="s">
        <v>121</v>
      </c>
      <c r="F983">
        <v>6</v>
      </c>
      <c r="G983">
        <f t="shared" si="111"/>
        <v>4.9586776859504136</v>
      </c>
      <c r="H983">
        <f t="shared" si="112"/>
        <v>4</v>
      </c>
      <c r="I983">
        <f t="shared" si="113"/>
        <v>0.95867768595041358</v>
      </c>
      <c r="J983" cm="1">
        <f t="array" ref="J983">INT(G983)+IF(100-SUM(INT(G$976:G$985))&gt;=RANK(I983,I$976:I$985)+COUNTIF(I$976:I983,I983)-1,1,0)</f>
        <v>5</v>
      </c>
      <c r="K983" t="str">
        <f>_xlfn.XLOOKUP(B983,BugList!A:A,BugList!H:H)</f>
        <v/>
      </c>
      <c r="L983" t="str">
        <f>IF(K983 = "","",_xlfn.XLOOKUP(B983, BugList!A:A,BugList!B:B,""))</f>
        <v/>
      </c>
      <c r="M983">
        <f>_xlfn.XLOOKUP(D983,BugList!C:C,BugList!N:N)</f>
        <v>6</v>
      </c>
      <c r="N983">
        <f>_xlfn.XLOOKUP(B983,BugList!A:A,BugList!R:R)</f>
        <v>6</v>
      </c>
      <c r="O983" t="b">
        <f>_xlfn.XLOOKUP(B983,BugList!A:A,BugList!L:L)</f>
        <v>0</v>
      </c>
      <c r="P983" t="b">
        <f t="shared" si="108"/>
        <v>0</v>
      </c>
      <c r="R983" t="b">
        <f>SUMPRODUCT(COUNTIF(_xlfn.XLOOKUP(B983,BugList!A:A,BugList!P:P), "*SC*"))&gt;0</f>
        <v>1</v>
      </c>
      <c r="S983" t="str">
        <f>_xlfn.XLOOKUP(B983,BugList!A:A,BugList!W:W)</f>
        <v/>
      </c>
      <c r="T983">
        <f t="shared" si="109"/>
        <v>30</v>
      </c>
      <c r="U983">
        <f t="shared" si="110"/>
        <v>30</v>
      </c>
    </row>
    <row r="984" spans="1:21">
      <c r="A984" t="s">
        <v>2674</v>
      </c>
      <c r="B984">
        <v>1614</v>
      </c>
      <c r="D984" t="s">
        <v>92</v>
      </c>
      <c r="E984" t="s">
        <v>92</v>
      </c>
      <c r="F984">
        <v>3</v>
      </c>
      <c r="G984">
        <f t="shared" si="111"/>
        <v>2.4793388429752068</v>
      </c>
      <c r="H984">
        <f t="shared" si="112"/>
        <v>2</v>
      </c>
      <c r="I984">
        <f t="shared" si="113"/>
        <v>0.47933884297520679</v>
      </c>
      <c r="J984" cm="1">
        <f t="array" ref="J984">INT(G984)+IF(100-SUM(INT(G$976:G$985))&gt;=RANK(I984,I$976:I$985)+COUNTIF(I$976:I984,I984)-1,1,0)</f>
        <v>2</v>
      </c>
      <c r="K984" t="str">
        <f>_xlfn.XLOOKUP(B984,BugList!A:A,BugList!H:H)</f>
        <v/>
      </c>
      <c r="L984" t="str">
        <f>IF(K984 = "","",_xlfn.XLOOKUP(B984, BugList!A:A,BugList!B:B,""))</f>
        <v/>
      </c>
      <c r="M984">
        <f>_xlfn.XLOOKUP(D984,BugList!C:C,BugList!N:N)</f>
        <v>8</v>
      </c>
      <c r="N984">
        <f>_xlfn.XLOOKUP(B984,BugList!A:A,BugList!R:R)</f>
        <v>8</v>
      </c>
      <c r="O984" t="b">
        <f>_xlfn.XLOOKUP(B984,BugList!A:A,BugList!L:L)</f>
        <v>0</v>
      </c>
      <c r="P984" t="b">
        <f t="shared" si="108"/>
        <v>0</v>
      </c>
      <c r="R984" t="b">
        <f>SUMPRODUCT(COUNTIF(_xlfn.XLOOKUP(B984,BugList!A:A,BugList!P:P), "*SC*"))&gt;0</f>
        <v>0</v>
      </c>
      <c r="S984" t="str">
        <f>_xlfn.XLOOKUP(B984,BugList!A:A,BugList!W:W)</f>
        <v/>
      </c>
      <c r="T984">
        <f t="shared" si="109"/>
        <v>16</v>
      </c>
      <c r="U984">
        <f t="shared" si="110"/>
        <v>16</v>
      </c>
    </row>
    <row r="985" spans="1:21">
      <c r="A985" t="s">
        <v>2674</v>
      </c>
      <c r="B985">
        <v>1678</v>
      </c>
      <c r="D985" t="s">
        <v>166</v>
      </c>
      <c r="E985" t="s">
        <v>166</v>
      </c>
      <c r="F985">
        <v>4</v>
      </c>
      <c r="G985">
        <f t="shared" si="111"/>
        <v>3.3057851239669422</v>
      </c>
      <c r="H985">
        <f t="shared" si="112"/>
        <v>3</v>
      </c>
      <c r="I985">
        <f t="shared" si="113"/>
        <v>0.30578512396694224</v>
      </c>
      <c r="J985" cm="1">
        <f t="array" ref="J985">INT(G985)+IF(100-SUM(INT(G$976:G$985))&gt;=RANK(I985,I$976:I$985)+COUNTIF(I$976:I985,I985)-1,1,0)</f>
        <v>3</v>
      </c>
      <c r="K985" t="str">
        <f>_xlfn.XLOOKUP(B985,BugList!A:A,BugList!H:H)</f>
        <v/>
      </c>
      <c r="L985" t="str">
        <f>IF(K985 = "","",_xlfn.XLOOKUP(B985, BugList!A:A,BugList!B:B,""))</f>
        <v/>
      </c>
      <c r="M985">
        <f>_xlfn.XLOOKUP(D985,BugList!C:C,BugList!N:N)</f>
        <v>6</v>
      </c>
      <c r="N985">
        <f>_xlfn.XLOOKUP(B985,BugList!A:A,BugList!R:R)</f>
        <v>6</v>
      </c>
      <c r="O985" t="b">
        <f>_xlfn.XLOOKUP(B985,BugList!A:A,BugList!L:L)</f>
        <v>0</v>
      </c>
      <c r="P985" t="b">
        <f t="shared" si="108"/>
        <v>0</v>
      </c>
      <c r="R985" t="b">
        <f>SUMPRODUCT(COUNTIF(_xlfn.XLOOKUP(B985,BugList!A:A,BugList!P:P), "*SC*"))&gt;0</f>
        <v>1</v>
      </c>
      <c r="S985" t="str">
        <f>_xlfn.XLOOKUP(B985,BugList!A:A,BugList!W:W)</f>
        <v/>
      </c>
      <c r="T985">
        <f t="shared" si="109"/>
        <v>18</v>
      </c>
      <c r="U985">
        <f t="shared" si="110"/>
        <v>18</v>
      </c>
    </row>
    <row r="986" spans="1:21">
      <c r="A986" t="s">
        <v>2675</v>
      </c>
      <c r="B986">
        <v>88</v>
      </c>
      <c r="D986" t="s">
        <v>85</v>
      </c>
      <c r="E986" t="s">
        <v>85</v>
      </c>
      <c r="F986">
        <v>15</v>
      </c>
      <c r="G986">
        <f t="shared" si="111"/>
        <v>12.711864406779661</v>
      </c>
      <c r="H986">
        <f t="shared" si="112"/>
        <v>12</v>
      </c>
      <c r="I986">
        <f t="shared" si="113"/>
        <v>0.7118644067796609</v>
      </c>
      <c r="J986" cm="1">
        <f t="array" ref="J986">INT(G986)+IF(100-SUM(INT(G$986:G$997))&gt;=RANK(I986,I$986:I$997)+COUNTIF(I$986:I986,I986)-1,1,0)</f>
        <v>13</v>
      </c>
      <c r="K986" t="str">
        <f>_xlfn.XLOOKUP(B986,BugList!A:A,BugList!H:H)</f>
        <v/>
      </c>
      <c r="L986" t="str">
        <f>IF(K986 = "","",_xlfn.XLOOKUP(B986, BugList!A:A,BugList!B:B,""))</f>
        <v/>
      </c>
      <c r="M986">
        <f>_xlfn.XLOOKUP(D986,BugList!C:C,BugList!N:N)</f>
        <v>4</v>
      </c>
      <c r="N986">
        <f>_xlfn.XLOOKUP(B986,BugList!A:A,BugList!R:R)</f>
        <v>4</v>
      </c>
      <c r="O986" t="b">
        <f>_xlfn.XLOOKUP(B986,BugList!A:A,BugList!L:L)</f>
        <v>0</v>
      </c>
      <c r="P986" t="b">
        <f t="shared" si="108"/>
        <v>0</v>
      </c>
      <c r="R986" t="b">
        <f>SUMPRODUCT(COUNTIF(_xlfn.XLOOKUP(B986,BugList!A:A,BugList!P:P), "*SC*"))&gt;0</f>
        <v>0</v>
      </c>
      <c r="S986" t="str">
        <f>_xlfn.XLOOKUP(B986,BugList!A:A,BugList!W:W)</f>
        <v/>
      </c>
      <c r="T986">
        <f t="shared" si="109"/>
        <v>52</v>
      </c>
      <c r="U986">
        <f t="shared" si="110"/>
        <v>52</v>
      </c>
    </row>
    <row r="987" spans="1:21">
      <c r="A987" t="s">
        <v>2675</v>
      </c>
      <c r="B987">
        <v>99</v>
      </c>
      <c r="D987" t="s">
        <v>169</v>
      </c>
      <c r="E987" t="s">
        <v>169</v>
      </c>
      <c r="F987">
        <v>4</v>
      </c>
      <c r="G987">
        <f t="shared" si="111"/>
        <v>3.3898305084745761</v>
      </c>
      <c r="H987">
        <f t="shared" si="112"/>
        <v>3</v>
      </c>
      <c r="I987">
        <f t="shared" si="113"/>
        <v>0.38983050847457612</v>
      </c>
      <c r="J987" cm="1">
        <f t="array" ref="J987">INT(G987)+IF(100-SUM(INT(G$986:G$997))&gt;=RANK(I987,I$986:I$997)+COUNTIF(I$986:I987,I987)-1,1,0)</f>
        <v>3</v>
      </c>
      <c r="K987" t="str">
        <f>_xlfn.XLOOKUP(B987,BugList!A:A,BugList!H:H)</f>
        <v/>
      </c>
      <c r="L987" t="str">
        <f>IF(K987 = "","",_xlfn.XLOOKUP(B987, BugList!A:A,BugList!B:B,""))</f>
        <v/>
      </c>
      <c r="M987">
        <f>_xlfn.XLOOKUP(D987,BugList!C:C,BugList!N:N)</f>
        <v>5</v>
      </c>
      <c r="N987">
        <f>_xlfn.XLOOKUP(B987,BugList!A:A,BugList!R:R)</f>
        <v>5</v>
      </c>
      <c r="O987" t="b">
        <f>_xlfn.XLOOKUP(B987,BugList!A:A,BugList!L:L)</f>
        <v>0</v>
      </c>
      <c r="P987" t="b">
        <f t="shared" si="108"/>
        <v>0</v>
      </c>
      <c r="R987" t="b">
        <f>SUMPRODUCT(COUNTIF(_xlfn.XLOOKUP(B987,BugList!A:A,BugList!P:P), "*SC*"))&gt;0</f>
        <v>0</v>
      </c>
      <c r="S987" t="str">
        <f>_xlfn.XLOOKUP(B987,BugList!A:A,BugList!W:W)</f>
        <v/>
      </c>
      <c r="T987">
        <f t="shared" si="109"/>
        <v>15</v>
      </c>
      <c r="U987">
        <f t="shared" si="110"/>
        <v>15</v>
      </c>
    </row>
    <row r="988" spans="1:21">
      <c r="A988" t="s">
        <v>2675</v>
      </c>
      <c r="B988">
        <v>450</v>
      </c>
      <c r="D988" t="s">
        <v>96</v>
      </c>
      <c r="E988" t="s">
        <v>96</v>
      </c>
      <c r="F988">
        <v>1</v>
      </c>
      <c r="G988">
        <f t="shared" si="111"/>
        <v>0.84745762711864403</v>
      </c>
      <c r="H988">
        <f t="shared" si="112"/>
        <v>0</v>
      </c>
      <c r="I988">
        <f t="shared" si="113"/>
        <v>0.84745762711864403</v>
      </c>
      <c r="J988" cm="1">
        <f t="array" ref="J988">INT(G988)+IF(100-SUM(INT(G$986:G$997))&gt;=RANK(I988,I$986:I$997)+COUNTIF(I$986:I988,I988)-1,1,0)</f>
        <v>1</v>
      </c>
      <c r="K988" t="str">
        <f>_xlfn.XLOOKUP(B988,BugList!A:A,BugList!H:H)</f>
        <v>*</v>
      </c>
      <c r="L988" t="str">
        <f>IF(K988 = "","",_xlfn.XLOOKUP(B988, BugList!A:A,BugList!B:B,""))</f>
        <v>Ephemeroptera</v>
      </c>
      <c r="M988">
        <f>_xlfn.XLOOKUP(D988,BugList!C:C,BugList!N:N)</f>
        <v>4</v>
      </c>
      <c r="N988">
        <f>_xlfn.XLOOKUP(B988,BugList!A:A,BugList!R:R)</f>
        <v>4</v>
      </c>
      <c r="O988" t="b">
        <f>_xlfn.XLOOKUP(B988,BugList!A:A,BugList!L:L)</f>
        <v>1</v>
      </c>
      <c r="P988" t="b">
        <f t="shared" si="108"/>
        <v>1</v>
      </c>
      <c r="R988" t="b">
        <f>SUMPRODUCT(COUNTIF(_xlfn.XLOOKUP(B988,BugList!A:A,BugList!P:P), "*SC*"))&gt;0</f>
        <v>1</v>
      </c>
      <c r="S988" t="str">
        <f>_xlfn.XLOOKUP(B988,BugList!A:A,BugList!W:W)</f>
        <v>3</v>
      </c>
      <c r="T988">
        <f t="shared" si="109"/>
        <v>4</v>
      </c>
      <c r="U988">
        <f t="shared" si="110"/>
        <v>4</v>
      </c>
    </row>
    <row r="989" spans="1:21">
      <c r="A989" t="s">
        <v>2675</v>
      </c>
      <c r="B989">
        <v>513</v>
      </c>
      <c r="D989" t="s">
        <v>111</v>
      </c>
      <c r="E989" t="s">
        <v>111</v>
      </c>
      <c r="F989">
        <v>8</v>
      </c>
      <c r="G989">
        <f t="shared" si="111"/>
        <v>6.7796610169491522</v>
      </c>
      <c r="H989">
        <f t="shared" si="112"/>
        <v>6</v>
      </c>
      <c r="I989">
        <f t="shared" si="113"/>
        <v>0.77966101694915224</v>
      </c>
      <c r="J989" cm="1">
        <f t="array" ref="J989">INT(G989)+IF(100-SUM(INT(G$986:G$997))&gt;=RANK(I989,I$986:I$997)+COUNTIF(I$986:I989,I989)-1,1,0)</f>
        <v>7</v>
      </c>
      <c r="K989" t="str">
        <f>_xlfn.XLOOKUP(B989,BugList!A:A,BugList!H:H)</f>
        <v>*</v>
      </c>
      <c r="L989" t="str">
        <f>IF(K989 = "","",_xlfn.XLOOKUP(B989, BugList!A:A,BugList!B:B,""))</f>
        <v>Ephemeroptera</v>
      </c>
      <c r="M989">
        <f>_xlfn.XLOOKUP(D989,BugList!C:C,BugList!N:N)</f>
        <v>4</v>
      </c>
      <c r="N989">
        <f>_xlfn.XLOOKUP(B989,BugList!A:A,BugList!R:R)</f>
        <v>4</v>
      </c>
      <c r="O989" t="b">
        <f>_xlfn.XLOOKUP(B989,BugList!A:A,BugList!L:L)</f>
        <v>1</v>
      </c>
      <c r="P989" t="b">
        <f t="shared" si="108"/>
        <v>1</v>
      </c>
      <c r="R989" t="b">
        <f>SUMPRODUCT(COUNTIF(_xlfn.XLOOKUP(B989,BugList!A:A,BugList!P:P), "*SC*"))&gt;0</f>
        <v>1</v>
      </c>
      <c r="S989" t="str">
        <f>_xlfn.XLOOKUP(B989,BugList!A:A,BugList!W:W)</f>
        <v/>
      </c>
      <c r="T989">
        <f t="shared" si="109"/>
        <v>28</v>
      </c>
      <c r="U989">
        <f t="shared" si="110"/>
        <v>28</v>
      </c>
    </row>
    <row r="990" spans="1:21">
      <c r="A990" t="s">
        <v>2675</v>
      </c>
      <c r="B990">
        <v>521</v>
      </c>
      <c r="D990" t="s">
        <v>869</v>
      </c>
      <c r="E990" t="s">
        <v>869</v>
      </c>
      <c r="F990">
        <v>1</v>
      </c>
      <c r="G990">
        <f t="shared" si="111"/>
        <v>0.84745762711864403</v>
      </c>
      <c r="H990">
        <f t="shared" si="112"/>
        <v>0</v>
      </c>
      <c r="I990">
        <f t="shared" si="113"/>
        <v>0.84745762711864403</v>
      </c>
      <c r="J990" cm="1">
        <f t="array" ref="J990">INT(G990)+IF(100-SUM(INT(G$986:G$997))&gt;=RANK(I990,I$986:I$997)+COUNTIF(I$986:I990,I990)-1,1,0)</f>
        <v>1</v>
      </c>
      <c r="K990" t="str">
        <f>_xlfn.XLOOKUP(B990,BugList!A:A,BugList!H:H)</f>
        <v>*</v>
      </c>
      <c r="L990" t="str">
        <f>IF(K990 = "","",_xlfn.XLOOKUP(B990, BugList!A:A,BugList!B:B,""))</f>
        <v>Ephemeroptera</v>
      </c>
      <c r="M990">
        <f>_xlfn.XLOOKUP(D990,BugList!C:C,BugList!N:N)</f>
        <v>2</v>
      </c>
      <c r="N990">
        <f>_xlfn.XLOOKUP(B990,BugList!A:A,BugList!R:R)</f>
        <v>2</v>
      </c>
      <c r="O990" t="b">
        <f>_xlfn.XLOOKUP(B990,BugList!A:A,BugList!L:L)</f>
        <v>1</v>
      </c>
      <c r="P990" t="b">
        <f t="shared" si="108"/>
        <v>1</v>
      </c>
      <c r="R990" t="b">
        <f>SUMPRODUCT(COUNTIF(_xlfn.XLOOKUP(B990,BugList!A:A,BugList!P:P), "*SC*"))&gt;0</f>
        <v>0</v>
      </c>
      <c r="S990" t="str">
        <f>_xlfn.XLOOKUP(B990,BugList!A:A,BugList!W:W)</f>
        <v/>
      </c>
      <c r="T990">
        <f t="shared" si="109"/>
        <v>2</v>
      </c>
      <c r="U990">
        <f t="shared" si="110"/>
        <v>2</v>
      </c>
    </row>
    <row r="991" spans="1:21">
      <c r="A991" t="s">
        <v>2675</v>
      </c>
      <c r="B991">
        <v>794</v>
      </c>
      <c r="D991" t="s">
        <v>89</v>
      </c>
      <c r="E991" t="s">
        <v>89</v>
      </c>
      <c r="F991">
        <v>41</v>
      </c>
      <c r="G991">
        <f t="shared" si="111"/>
        <v>34.745762711864408</v>
      </c>
      <c r="H991">
        <f t="shared" si="112"/>
        <v>34</v>
      </c>
      <c r="I991">
        <f t="shared" si="113"/>
        <v>0.74576271186440835</v>
      </c>
      <c r="J991" cm="1">
        <f t="array" ref="J991">INT(G991)+IF(100-SUM(INT(G$986:G$997))&gt;=RANK(I991,I$986:I$997)+COUNTIF(I$986:I991,I991)-1,1,0)</f>
        <v>35</v>
      </c>
      <c r="K991" t="str">
        <f>_xlfn.XLOOKUP(B991,BugList!A:A,BugList!H:H)</f>
        <v>*</v>
      </c>
      <c r="L991" t="str">
        <f>IF(K991 = "","",_xlfn.XLOOKUP(B991, BugList!A:A,BugList!B:B,""))</f>
        <v>Trichoptera</v>
      </c>
      <c r="M991">
        <f>_xlfn.XLOOKUP(D991,BugList!C:C,BugList!N:N)</f>
        <v>4</v>
      </c>
      <c r="N991">
        <f>_xlfn.XLOOKUP(B991,BugList!A:A,BugList!R:R)</f>
        <v>4</v>
      </c>
      <c r="O991" t="b">
        <f>_xlfn.XLOOKUP(B991,BugList!A:A,BugList!L:L)</f>
        <v>1</v>
      </c>
      <c r="P991" t="b">
        <f t="shared" si="108"/>
        <v>0</v>
      </c>
      <c r="R991" t="b">
        <f>SUMPRODUCT(COUNTIF(_xlfn.XLOOKUP(B991,BugList!A:A,BugList!P:P), "*SC*"))&gt;0</f>
        <v>0</v>
      </c>
      <c r="S991" t="str">
        <f>_xlfn.XLOOKUP(B991,BugList!A:A,BugList!W:W)</f>
        <v/>
      </c>
      <c r="T991">
        <f t="shared" si="109"/>
        <v>140</v>
      </c>
      <c r="U991">
        <f t="shared" si="110"/>
        <v>140</v>
      </c>
    </row>
    <row r="992" spans="1:21">
      <c r="A992" t="s">
        <v>2675</v>
      </c>
      <c r="B992">
        <v>796</v>
      </c>
      <c r="D992" t="s">
        <v>1263</v>
      </c>
      <c r="E992" t="s">
        <v>1263</v>
      </c>
      <c r="F992">
        <v>1</v>
      </c>
      <c r="G992">
        <f t="shared" si="111"/>
        <v>0.84745762711864403</v>
      </c>
      <c r="H992">
        <f t="shared" si="112"/>
        <v>0</v>
      </c>
      <c r="I992">
        <f t="shared" si="113"/>
        <v>0.84745762711864403</v>
      </c>
      <c r="J992" cm="1">
        <f t="array" ref="J992">INT(G992)+IF(100-SUM(INT(G$986:G$997))&gt;=RANK(I992,I$986:I$997)+COUNTIF(I$986:I992,I992)-1,1,0)</f>
        <v>1</v>
      </c>
      <c r="K992" t="str">
        <f>_xlfn.XLOOKUP(B992,BugList!A:A,BugList!H:H)</f>
        <v>*</v>
      </c>
      <c r="L992" t="str">
        <f>IF(K992 = "","",_xlfn.XLOOKUP(B992, BugList!A:A,BugList!B:B,""))</f>
        <v>Trichoptera</v>
      </c>
      <c r="M992">
        <f>_xlfn.XLOOKUP(D992,BugList!C:C,BugList!N:N)</f>
        <v>4</v>
      </c>
      <c r="N992">
        <f>_xlfn.XLOOKUP(B992,BugList!A:A,BugList!R:R)</f>
        <v>4</v>
      </c>
      <c r="O992" t="b">
        <f>_xlfn.XLOOKUP(B992,BugList!A:A,BugList!L:L)</f>
        <v>1</v>
      </c>
      <c r="P992" t="b">
        <f t="shared" si="108"/>
        <v>1</v>
      </c>
      <c r="R992" t="b">
        <f>SUMPRODUCT(COUNTIF(_xlfn.XLOOKUP(B992,BugList!A:A,BugList!P:P), "*SC*"))&gt;0</f>
        <v>0</v>
      </c>
      <c r="S992" t="str">
        <f>_xlfn.XLOOKUP(B992,BugList!A:A,BugList!W:W)</f>
        <v/>
      </c>
      <c r="T992">
        <f t="shared" si="109"/>
        <v>4</v>
      </c>
      <c r="U992">
        <f t="shared" si="110"/>
        <v>4</v>
      </c>
    </row>
    <row r="993" spans="1:21">
      <c r="A993" t="s">
        <v>2675</v>
      </c>
      <c r="B993">
        <v>930</v>
      </c>
      <c r="D993" t="s">
        <v>1503</v>
      </c>
      <c r="E993" t="s">
        <v>1503</v>
      </c>
      <c r="F993">
        <v>1</v>
      </c>
      <c r="G993">
        <f t="shared" si="111"/>
        <v>0.84745762711864403</v>
      </c>
      <c r="H993">
        <f t="shared" si="112"/>
        <v>0</v>
      </c>
      <c r="I993">
        <f t="shared" si="113"/>
        <v>0.84745762711864403</v>
      </c>
      <c r="J993" cm="1">
        <f t="array" ref="J993">INT(G993)+IF(100-SUM(INT(G$986:G$997))&gt;=RANK(I993,I$986:I$997)+COUNTIF(I$986:I993,I993)-1,1,0)</f>
        <v>1</v>
      </c>
      <c r="K993" t="str">
        <f>_xlfn.XLOOKUP(B993,BugList!A:A,BugList!H:H)</f>
        <v/>
      </c>
      <c r="L993" t="str">
        <f>IF(K993 = "","",_xlfn.XLOOKUP(B993, BugList!A:A,BugList!B:B,""))</f>
        <v/>
      </c>
      <c r="M993">
        <f>_xlfn.XLOOKUP(D993,BugList!C:C,BugList!N:N)</f>
        <v>5</v>
      </c>
      <c r="N993">
        <f>_xlfn.XLOOKUP(B993,BugList!A:A,BugList!R:R)</f>
        <v>5</v>
      </c>
      <c r="O993" t="b">
        <f>_xlfn.XLOOKUP(B993,BugList!A:A,BugList!L:L)</f>
        <v>1</v>
      </c>
      <c r="P993" t="b">
        <f t="shared" si="108"/>
        <v>0</v>
      </c>
      <c r="R993" t="b">
        <f>SUMPRODUCT(COUNTIF(_xlfn.XLOOKUP(B993,BugList!A:A,BugList!P:P), "*SC*"))&gt;0</f>
        <v>0</v>
      </c>
      <c r="S993" t="str">
        <f>_xlfn.XLOOKUP(B993,BugList!A:A,BugList!W:W)</f>
        <v/>
      </c>
      <c r="T993">
        <f t="shared" si="109"/>
        <v>5</v>
      </c>
      <c r="U993">
        <f t="shared" si="110"/>
        <v>5</v>
      </c>
    </row>
    <row r="994" spans="1:21">
      <c r="A994" t="s">
        <v>2675</v>
      </c>
      <c r="B994">
        <v>935</v>
      </c>
      <c r="D994" t="s">
        <v>98</v>
      </c>
      <c r="E994" t="s">
        <v>98</v>
      </c>
      <c r="F994">
        <v>18</v>
      </c>
      <c r="G994">
        <f t="shared" si="111"/>
        <v>15.254237288135593</v>
      </c>
      <c r="H994">
        <f t="shared" si="112"/>
        <v>15</v>
      </c>
      <c r="I994">
        <f t="shared" si="113"/>
        <v>0.25423728813559343</v>
      </c>
      <c r="J994" cm="1">
        <f t="array" ref="J994">INT(G994)+IF(100-SUM(INT(G$986:G$997))&gt;=RANK(I994,I$986:I$997)+COUNTIF(I$986:I994,I994)-1,1,0)</f>
        <v>15</v>
      </c>
      <c r="K994" t="str">
        <f>_xlfn.XLOOKUP(B994,BugList!A:A,BugList!H:H)</f>
        <v/>
      </c>
      <c r="L994" t="str">
        <f>IF(K994 = "","",_xlfn.XLOOKUP(B994, BugList!A:A,BugList!B:B,""))</f>
        <v/>
      </c>
      <c r="M994">
        <f>_xlfn.XLOOKUP(D994,BugList!C:C,BugList!N:N)</f>
        <v>4</v>
      </c>
      <c r="N994">
        <f>_xlfn.XLOOKUP(B994,BugList!A:A,BugList!R:R)</f>
        <v>4</v>
      </c>
      <c r="O994" t="b">
        <f>_xlfn.XLOOKUP(B994,BugList!A:A,BugList!L:L)</f>
        <v>1</v>
      </c>
      <c r="P994" t="b">
        <f t="shared" si="108"/>
        <v>0</v>
      </c>
      <c r="R994" t="b">
        <f>SUMPRODUCT(COUNTIF(_xlfn.XLOOKUP(B994,BugList!A:A,BugList!P:P), "*SC*"))&gt;0</f>
        <v>1</v>
      </c>
      <c r="S994" t="str">
        <f>_xlfn.XLOOKUP(B994,BugList!A:A,BugList!W:W)</f>
        <v/>
      </c>
      <c r="T994">
        <f t="shared" si="109"/>
        <v>60</v>
      </c>
      <c r="U994">
        <f t="shared" si="110"/>
        <v>60</v>
      </c>
    </row>
    <row r="995" spans="1:21">
      <c r="A995" t="s">
        <v>2675</v>
      </c>
      <c r="B995">
        <v>1002</v>
      </c>
      <c r="D995" t="s">
        <v>100</v>
      </c>
      <c r="E995" t="s">
        <v>100</v>
      </c>
      <c r="F995">
        <v>24</v>
      </c>
      <c r="G995">
        <f t="shared" si="111"/>
        <v>20.33898305084746</v>
      </c>
      <c r="H995">
        <f t="shared" si="112"/>
        <v>20</v>
      </c>
      <c r="I995">
        <f t="shared" si="113"/>
        <v>0.33898305084746028</v>
      </c>
      <c r="J995" cm="1">
        <f t="array" ref="J995">INT(G995)+IF(100-SUM(INT(G$986:G$997))&gt;=RANK(I995,I$986:I$997)+COUNTIF(I$986:I995,I995)-1,1,0)</f>
        <v>20</v>
      </c>
      <c r="K995" t="str">
        <f>_xlfn.XLOOKUP(B995,BugList!A:A,BugList!H:H)</f>
        <v/>
      </c>
      <c r="L995" t="str">
        <f>IF(K995 = "","",_xlfn.XLOOKUP(B995, BugList!A:A,BugList!B:B,""))</f>
        <v/>
      </c>
      <c r="M995">
        <f>_xlfn.XLOOKUP(D995,BugList!C:C,BugList!N:N)</f>
        <v>4</v>
      </c>
      <c r="N995">
        <f>_xlfn.XLOOKUP(B995,BugList!A:A,BugList!R:R)</f>
        <v>4</v>
      </c>
      <c r="O995" t="b">
        <f>_xlfn.XLOOKUP(B995,BugList!A:A,BugList!L:L)</f>
        <v>1</v>
      </c>
      <c r="P995" t="b">
        <f t="shared" si="108"/>
        <v>0</v>
      </c>
      <c r="R995" t="b">
        <f>SUMPRODUCT(COUNTIF(_xlfn.XLOOKUP(B995,BugList!A:A,BugList!P:P), "*SC*"))&gt;0</f>
        <v>1</v>
      </c>
      <c r="S995" t="str">
        <f>_xlfn.XLOOKUP(B995,BugList!A:A,BugList!W:W)</f>
        <v/>
      </c>
      <c r="T995">
        <f t="shared" si="109"/>
        <v>80</v>
      </c>
      <c r="U995">
        <f t="shared" si="110"/>
        <v>80</v>
      </c>
    </row>
    <row r="996" spans="1:21">
      <c r="A996" t="s">
        <v>2675</v>
      </c>
      <c r="B996">
        <v>1088</v>
      </c>
      <c r="D996" t="s">
        <v>90</v>
      </c>
      <c r="E996" t="s">
        <v>90</v>
      </c>
      <c r="F996">
        <v>3</v>
      </c>
      <c r="G996">
        <f t="shared" si="111"/>
        <v>2.5423728813559325</v>
      </c>
      <c r="H996">
        <f t="shared" si="112"/>
        <v>2</v>
      </c>
      <c r="I996">
        <f t="shared" si="113"/>
        <v>0.54237288135593253</v>
      </c>
      <c r="J996" cm="1">
        <f t="array" ref="J996">INT(G996)+IF(100-SUM(INT(G$986:G$997))&gt;=RANK(I996,I$986:I$997)+COUNTIF(I$986:I996,I996)-1,1,0)</f>
        <v>2</v>
      </c>
      <c r="K996" t="str">
        <f>_xlfn.XLOOKUP(B996,BugList!A:A,BugList!H:H)</f>
        <v/>
      </c>
      <c r="L996" t="str">
        <f>IF(K996 = "","",_xlfn.XLOOKUP(B996, BugList!A:A,BugList!B:B,""))</f>
        <v/>
      </c>
      <c r="M996">
        <f>_xlfn.XLOOKUP(D996,BugList!C:C,BugList!N:N)</f>
        <v>6</v>
      </c>
      <c r="N996">
        <f>_xlfn.XLOOKUP(B996,BugList!A:A,BugList!R:R)</f>
        <v>6</v>
      </c>
      <c r="O996" t="b">
        <f>_xlfn.XLOOKUP(B996,BugList!A:A,BugList!L:L)</f>
        <v>1</v>
      </c>
      <c r="P996" t="b">
        <f t="shared" si="108"/>
        <v>0</v>
      </c>
      <c r="R996" t="b">
        <f>SUMPRODUCT(COUNTIF(_xlfn.XLOOKUP(B996,BugList!A:A,BugList!P:P), "*SC*"))&gt;0</f>
        <v>0</v>
      </c>
      <c r="S996" t="str">
        <f>_xlfn.XLOOKUP(B996,BugList!A:A,BugList!W:W)</f>
        <v/>
      </c>
      <c r="T996">
        <f t="shared" si="109"/>
        <v>12</v>
      </c>
      <c r="U996">
        <f t="shared" si="110"/>
        <v>12</v>
      </c>
    </row>
    <row r="997" spans="1:21">
      <c r="A997" t="s">
        <v>2675</v>
      </c>
      <c r="B997">
        <v>1497</v>
      </c>
      <c r="D997" t="s">
        <v>108</v>
      </c>
      <c r="E997" t="s">
        <v>108</v>
      </c>
      <c r="F997">
        <v>1</v>
      </c>
      <c r="G997">
        <f t="shared" si="111"/>
        <v>0.84745762711864403</v>
      </c>
      <c r="H997">
        <f t="shared" si="112"/>
        <v>0</v>
      </c>
      <c r="I997">
        <f t="shared" si="113"/>
        <v>0.84745762711864403</v>
      </c>
      <c r="J997" cm="1">
        <f t="array" ref="J997">INT(G997)+IF(100-SUM(INT(G$986:G$997))&gt;=RANK(I997,I$986:I$997)+COUNTIF(I$986:I997,I997)-1,1,0)</f>
        <v>1</v>
      </c>
      <c r="K997" t="str">
        <f>_xlfn.XLOOKUP(B997,BugList!A:A,BugList!H:H)</f>
        <v/>
      </c>
      <c r="L997" t="str">
        <f>IF(K997 = "","",_xlfn.XLOOKUP(B997, BugList!A:A,BugList!B:B,""))</f>
        <v/>
      </c>
      <c r="M997">
        <f>_xlfn.XLOOKUP(D997,BugList!C:C,BugList!N:N)</f>
        <v>3</v>
      </c>
      <c r="N997">
        <f>_xlfn.XLOOKUP(B997,BugList!A:A,BugList!R:R)</f>
        <v>3</v>
      </c>
      <c r="O997" t="b">
        <f>_xlfn.XLOOKUP(B997,BugList!A:A,BugList!L:L)</f>
        <v>1</v>
      </c>
      <c r="P997" t="b">
        <f t="shared" si="108"/>
        <v>0</v>
      </c>
      <c r="R997" t="b">
        <f>SUMPRODUCT(COUNTIF(_xlfn.XLOOKUP(B997,BugList!A:A,BugList!P:P), "*SC*"))&gt;0</f>
        <v>0</v>
      </c>
      <c r="S997" t="str">
        <f>_xlfn.XLOOKUP(B997,BugList!A:A,BugList!W:W)</f>
        <v/>
      </c>
      <c r="T997">
        <f t="shared" si="109"/>
        <v>3</v>
      </c>
      <c r="U997">
        <f t="shared" si="110"/>
        <v>3</v>
      </c>
    </row>
    <row r="998" spans="1:21">
      <c r="A998" t="s">
        <v>2676</v>
      </c>
      <c r="B998">
        <v>63</v>
      </c>
      <c r="D998" t="s">
        <v>84</v>
      </c>
      <c r="E998" t="s">
        <v>84</v>
      </c>
      <c r="F998">
        <v>1</v>
      </c>
      <c r="G998">
        <f t="shared" si="111"/>
        <v>0.74626865671641784</v>
      </c>
      <c r="H998">
        <f t="shared" si="112"/>
        <v>0</v>
      </c>
      <c r="I998">
        <f t="shared" si="113"/>
        <v>0.74626865671641784</v>
      </c>
      <c r="J998" cm="1">
        <f t="array" ref="J998">INT(G998)+IF(100-SUM(INT(G$998:G$1006))&gt;=RANK(I998,I$998:I$1006)+COUNTIF(I$998:I998,I998)-1,1,0)</f>
        <v>1</v>
      </c>
      <c r="K998" t="str">
        <f>_xlfn.XLOOKUP(B998,BugList!A:A,BugList!H:H)</f>
        <v/>
      </c>
      <c r="L998" t="str">
        <f>IF(K998 = "","",_xlfn.XLOOKUP(B998, BugList!A:A,BugList!B:B,""))</f>
        <v/>
      </c>
      <c r="M998">
        <f>_xlfn.XLOOKUP(D998,BugList!C:C,BugList!N:N)</f>
        <v>8</v>
      </c>
      <c r="N998">
        <f>_xlfn.XLOOKUP(B998,BugList!A:A,BugList!R:R)</f>
        <v>8</v>
      </c>
      <c r="O998" t="b">
        <f>_xlfn.XLOOKUP(B998,BugList!A:A,BugList!L:L)</f>
        <v>0</v>
      </c>
      <c r="P998" t="b">
        <f t="shared" si="108"/>
        <v>0</v>
      </c>
      <c r="R998" t="b">
        <f>SUMPRODUCT(COUNTIF(_xlfn.XLOOKUP(B998,BugList!A:A,BugList!P:P), "*SC*"))&gt;0</f>
        <v>0</v>
      </c>
      <c r="S998" t="str">
        <f>_xlfn.XLOOKUP(B998,BugList!A:A,BugList!W:W)</f>
        <v/>
      </c>
      <c r="T998">
        <f t="shared" si="109"/>
        <v>8</v>
      </c>
      <c r="U998">
        <f t="shared" si="110"/>
        <v>8</v>
      </c>
    </row>
    <row r="999" spans="1:21">
      <c r="A999" t="s">
        <v>2676</v>
      </c>
      <c r="B999">
        <v>88</v>
      </c>
      <c r="D999" t="s">
        <v>85</v>
      </c>
      <c r="E999" t="s">
        <v>85</v>
      </c>
      <c r="F999">
        <v>11</v>
      </c>
      <c r="G999">
        <f t="shared" si="111"/>
        <v>8.2089552238805972</v>
      </c>
      <c r="H999">
        <f t="shared" si="112"/>
        <v>8</v>
      </c>
      <c r="I999">
        <f t="shared" si="113"/>
        <v>0.20895522388059717</v>
      </c>
      <c r="J999" cm="1">
        <f t="array" ref="J999">INT(G999)+IF(100-SUM(INT(G$998:G$1006))&gt;=RANK(I999,I$998:I$1006)+COUNTIF(I$998:I999,I999)-1,1,0)</f>
        <v>8</v>
      </c>
      <c r="K999" t="str">
        <f>_xlfn.XLOOKUP(B999,BugList!A:A,BugList!H:H)</f>
        <v/>
      </c>
      <c r="L999" t="str">
        <f>IF(K999 = "","",_xlfn.XLOOKUP(B999, BugList!A:A,BugList!B:B,""))</f>
        <v/>
      </c>
      <c r="M999">
        <f>_xlfn.XLOOKUP(D999,BugList!C:C,BugList!N:N)</f>
        <v>4</v>
      </c>
      <c r="N999">
        <f>_xlfn.XLOOKUP(B999,BugList!A:A,BugList!R:R)</f>
        <v>4</v>
      </c>
      <c r="O999" t="b">
        <f>_xlfn.XLOOKUP(B999,BugList!A:A,BugList!L:L)</f>
        <v>0</v>
      </c>
      <c r="P999" t="b">
        <f t="shared" si="108"/>
        <v>0</v>
      </c>
      <c r="R999" t="b">
        <f>SUMPRODUCT(COUNTIF(_xlfn.XLOOKUP(B999,BugList!A:A,BugList!P:P), "*SC*"))&gt;0</f>
        <v>0</v>
      </c>
      <c r="S999" t="str">
        <f>_xlfn.XLOOKUP(B999,BugList!A:A,BugList!W:W)</f>
        <v/>
      </c>
      <c r="T999">
        <f t="shared" si="109"/>
        <v>32</v>
      </c>
      <c r="U999">
        <f t="shared" si="110"/>
        <v>32</v>
      </c>
    </row>
    <row r="1000" spans="1:21">
      <c r="A1000" t="s">
        <v>2676</v>
      </c>
      <c r="B1000">
        <v>99</v>
      </c>
      <c r="D1000" t="s">
        <v>169</v>
      </c>
      <c r="E1000" t="s">
        <v>169</v>
      </c>
      <c r="F1000">
        <v>1</v>
      </c>
      <c r="G1000">
        <f t="shared" si="111"/>
        <v>0.74626865671641784</v>
      </c>
      <c r="H1000">
        <f t="shared" si="112"/>
        <v>0</v>
      </c>
      <c r="I1000">
        <f t="shared" si="113"/>
        <v>0.74626865671641784</v>
      </c>
      <c r="J1000" cm="1">
        <f t="array" ref="J1000">INT(G1000)+IF(100-SUM(INT(G$998:G$1006))&gt;=RANK(I1000,I$998:I$1006)+COUNTIF(I$998:I1000,I1000)-1,1,0)</f>
        <v>1</v>
      </c>
      <c r="K1000" t="str">
        <f>_xlfn.XLOOKUP(B1000,BugList!A:A,BugList!H:H)</f>
        <v/>
      </c>
      <c r="L1000" t="str">
        <f>IF(K1000 = "","",_xlfn.XLOOKUP(B1000, BugList!A:A,BugList!B:B,""))</f>
        <v/>
      </c>
      <c r="M1000">
        <f>_xlfn.XLOOKUP(D1000,BugList!C:C,BugList!N:N)</f>
        <v>5</v>
      </c>
      <c r="N1000">
        <f>_xlfn.XLOOKUP(B1000,BugList!A:A,BugList!R:R)</f>
        <v>5</v>
      </c>
      <c r="O1000" t="b">
        <f>_xlfn.XLOOKUP(B1000,BugList!A:A,BugList!L:L)</f>
        <v>0</v>
      </c>
      <c r="P1000" t="b">
        <f t="shared" si="108"/>
        <v>0</v>
      </c>
      <c r="R1000" t="b">
        <f>SUMPRODUCT(COUNTIF(_xlfn.XLOOKUP(B1000,BugList!A:A,BugList!P:P), "*SC*"))&gt;0</f>
        <v>0</v>
      </c>
      <c r="S1000" t="str">
        <f>_xlfn.XLOOKUP(B1000,BugList!A:A,BugList!W:W)</f>
        <v/>
      </c>
      <c r="T1000">
        <f t="shared" si="109"/>
        <v>5</v>
      </c>
      <c r="U1000">
        <f t="shared" si="110"/>
        <v>5</v>
      </c>
    </row>
    <row r="1001" spans="1:21">
      <c r="A1001" t="s">
        <v>2676</v>
      </c>
      <c r="B1001">
        <v>715</v>
      </c>
      <c r="D1001" t="s">
        <v>159</v>
      </c>
      <c r="E1001" t="s">
        <v>159</v>
      </c>
      <c r="F1001">
        <v>1</v>
      </c>
      <c r="G1001">
        <f t="shared" si="111"/>
        <v>0.74626865671641784</v>
      </c>
      <c r="H1001">
        <f t="shared" si="112"/>
        <v>0</v>
      </c>
      <c r="I1001">
        <f t="shared" si="113"/>
        <v>0.74626865671641784</v>
      </c>
      <c r="J1001" cm="1">
        <f t="array" ref="J1001">INT(G1001)+IF(100-SUM(INT(G$998:G$1006))&gt;=RANK(I1001,I$998:I$1006)+COUNTIF(I$998:I1001,I1001)-1,1,0)</f>
        <v>1</v>
      </c>
      <c r="K1001" t="str">
        <f>_xlfn.XLOOKUP(B1001,BugList!A:A,BugList!H:H)</f>
        <v/>
      </c>
      <c r="L1001" t="str">
        <f>IF(K1001 = "","",_xlfn.XLOOKUP(B1001, BugList!A:A,BugList!B:B,""))</f>
        <v/>
      </c>
      <c r="M1001">
        <f>_xlfn.XLOOKUP(D1001,BugList!C:C,BugList!N:N)</f>
        <v>9</v>
      </c>
      <c r="N1001">
        <f>_xlfn.XLOOKUP(B1001,BugList!A:A,BugList!R:R)</f>
        <v>9</v>
      </c>
      <c r="O1001" t="b">
        <f>_xlfn.XLOOKUP(B1001,BugList!A:A,BugList!L:L)</f>
        <v>1</v>
      </c>
      <c r="P1001" t="b">
        <f t="shared" si="108"/>
        <v>0</v>
      </c>
      <c r="R1001" t="b">
        <f>SUMPRODUCT(COUNTIF(_xlfn.XLOOKUP(B1001,BugList!A:A,BugList!P:P), "*SC*"))&gt;0</f>
        <v>0</v>
      </c>
      <c r="S1001" t="str">
        <f>_xlfn.XLOOKUP(B1001,BugList!A:A,BugList!W:W)</f>
        <v/>
      </c>
      <c r="T1001">
        <f t="shared" si="109"/>
        <v>9</v>
      </c>
      <c r="U1001">
        <f t="shared" si="110"/>
        <v>9</v>
      </c>
    </row>
    <row r="1002" spans="1:21">
      <c r="A1002" t="s">
        <v>2676</v>
      </c>
      <c r="B1002">
        <v>794</v>
      </c>
      <c r="D1002" t="s">
        <v>89</v>
      </c>
      <c r="E1002" t="s">
        <v>89</v>
      </c>
      <c r="F1002">
        <v>2</v>
      </c>
      <c r="G1002">
        <f t="shared" si="111"/>
        <v>1.4925373134328357</v>
      </c>
      <c r="H1002">
        <f t="shared" si="112"/>
        <v>1</v>
      </c>
      <c r="I1002">
        <f t="shared" si="113"/>
        <v>0.49253731343283569</v>
      </c>
      <c r="J1002" cm="1">
        <f t="array" ref="J1002">INT(G1002)+IF(100-SUM(INT(G$998:G$1006))&gt;=RANK(I1002,I$998:I$1006)+COUNTIF(I$998:I1002,I1002)-1,1,0)</f>
        <v>1</v>
      </c>
      <c r="K1002" t="str">
        <f>_xlfn.XLOOKUP(B1002,BugList!A:A,BugList!H:H)</f>
        <v>*</v>
      </c>
      <c r="L1002" t="str">
        <f>IF(K1002 = "","",_xlfn.XLOOKUP(B1002, BugList!A:A,BugList!B:B,""))</f>
        <v>Trichoptera</v>
      </c>
      <c r="M1002">
        <f>_xlfn.XLOOKUP(D1002,BugList!C:C,BugList!N:N)</f>
        <v>4</v>
      </c>
      <c r="N1002">
        <f>_xlfn.XLOOKUP(B1002,BugList!A:A,BugList!R:R)</f>
        <v>4</v>
      </c>
      <c r="O1002" t="b">
        <f>_xlfn.XLOOKUP(B1002,BugList!A:A,BugList!L:L)</f>
        <v>1</v>
      </c>
      <c r="P1002" t="b">
        <f t="shared" si="108"/>
        <v>0</v>
      </c>
      <c r="R1002" t="b">
        <f>SUMPRODUCT(COUNTIF(_xlfn.XLOOKUP(B1002,BugList!A:A,BugList!P:P), "*SC*"))&gt;0</f>
        <v>0</v>
      </c>
      <c r="S1002" t="str">
        <f>_xlfn.XLOOKUP(B1002,BugList!A:A,BugList!W:W)</f>
        <v/>
      </c>
      <c r="T1002">
        <f t="shared" si="109"/>
        <v>4</v>
      </c>
      <c r="U1002">
        <f t="shared" si="110"/>
        <v>4</v>
      </c>
    </row>
    <row r="1003" spans="1:21">
      <c r="A1003" t="s">
        <v>2676</v>
      </c>
      <c r="B1003">
        <v>1002</v>
      </c>
      <c r="D1003" t="s">
        <v>100</v>
      </c>
      <c r="E1003" t="s">
        <v>100</v>
      </c>
      <c r="F1003">
        <v>14</v>
      </c>
      <c r="G1003">
        <f t="shared" si="111"/>
        <v>10.44776119402985</v>
      </c>
      <c r="H1003">
        <f t="shared" si="112"/>
        <v>10</v>
      </c>
      <c r="I1003">
        <f t="shared" si="113"/>
        <v>0.44776119402984982</v>
      </c>
      <c r="J1003" cm="1">
        <f t="array" ref="J1003">INT(G1003)+IF(100-SUM(INT(G$998:G$1006))&gt;=RANK(I1003,I$998:I$1006)+COUNTIF(I$998:I1003,I1003)-1,1,0)</f>
        <v>10</v>
      </c>
      <c r="K1003" t="str">
        <f>_xlfn.XLOOKUP(B1003,BugList!A:A,BugList!H:H)</f>
        <v/>
      </c>
      <c r="L1003" t="str">
        <f>IF(K1003 = "","",_xlfn.XLOOKUP(B1003, BugList!A:A,BugList!B:B,""))</f>
        <v/>
      </c>
      <c r="M1003">
        <f>_xlfn.XLOOKUP(D1003,BugList!C:C,BugList!N:N)</f>
        <v>4</v>
      </c>
      <c r="N1003">
        <f>_xlfn.XLOOKUP(B1003,BugList!A:A,BugList!R:R)</f>
        <v>4</v>
      </c>
      <c r="O1003" t="b">
        <f>_xlfn.XLOOKUP(B1003,BugList!A:A,BugList!L:L)</f>
        <v>1</v>
      </c>
      <c r="P1003" t="b">
        <f t="shared" si="108"/>
        <v>0</v>
      </c>
      <c r="R1003" t="b">
        <f>SUMPRODUCT(COUNTIF(_xlfn.XLOOKUP(B1003,BugList!A:A,BugList!P:P), "*SC*"))&gt;0</f>
        <v>1</v>
      </c>
      <c r="S1003" t="str">
        <f>_xlfn.XLOOKUP(B1003,BugList!A:A,BugList!W:W)</f>
        <v/>
      </c>
      <c r="T1003">
        <f t="shared" si="109"/>
        <v>40</v>
      </c>
      <c r="U1003">
        <f t="shared" si="110"/>
        <v>40</v>
      </c>
    </row>
    <row r="1004" spans="1:21">
      <c r="A1004" t="s">
        <v>2676</v>
      </c>
      <c r="B1004">
        <v>1089</v>
      </c>
      <c r="D1004" t="s">
        <v>126</v>
      </c>
      <c r="E1004" t="s">
        <v>127</v>
      </c>
      <c r="F1004">
        <v>102</v>
      </c>
      <c r="G1004">
        <f t="shared" si="111"/>
        <v>76.119402985074629</v>
      </c>
      <c r="H1004">
        <f t="shared" si="112"/>
        <v>76</v>
      </c>
      <c r="I1004">
        <f t="shared" si="113"/>
        <v>0.11940298507462899</v>
      </c>
      <c r="J1004" cm="1">
        <f t="array" ref="J1004">INT(G1004)+IF(100-SUM(INT(G$998:G$1006))&gt;=RANK(I1004,I$998:I$1006)+COUNTIF(I$998:I1004,I1004)-1,1,0)</f>
        <v>76</v>
      </c>
      <c r="K1004" t="str">
        <f>_xlfn.XLOOKUP(B1004,BugList!A:A,BugList!H:H)</f>
        <v/>
      </c>
      <c r="L1004" t="str">
        <f>IF(K1004 = "","",_xlfn.XLOOKUP(B1004, BugList!A:A,BugList!B:B,""))</f>
        <v/>
      </c>
      <c r="M1004">
        <f>_xlfn.XLOOKUP(D1004,BugList!C:C,BugList!N:N)</f>
        <v>8</v>
      </c>
      <c r="N1004">
        <f>_xlfn.XLOOKUP(B1004,BugList!A:A,BugList!R:R)</f>
        <v>10</v>
      </c>
      <c r="O1004" t="b">
        <f>_xlfn.XLOOKUP(B1004,BugList!A:A,BugList!L:L)</f>
        <v>1</v>
      </c>
      <c r="P1004" t="b">
        <f t="shared" si="108"/>
        <v>0</v>
      </c>
      <c r="R1004" t="b">
        <f>SUMPRODUCT(COUNTIF(_xlfn.XLOOKUP(B1004,BugList!A:A,BugList!P:P), "*SC*"))&gt;0</f>
        <v>0</v>
      </c>
      <c r="S1004" t="str">
        <f>_xlfn.XLOOKUP(B1004,BugList!A:A,BugList!W:W)</f>
        <v/>
      </c>
      <c r="T1004">
        <f t="shared" si="109"/>
        <v>608</v>
      </c>
      <c r="U1004">
        <f t="shared" si="110"/>
        <v>760</v>
      </c>
    </row>
    <row r="1005" spans="1:21">
      <c r="A1005" t="s">
        <v>2676</v>
      </c>
      <c r="B1005">
        <v>1497</v>
      </c>
      <c r="D1005" t="s">
        <v>108</v>
      </c>
      <c r="E1005" t="s">
        <v>108</v>
      </c>
      <c r="F1005">
        <v>1</v>
      </c>
      <c r="G1005">
        <f t="shared" si="111"/>
        <v>0.74626865671641784</v>
      </c>
      <c r="H1005">
        <f t="shared" si="112"/>
        <v>0</v>
      </c>
      <c r="I1005">
        <f t="shared" si="113"/>
        <v>0.74626865671641784</v>
      </c>
      <c r="J1005" cm="1">
        <f t="array" ref="J1005">INT(G1005)+IF(100-SUM(INT(G$998:G$1006))&gt;=RANK(I1005,I$998:I$1006)+COUNTIF(I$998:I1005,I1005)-1,1,0)</f>
        <v>1</v>
      </c>
      <c r="K1005" t="str">
        <f>_xlfn.XLOOKUP(B1005,BugList!A:A,BugList!H:H)</f>
        <v/>
      </c>
      <c r="L1005" t="str">
        <f>IF(K1005 = "","",_xlfn.XLOOKUP(B1005, BugList!A:A,BugList!B:B,""))</f>
        <v/>
      </c>
      <c r="M1005">
        <f>_xlfn.XLOOKUP(D1005,BugList!C:C,BugList!N:N)</f>
        <v>3</v>
      </c>
      <c r="N1005">
        <f>_xlfn.XLOOKUP(B1005,BugList!A:A,BugList!R:R)</f>
        <v>3</v>
      </c>
      <c r="O1005" t="b">
        <f>_xlfn.XLOOKUP(B1005,BugList!A:A,BugList!L:L)</f>
        <v>1</v>
      </c>
      <c r="P1005" t="b">
        <f t="shared" ref="P1005:P1068" si="114">IF(K1005="*",IF(D1005="Hydropsychidae", IF(E1005="Diplectrona",TRUE,FALSE),TRUE),FALSE)</f>
        <v>0</v>
      </c>
      <c r="R1005" t="b">
        <f>SUMPRODUCT(COUNTIF(_xlfn.XLOOKUP(B1005,BugList!A:A,BugList!P:P), "*SC*"))&gt;0</f>
        <v>0</v>
      </c>
      <c r="S1005" t="str">
        <f>_xlfn.XLOOKUP(B1005,BugList!A:A,BugList!W:W)</f>
        <v/>
      </c>
      <c r="T1005">
        <f t="shared" si="109"/>
        <v>3</v>
      </c>
      <c r="U1005">
        <f t="shared" si="110"/>
        <v>3</v>
      </c>
    </row>
    <row r="1006" spans="1:21">
      <c r="A1006" t="s">
        <v>2676</v>
      </c>
      <c r="B1006">
        <v>2781</v>
      </c>
      <c r="D1006" t="s">
        <v>109</v>
      </c>
      <c r="E1006" t="s">
        <v>109</v>
      </c>
      <c r="F1006">
        <v>1</v>
      </c>
      <c r="G1006">
        <f t="shared" si="111"/>
        <v>0.74626865671641784</v>
      </c>
      <c r="H1006">
        <f t="shared" si="112"/>
        <v>0</v>
      </c>
      <c r="I1006">
        <f t="shared" si="113"/>
        <v>0.74626865671641784</v>
      </c>
      <c r="J1006" cm="1">
        <f t="array" ref="J1006">INT(G1006)+IF(100-SUM(INT(G$998:G$1006))&gt;=RANK(I1006,I$998:I$1006)+COUNTIF(I$998:I1006,I1006)-1,1,0)</f>
        <v>1</v>
      </c>
      <c r="K1006" t="str">
        <f>_xlfn.XLOOKUP(B1006,BugList!A:A,BugList!H:H)</f>
        <v/>
      </c>
      <c r="L1006" t="str">
        <f>IF(K1006 = "","",_xlfn.XLOOKUP(B1006, BugList!A:A,BugList!B:B,""))</f>
        <v/>
      </c>
      <c r="M1006">
        <f>_xlfn.XLOOKUP(D1006,BugList!C:C,BugList!N:N)</f>
        <v>6</v>
      </c>
      <c r="N1006">
        <f>_xlfn.XLOOKUP(B1006,BugList!A:A,BugList!R:R)</f>
        <v>4</v>
      </c>
      <c r="O1006" t="b">
        <f>_xlfn.XLOOKUP(B1006,BugList!A:A,BugList!L:L)</f>
        <v>0</v>
      </c>
      <c r="P1006" t="b">
        <f t="shared" si="114"/>
        <v>0</v>
      </c>
      <c r="R1006" t="b">
        <f>SUMPRODUCT(COUNTIF(_xlfn.XLOOKUP(B1006,BugList!A:A,BugList!P:P), "*SC*"))&gt;0</f>
        <v>0</v>
      </c>
      <c r="S1006" t="str">
        <f>_xlfn.XLOOKUP(B1006,BugList!A:A,BugList!W:W)</f>
        <v/>
      </c>
      <c r="T1006">
        <f t="shared" si="109"/>
        <v>6</v>
      </c>
      <c r="U1006">
        <f t="shared" si="110"/>
        <v>4</v>
      </c>
    </row>
    <row r="1007" spans="1:21">
      <c r="A1007" t="s">
        <v>2677</v>
      </c>
      <c r="B1007">
        <v>88</v>
      </c>
      <c r="D1007" t="s">
        <v>85</v>
      </c>
      <c r="E1007" t="s">
        <v>85</v>
      </c>
      <c r="F1007">
        <v>1</v>
      </c>
      <c r="G1007">
        <f t="shared" si="111"/>
        <v>0.83333333333333337</v>
      </c>
      <c r="H1007">
        <f t="shared" si="112"/>
        <v>0</v>
      </c>
      <c r="I1007">
        <f t="shared" si="113"/>
        <v>0.83333333333333337</v>
      </c>
      <c r="J1007" cm="1">
        <f t="array" ref="J1007">INT(G1007)+IF(100-SUM(INT(G$1007:G$1019))&gt;=RANK(I1007,I$1007:I$1019)+COUNTIF(I$1007:I1007,I1007)-1,1,0)</f>
        <v>1</v>
      </c>
      <c r="K1007" t="str">
        <f>_xlfn.XLOOKUP(B1007,BugList!A:A,BugList!H:H)</f>
        <v/>
      </c>
      <c r="L1007" t="str">
        <f>IF(K1007 = "","",_xlfn.XLOOKUP(B1007, BugList!A:A,BugList!B:B,""))</f>
        <v/>
      </c>
      <c r="M1007">
        <f>_xlfn.XLOOKUP(D1007,BugList!C:C,BugList!N:N)</f>
        <v>4</v>
      </c>
      <c r="N1007">
        <f>_xlfn.XLOOKUP(B1007,BugList!A:A,BugList!R:R)</f>
        <v>4</v>
      </c>
      <c r="O1007" t="b">
        <f>_xlfn.XLOOKUP(B1007,BugList!A:A,BugList!L:L)</f>
        <v>0</v>
      </c>
      <c r="P1007" t="b">
        <f t="shared" si="114"/>
        <v>0</v>
      </c>
      <c r="R1007" t="b">
        <f>SUMPRODUCT(COUNTIF(_xlfn.XLOOKUP(B1007,BugList!A:A,BugList!P:P), "*SC*"))&gt;0</f>
        <v>0</v>
      </c>
      <c r="S1007" t="str">
        <f>_xlfn.XLOOKUP(B1007,BugList!A:A,BugList!W:W)</f>
        <v/>
      </c>
      <c r="T1007">
        <f t="shared" si="109"/>
        <v>4</v>
      </c>
      <c r="U1007">
        <f t="shared" si="110"/>
        <v>4</v>
      </c>
    </row>
    <row r="1008" spans="1:21">
      <c r="A1008" t="s">
        <v>2677</v>
      </c>
      <c r="B1008">
        <v>247</v>
      </c>
      <c r="D1008" t="s">
        <v>87</v>
      </c>
      <c r="E1008" t="s">
        <v>87</v>
      </c>
      <c r="F1008">
        <v>2</v>
      </c>
      <c r="G1008">
        <f t="shared" si="111"/>
        <v>1.6666666666666667</v>
      </c>
      <c r="H1008">
        <f t="shared" si="112"/>
        <v>1</v>
      </c>
      <c r="I1008">
        <f t="shared" si="113"/>
        <v>0.66666666666666674</v>
      </c>
      <c r="J1008" cm="1">
        <f t="array" ref="J1008">INT(G1008)+IF(100-SUM(INT(G$1007:G$1019))&gt;=RANK(I1008,I$1007:I$1019)+COUNTIF(I$1007:I1008,I1008)-1,1,0)</f>
        <v>2</v>
      </c>
      <c r="K1008" t="str">
        <f>_xlfn.XLOOKUP(B1008,BugList!A:A,BugList!H:H)</f>
        <v/>
      </c>
      <c r="L1008" t="str">
        <f>IF(K1008 = "","",_xlfn.XLOOKUP(B1008, BugList!A:A,BugList!B:B,""))</f>
        <v/>
      </c>
      <c r="M1008">
        <f>_xlfn.XLOOKUP(D1008,BugList!C:C,BugList!N:N)</f>
        <v>4</v>
      </c>
      <c r="N1008">
        <f>_xlfn.XLOOKUP(B1008,BugList!A:A,BugList!R:R)</f>
        <v>4</v>
      </c>
      <c r="O1008" t="b">
        <f>_xlfn.XLOOKUP(B1008,BugList!A:A,BugList!L:L)</f>
        <v>0</v>
      </c>
      <c r="P1008" t="b">
        <f t="shared" si="114"/>
        <v>0</v>
      </c>
      <c r="R1008" t="b">
        <f>SUMPRODUCT(COUNTIF(_xlfn.XLOOKUP(B1008,BugList!A:A,BugList!P:P), "*SC*"))&gt;0</f>
        <v>0</v>
      </c>
      <c r="S1008" t="str">
        <f>_xlfn.XLOOKUP(B1008,BugList!A:A,BugList!W:W)</f>
        <v/>
      </c>
      <c r="T1008">
        <f t="shared" si="109"/>
        <v>8</v>
      </c>
      <c r="U1008">
        <f t="shared" si="110"/>
        <v>8</v>
      </c>
    </row>
    <row r="1009" spans="1:21">
      <c r="A1009" t="s">
        <v>2677</v>
      </c>
      <c r="B1009">
        <v>421</v>
      </c>
      <c r="D1009" t="s">
        <v>105</v>
      </c>
      <c r="E1009" t="s">
        <v>105</v>
      </c>
      <c r="F1009">
        <v>1</v>
      </c>
      <c r="G1009">
        <f t="shared" si="111"/>
        <v>0.83333333333333337</v>
      </c>
      <c r="H1009">
        <f t="shared" si="112"/>
        <v>0</v>
      </c>
      <c r="I1009">
        <f t="shared" si="113"/>
        <v>0.83333333333333337</v>
      </c>
      <c r="J1009" cm="1">
        <f t="array" ref="J1009">INT(G1009)+IF(100-SUM(INT(G$1007:G$1019))&gt;=RANK(I1009,I$1007:I$1019)+COUNTIF(I$1007:I1009,I1009)-1,1,0)</f>
        <v>1</v>
      </c>
      <c r="K1009" t="str">
        <f>_xlfn.XLOOKUP(B1009,BugList!A:A,BugList!H:H)</f>
        <v>*</v>
      </c>
      <c r="L1009" t="str">
        <f>IF(K1009 = "","",_xlfn.XLOOKUP(B1009, BugList!A:A,BugList!B:B,""))</f>
        <v>Plecoptera</v>
      </c>
      <c r="M1009">
        <f>_xlfn.XLOOKUP(D1009,BugList!C:C,BugList!N:N)</f>
        <v>1</v>
      </c>
      <c r="N1009">
        <f>_xlfn.XLOOKUP(B1009,BugList!A:A,BugList!R:R)</f>
        <v>1</v>
      </c>
      <c r="O1009" t="b">
        <f>_xlfn.XLOOKUP(B1009,BugList!A:A,BugList!L:L)</f>
        <v>1</v>
      </c>
      <c r="P1009" t="b">
        <f t="shared" si="114"/>
        <v>1</v>
      </c>
      <c r="R1009" t="b">
        <f>SUMPRODUCT(COUNTIF(_xlfn.XLOOKUP(B1009,BugList!A:A,BugList!P:P), "*SC*"))&gt;0</f>
        <v>0</v>
      </c>
      <c r="S1009" t="str">
        <f>_xlfn.XLOOKUP(B1009,BugList!A:A,BugList!W:W)</f>
        <v/>
      </c>
      <c r="T1009">
        <f t="shared" si="109"/>
        <v>1</v>
      </c>
      <c r="U1009">
        <f t="shared" si="110"/>
        <v>1</v>
      </c>
    </row>
    <row r="1010" spans="1:21">
      <c r="A1010" t="s">
        <v>2677</v>
      </c>
      <c r="B1010">
        <v>450</v>
      </c>
      <c r="D1010" t="s">
        <v>96</v>
      </c>
      <c r="E1010" t="s">
        <v>96</v>
      </c>
      <c r="F1010">
        <v>1</v>
      </c>
      <c r="G1010">
        <f t="shared" si="111"/>
        <v>0.83333333333333337</v>
      </c>
      <c r="H1010">
        <f t="shared" si="112"/>
        <v>0</v>
      </c>
      <c r="I1010">
        <f t="shared" si="113"/>
        <v>0.83333333333333337</v>
      </c>
      <c r="J1010" cm="1">
        <f t="array" ref="J1010">INT(G1010)+IF(100-SUM(INT(G$1007:G$1019))&gt;=RANK(I1010,I$1007:I$1019)+COUNTIF(I$1007:I1010,I1010)-1,1,0)</f>
        <v>1</v>
      </c>
      <c r="K1010" t="str">
        <f>_xlfn.XLOOKUP(B1010,BugList!A:A,BugList!H:H)</f>
        <v>*</v>
      </c>
      <c r="L1010" t="str">
        <f>IF(K1010 = "","",_xlfn.XLOOKUP(B1010, BugList!A:A,BugList!B:B,""))</f>
        <v>Ephemeroptera</v>
      </c>
      <c r="M1010">
        <f>_xlfn.XLOOKUP(D1010,BugList!C:C,BugList!N:N)</f>
        <v>4</v>
      </c>
      <c r="N1010">
        <f>_xlfn.XLOOKUP(B1010,BugList!A:A,BugList!R:R)</f>
        <v>4</v>
      </c>
      <c r="O1010" t="b">
        <f>_xlfn.XLOOKUP(B1010,BugList!A:A,BugList!L:L)</f>
        <v>1</v>
      </c>
      <c r="P1010" t="b">
        <f t="shared" si="114"/>
        <v>1</v>
      </c>
      <c r="R1010" t="b">
        <f>SUMPRODUCT(COUNTIF(_xlfn.XLOOKUP(B1010,BugList!A:A,BugList!P:P), "*SC*"))&gt;0</f>
        <v>1</v>
      </c>
      <c r="S1010" t="str">
        <f>_xlfn.XLOOKUP(B1010,BugList!A:A,BugList!W:W)</f>
        <v>3</v>
      </c>
      <c r="T1010">
        <f t="shared" si="109"/>
        <v>4</v>
      </c>
      <c r="U1010">
        <f t="shared" si="110"/>
        <v>4</v>
      </c>
    </row>
    <row r="1011" spans="1:21">
      <c r="A1011" t="s">
        <v>2677</v>
      </c>
      <c r="B1011">
        <v>513</v>
      </c>
      <c r="D1011" t="s">
        <v>111</v>
      </c>
      <c r="E1011" t="s">
        <v>111</v>
      </c>
      <c r="F1011">
        <v>2</v>
      </c>
      <c r="G1011">
        <f t="shared" si="111"/>
        <v>1.6666666666666667</v>
      </c>
      <c r="H1011">
        <f t="shared" si="112"/>
        <v>1</v>
      </c>
      <c r="I1011">
        <f t="shared" si="113"/>
        <v>0.66666666666666674</v>
      </c>
      <c r="J1011" cm="1">
        <f t="array" ref="J1011">INT(G1011)+IF(100-SUM(INT(G$1007:G$1019))&gt;=RANK(I1011,I$1007:I$1019)+COUNTIF(I$1007:I1011,I1011)-1,1,0)</f>
        <v>2</v>
      </c>
      <c r="K1011" t="str">
        <f>_xlfn.XLOOKUP(B1011,BugList!A:A,BugList!H:H)</f>
        <v>*</v>
      </c>
      <c r="L1011" t="str">
        <f>IF(K1011 = "","",_xlfn.XLOOKUP(B1011, BugList!A:A,BugList!B:B,""))</f>
        <v>Ephemeroptera</v>
      </c>
      <c r="M1011">
        <f>_xlfn.XLOOKUP(D1011,BugList!C:C,BugList!N:N)</f>
        <v>4</v>
      </c>
      <c r="N1011">
        <f>_xlfn.XLOOKUP(B1011,BugList!A:A,BugList!R:R)</f>
        <v>4</v>
      </c>
      <c r="O1011" t="b">
        <f>_xlfn.XLOOKUP(B1011,BugList!A:A,BugList!L:L)</f>
        <v>1</v>
      </c>
      <c r="P1011" t="b">
        <f t="shared" si="114"/>
        <v>1</v>
      </c>
      <c r="R1011" t="b">
        <f>SUMPRODUCT(COUNTIF(_xlfn.XLOOKUP(B1011,BugList!A:A,BugList!P:P), "*SC*"))&gt;0</f>
        <v>1</v>
      </c>
      <c r="S1011" t="str">
        <f>_xlfn.XLOOKUP(B1011,BugList!A:A,BugList!W:W)</f>
        <v/>
      </c>
      <c r="T1011">
        <f t="shared" si="109"/>
        <v>8</v>
      </c>
      <c r="U1011">
        <f t="shared" si="110"/>
        <v>8</v>
      </c>
    </row>
    <row r="1012" spans="1:21">
      <c r="A1012" t="s">
        <v>2677</v>
      </c>
      <c r="B1012">
        <v>602</v>
      </c>
      <c r="D1012" t="s">
        <v>97</v>
      </c>
      <c r="E1012" t="s">
        <v>97</v>
      </c>
      <c r="F1012">
        <v>9</v>
      </c>
      <c r="G1012">
        <f t="shared" si="111"/>
        <v>7.5</v>
      </c>
      <c r="H1012">
        <f t="shared" si="112"/>
        <v>7</v>
      </c>
      <c r="I1012">
        <f t="shared" si="113"/>
        <v>0.5</v>
      </c>
      <c r="J1012" cm="1">
        <f t="array" ref="J1012">INT(G1012)+IF(100-SUM(INT(G$1007:G$1019))&gt;=RANK(I1012,I$1007:I$1019)+COUNTIF(I$1007:I1012,I1012)-1,1,0)</f>
        <v>7</v>
      </c>
      <c r="K1012" t="str">
        <f>_xlfn.XLOOKUP(B1012,BugList!A:A,BugList!H:H)</f>
        <v/>
      </c>
      <c r="L1012" t="str">
        <f>IF(K1012 = "","",_xlfn.XLOOKUP(B1012, BugList!A:A,BugList!B:B,""))</f>
        <v/>
      </c>
      <c r="M1012">
        <f>_xlfn.XLOOKUP(D1012,BugList!C:C,BugList!N:N)</f>
        <v>9</v>
      </c>
      <c r="N1012">
        <f>_xlfn.XLOOKUP(B1012,BugList!A:A,BugList!R:R)</f>
        <v>9</v>
      </c>
      <c r="O1012" t="b">
        <f>_xlfn.XLOOKUP(B1012,BugList!A:A,BugList!L:L)</f>
        <v>1</v>
      </c>
      <c r="P1012" t="b">
        <f t="shared" si="114"/>
        <v>0</v>
      </c>
      <c r="R1012" t="b">
        <f>SUMPRODUCT(COUNTIF(_xlfn.XLOOKUP(B1012,BugList!A:A,BugList!P:P), "*SC*"))&gt;0</f>
        <v>0</v>
      </c>
      <c r="S1012" t="str">
        <f>_xlfn.XLOOKUP(B1012,BugList!A:A,BugList!W:W)</f>
        <v/>
      </c>
      <c r="T1012">
        <f t="shared" si="109"/>
        <v>63</v>
      </c>
      <c r="U1012">
        <f t="shared" si="110"/>
        <v>63</v>
      </c>
    </row>
    <row r="1013" spans="1:21">
      <c r="A1013" t="s">
        <v>2677</v>
      </c>
      <c r="B1013">
        <v>620</v>
      </c>
      <c r="D1013" t="s">
        <v>113</v>
      </c>
      <c r="E1013" t="s">
        <v>113</v>
      </c>
      <c r="F1013">
        <v>4</v>
      </c>
      <c r="G1013">
        <f t="shared" si="111"/>
        <v>3.3333333333333335</v>
      </c>
      <c r="H1013">
        <f t="shared" si="112"/>
        <v>3</v>
      </c>
      <c r="I1013">
        <f t="shared" si="113"/>
        <v>0.33333333333333348</v>
      </c>
      <c r="J1013" cm="1">
        <f t="array" ref="J1013">INT(G1013)+IF(100-SUM(INT(G$1007:G$1019))&gt;=RANK(I1013,I$1007:I$1019)+COUNTIF(I$1007:I1013,I1013)-1,1,0)</f>
        <v>3</v>
      </c>
      <c r="K1013" t="str">
        <f>_xlfn.XLOOKUP(B1013,BugList!A:A,BugList!H:H)</f>
        <v/>
      </c>
      <c r="L1013" t="str">
        <f>IF(K1013 = "","",_xlfn.XLOOKUP(B1013, BugList!A:A,BugList!B:B,""))</f>
        <v/>
      </c>
      <c r="M1013">
        <f>_xlfn.XLOOKUP(D1013,BugList!C:C,BugList!N:N)</f>
        <v>1</v>
      </c>
      <c r="N1013">
        <f>_xlfn.XLOOKUP(B1013,BugList!A:A,BugList!R:R)</f>
        <v>1</v>
      </c>
      <c r="O1013" t="b">
        <f>_xlfn.XLOOKUP(B1013,BugList!A:A,BugList!L:L)</f>
        <v>1</v>
      </c>
      <c r="P1013" t="b">
        <f t="shared" si="114"/>
        <v>0</v>
      </c>
      <c r="R1013" t="b">
        <f>SUMPRODUCT(COUNTIF(_xlfn.XLOOKUP(B1013,BugList!A:A,BugList!P:P), "*SC*"))&gt;0</f>
        <v>0</v>
      </c>
      <c r="S1013" t="str">
        <f>_xlfn.XLOOKUP(B1013,BugList!A:A,BugList!W:W)</f>
        <v>3</v>
      </c>
      <c r="T1013">
        <f t="shared" si="109"/>
        <v>3</v>
      </c>
      <c r="U1013">
        <f t="shared" si="110"/>
        <v>3</v>
      </c>
    </row>
    <row r="1014" spans="1:21">
      <c r="A1014" t="s">
        <v>2677</v>
      </c>
      <c r="B1014">
        <v>725</v>
      </c>
      <c r="D1014" t="s">
        <v>181</v>
      </c>
      <c r="E1014" t="s">
        <v>181</v>
      </c>
      <c r="F1014">
        <v>6</v>
      </c>
      <c r="G1014">
        <f t="shared" si="111"/>
        <v>5</v>
      </c>
      <c r="H1014">
        <f t="shared" si="112"/>
        <v>5</v>
      </c>
      <c r="I1014">
        <f t="shared" si="113"/>
        <v>0</v>
      </c>
      <c r="J1014" cm="1">
        <f t="array" ref="J1014">INT(G1014)+IF(100-SUM(INT(G$1007:G$1019))&gt;=RANK(I1014,I$1007:I$1019)+COUNTIF(I$1007:I1014,I1014)-1,1,0)</f>
        <v>5</v>
      </c>
      <c r="K1014" t="str">
        <f>_xlfn.XLOOKUP(B1014,BugList!A:A,BugList!H:H)</f>
        <v/>
      </c>
      <c r="L1014" t="str">
        <f>IF(K1014 = "","",_xlfn.XLOOKUP(B1014, BugList!A:A,BugList!B:B,""))</f>
        <v/>
      </c>
      <c r="M1014">
        <f>_xlfn.XLOOKUP(D1014,BugList!C:C,BugList!N:N)</f>
        <v>4</v>
      </c>
      <c r="N1014">
        <f>_xlfn.XLOOKUP(B1014,BugList!A:A,BugList!R:R)</f>
        <v>4</v>
      </c>
      <c r="O1014" t="b">
        <f>_xlfn.XLOOKUP(B1014,BugList!A:A,BugList!L:L)</f>
        <v>1</v>
      </c>
      <c r="P1014" t="b">
        <f t="shared" si="114"/>
        <v>0</v>
      </c>
      <c r="R1014" t="b">
        <f>SUMPRODUCT(COUNTIF(_xlfn.XLOOKUP(B1014,BugList!A:A,BugList!P:P), "*SC*"))&gt;0</f>
        <v>0</v>
      </c>
      <c r="S1014" t="str">
        <f>_xlfn.XLOOKUP(B1014,BugList!A:A,BugList!W:W)</f>
        <v/>
      </c>
      <c r="T1014">
        <f t="shared" si="109"/>
        <v>20</v>
      </c>
      <c r="U1014">
        <f t="shared" si="110"/>
        <v>20</v>
      </c>
    </row>
    <row r="1015" spans="1:21">
      <c r="A1015" t="s">
        <v>2677</v>
      </c>
      <c r="B1015">
        <v>794</v>
      </c>
      <c r="D1015" t="s">
        <v>89</v>
      </c>
      <c r="E1015" t="s">
        <v>89</v>
      </c>
      <c r="F1015">
        <v>27</v>
      </c>
      <c r="G1015">
        <f t="shared" si="111"/>
        <v>22.5</v>
      </c>
      <c r="H1015">
        <f t="shared" si="112"/>
        <v>22</v>
      </c>
      <c r="I1015">
        <f t="shared" si="113"/>
        <v>0.5</v>
      </c>
      <c r="J1015" cm="1">
        <f t="array" ref="J1015">INT(G1015)+IF(100-SUM(INT(G$1007:G$1019))&gt;=RANK(I1015,I$1007:I$1019)+COUNTIF(I$1007:I1015,I1015)-1,1,0)</f>
        <v>22</v>
      </c>
      <c r="K1015" t="str">
        <f>_xlfn.XLOOKUP(B1015,BugList!A:A,BugList!H:H)</f>
        <v>*</v>
      </c>
      <c r="L1015" t="str">
        <f>IF(K1015 = "","",_xlfn.XLOOKUP(B1015, BugList!A:A,BugList!B:B,""))</f>
        <v>Trichoptera</v>
      </c>
      <c r="M1015">
        <f>_xlfn.XLOOKUP(D1015,BugList!C:C,BugList!N:N)</f>
        <v>4</v>
      </c>
      <c r="N1015">
        <f>_xlfn.XLOOKUP(B1015,BugList!A:A,BugList!R:R)</f>
        <v>4</v>
      </c>
      <c r="O1015" t="b">
        <f>_xlfn.XLOOKUP(B1015,BugList!A:A,BugList!L:L)</f>
        <v>1</v>
      </c>
      <c r="P1015" t="b">
        <f t="shared" si="114"/>
        <v>0</v>
      </c>
      <c r="R1015" t="b">
        <f>SUMPRODUCT(COUNTIF(_xlfn.XLOOKUP(B1015,BugList!A:A,BugList!P:P), "*SC*"))&gt;0</f>
        <v>0</v>
      </c>
      <c r="S1015" t="str">
        <f>_xlfn.XLOOKUP(B1015,BugList!A:A,BugList!W:W)</f>
        <v/>
      </c>
      <c r="T1015">
        <f t="shared" si="109"/>
        <v>88</v>
      </c>
      <c r="U1015">
        <f t="shared" si="110"/>
        <v>88</v>
      </c>
    </row>
    <row r="1016" spans="1:21">
      <c r="A1016" t="s">
        <v>2677</v>
      </c>
      <c r="B1016">
        <v>837</v>
      </c>
      <c r="D1016" t="s">
        <v>107</v>
      </c>
      <c r="E1016" t="s">
        <v>107</v>
      </c>
      <c r="F1016">
        <v>43</v>
      </c>
      <c r="G1016">
        <f t="shared" si="111"/>
        <v>35.833333333333336</v>
      </c>
      <c r="H1016">
        <f t="shared" si="112"/>
        <v>35</v>
      </c>
      <c r="I1016">
        <f t="shared" si="113"/>
        <v>0.8333333333333357</v>
      </c>
      <c r="J1016" cm="1">
        <f t="array" ref="J1016">INT(G1016)+IF(100-SUM(INT(G$1007:G$1019))&gt;=RANK(I1016,I$1007:I$1019)+COUNTIF(I$1007:I1016,I1016)-1,1,0)</f>
        <v>36</v>
      </c>
      <c r="K1016" t="str">
        <f>_xlfn.XLOOKUP(B1016,BugList!A:A,BugList!H:H)</f>
        <v>*</v>
      </c>
      <c r="L1016" t="str">
        <f>IF(K1016 = "","",_xlfn.XLOOKUP(B1016, BugList!A:A,BugList!B:B,""))</f>
        <v>Trichoptera</v>
      </c>
      <c r="M1016">
        <f>_xlfn.XLOOKUP(D1016,BugList!C:C,BugList!N:N)</f>
        <v>3</v>
      </c>
      <c r="N1016">
        <f>_xlfn.XLOOKUP(B1016,BugList!A:A,BugList!R:R)</f>
        <v>3</v>
      </c>
      <c r="O1016" t="b">
        <f>_xlfn.XLOOKUP(B1016,BugList!A:A,BugList!L:L)</f>
        <v>1</v>
      </c>
      <c r="P1016" t="b">
        <f t="shared" si="114"/>
        <v>1</v>
      </c>
      <c r="R1016" t="b">
        <f>SUMPRODUCT(COUNTIF(_xlfn.XLOOKUP(B1016,BugList!A:A,BugList!P:P), "*SC*"))&gt;0</f>
        <v>0</v>
      </c>
      <c r="S1016" t="str">
        <f>_xlfn.XLOOKUP(B1016,BugList!A:A,BugList!W:W)</f>
        <v/>
      </c>
      <c r="T1016">
        <f t="shared" si="109"/>
        <v>108</v>
      </c>
      <c r="U1016">
        <f t="shared" si="110"/>
        <v>108</v>
      </c>
    </row>
    <row r="1017" spans="1:21">
      <c r="A1017" t="s">
        <v>2677</v>
      </c>
      <c r="B1017">
        <v>935</v>
      </c>
      <c r="D1017" t="s">
        <v>98</v>
      </c>
      <c r="E1017" t="s">
        <v>98</v>
      </c>
      <c r="F1017">
        <v>3</v>
      </c>
      <c r="G1017">
        <f t="shared" si="111"/>
        <v>2.5</v>
      </c>
      <c r="H1017">
        <f t="shared" si="112"/>
        <v>2</v>
      </c>
      <c r="I1017">
        <f t="shared" si="113"/>
        <v>0.5</v>
      </c>
      <c r="J1017" cm="1">
        <f t="array" ref="J1017">INT(G1017)+IF(100-SUM(INT(G$1007:G$1019))&gt;=RANK(I1017,I$1007:I$1019)+COUNTIF(I$1007:I1017,I1017)-1,1,0)</f>
        <v>2</v>
      </c>
      <c r="K1017" t="str">
        <f>_xlfn.XLOOKUP(B1017,BugList!A:A,BugList!H:H)</f>
        <v/>
      </c>
      <c r="L1017" t="str">
        <f>IF(K1017 = "","",_xlfn.XLOOKUP(B1017, BugList!A:A,BugList!B:B,""))</f>
        <v/>
      </c>
      <c r="M1017">
        <f>_xlfn.XLOOKUP(D1017,BugList!C:C,BugList!N:N)</f>
        <v>4</v>
      </c>
      <c r="N1017">
        <f>_xlfn.XLOOKUP(B1017,BugList!A:A,BugList!R:R)</f>
        <v>4</v>
      </c>
      <c r="O1017" t="b">
        <f>_xlfn.XLOOKUP(B1017,BugList!A:A,BugList!L:L)</f>
        <v>1</v>
      </c>
      <c r="P1017" t="b">
        <f t="shared" si="114"/>
        <v>0</v>
      </c>
      <c r="R1017" t="b">
        <f>SUMPRODUCT(COUNTIF(_xlfn.XLOOKUP(B1017,BugList!A:A,BugList!P:P), "*SC*"))&gt;0</f>
        <v>1</v>
      </c>
      <c r="S1017" t="str">
        <f>_xlfn.XLOOKUP(B1017,BugList!A:A,BugList!W:W)</f>
        <v/>
      </c>
      <c r="T1017">
        <f t="shared" si="109"/>
        <v>8</v>
      </c>
      <c r="U1017">
        <f t="shared" si="110"/>
        <v>8</v>
      </c>
    </row>
    <row r="1018" spans="1:21">
      <c r="A1018" t="s">
        <v>2677</v>
      </c>
      <c r="B1018">
        <v>1002</v>
      </c>
      <c r="D1018" t="s">
        <v>100</v>
      </c>
      <c r="E1018" t="s">
        <v>100</v>
      </c>
      <c r="F1018">
        <v>20</v>
      </c>
      <c r="G1018">
        <f t="shared" si="111"/>
        <v>16.666666666666664</v>
      </c>
      <c r="H1018">
        <f t="shared" si="112"/>
        <v>16</v>
      </c>
      <c r="I1018">
        <f t="shared" si="113"/>
        <v>0.6666666666666643</v>
      </c>
      <c r="J1018" cm="1">
        <f t="array" ref="J1018">INT(G1018)+IF(100-SUM(INT(G$1007:G$1019))&gt;=RANK(I1018,I$1007:I$1019)+COUNTIF(I$1007:I1018,I1018)-1,1,0)</f>
        <v>17</v>
      </c>
      <c r="K1018" t="str">
        <f>_xlfn.XLOOKUP(B1018,BugList!A:A,BugList!H:H)</f>
        <v/>
      </c>
      <c r="L1018" t="str">
        <f>IF(K1018 = "","",_xlfn.XLOOKUP(B1018, BugList!A:A,BugList!B:B,""))</f>
        <v/>
      </c>
      <c r="M1018">
        <f>_xlfn.XLOOKUP(D1018,BugList!C:C,BugList!N:N)</f>
        <v>4</v>
      </c>
      <c r="N1018">
        <f>_xlfn.XLOOKUP(B1018,BugList!A:A,BugList!R:R)</f>
        <v>4</v>
      </c>
      <c r="O1018" t="b">
        <f>_xlfn.XLOOKUP(B1018,BugList!A:A,BugList!L:L)</f>
        <v>1</v>
      </c>
      <c r="P1018" t="b">
        <f t="shared" si="114"/>
        <v>0</v>
      </c>
      <c r="R1018" t="b">
        <f>SUMPRODUCT(COUNTIF(_xlfn.XLOOKUP(B1018,BugList!A:A,BugList!P:P), "*SC*"))&gt;0</f>
        <v>1</v>
      </c>
      <c r="S1018" t="str">
        <f>_xlfn.XLOOKUP(B1018,BugList!A:A,BugList!W:W)</f>
        <v/>
      </c>
      <c r="T1018">
        <f t="shared" si="109"/>
        <v>68</v>
      </c>
      <c r="U1018">
        <f t="shared" si="110"/>
        <v>68</v>
      </c>
    </row>
    <row r="1019" spans="1:21">
      <c r="A1019" t="s">
        <v>2677</v>
      </c>
      <c r="B1019">
        <v>1497</v>
      </c>
      <c r="D1019" t="s">
        <v>108</v>
      </c>
      <c r="E1019" t="s">
        <v>108</v>
      </c>
      <c r="F1019">
        <v>1</v>
      </c>
      <c r="G1019">
        <f t="shared" si="111"/>
        <v>0.83333333333333337</v>
      </c>
      <c r="H1019">
        <f t="shared" si="112"/>
        <v>0</v>
      </c>
      <c r="I1019">
        <f t="shared" si="113"/>
        <v>0.83333333333333337</v>
      </c>
      <c r="J1019" cm="1">
        <f t="array" ref="J1019">INT(G1019)+IF(100-SUM(INT(G$1007:G$1019))&gt;=RANK(I1019,I$1007:I$1019)+COUNTIF(I$1007:I1019,I1019)-1,1,0)</f>
        <v>1</v>
      </c>
      <c r="K1019" t="str">
        <f>_xlfn.XLOOKUP(B1019,BugList!A:A,BugList!H:H)</f>
        <v/>
      </c>
      <c r="L1019" t="str">
        <f>IF(K1019 = "","",_xlfn.XLOOKUP(B1019, BugList!A:A,BugList!B:B,""))</f>
        <v/>
      </c>
      <c r="M1019">
        <f>_xlfn.XLOOKUP(D1019,BugList!C:C,BugList!N:N)</f>
        <v>3</v>
      </c>
      <c r="N1019">
        <f>_xlfn.XLOOKUP(B1019,BugList!A:A,BugList!R:R)</f>
        <v>3</v>
      </c>
      <c r="O1019" t="b">
        <f>_xlfn.XLOOKUP(B1019,BugList!A:A,BugList!L:L)</f>
        <v>1</v>
      </c>
      <c r="P1019" t="b">
        <f t="shared" si="114"/>
        <v>0</v>
      </c>
      <c r="R1019" t="b">
        <f>SUMPRODUCT(COUNTIF(_xlfn.XLOOKUP(B1019,BugList!A:A,BugList!P:P), "*SC*"))&gt;0</f>
        <v>0</v>
      </c>
      <c r="S1019" t="str">
        <f>_xlfn.XLOOKUP(B1019,BugList!A:A,BugList!W:W)</f>
        <v/>
      </c>
      <c r="T1019">
        <f t="shared" si="109"/>
        <v>3</v>
      </c>
      <c r="U1019">
        <f t="shared" si="110"/>
        <v>3</v>
      </c>
    </row>
    <row r="1020" spans="1:21">
      <c r="A1020" t="s">
        <v>2678</v>
      </c>
      <c r="B1020">
        <v>99</v>
      </c>
      <c r="D1020" t="s">
        <v>169</v>
      </c>
      <c r="E1020" t="s">
        <v>169</v>
      </c>
      <c r="F1020">
        <v>1</v>
      </c>
      <c r="G1020">
        <f t="shared" si="111"/>
        <v>0.93457943925233633</v>
      </c>
      <c r="H1020">
        <f t="shared" si="112"/>
        <v>0</v>
      </c>
      <c r="I1020">
        <f t="shared" si="113"/>
        <v>0.93457943925233633</v>
      </c>
      <c r="J1020" cm="1">
        <f t="array" ref="J1020">INT(G1020)+IF(100-SUM(INT(G$1020:G$1032))&gt;=RANK(I1020,I$1020:I$1032)+COUNTIF(I$1020:I1020,I1020)-1,1,0)</f>
        <v>1</v>
      </c>
      <c r="K1020" t="str">
        <f>_xlfn.XLOOKUP(B1020,BugList!A:A,BugList!H:H)</f>
        <v/>
      </c>
      <c r="L1020" t="str">
        <f>IF(K1020 = "","",_xlfn.XLOOKUP(B1020, BugList!A:A,BugList!B:B,""))</f>
        <v/>
      </c>
      <c r="M1020">
        <f>_xlfn.XLOOKUP(D1020,BugList!C:C,BugList!N:N)</f>
        <v>5</v>
      </c>
      <c r="N1020">
        <f>_xlfn.XLOOKUP(B1020,BugList!A:A,BugList!R:R)</f>
        <v>5</v>
      </c>
      <c r="O1020" t="b">
        <f>_xlfn.XLOOKUP(B1020,BugList!A:A,BugList!L:L)</f>
        <v>0</v>
      </c>
      <c r="P1020" t="b">
        <f t="shared" si="114"/>
        <v>0</v>
      </c>
      <c r="R1020" t="b">
        <f>SUMPRODUCT(COUNTIF(_xlfn.XLOOKUP(B1020,BugList!A:A,BugList!P:P), "*SC*"))&gt;0</f>
        <v>0</v>
      </c>
      <c r="S1020" t="str">
        <f>_xlfn.XLOOKUP(B1020,BugList!A:A,BugList!W:W)</f>
        <v/>
      </c>
      <c r="T1020">
        <f t="shared" si="109"/>
        <v>5</v>
      </c>
      <c r="U1020">
        <f t="shared" si="110"/>
        <v>5</v>
      </c>
    </row>
    <row r="1021" spans="1:21">
      <c r="A1021" t="s">
        <v>2678</v>
      </c>
      <c r="B1021">
        <v>372</v>
      </c>
      <c r="D1021" t="s">
        <v>88</v>
      </c>
      <c r="E1021" t="s">
        <v>88</v>
      </c>
      <c r="F1021">
        <v>4</v>
      </c>
      <c r="G1021">
        <f t="shared" si="111"/>
        <v>3.7383177570093453</v>
      </c>
      <c r="H1021">
        <f t="shared" si="112"/>
        <v>3</v>
      </c>
      <c r="I1021">
        <f t="shared" si="113"/>
        <v>0.73831775700934532</v>
      </c>
      <c r="J1021" cm="1">
        <f t="array" ref="J1021">INT(G1021)+IF(100-SUM(INT(G$1020:G$1032))&gt;=RANK(I1021,I$1020:I$1032)+COUNTIF(I$1020:I1021,I1021)-1,1,0)</f>
        <v>4</v>
      </c>
      <c r="K1021" t="str">
        <f>_xlfn.XLOOKUP(B1021,BugList!A:A,BugList!H:H)</f>
        <v/>
      </c>
      <c r="L1021" t="str">
        <f>IF(K1021 = "","",_xlfn.XLOOKUP(B1021, BugList!A:A,BugList!B:B,""))</f>
        <v/>
      </c>
      <c r="M1021">
        <f>_xlfn.XLOOKUP(D1021,BugList!C:C,BugList!N:N)</f>
        <v>8</v>
      </c>
      <c r="N1021">
        <f>_xlfn.XLOOKUP(B1021,BugList!A:A,BugList!R:R)</f>
        <v>8</v>
      </c>
      <c r="O1021" t="b">
        <f>_xlfn.XLOOKUP(B1021,BugList!A:A,BugList!L:L)</f>
        <v>0</v>
      </c>
      <c r="P1021" t="b">
        <f t="shared" si="114"/>
        <v>0</v>
      </c>
      <c r="R1021" t="b">
        <f>SUMPRODUCT(COUNTIF(_xlfn.XLOOKUP(B1021,BugList!A:A,BugList!P:P), "*SC*"))&gt;0</f>
        <v>0</v>
      </c>
      <c r="S1021" t="str">
        <f>_xlfn.XLOOKUP(B1021,BugList!A:A,BugList!W:W)</f>
        <v/>
      </c>
      <c r="T1021">
        <f t="shared" si="109"/>
        <v>32</v>
      </c>
      <c r="U1021">
        <f t="shared" si="110"/>
        <v>32</v>
      </c>
    </row>
    <row r="1022" spans="1:21">
      <c r="A1022" t="s">
        <v>2678</v>
      </c>
      <c r="B1022">
        <v>513</v>
      </c>
      <c r="D1022" t="s">
        <v>111</v>
      </c>
      <c r="E1022" t="s">
        <v>111</v>
      </c>
      <c r="F1022">
        <v>9</v>
      </c>
      <c r="G1022">
        <f t="shared" si="111"/>
        <v>8.4112149532710276</v>
      </c>
      <c r="H1022">
        <f t="shared" si="112"/>
        <v>8</v>
      </c>
      <c r="I1022">
        <f t="shared" si="113"/>
        <v>0.41121495327102764</v>
      </c>
      <c r="J1022" cm="1">
        <f t="array" ref="J1022">INT(G1022)+IF(100-SUM(INT(G$1020:G$1032))&gt;=RANK(I1022,I$1020:I$1032)+COUNTIF(I$1020:I1022,I1022)-1,1,0)</f>
        <v>8</v>
      </c>
      <c r="K1022" t="str">
        <f>_xlfn.XLOOKUP(B1022,BugList!A:A,BugList!H:H)</f>
        <v>*</v>
      </c>
      <c r="L1022" t="str">
        <f>IF(K1022 = "","",_xlfn.XLOOKUP(B1022, BugList!A:A,BugList!B:B,""))</f>
        <v>Ephemeroptera</v>
      </c>
      <c r="M1022">
        <f>_xlfn.XLOOKUP(D1022,BugList!C:C,BugList!N:N)</f>
        <v>4</v>
      </c>
      <c r="N1022">
        <f>_xlfn.XLOOKUP(B1022,BugList!A:A,BugList!R:R)</f>
        <v>4</v>
      </c>
      <c r="O1022" t="b">
        <f>_xlfn.XLOOKUP(B1022,BugList!A:A,BugList!L:L)</f>
        <v>1</v>
      </c>
      <c r="P1022" t="b">
        <f t="shared" si="114"/>
        <v>1</v>
      </c>
      <c r="R1022" t="b">
        <f>SUMPRODUCT(COUNTIF(_xlfn.XLOOKUP(B1022,BugList!A:A,BugList!P:P), "*SC*"))&gt;0</f>
        <v>1</v>
      </c>
      <c r="S1022" t="str">
        <f>_xlfn.XLOOKUP(B1022,BugList!A:A,BugList!W:W)</f>
        <v/>
      </c>
      <c r="T1022">
        <f t="shared" si="109"/>
        <v>32</v>
      </c>
      <c r="U1022">
        <f t="shared" si="110"/>
        <v>32</v>
      </c>
    </row>
    <row r="1023" spans="1:21">
      <c r="A1023" t="s">
        <v>2678</v>
      </c>
      <c r="B1023">
        <v>602</v>
      </c>
      <c r="D1023" t="s">
        <v>97</v>
      </c>
      <c r="E1023" t="s">
        <v>97</v>
      </c>
      <c r="F1023">
        <v>9</v>
      </c>
      <c r="G1023">
        <f t="shared" si="111"/>
        <v>8.4112149532710276</v>
      </c>
      <c r="H1023">
        <f t="shared" si="112"/>
        <v>8</v>
      </c>
      <c r="I1023">
        <f t="shared" si="113"/>
        <v>0.41121495327102764</v>
      </c>
      <c r="J1023" cm="1">
        <f t="array" ref="J1023">INT(G1023)+IF(100-SUM(INT(G$1020:G$1032))&gt;=RANK(I1023,I$1020:I$1032)+COUNTIF(I$1020:I1023,I1023)-1,1,0)</f>
        <v>8</v>
      </c>
      <c r="K1023" t="str">
        <f>_xlfn.XLOOKUP(B1023,BugList!A:A,BugList!H:H)</f>
        <v/>
      </c>
      <c r="L1023" t="str">
        <f>IF(K1023 = "","",_xlfn.XLOOKUP(B1023, BugList!A:A,BugList!B:B,""))</f>
        <v/>
      </c>
      <c r="M1023">
        <f>_xlfn.XLOOKUP(D1023,BugList!C:C,BugList!N:N)</f>
        <v>9</v>
      </c>
      <c r="N1023">
        <f>_xlfn.XLOOKUP(B1023,BugList!A:A,BugList!R:R)</f>
        <v>9</v>
      </c>
      <c r="O1023" t="b">
        <f>_xlfn.XLOOKUP(B1023,BugList!A:A,BugList!L:L)</f>
        <v>1</v>
      </c>
      <c r="P1023" t="b">
        <f t="shared" si="114"/>
        <v>0</v>
      </c>
      <c r="R1023" t="b">
        <f>SUMPRODUCT(COUNTIF(_xlfn.XLOOKUP(B1023,BugList!A:A,BugList!P:P), "*SC*"))&gt;0</f>
        <v>0</v>
      </c>
      <c r="S1023" t="str">
        <f>_xlfn.XLOOKUP(B1023,BugList!A:A,BugList!W:W)</f>
        <v/>
      </c>
      <c r="T1023">
        <f t="shared" si="109"/>
        <v>72</v>
      </c>
      <c r="U1023">
        <f t="shared" si="110"/>
        <v>72</v>
      </c>
    </row>
    <row r="1024" spans="1:21">
      <c r="A1024" t="s">
        <v>2678</v>
      </c>
      <c r="B1024">
        <v>935</v>
      </c>
      <c r="D1024" t="s">
        <v>98</v>
      </c>
      <c r="E1024" t="s">
        <v>98</v>
      </c>
      <c r="F1024">
        <v>25</v>
      </c>
      <c r="G1024">
        <f t="shared" si="111"/>
        <v>23.364485981308412</v>
      </c>
      <c r="H1024">
        <f t="shared" si="112"/>
        <v>23</v>
      </c>
      <c r="I1024">
        <f t="shared" si="113"/>
        <v>0.36448598130841248</v>
      </c>
      <c r="J1024" cm="1">
        <f t="array" ref="J1024">INT(G1024)+IF(100-SUM(INT(G$1020:G$1032))&gt;=RANK(I1024,I$1020:I$1032)+COUNTIF(I$1020:I1024,I1024)-1,1,0)</f>
        <v>23</v>
      </c>
      <c r="K1024" t="str">
        <f>_xlfn.XLOOKUP(B1024,BugList!A:A,BugList!H:H)</f>
        <v/>
      </c>
      <c r="L1024" t="str">
        <f>IF(K1024 = "","",_xlfn.XLOOKUP(B1024, BugList!A:A,BugList!B:B,""))</f>
        <v/>
      </c>
      <c r="M1024">
        <f>_xlfn.XLOOKUP(D1024,BugList!C:C,BugList!N:N)</f>
        <v>4</v>
      </c>
      <c r="N1024">
        <f>_xlfn.XLOOKUP(B1024,BugList!A:A,BugList!R:R)</f>
        <v>4</v>
      </c>
      <c r="O1024" t="b">
        <f>_xlfn.XLOOKUP(B1024,BugList!A:A,BugList!L:L)</f>
        <v>1</v>
      </c>
      <c r="P1024" t="b">
        <f t="shared" si="114"/>
        <v>0</v>
      </c>
      <c r="R1024" t="b">
        <f>SUMPRODUCT(COUNTIF(_xlfn.XLOOKUP(B1024,BugList!A:A,BugList!P:P), "*SC*"))&gt;0</f>
        <v>1</v>
      </c>
      <c r="S1024" t="str">
        <f>_xlfn.XLOOKUP(B1024,BugList!A:A,BugList!W:W)</f>
        <v/>
      </c>
      <c r="T1024">
        <f t="shared" si="109"/>
        <v>92</v>
      </c>
      <c r="U1024">
        <f t="shared" si="110"/>
        <v>92</v>
      </c>
    </row>
    <row r="1025" spans="1:21">
      <c r="A1025" t="s">
        <v>2678</v>
      </c>
      <c r="B1025">
        <v>1002</v>
      </c>
      <c r="D1025" t="s">
        <v>100</v>
      </c>
      <c r="E1025" t="s">
        <v>100</v>
      </c>
      <c r="F1025">
        <v>38</v>
      </c>
      <c r="G1025">
        <f t="shared" si="111"/>
        <v>35.514018691588781</v>
      </c>
      <c r="H1025">
        <f t="shared" si="112"/>
        <v>35</v>
      </c>
      <c r="I1025">
        <f t="shared" si="113"/>
        <v>0.514018691588781</v>
      </c>
      <c r="J1025" cm="1">
        <f t="array" ref="J1025">INT(G1025)+IF(100-SUM(INT(G$1020:G$1032))&gt;=RANK(I1025,I$1020:I$1032)+COUNTIF(I$1020:I1025,I1025)-1,1,0)</f>
        <v>35</v>
      </c>
      <c r="K1025" t="str">
        <f>_xlfn.XLOOKUP(B1025,BugList!A:A,BugList!H:H)</f>
        <v/>
      </c>
      <c r="L1025" t="str">
        <f>IF(K1025 = "","",_xlfn.XLOOKUP(B1025, BugList!A:A,BugList!B:B,""))</f>
        <v/>
      </c>
      <c r="M1025">
        <f>_xlfn.XLOOKUP(D1025,BugList!C:C,BugList!N:N)</f>
        <v>4</v>
      </c>
      <c r="N1025">
        <f>_xlfn.XLOOKUP(B1025,BugList!A:A,BugList!R:R)</f>
        <v>4</v>
      </c>
      <c r="O1025" t="b">
        <f>_xlfn.XLOOKUP(B1025,BugList!A:A,BugList!L:L)</f>
        <v>1</v>
      </c>
      <c r="P1025" t="b">
        <f t="shared" si="114"/>
        <v>0</v>
      </c>
      <c r="R1025" t="b">
        <f>SUMPRODUCT(COUNTIF(_xlfn.XLOOKUP(B1025,BugList!A:A,BugList!P:P), "*SC*"))&gt;0</f>
        <v>1</v>
      </c>
      <c r="S1025" t="str">
        <f>_xlfn.XLOOKUP(B1025,BugList!A:A,BugList!W:W)</f>
        <v/>
      </c>
      <c r="T1025">
        <f t="shared" si="109"/>
        <v>140</v>
      </c>
      <c r="U1025">
        <f t="shared" si="110"/>
        <v>140</v>
      </c>
    </row>
    <row r="1026" spans="1:21">
      <c r="A1026" t="s">
        <v>2678</v>
      </c>
      <c r="B1026">
        <v>1083</v>
      </c>
      <c r="D1026" t="s">
        <v>124</v>
      </c>
      <c r="E1026" t="s">
        <v>124</v>
      </c>
      <c r="F1026">
        <v>1</v>
      </c>
      <c r="G1026">
        <f t="shared" si="111"/>
        <v>0.93457943925233633</v>
      </c>
      <c r="H1026">
        <f t="shared" si="112"/>
        <v>0</v>
      </c>
      <c r="I1026">
        <f t="shared" si="113"/>
        <v>0.93457943925233633</v>
      </c>
      <c r="J1026" cm="1">
        <f t="array" ref="J1026">INT(G1026)+IF(100-SUM(INT(G$1020:G$1032))&gt;=RANK(I1026,I$1020:I$1032)+COUNTIF(I$1020:I1026,I1026)-1,1,0)</f>
        <v>1</v>
      </c>
      <c r="K1026" t="str">
        <f>_xlfn.XLOOKUP(B1026,BugList!A:A,BugList!H:H)</f>
        <v/>
      </c>
      <c r="L1026" t="str">
        <f>IF(K1026 = "","",_xlfn.XLOOKUP(B1026, BugList!A:A,BugList!B:B,""))</f>
        <v/>
      </c>
      <c r="M1026">
        <f>_xlfn.XLOOKUP(D1026,BugList!C:C,BugList!N:N)</f>
        <v>6</v>
      </c>
      <c r="N1026">
        <f>_xlfn.XLOOKUP(B1026,BugList!A:A,BugList!R:R)</f>
        <v>6</v>
      </c>
      <c r="O1026" t="b">
        <f>_xlfn.XLOOKUP(B1026,BugList!A:A,BugList!L:L)</f>
        <v>1</v>
      </c>
      <c r="P1026" t="b">
        <f t="shared" si="114"/>
        <v>0</v>
      </c>
      <c r="R1026" t="b">
        <f>SUMPRODUCT(COUNTIF(_xlfn.XLOOKUP(B1026,BugList!A:A,BugList!P:P), "*SC*"))&gt;0</f>
        <v>0</v>
      </c>
      <c r="S1026" t="str">
        <f>_xlfn.XLOOKUP(B1026,BugList!A:A,BugList!W:W)</f>
        <v/>
      </c>
      <c r="T1026">
        <f t="shared" ref="T1026:T1089" si="115">J1026*M1026</f>
        <v>6</v>
      </c>
      <c r="U1026">
        <f t="shared" ref="U1026:U1089" si="116">J1026*N1026</f>
        <v>6</v>
      </c>
    </row>
    <row r="1027" spans="1:21">
      <c r="A1027" t="s">
        <v>2678</v>
      </c>
      <c r="B1027">
        <v>1555</v>
      </c>
      <c r="D1027" t="s">
        <v>120</v>
      </c>
      <c r="E1027" t="s">
        <v>120</v>
      </c>
      <c r="F1027">
        <v>1</v>
      </c>
      <c r="G1027">
        <f t="shared" si="111"/>
        <v>0.93457943925233633</v>
      </c>
      <c r="H1027">
        <f t="shared" si="112"/>
        <v>0</v>
      </c>
      <c r="I1027">
        <f t="shared" si="113"/>
        <v>0.93457943925233633</v>
      </c>
      <c r="J1027" cm="1">
        <f t="array" ref="J1027">INT(G1027)+IF(100-SUM(INT(G$1020:G$1032))&gt;=RANK(I1027,I$1020:I$1032)+COUNTIF(I$1020:I1027,I1027)-1,1,0)</f>
        <v>1</v>
      </c>
      <c r="K1027" t="str">
        <f>_xlfn.XLOOKUP(B1027,BugList!A:A,BugList!H:H)</f>
        <v/>
      </c>
      <c r="L1027" t="str">
        <f>IF(K1027 = "","",_xlfn.XLOOKUP(B1027, BugList!A:A,BugList!B:B,""))</f>
        <v/>
      </c>
      <c r="M1027">
        <f>_xlfn.XLOOKUP(D1027,BugList!C:C,BugList!N:N)</f>
        <v>8</v>
      </c>
      <c r="N1027">
        <f>_xlfn.XLOOKUP(B1027,BugList!A:A,BugList!R:R)</f>
        <v>8</v>
      </c>
      <c r="O1027" t="b">
        <f>_xlfn.XLOOKUP(B1027,BugList!A:A,BugList!L:L)</f>
        <v>0</v>
      </c>
      <c r="P1027" t="b">
        <f t="shared" si="114"/>
        <v>0</v>
      </c>
      <c r="R1027" t="b">
        <f>SUMPRODUCT(COUNTIF(_xlfn.XLOOKUP(B1027,BugList!A:A,BugList!P:P), "*SC*"))&gt;0</f>
        <v>1</v>
      </c>
      <c r="S1027" t="str">
        <f>_xlfn.XLOOKUP(B1027,BugList!A:A,BugList!W:W)</f>
        <v/>
      </c>
      <c r="T1027">
        <f t="shared" si="115"/>
        <v>8</v>
      </c>
      <c r="U1027">
        <f t="shared" si="116"/>
        <v>8</v>
      </c>
    </row>
    <row r="1028" spans="1:21">
      <c r="A1028" t="s">
        <v>2678</v>
      </c>
      <c r="B1028">
        <v>1587</v>
      </c>
      <c r="D1028" t="s">
        <v>91</v>
      </c>
      <c r="E1028" t="s">
        <v>91</v>
      </c>
      <c r="F1028">
        <v>4</v>
      </c>
      <c r="G1028">
        <f t="shared" si="111"/>
        <v>3.7383177570093453</v>
      </c>
      <c r="H1028">
        <f t="shared" si="112"/>
        <v>3</v>
      </c>
      <c r="I1028">
        <f t="shared" si="113"/>
        <v>0.73831775700934532</v>
      </c>
      <c r="J1028" cm="1">
        <f t="array" ref="J1028">INT(G1028)+IF(100-SUM(INT(G$1020:G$1032))&gt;=RANK(I1028,I$1020:I$1032)+COUNTIF(I$1020:I1028,I1028)-1,1,0)</f>
        <v>4</v>
      </c>
      <c r="K1028" t="str">
        <f>_xlfn.XLOOKUP(B1028,BugList!A:A,BugList!H:H)</f>
        <v/>
      </c>
      <c r="L1028" t="str">
        <f>IF(K1028 = "","",_xlfn.XLOOKUP(B1028, BugList!A:A,BugList!B:B,""))</f>
        <v/>
      </c>
      <c r="M1028">
        <f>_xlfn.XLOOKUP(D1028,BugList!C:C,BugList!N:N)</f>
        <v>6</v>
      </c>
      <c r="N1028">
        <f>_xlfn.XLOOKUP(B1028,BugList!A:A,BugList!R:R)</f>
        <v>6</v>
      </c>
      <c r="O1028" t="b">
        <f>_xlfn.XLOOKUP(B1028,BugList!A:A,BugList!L:L)</f>
        <v>0</v>
      </c>
      <c r="P1028" t="b">
        <f t="shared" si="114"/>
        <v>0</v>
      </c>
      <c r="R1028" t="b">
        <f>SUMPRODUCT(COUNTIF(_xlfn.XLOOKUP(B1028,BugList!A:A,BugList!P:P), "*SC*"))&gt;0</f>
        <v>0</v>
      </c>
      <c r="S1028" t="str">
        <f>_xlfn.XLOOKUP(B1028,BugList!A:A,BugList!W:W)</f>
        <v/>
      </c>
      <c r="T1028">
        <f t="shared" si="115"/>
        <v>24</v>
      </c>
      <c r="U1028">
        <f t="shared" si="116"/>
        <v>24</v>
      </c>
    </row>
    <row r="1029" spans="1:21">
      <c r="A1029" t="s">
        <v>2678</v>
      </c>
      <c r="B1029">
        <v>1614</v>
      </c>
      <c r="D1029" t="s">
        <v>92</v>
      </c>
      <c r="E1029" t="s">
        <v>92</v>
      </c>
      <c r="F1029">
        <v>4</v>
      </c>
      <c r="G1029">
        <f t="shared" si="111"/>
        <v>3.7383177570093453</v>
      </c>
      <c r="H1029">
        <f t="shared" si="112"/>
        <v>3</v>
      </c>
      <c r="I1029">
        <f t="shared" si="113"/>
        <v>0.73831775700934532</v>
      </c>
      <c r="J1029" cm="1">
        <f t="array" ref="J1029">INT(G1029)+IF(100-SUM(INT(G$1020:G$1032))&gt;=RANK(I1029,I$1020:I$1032)+COUNTIF(I$1020:I1029,I1029)-1,1,0)</f>
        <v>4</v>
      </c>
      <c r="K1029" t="str">
        <f>_xlfn.XLOOKUP(B1029,BugList!A:A,BugList!H:H)</f>
        <v/>
      </c>
      <c r="L1029" t="str">
        <f>IF(K1029 = "","",_xlfn.XLOOKUP(B1029, BugList!A:A,BugList!B:B,""))</f>
        <v/>
      </c>
      <c r="M1029">
        <f>_xlfn.XLOOKUP(D1029,BugList!C:C,BugList!N:N)</f>
        <v>8</v>
      </c>
      <c r="N1029">
        <f>_xlfn.XLOOKUP(B1029,BugList!A:A,BugList!R:R)</f>
        <v>8</v>
      </c>
      <c r="O1029" t="b">
        <f>_xlfn.XLOOKUP(B1029,BugList!A:A,BugList!L:L)</f>
        <v>0</v>
      </c>
      <c r="P1029" t="b">
        <f t="shared" si="114"/>
        <v>0</v>
      </c>
      <c r="R1029" t="b">
        <f>SUMPRODUCT(COUNTIF(_xlfn.XLOOKUP(B1029,BugList!A:A,BugList!P:P), "*SC*"))&gt;0</f>
        <v>0</v>
      </c>
      <c r="S1029" t="str">
        <f>_xlfn.XLOOKUP(B1029,BugList!A:A,BugList!W:W)</f>
        <v/>
      </c>
      <c r="T1029">
        <f t="shared" si="115"/>
        <v>32</v>
      </c>
      <c r="U1029">
        <f t="shared" si="116"/>
        <v>32</v>
      </c>
    </row>
    <row r="1030" spans="1:21">
      <c r="A1030" t="s">
        <v>2678</v>
      </c>
      <c r="B1030">
        <v>1629</v>
      </c>
      <c r="D1030" t="s">
        <v>93</v>
      </c>
      <c r="E1030" t="s">
        <v>93</v>
      </c>
      <c r="F1030">
        <v>5</v>
      </c>
      <c r="G1030">
        <f t="shared" si="111"/>
        <v>4.6728971962616823</v>
      </c>
      <c r="H1030">
        <f t="shared" si="112"/>
        <v>4</v>
      </c>
      <c r="I1030">
        <f t="shared" si="113"/>
        <v>0.67289719626168232</v>
      </c>
      <c r="J1030" cm="1">
        <f t="array" ref="J1030">INT(G1030)+IF(100-SUM(INT(G$1020:G$1032))&gt;=RANK(I1030,I$1020:I$1032)+COUNTIF(I$1020:I1030,I1030)-1,1,0)</f>
        <v>5</v>
      </c>
      <c r="K1030" t="str">
        <f>_xlfn.XLOOKUP(B1030,BugList!A:A,BugList!H:H)</f>
        <v/>
      </c>
      <c r="L1030" t="str">
        <f>IF(K1030 = "","",_xlfn.XLOOKUP(B1030, BugList!A:A,BugList!B:B,""))</f>
        <v/>
      </c>
      <c r="M1030">
        <f>_xlfn.XLOOKUP(D1030,BugList!C:C,BugList!N:N)</f>
        <v>8</v>
      </c>
      <c r="N1030">
        <f>_xlfn.XLOOKUP(B1030,BugList!A:A,BugList!R:R)</f>
        <v>8</v>
      </c>
      <c r="O1030" t="b">
        <f>_xlfn.XLOOKUP(B1030,BugList!A:A,BugList!L:L)</f>
        <v>0</v>
      </c>
      <c r="P1030" t="b">
        <f t="shared" si="114"/>
        <v>0</v>
      </c>
      <c r="R1030" t="b">
        <f>SUMPRODUCT(COUNTIF(_xlfn.XLOOKUP(B1030,BugList!A:A,BugList!P:P), "*SC*"))&gt;0</f>
        <v>0</v>
      </c>
      <c r="S1030" t="str">
        <f>_xlfn.XLOOKUP(B1030,BugList!A:A,BugList!W:W)</f>
        <v/>
      </c>
      <c r="T1030">
        <f t="shared" si="115"/>
        <v>40</v>
      </c>
      <c r="U1030">
        <f t="shared" si="116"/>
        <v>40</v>
      </c>
    </row>
    <row r="1031" spans="1:21">
      <c r="A1031" t="s">
        <v>2678</v>
      </c>
      <c r="B1031">
        <v>1678</v>
      </c>
      <c r="D1031" t="s">
        <v>166</v>
      </c>
      <c r="E1031" t="s">
        <v>166</v>
      </c>
      <c r="F1031">
        <v>3</v>
      </c>
      <c r="G1031">
        <f t="shared" si="111"/>
        <v>2.8037383177570092</v>
      </c>
      <c r="H1031">
        <f t="shared" si="112"/>
        <v>2</v>
      </c>
      <c r="I1031">
        <f t="shared" si="113"/>
        <v>0.80373831775700921</v>
      </c>
      <c r="J1031" cm="1">
        <f t="array" ref="J1031">INT(G1031)+IF(100-SUM(INT(G$1020:G$1032))&gt;=RANK(I1031,I$1020:I$1032)+COUNTIF(I$1020:I1031,I1031)-1,1,0)</f>
        <v>3</v>
      </c>
      <c r="K1031" t="str">
        <f>_xlfn.XLOOKUP(B1031,BugList!A:A,BugList!H:H)</f>
        <v/>
      </c>
      <c r="L1031" t="str">
        <f>IF(K1031 = "","",_xlfn.XLOOKUP(B1031, BugList!A:A,BugList!B:B,""))</f>
        <v/>
      </c>
      <c r="M1031">
        <f>_xlfn.XLOOKUP(D1031,BugList!C:C,BugList!N:N)</f>
        <v>6</v>
      </c>
      <c r="N1031">
        <f>_xlfn.XLOOKUP(B1031,BugList!A:A,BugList!R:R)</f>
        <v>6</v>
      </c>
      <c r="O1031" t="b">
        <f>_xlfn.XLOOKUP(B1031,BugList!A:A,BugList!L:L)</f>
        <v>0</v>
      </c>
      <c r="P1031" t="b">
        <f t="shared" si="114"/>
        <v>0</v>
      </c>
      <c r="R1031" t="b">
        <f>SUMPRODUCT(COUNTIF(_xlfn.XLOOKUP(B1031,BugList!A:A,BugList!P:P), "*SC*"))&gt;0</f>
        <v>1</v>
      </c>
      <c r="S1031" t="str">
        <f>_xlfn.XLOOKUP(B1031,BugList!A:A,BugList!W:W)</f>
        <v/>
      </c>
      <c r="T1031">
        <f t="shared" si="115"/>
        <v>18</v>
      </c>
      <c r="U1031">
        <f t="shared" si="116"/>
        <v>18</v>
      </c>
    </row>
    <row r="1032" spans="1:21">
      <c r="A1032" t="s">
        <v>2678</v>
      </c>
      <c r="B1032">
        <v>1696</v>
      </c>
      <c r="D1032" t="s">
        <v>94</v>
      </c>
      <c r="E1032" t="s">
        <v>94</v>
      </c>
      <c r="F1032">
        <v>3</v>
      </c>
      <c r="G1032">
        <f t="shared" si="111"/>
        <v>2.8037383177570092</v>
      </c>
      <c r="H1032">
        <f t="shared" si="112"/>
        <v>2</v>
      </c>
      <c r="I1032">
        <f t="shared" si="113"/>
        <v>0.80373831775700921</v>
      </c>
      <c r="J1032" cm="1">
        <f t="array" ref="J1032">INT(G1032)+IF(100-SUM(INT(G$1020:G$1032))&gt;=RANK(I1032,I$1020:I$1032)+COUNTIF(I$1020:I1032,I1032)-1,1,0)</f>
        <v>3</v>
      </c>
      <c r="K1032" t="str">
        <f>_xlfn.XLOOKUP(B1032,BugList!A:A,BugList!H:H)</f>
        <v/>
      </c>
      <c r="L1032" t="str">
        <f>IF(K1032 = "","",_xlfn.XLOOKUP(B1032, BugList!A:A,BugList!B:B,""))</f>
        <v/>
      </c>
      <c r="M1032">
        <f>_xlfn.XLOOKUP(D1032,BugList!C:C,BugList!N:N)</f>
        <v>8</v>
      </c>
      <c r="N1032">
        <f>_xlfn.XLOOKUP(B1032,BugList!A:A,BugList!R:R)</f>
        <v>8</v>
      </c>
      <c r="O1032" t="b">
        <f>_xlfn.XLOOKUP(B1032,BugList!A:A,BugList!L:L)</f>
        <v>0</v>
      </c>
      <c r="P1032" t="b">
        <f t="shared" si="114"/>
        <v>0</v>
      </c>
      <c r="R1032" t="b">
        <f>SUMPRODUCT(COUNTIF(_xlfn.XLOOKUP(B1032,BugList!A:A,BugList!P:P), "*SC*"))&gt;0</f>
        <v>0</v>
      </c>
      <c r="S1032" t="str">
        <f>_xlfn.XLOOKUP(B1032,BugList!A:A,BugList!W:W)</f>
        <v/>
      </c>
      <c r="T1032">
        <f t="shared" si="115"/>
        <v>24</v>
      </c>
      <c r="U1032">
        <f t="shared" si="116"/>
        <v>24</v>
      </c>
    </row>
    <row r="1033" spans="1:21">
      <c r="A1033" t="s">
        <v>2679</v>
      </c>
      <c r="B1033">
        <v>99</v>
      </c>
      <c r="D1033" t="s">
        <v>169</v>
      </c>
      <c r="E1033" t="s">
        <v>169</v>
      </c>
      <c r="F1033">
        <v>1</v>
      </c>
      <c r="G1033">
        <f t="shared" si="111"/>
        <v>0.90090090090090091</v>
      </c>
      <c r="H1033">
        <f t="shared" si="112"/>
        <v>0</v>
      </c>
      <c r="I1033">
        <f t="shared" si="113"/>
        <v>0.90090090090090091</v>
      </c>
      <c r="J1033" cm="1">
        <f t="array" ref="J1033">INT(G1033)+IF(100-SUM(INT(G$1033:G$1045))&gt;=RANK(I1033,I$1033:I$1045)+COUNTIF(I$856:I1210,I1033)-1,1,0)</f>
        <v>1</v>
      </c>
      <c r="K1033" t="str">
        <f>_xlfn.XLOOKUP(B1033,BugList!A:A,BugList!H:H)</f>
        <v/>
      </c>
      <c r="L1033" t="str">
        <f>IF(K1033 = "","",_xlfn.XLOOKUP(B1033, BugList!A:A,BugList!B:B,""))</f>
        <v/>
      </c>
      <c r="M1033">
        <f>_xlfn.XLOOKUP(D1033,BugList!C:C,BugList!N:N)</f>
        <v>5</v>
      </c>
      <c r="N1033">
        <f>_xlfn.XLOOKUP(B1033,BugList!A:A,BugList!R:R)</f>
        <v>5</v>
      </c>
      <c r="O1033" t="b">
        <f>_xlfn.XLOOKUP(B1033,BugList!A:A,BugList!L:L)</f>
        <v>0</v>
      </c>
      <c r="P1033" t="b">
        <f t="shared" si="114"/>
        <v>0</v>
      </c>
      <c r="R1033" t="b">
        <f>SUMPRODUCT(COUNTIF(_xlfn.XLOOKUP(B1033,BugList!A:A,BugList!P:P), "*SC*"))&gt;0</f>
        <v>0</v>
      </c>
      <c r="S1033" t="str">
        <f>_xlfn.XLOOKUP(B1033,BugList!A:A,BugList!W:W)</f>
        <v/>
      </c>
      <c r="T1033">
        <f t="shared" si="115"/>
        <v>5</v>
      </c>
      <c r="U1033">
        <f t="shared" si="116"/>
        <v>5</v>
      </c>
    </row>
    <row r="1034" spans="1:21">
      <c r="A1034" t="s">
        <v>2679</v>
      </c>
      <c r="B1034">
        <v>372</v>
      </c>
      <c r="D1034" t="s">
        <v>88</v>
      </c>
      <c r="E1034" t="s">
        <v>88</v>
      </c>
      <c r="F1034">
        <v>3</v>
      </c>
      <c r="G1034">
        <f t="shared" si="111"/>
        <v>2.7027027027027026</v>
      </c>
      <c r="H1034">
        <f t="shared" si="112"/>
        <v>2</v>
      </c>
      <c r="I1034">
        <f t="shared" si="113"/>
        <v>0.70270270270270263</v>
      </c>
      <c r="J1034" cm="1">
        <f t="array" ref="J1034">INT(G1034)+IF(100-SUM(INT(G$1033:G$1045))&gt;=RANK(I1034,I$1033:I$1045)+COUNTIF(I$857:I1210,I1034)-1,1,0)</f>
        <v>3</v>
      </c>
      <c r="K1034" t="str">
        <f>_xlfn.XLOOKUP(B1034,BugList!A:A,BugList!H:H)</f>
        <v/>
      </c>
      <c r="L1034" t="str">
        <f>IF(K1034 = "","",_xlfn.XLOOKUP(B1034, BugList!A:A,BugList!B:B,""))</f>
        <v/>
      </c>
      <c r="M1034">
        <f>_xlfn.XLOOKUP(D1034,BugList!C:C,BugList!N:N)</f>
        <v>8</v>
      </c>
      <c r="N1034">
        <f>_xlfn.XLOOKUP(B1034,BugList!A:A,BugList!R:R)</f>
        <v>8</v>
      </c>
      <c r="O1034" t="b">
        <f>_xlfn.XLOOKUP(B1034,BugList!A:A,BugList!L:L)</f>
        <v>0</v>
      </c>
      <c r="P1034" t="b">
        <f t="shared" si="114"/>
        <v>0</v>
      </c>
      <c r="R1034" t="b">
        <f>SUMPRODUCT(COUNTIF(_xlfn.XLOOKUP(B1034,BugList!A:A,BugList!P:P), "*SC*"))&gt;0</f>
        <v>0</v>
      </c>
      <c r="S1034" t="str">
        <f>_xlfn.XLOOKUP(B1034,BugList!A:A,BugList!W:W)</f>
        <v/>
      </c>
      <c r="T1034">
        <f t="shared" si="115"/>
        <v>24</v>
      </c>
      <c r="U1034">
        <f t="shared" si="116"/>
        <v>24</v>
      </c>
    </row>
    <row r="1035" spans="1:21">
      <c r="A1035" t="s">
        <v>2679</v>
      </c>
      <c r="B1035">
        <v>513</v>
      </c>
      <c r="D1035" t="s">
        <v>111</v>
      </c>
      <c r="E1035" t="s">
        <v>111</v>
      </c>
      <c r="F1035">
        <v>2</v>
      </c>
      <c r="G1035">
        <f t="shared" si="111"/>
        <v>1.8018018018018018</v>
      </c>
      <c r="H1035">
        <f t="shared" si="112"/>
        <v>1</v>
      </c>
      <c r="I1035">
        <f t="shared" si="113"/>
        <v>0.80180180180180183</v>
      </c>
      <c r="J1035" cm="1">
        <f t="array" ref="J1035">INT(G1035)+IF(100-SUM(INT(G$1033:G$1045))&gt;=RANK(I1035,I$1033:I$1045)+COUNTIF(I$858:I1210,I1035)-1,1,0)</f>
        <v>2</v>
      </c>
      <c r="K1035" t="str">
        <f>_xlfn.XLOOKUP(B1035,BugList!A:A,BugList!H:H)</f>
        <v>*</v>
      </c>
      <c r="L1035" t="str">
        <f>IF(K1035 = "","",_xlfn.XLOOKUP(B1035, BugList!A:A,BugList!B:B,""))</f>
        <v>Ephemeroptera</v>
      </c>
      <c r="M1035">
        <f>_xlfn.XLOOKUP(D1035,BugList!C:C,BugList!N:N)</f>
        <v>4</v>
      </c>
      <c r="N1035">
        <f>_xlfn.XLOOKUP(B1035,BugList!A:A,BugList!R:R)</f>
        <v>4</v>
      </c>
      <c r="O1035" t="b">
        <f>_xlfn.XLOOKUP(B1035,BugList!A:A,BugList!L:L)</f>
        <v>1</v>
      </c>
      <c r="P1035" t="b">
        <f t="shared" si="114"/>
        <v>1</v>
      </c>
      <c r="R1035" t="b">
        <f>SUMPRODUCT(COUNTIF(_xlfn.XLOOKUP(B1035,BugList!A:A,BugList!P:P), "*SC*"))&gt;0</f>
        <v>1</v>
      </c>
      <c r="S1035" t="str">
        <f>_xlfn.XLOOKUP(B1035,BugList!A:A,BugList!W:W)</f>
        <v/>
      </c>
      <c r="T1035">
        <f t="shared" si="115"/>
        <v>8</v>
      </c>
      <c r="U1035">
        <f t="shared" si="116"/>
        <v>8</v>
      </c>
    </row>
    <row r="1036" spans="1:21">
      <c r="A1036" t="s">
        <v>2679</v>
      </c>
      <c r="B1036">
        <v>598</v>
      </c>
      <c r="D1036" t="s">
        <v>112</v>
      </c>
      <c r="E1036" t="s">
        <v>112</v>
      </c>
      <c r="F1036">
        <v>1</v>
      </c>
      <c r="G1036">
        <f t="shared" si="111"/>
        <v>0.90090090090090091</v>
      </c>
      <c r="H1036">
        <f t="shared" si="112"/>
        <v>0</v>
      </c>
      <c r="I1036">
        <f t="shared" si="113"/>
        <v>0.90090090090090091</v>
      </c>
      <c r="J1036" cm="1">
        <f t="array" ref="J1036">INT(G1036)+IF(100-SUM(INT(G$1033:G$1045))&gt;=RANK(I1036,I$1033:I$1045)+COUNTIF(I$859:I1210,I1036)-1,1,0)</f>
        <v>1</v>
      </c>
      <c r="K1036" t="str">
        <f>_xlfn.XLOOKUP(B1036,BugList!A:A,BugList!H:H)</f>
        <v/>
      </c>
      <c r="L1036" t="str">
        <f>IF(K1036 = "","",_xlfn.XLOOKUP(B1036, BugList!A:A,BugList!B:B,""))</f>
        <v/>
      </c>
      <c r="M1036">
        <f>_xlfn.XLOOKUP(D1036,BugList!C:C,BugList!N:N)</f>
        <v>5</v>
      </c>
      <c r="N1036">
        <f>_xlfn.XLOOKUP(B1036,BugList!A:A,BugList!R:R)</f>
        <v>5</v>
      </c>
      <c r="O1036" t="b">
        <f>_xlfn.XLOOKUP(B1036,BugList!A:A,BugList!L:L)</f>
        <v>1</v>
      </c>
      <c r="P1036" t="b">
        <f t="shared" si="114"/>
        <v>0</v>
      </c>
      <c r="R1036" t="b">
        <f>SUMPRODUCT(COUNTIF(_xlfn.XLOOKUP(B1036,BugList!A:A,BugList!P:P), "*SC*"))&gt;0</f>
        <v>0</v>
      </c>
      <c r="S1036" t="str">
        <f>_xlfn.XLOOKUP(B1036,BugList!A:A,BugList!W:W)</f>
        <v/>
      </c>
      <c r="T1036">
        <f t="shared" si="115"/>
        <v>5</v>
      </c>
      <c r="U1036">
        <f t="shared" si="116"/>
        <v>5</v>
      </c>
    </row>
    <row r="1037" spans="1:21">
      <c r="A1037" t="s">
        <v>2679</v>
      </c>
      <c r="B1037">
        <v>602</v>
      </c>
      <c r="D1037" t="s">
        <v>97</v>
      </c>
      <c r="E1037" t="s">
        <v>97</v>
      </c>
      <c r="F1037">
        <v>8</v>
      </c>
      <c r="G1037">
        <f t="shared" si="111"/>
        <v>7.2072072072072073</v>
      </c>
      <c r="H1037">
        <f t="shared" si="112"/>
        <v>7</v>
      </c>
      <c r="I1037">
        <f t="shared" si="113"/>
        <v>0.20720720720720731</v>
      </c>
      <c r="J1037" cm="1">
        <f t="array" ref="J1037">INT(G1037)+IF(100-SUM(INT(G$1033:G$1045))&gt;=RANK(I1037,I$1033:I$1045)+COUNTIF(I$860:I1210,I1037)-1,1,0)</f>
        <v>7</v>
      </c>
      <c r="K1037" t="str">
        <f>_xlfn.XLOOKUP(B1037,BugList!A:A,BugList!H:H)</f>
        <v/>
      </c>
      <c r="L1037" t="str">
        <f>IF(K1037 = "","",_xlfn.XLOOKUP(B1037, BugList!A:A,BugList!B:B,""))</f>
        <v/>
      </c>
      <c r="M1037">
        <f>_xlfn.XLOOKUP(D1037,BugList!C:C,BugList!N:N)</f>
        <v>9</v>
      </c>
      <c r="N1037">
        <f>_xlfn.XLOOKUP(B1037,BugList!A:A,BugList!R:R)</f>
        <v>9</v>
      </c>
      <c r="O1037" t="b">
        <f>_xlfn.XLOOKUP(B1037,BugList!A:A,BugList!L:L)</f>
        <v>1</v>
      </c>
      <c r="P1037" t="b">
        <f t="shared" si="114"/>
        <v>0</v>
      </c>
      <c r="R1037" t="b">
        <f>SUMPRODUCT(COUNTIF(_xlfn.XLOOKUP(B1037,BugList!A:A,BugList!P:P), "*SC*"))&gt;0</f>
        <v>0</v>
      </c>
      <c r="S1037" t="str">
        <f>_xlfn.XLOOKUP(B1037,BugList!A:A,BugList!W:W)</f>
        <v/>
      </c>
      <c r="T1037">
        <f t="shared" si="115"/>
        <v>63</v>
      </c>
      <c r="U1037">
        <f t="shared" si="116"/>
        <v>63</v>
      </c>
    </row>
    <row r="1038" spans="1:21">
      <c r="A1038" t="s">
        <v>2679</v>
      </c>
      <c r="B1038">
        <v>620</v>
      </c>
      <c r="D1038" t="s">
        <v>113</v>
      </c>
      <c r="E1038" t="s">
        <v>113</v>
      </c>
      <c r="F1038">
        <v>1</v>
      </c>
      <c r="G1038">
        <f t="shared" si="111"/>
        <v>0.90090090090090091</v>
      </c>
      <c r="H1038">
        <f t="shared" si="112"/>
        <v>0</v>
      </c>
      <c r="I1038">
        <f t="shared" si="113"/>
        <v>0.90090090090090091</v>
      </c>
      <c r="J1038" cm="1">
        <f t="array" ref="J1038">INT(G1038)+IF(100-SUM(INT(G$1033:G$1045))&gt;=RANK(I1038,I$1033:I$1045)+COUNTIF(I$861:I1210,I1038)-1,1,0)</f>
        <v>1</v>
      </c>
      <c r="K1038" t="str">
        <f>_xlfn.XLOOKUP(B1038,BugList!A:A,BugList!H:H)</f>
        <v/>
      </c>
      <c r="L1038" t="str">
        <f>IF(K1038 = "","",_xlfn.XLOOKUP(B1038, BugList!A:A,BugList!B:B,""))</f>
        <v/>
      </c>
      <c r="M1038">
        <f>_xlfn.XLOOKUP(D1038,BugList!C:C,BugList!N:N)</f>
        <v>1</v>
      </c>
      <c r="N1038">
        <f>_xlfn.XLOOKUP(B1038,BugList!A:A,BugList!R:R)</f>
        <v>1</v>
      </c>
      <c r="O1038" t="b">
        <f>_xlfn.XLOOKUP(B1038,BugList!A:A,BugList!L:L)</f>
        <v>1</v>
      </c>
      <c r="P1038" t="b">
        <f t="shared" si="114"/>
        <v>0</v>
      </c>
      <c r="R1038" t="b">
        <f>SUMPRODUCT(COUNTIF(_xlfn.XLOOKUP(B1038,BugList!A:A,BugList!P:P), "*SC*"))&gt;0</f>
        <v>0</v>
      </c>
      <c r="S1038" t="str">
        <f>_xlfn.XLOOKUP(B1038,BugList!A:A,BugList!W:W)</f>
        <v>3</v>
      </c>
      <c r="T1038">
        <f t="shared" si="115"/>
        <v>1</v>
      </c>
      <c r="U1038">
        <f t="shared" si="116"/>
        <v>1</v>
      </c>
    </row>
    <row r="1039" spans="1:21">
      <c r="A1039" t="s">
        <v>2679</v>
      </c>
      <c r="B1039">
        <v>719</v>
      </c>
      <c r="D1039" t="s">
        <v>1226</v>
      </c>
      <c r="E1039" t="s">
        <v>1226</v>
      </c>
      <c r="F1039">
        <v>1</v>
      </c>
      <c r="G1039">
        <f t="shared" si="111"/>
        <v>0.90090090090090091</v>
      </c>
      <c r="H1039">
        <f t="shared" si="112"/>
        <v>0</v>
      </c>
      <c r="I1039">
        <f t="shared" si="113"/>
        <v>0.90090090090090091</v>
      </c>
      <c r="J1039" cm="1">
        <f t="array" ref="J1039">INT(G1039)+IF(100-SUM(INT(G$1033:G$1045))&gt;=RANK(I1039,I$1033:I$1045)+COUNTIF(I$862:I1210,I1039)-1,1,0)</f>
        <v>1</v>
      </c>
      <c r="K1039" t="str">
        <f>_xlfn.XLOOKUP(B1039,BugList!A:A,BugList!H:H)</f>
        <v/>
      </c>
      <c r="L1039" t="str">
        <f>IF(K1039 = "","",_xlfn.XLOOKUP(B1039, BugList!A:A,BugList!B:B,""))</f>
        <v/>
      </c>
      <c r="M1039">
        <f>_xlfn.XLOOKUP(D1039,BugList!C:C,BugList!N:N)</f>
        <v>0</v>
      </c>
      <c r="N1039">
        <f>_xlfn.XLOOKUP(B1039,BugList!A:A,BugList!R:R)</f>
        <v>0</v>
      </c>
      <c r="O1039" t="b">
        <f>_xlfn.XLOOKUP(B1039,BugList!A:A,BugList!L:L)</f>
        <v>1</v>
      </c>
      <c r="P1039" t="b">
        <f t="shared" si="114"/>
        <v>0</v>
      </c>
      <c r="R1039" t="b">
        <f>SUMPRODUCT(COUNTIF(_xlfn.XLOOKUP(B1039,BugList!A:A,BugList!P:P), "*SC*"))&gt;0</f>
        <v>0</v>
      </c>
      <c r="S1039" t="str">
        <f>_xlfn.XLOOKUP(B1039,BugList!A:A,BugList!W:W)</f>
        <v/>
      </c>
      <c r="T1039">
        <f t="shared" si="115"/>
        <v>0</v>
      </c>
      <c r="U1039">
        <f t="shared" si="116"/>
        <v>0</v>
      </c>
    </row>
    <row r="1040" spans="1:21">
      <c r="A1040" t="s">
        <v>2679</v>
      </c>
      <c r="B1040">
        <v>794</v>
      </c>
      <c r="D1040" t="s">
        <v>89</v>
      </c>
      <c r="E1040" t="s">
        <v>89</v>
      </c>
      <c r="F1040">
        <v>1</v>
      </c>
      <c r="G1040">
        <f t="shared" ref="G1040:G1103" si="117">(F1040/(SUMIFS(F:F,A:A,A1040))*100)</f>
        <v>0.90090090090090091</v>
      </c>
      <c r="H1040">
        <f t="shared" ref="H1040:H1103" si="118">INT(G1040)</f>
        <v>0</v>
      </c>
      <c r="I1040">
        <f t="shared" ref="I1040:I1103" si="119">G1040-H1040</f>
        <v>0.90090090090090091</v>
      </c>
      <c r="J1040" cm="1">
        <f t="array" ref="J1040">INT(G1040)+IF(100-SUM(INT(G$1033:G$1045))&gt;=RANK(I1040,I$1033:I$1045)+COUNTIF(I$863:I1210,I1040)-1,1,0)</f>
        <v>1</v>
      </c>
      <c r="K1040" t="str">
        <f>_xlfn.XLOOKUP(B1040,BugList!A:A,BugList!H:H)</f>
        <v>*</v>
      </c>
      <c r="L1040" t="str">
        <f>IF(K1040 = "","",_xlfn.XLOOKUP(B1040, BugList!A:A,BugList!B:B,""))</f>
        <v>Trichoptera</v>
      </c>
      <c r="M1040">
        <f>_xlfn.XLOOKUP(D1040,BugList!C:C,BugList!N:N)</f>
        <v>4</v>
      </c>
      <c r="N1040">
        <f>_xlfn.XLOOKUP(B1040,BugList!A:A,BugList!R:R)</f>
        <v>4</v>
      </c>
      <c r="O1040" t="b">
        <f>_xlfn.XLOOKUP(B1040,BugList!A:A,BugList!L:L)</f>
        <v>1</v>
      </c>
      <c r="P1040" t="b">
        <f t="shared" si="114"/>
        <v>0</v>
      </c>
      <c r="R1040" t="b">
        <f>SUMPRODUCT(COUNTIF(_xlfn.XLOOKUP(B1040,BugList!A:A,BugList!P:P), "*SC*"))&gt;0</f>
        <v>0</v>
      </c>
      <c r="S1040" t="str">
        <f>_xlfn.XLOOKUP(B1040,BugList!A:A,BugList!W:W)</f>
        <v/>
      </c>
      <c r="T1040">
        <f t="shared" si="115"/>
        <v>4</v>
      </c>
      <c r="U1040">
        <f t="shared" si="116"/>
        <v>4</v>
      </c>
    </row>
    <row r="1041" spans="1:21">
      <c r="A1041" t="s">
        <v>2679</v>
      </c>
      <c r="B1041">
        <v>923</v>
      </c>
      <c r="D1041" t="s">
        <v>1542</v>
      </c>
      <c r="E1041" t="s">
        <v>1542</v>
      </c>
      <c r="F1041">
        <v>4</v>
      </c>
      <c r="G1041">
        <f t="shared" si="117"/>
        <v>3.6036036036036037</v>
      </c>
      <c r="H1041">
        <f t="shared" si="118"/>
        <v>3</v>
      </c>
      <c r="I1041">
        <f t="shared" si="119"/>
        <v>0.60360360360360366</v>
      </c>
      <c r="J1041" cm="1">
        <f t="array" ref="J1041">INT(G1041)+IF(100-SUM(INT(G$1033:G$1045))&gt;=RANK(I1041,I$1033:I$1045)+COUNTIF(I$864:I1210,I1041)-1,1,0)</f>
        <v>3</v>
      </c>
      <c r="K1041" t="str">
        <f>_xlfn.XLOOKUP(B1041,BugList!A:A,BugList!H:H)</f>
        <v/>
      </c>
      <c r="L1041" t="str">
        <f>IF(K1041 = "","",_xlfn.XLOOKUP(B1041, BugList!A:A,BugList!B:B,""))</f>
        <v/>
      </c>
      <c r="M1041">
        <f>_xlfn.XLOOKUP(D1041,BugList!C:C,BugList!N:N)</f>
        <v>5</v>
      </c>
      <c r="N1041">
        <f>_xlfn.XLOOKUP(B1041,BugList!A:A,BugList!R:R)</f>
        <v>5</v>
      </c>
      <c r="O1041" t="b">
        <f>_xlfn.XLOOKUP(B1041,BugList!A:A,BugList!L:L)</f>
        <v>1</v>
      </c>
      <c r="P1041" t="b">
        <f t="shared" si="114"/>
        <v>0</v>
      </c>
      <c r="R1041" t="b">
        <f>SUMPRODUCT(COUNTIF(_xlfn.XLOOKUP(B1041,BugList!A:A,BugList!P:P), "*SC*"))&gt;0</f>
        <v>0</v>
      </c>
      <c r="S1041" t="str">
        <f>_xlfn.XLOOKUP(B1041,BugList!A:A,BugList!W:W)</f>
        <v/>
      </c>
      <c r="T1041">
        <f t="shared" si="115"/>
        <v>15</v>
      </c>
      <c r="U1041">
        <f t="shared" si="116"/>
        <v>15</v>
      </c>
    </row>
    <row r="1042" spans="1:21">
      <c r="A1042" t="s">
        <v>2679</v>
      </c>
      <c r="B1042">
        <v>1002</v>
      </c>
      <c r="D1042" t="s">
        <v>100</v>
      </c>
      <c r="E1042" t="s">
        <v>100</v>
      </c>
      <c r="F1042">
        <v>68</v>
      </c>
      <c r="G1042">
        <f t="shared" si="117"/>
        <v>61.261261261261254</v>
      </c>
      <c r="H1042">
        <f t="shared" si="118"/>
        <v>61</v>
      </c>
      <c r="I1042">
        <f t="shared" si="119"/>
        <v>0.26126126126125371</v>
      </c>
      <c r="J1042" cm="1">
        <f t="array" ref="J1042">INT(G1042)+IF(100-SUM(INT(G$1033:G$1045))&gt;=RANK(I1042,I$1033:I$1045)+COUNTIF(I$865:I1210,I1042)-1,1,0)</f>
        <v>61</v>
      </c>
      <c r="K1042" t="str">
        <f>_xlfn.XLOOKUP(B1042,BugList!A:A,BugList!H:H)</f>
        <v/>
      </c>
      <c r="L1042" t="str">
        <f>IF(K1042 = "","",_xlfn.XLOOKUP(B1042, BugList!A:A,BugList!B:B,""))</f>
        <v/>
      </c>
      <c r="M1042">
        <f>_xlfn.XLOOKUP(D1042,BugList!C:C,BugList!N:N)</f>
        <v>4</v>
      </c>
      <c r="N1042">
        <f>_xlfn.XLOOKUP(B1042,BugList!A:A,BugList!R:R)</f>
        <v>4</v>
      </c>
      <c r="O1042" t="b">
        <f>_xlfn.XLOOKUP(B1042,BugList!A:A,BugList!L:L)</f>
        <v>1</v>
      </c>
      <c r="P1042" t="b">
        <f t="shared" si="114"/>
        <v>0</v>
      </c>
      <c r="R1042" t="b">
        <f>SUMPRODUCT(COUNTIF(_xlfn.XLOOKUP(B1042,BugList!A:A,BugList!P:P), "*SC*"))&gt;0</f>
        <v>1</v>
      </c>
      <c r="S1042" t="str">
        <f>_xlfn.XLOOKUP(B1042,BugList!A:A,BugList!W:W)</f>
        <v/>
      </c>
      <c r="T1042">
        <f t="shared" si="115"/>
        <v>244</v>
      </c>
      <c r="U1042">
        <f t="shared" si="116"/>
        <v>244</v>
      </c>
    </row>
    <row r="1043" spans="1:21">
      <c r="A1043" t="s">
        <v>2679</v>
      </c>
      <c r="B1043">
        <v>1555</v>
      </c>
      <c r="D1043" t="s">
        <v>120</v>
      </c>
      <c r="E1043" t="s">
        <v>120</v>
      </c>
      <c r="F1043">
        <v>7</v>
      </c>
      <c r="G1043">
        <f t="shared" si="117"/>
        <v>6.3063063063063058</v>
      </c>
      <c r="H1043">
        <f t="shared" si="118"/>
        <v>6</v>
      </c>
      <c r="I1043">
        <f t="shared" si="119"/>
        <v>0.30630630630630584</v>
      </c>
      <c r="J1043" cm="1">
        <f t="array" ref="J1043">INT(G1043)+IF(100-SUM(INT(G$1033:G$1045))&gt;=RANK(I1043,I$1033:I$1045)+COUNTIF(I$866:I1210,I1043)-1,1,0)</f>
        <v>6</v>
      </c>
      <c r="K1043" t="str">
        <f>_xlfn.XLOOKUP(B1043,BugList!A:A,BugList!H:H)</f>
        <v/>
      </c>
      <c r="L1043" t="str">
        <f>IF(K1043 = "","",_xlfn.XLOOKUP(B1043, BugList!A:A,BugList!B:B,""))</f>
        <v/>
      </c>
      <c r="M1043">
        <f>_xlfn.XLOOKUP(D1043,BugList!C:C,BugList!N:N)</f>
        <v>8</v>
      </c>
      <c r="N1043">
        <f>_xlfn.XLOOKUP(B1043,BugList!A:A,BugList!R:R)</f>
        <v>8</v>
      </c>
      <c r="O1043" t="b">
        <f>_xlfn.XLOOKUP(B1043,BugList!A:A,BugList!L:L)</f>
        <v>0</v>
      </c>
      <c r="P1043" t="b">
        <f t="shared" si="114"/>
        <v>0</v>
      </c>
      <c r="R1043" t="b">
        <f>SUMPRODUCT(COUNTIF(_xlfn.XLOOKUP(B1043,BugList!A:A,BugList!P:P), "*SC*"))&gt;0</f>
        <v>1</v>
      </c>
      <c r="S1043" t="str">
        <f>_xlfn.XLOOKUP(B1043,BugList!A:A,BugList!W:W)</f>
        <v/>
      </c>
      <c r="T1043">
        <f t="shared" si="115"/>
        <v>48</v>
      </c>
      <c r="U1043">
        <f t="shared" si="116"/>
        <v>48</v>
      </c>
    </row>
    <row r="1044" spans="1:21">
      <c r="A1044" t="s">
        <v>2679</v>
      </c>
      <c r="B1044">
        <v>1614</v>
      </c>
      <c r="D1044" t="s">
        <v>92</v>
      </c>
      <c r="E1044" t="s">
        <v>92</v>
      </c>
      <c r="F1044">
        <v>3</v>
      </c>
      <c r="G1044">
        <f t="shared" si="117"/>
        <v>2.7027027027027026</v>
      </c>
      <c r="H1044">
        <f t="shared" si="118"/>
        <v>2</v>
      </c>
      <c r="I1044">
        <f t="shared" si="119"/>
        <v>0.70270270270270263</v>
      </c>
      <c r="J1044" cm="1">
        <f t="array" ref="J1044">INT(G1044)+IF(100-SUM(INT(G$1033:G$1045))&gt;=RANK(I1044,I$1033:I$1045)+COUNTIF(I$867:I1210,I1044)-1,1,0)</f>
        <v>3</v>
      </c>
      <c r="K1044" t="str">
        <f>_xlfn.XLOOKUP(B1044,BugList!A:A,BugList!H:H)</f>
        <v/>
      </c>
      <c r="L1044" t="str">
        <f>IF(K1044 = "","",_xlfn.XLOOKUP(B1044, BugList!A:A,BugList!B:B,""))</f>
        <v/>
      </c>
      <c r="M1044">
        <f>_xlfn.XLOOKUP(D1044,BugList!C:C,BugList!N:N)</f>
        <v>8</v>
      </c>
      <c r="N1044">
        <f>_xlfn.XLOOKUP(B1044,BugList!A:A,BugList!R:R)</f>
        <v>8</v>
      </c>
      <c r="O1044" t="b">
        <f>_xlfn.XLOOKUP(B1044,BugList!A:A,BugList!L:L)</f>
        <v>0</v>
      </c>
      <c r="P1044" t="b">
        <f t="shared" si="114"/>
        <v>0</v>
      </c>
      <c r="R1044" t="b">
        <f>SUMPRODUCT(COUNTIF(_xlfn.XLOOKUP(B1044,BugList!A:A,BugList!P:P), "*SC*"))&gt;0</f>
        <v>0</v>
      </c>
      <c r="S1044" t="str">
        <f>_xlfn.XLOOKUP(B1044,BugList!A:A,BugList!W:W)</f>
        <v/>
      </c>
      <c r="T1044">
        <f t="shared" si="115"/>
        <v>24</v>
      </c>
      <c r="U1044">
        <f t="shared" si="116"/>
        <v>24</v>
      </c>
    </row>
    <row r="1045" spans="1:21">
      <c r="A1045" t="s">
        <v>2679</v>
      </c>
      <c r="B1045">
        <v>1678</v>
      </c>
      <c r="D1045" t="s">
        <v>166</v>
      </c>
      <c r="E1045" t="s">
        <v>166</v>
      </c>
      <c r="F1045">
        <v>11</v>
      </c>
      <c r="G1045">
        <f t="shared" si="117"/>
        <v>9.9099099099099099</v>
      </c>
      <c r="H1045">
        <f t="shared" si="118"/>
        <v>9</v>
      </c>
      <c r="I1045">
        <f t="shared" si="119"/>
        <v>0.90990990990990994</v>
      </c>
      <c r="J1045" cm="1">
        <f t="array" ref="J1045">INT(G1045)+IF(100-SUM(INT(G$1033:G$1045))&gt;=RANK(I1045,I$1033:I$1045)+COUNTIF(I$868:I1210,I1045)-1,1,0)</f>
        <v>10</v>
      </c>
      <c r="K1045" t="str">
        <f>_xlfn.XLOOKUP(B1045,BugList!A:A,BugList!H:H)</f>
        <v/>
      </c>
      <c r="L1045" t="str">
        <f>IF(K1045 = "","",_xlfn.XLOOKUP(B1045, BugList!A:A,BugList!B:B,""))</f>
        <v/>
      </c>
      <c r="M1045">
        <f>_xlfn.XLOOKUP(D1045,BugList!C:C,BugList!N:N)</f>
        <v>6</v>
      </c>
      <c r="N1045">
        <f>_xlfn.XLOOKUP(B1045,BugList!A:A,BugList!R:R)</f>
        <v>6</v>
      </c>
      <c r="O1045" t="b">
        <f>_xlfn.XLOOKUP(B1045,BugList!A:A,BugList!L:L)</f>
        <v>0</v>
      </c>
      <c r="P1045" t="b">
        <f t="shared" si="114"/>
        <v>0</v>
      </c>
      <c r="R1045" t="b">
        <f>SUMPRODUCT(COUNTIF(_xlfn.XLOOKUP(B1045,BugList!A:A,BugList!P:P), "*SC*"))&gt;0</f>
        <v>1</v>
      </c>
      <c r="S1045" t="str">
        <f>_xlfn.XLOOKUP(B1045,BugList!A:A,BugList!W:W)</f>
        <v/>
      </c>
      <c r="T1045">
        <f t="shared" si="115"/>
        <v>60</v>
      </c>
      <c r="U1045">
        <f t="shared" si="116"/>
        <v>60</v>
      </c>
    </row>
    <row r="1046" spans="1:21">
      <c r="A1046" t="s">
        <v>2680</v>
      </c>
      <c r="B1046">
        <v>88</v>
      </c>
      <c r="D1046" t="s">
        <v>85</v>
      </c>
      <c r="E1046" t="s">
        <v>85</v>
      </c>
      <c r="F1046">
        <v>8</v>
      </c>
      <c r="G1046">
        <f t="shared" si="117"/>
        <v>7.4074074074074066</v>
      </c>
      <c r="H1046">
        <f t="shared" si="118"/>
        <v>7</v>
      </c>
      <c r="I1046">
        <f t="shared" si="119"/>
        <v>0.40740740740740655</v>
      </c>
      <c r="J1046" cm="1">
        <f t="array" ref="J1046">INT(G1046)+IF(100-SUM(INT(G$1046:G$1055))&gt;=RANK(I1046,I$1046:I$1055)+COUNTIF(I$1046:I1046,I1046)-1,1,0)</f>
        <v>7</v>
      </c>
      <c r="K1046" t="str">
        <f>_xlfn.XLOOKUP(B1046,BugList!A:A,BugList!H:H)</f>
        <v/>
      </c>
      <c r="L1046" t="str">
        <f>IF(K1046 = "","",_xlfn.XLOOKUP(B1046, BugList!A:A,BugList!B:B,""))</f>
        <v/>
      </c>
      <c r="M1046">
        <f>_xlfn.XLOOKUP(D1046,BugList!C:C,BugList!N:N)</f>
        <v>4</v>
      </c>
      <c r="N1046">
        <f>_xlfn.XLOOKUP(B1046,BugList!A:A,BugList!R:R)</f>
        <v>4</v>
      </c>
      <c r="O1046" t="b">
        <f>_xlfn.XLOOKUP(B1046,BugList!A:A,BugList!L:L)</f>
        <v>0</v>
      </c>
      <c r="P1046" t="b">
        <f t="shared" si="114"/>
        <v>0</v>
      </c>
      <c r="R1046" t="b">
        <f>SUMPRODUCT(COUNTIF(_xlfn.XLOOKUP(B1046,BugList!A:A,BugList!P:P), "*SC*"))&gt;0</f>
        <v>0</v>
      </c>
      <c r="S1046" t="str">
        <f>_xlfn.XLOOKUP(B1046,BugList!A:A,BugList!W:W)</f>
        <v/>
      </c>
      <c r="T1046">
        <f t="shared" si="115"/>
        <v>28</v>
      </c>
      <c r="U1046">
        <f t="shared" si="116"/>
        <v>28</v>
      </c>
    </row>
    <row r="1047" spans="1:21">
      <c r="A1047" t="s">
        <v>2680</v>
      </c>
      <c r="B1047">
        <v>99</v>
      </c>
      <c r="D1047" t="s">
        <v>169</v>
      </c>
      <c r="E1047" t="s">
        <v>169</v>
      </c>
      <c r="F1047">
        <v>3</v>
      </c>
      <c r="G1047">
        <f t="shared" si="117"/>
        <v>2.7777777777777777</v>
      </c>
      <c r="H1047">
        <f t="shared" si="118"/>
        <v>2</v>
      </c>
      <c r="I1047">
        <f t="shared" si="119"/>
        <v>0.77777777777777768</v>
      </c>
      <c r="J1047" cm="1">
        <f t="array" ref="J1047">INT(G1047)+IF(100-SUM(INT(G$1046:G$1055))&gt;=RANK(I1047,I$1046:I$1055)+COUNTIF(I$1046:I1047,I1047)-1,1,0)</f>
        <v>3</v>
      </c>
      <c r="K1047" t="str">
        <f>_xlfn.XLOOKUP(B1047,BugList!A:A,BugList!H:H)</f>
        <v/>
      </c>
      <c r="L1047" t="str">
        <f>IF(K1047 = "","",_xlfn.XLOOKUP(B1047, BugList!A:A,BugList!B:B,""))</f>
        <v/>
      </c>
      <c r="M1047">
        <f>_xlfn.XLOOKUP(D1047,BugList!C:C,BugList!N:N)</f>
        <v>5</v>
      </c>
      <c r="N1047">
        <f>_xlfn.XLOOKUP(B1047,BugList!A:A,BugList!R:R)</f>
        <v>5</v>
      </c>
      <c r="O1047" t="b">
        <f>_xlfn.XLOOKUP(B1047,BugList!A:A,BugList!L:L)</f>
        <v>0</v>
      </c>
      <c r="P1047" t="b">
        <f t="shared" si="114"/>
        <v>0</v>
      </c>
      <c r="R1047" t="b">
        <f>SUMPRODUCT(COUNTIF(_xlfn.XLOOKUP(B1047,BugList!A:A,BugList!P:P), "*SC*"))&gt;0</f>
        <v>0</v>
      </c>
      <c r="S1047" t="str">
        <f>_xlfn.XLOOKUP(B1047,BugList!A:A,BugList!W:W)</f>
        <v/>
      </c>
      <c r="T1047">
        <f t="shared" si="115"/>
        <v>15</v>
      </c>
      <c r="U1047">
        <f t="shared" si="116"/>
        <v>15</v>
      </c>
    </row>
    <row r="1048" spans="1:21">
      <c r="A1048" t="s">
        <v>2680</v>
      </c>
      <c r="B1048">
        <v>513</v>
      </c>
      <c r="D1048" t="s">
        <v>111</v>
      </c>
      <c r="E1048" t="s">
        <v>111</v>
      </c>
      <c r="F1048">
        <v>4</v>
      </c>
      <c r="G1048">
        <f t="shared" si="117"/>
        <v>3.7037037037037033</v>
      </c>
      <c r="H1048">
        <f t="shared" si="118"/>
        <v>3</v>
      </c>
      <c r="I1048">
        <f t="shared" si="119"/>
        <v>0.70370370370370328</v>
      </c>
      <c r="J1048" cm="1">
        <f t="array" ref="J1048">INT(G1048)+IF(100-SUM(INT(G$1046:G$1055))&gt;=RANK(I1048,I$1046:I$1055)+COUNTIF(I$1046:I1048,I1048)-1,1,0)</f>
        <v>4</v>
      </c>
      <c r="K1048" t="str">
        <f>_xlfn.XLOOKUP(B1048,BugList!A:A,BugList!H:H)</f>
        <v>*</v>
      </c>
      <c r="L1048" t="str">
        <f>IF(K1048 = "","",_xlfn.XLOOKUP(B1048, BugList!A:A,BugList!B:B,""))</f>
        <v>Ephemeroptera</v>
      </c>
      <c r="M1048">
        <f>_xlfn.XLOOKUP(D1048,BugList!C:C,BugList!N:N)</f>
        <v>4</v>
      </c>
      <c r="N1048">
        <f>_xlfn.XLOOKUP(B1048,BugList!A:A,BugList!R:R)</f>
        <v>4</v>
      </c>
      <c r="O1048" t="b">
        <f>_xlfn.XLOOKUP(B1048,BugList!A:A,BugList!L:L)</f>
        <v>1</v>
      </c>
      <c r="P1048" t="b">
        <f t="shared" si="114"/>
        <v>1</v>
      </c>
      <c r="R1048" t="b">
        <f>SUMPRODUCT(COUNTIF(_xlfn.XLOOKUP(B1048,BugList!A:A,BugList!P:P), "*SC*"))&gt;0</f>
        <v>1</v>
      </c>
      <c r="S1048" t="str">
        <f>_xlfn.XLOOKUP(B1048,BugList!A:A,BugList!W:W)</f>
        <v/>
      </c>
      <c r="T1048">
        <f t="shared" si="115"/>
        <v>16</v>
      </c>
      <c r="U1048">
        <f t="shared" si="116"/>
        <v>16</v>
      </c>
    </row>
    <row r="1049" spans="1:21">
      <c r="A1049" t="s">
        <v>2680</v>
      </c>
      <c r="B1049">
        <v>1002</v>
      </c>
      <c r="D1049" t="s">
        <v>100</v>
      </c>
      <c r="E1049" t="s">
        <v>100</v>
      </c>
      <c r="F1049">
        <v>10</v>
      </c>
      <c r="G1049">
        <f t="shared" si="117"/>
        <v>9.2592592592592595</v>
      </c>
      <c r="H1049">
        <f t="shared" si="118"/>
        <v>9</v>
      </c>
      <c r="I1049">
        <f t="shared" si="119"/>
        <v>0.25925925925925952</v>
      </c>
      <c r="J1049" cm="1">
        <f t="array" ref="J1049">INT(G1049)+IF(100-SUM(INT(G$1046:G$1055))&gt;=RANK(I1049,I$1046:I$1055)+COUNTIF(I$1046:I1049,I1049)-1,1,0)</f>
        <v>9</v>
      </c>
      <c r="K1049" t="str">
        <f>_xlfn.XLOOKUP(B1049,BugList!A:A,BugList!H:H)</f>
        <v/>
      </c>
      <c r="L1049" t="str">
        <f>IF(K1049 = "","",_xlfn.XLOOKUP(B1049, BugList!A:A,BugList!B:B,""))</f>
        <v/>
      </c>
      <c r="M1049">
        <f>_xlfn.XLOOKUP(D1049,BugList!C:C,BugList!N:N)</f>
        <v>4</v>
      </c>
      <c r="N1049">
        <f>_xlfn.XLOOKUP(B1049,BugList!A:A,BugList!R:R)</f>
        <v>4</v>
      </c>
      <c r="O1049" t="b">
        <f>_xlfn.XLOOKUP(B1049,BugList!A:A,BugList!L:L)</f>
        <v>1</v>
      </c>
      <c r="P1049" t="b">
        <f t="shared" si="114"/>
        <v>0</v>
      </c>
      <c r="R1049" t="b">
        <f>SUMPRODUCT(COUNTIF(_xlfn.XLOOKUP(B1049,BugList!A:A,BugList!P:P), "*SC*"))&gt;0</f>
        <v>1</v>
      </c>
      <c r="S1049" t="str">
        <f>_xlfn.XLOOKUP(B1049,BugList!A:A,BugList!W:W)</f>
        <v/>
      </c>
      <c r="T1049">
        <f t="shared" si="115"/>
        <v>36</v>
      </c>
      <c r="U1049">
        <f t="shared" si="116"/>
        <v>36</v>
      </c>
    </row>
    <row r="1050" spans="1:21">
      <c r="A1050" t="s">
        <v>2680</v>
      </c>
      <c r="B1050">
        <v>1083</v>
      </c>
      <c r="D1050" t="s">
        <v>124</v>
      </c>
      <c r="E1050" t="s">
        <v>124</v>
      </c>
      <c r="F1050">
        <v>1</v>
      </c>
      <c r="G1050">
        <f t="shared" si="117"/>
        <v>0.92592592592592582</v>
      </c>
      <c r="H1050">
        <f t="shared" si="118"/>
        <v>0</v>
      </c>
      <c r="I1050">
        <f t="shared" si="119"/>
        <v>0.92592592592592582</v>
      </c>
      <c r="J1050" cm="1">
        <f t="array" ref="J1050">INT(G1050)+IF(100-SUM(INT(G$1046:G$1055))&gt;=RANK(I1050,I$1046:I$1055)+COUNTIF(I$1046:I1050,I1050)-1,1,0)</f>
        <v>1</v>
      </c>
      <c r="K1050" t="str">
        <f>_xlfn.XLOOKUP(B1050,BugList!A:A,BugList!H:H)</f>
        <v/>
      </c>
      <c r="L1050" t="str">
        <f>IF(K1050 = "","",_xlfn.XLOOKUP(B1050, BugList!A:A,BugList!B:B,""))</f>
        <v/>
      </c>
      <c r="M1050">
        <f>_xlfn.XLOOKUP(D1050,BugList!C:C,BugList!N:N)</f>
        <v>6</v>
      </c>
      <c r="N1050">
        <f>_xlfn.XLOOKUP(B1050,BugList!A:A,BugList!R:R)</f>
        <v>6</v>
      </c>
      <c r="O1050" t="b">
        <f>_xlfn.XLOOKUP(B1050,BugList!A:A,BugList!L:L)</f>
        <v>1</v>
      </c>
      <c r="P1050" t="b">
        <f t="shared" si="114"/>
        <v>0</v>
      </c>
      <c r="R1050" t="b">
        <f>SUMPRODUCT(COUNTIF(_xlfn.XLOOKUP(B1050,BugList!A:A,BugList!P:P), "*SC*"))&gt;0</f>
        <v>0</v>
      </c>
      <c r="S1050" t="str">
        <f>_xlfn.XLOOKUP(B1050,BugList!A:A,BugList!W:W)</f>
        <v/>
      </c>
      <c r="T1050">
        <f t="shared" si="115"/>
        <v>6</v>
      </c>
      <c r="U1050">
        <f t="shared" si="116"/>
        <v>6</v>
      </c>
    </row>
    <row r="1051" spans="1:21">
      <c r="A1051" t="s">
        <v>2680</v>
      </c>
      <c r="B1051">
        <v>1088</v>
      </c>
      <c r="D1051" t="s">
        <v>90</v>
      </c>
      <c r="E1051" t="s">
        <v>90</v>
      </c>
      <c r="F1051">
        <v>6</v>
      </c>
      <c r="G1051">
        <f t="shared" si="117"/>
        <v>5.5555555555555554</v>
      </c>
      <c r="H1051">
        <f t="shared" si="118"/>
        <v>5</v>
      </c>
      <c r="I1051">
        <f t="shared" si="119"/>
        <v>0.55555555555555536</v>
      </c>
      <c r="J1051" cm="1">
        <f t="array" ref="J1051">INT(G1051)+IF(100-SUM(INT(G$1046:G$1055))&gt;=RANK(I1051,I$1046:I$1055)+COUNTIF(I$1046:I1051,I1051)-1,1,0)</f>
        <v>6</v>
      </c>
      <c r="K1051" t="str">
        <f>_xlfn.XLOOKUP(B1051,BugList!A:A,BugList!H:H)</f>
        <v/>
      </c>
      <c r="L1051" t="str">
        <f>IF(K1051 = "","",_xlfn.XLOOKUP(B1051, BugList!A:A,BugList!B:B,""))</f>
        <v/>
      </c>
      <c r="M1051">
        <f>_xlfn.XLOOKUP(D1051,BugList!C:C,BugList!N:N)</f>
        <v>6</v>
      </c>
      <c r="N1051">
        <f>_xlfn.XLOOKUP(B1051,BugList!A:A,BugList!R:R)</f>
        <v>6</v>
      </c>
      <c r="O1051" t="b">
        <f>_xlfn.XLOOKUP(B1051,BugList!A:A,BugList!L:L)</f>
        <v>1</v>
      </c>
      <c r="P1051" t="b">
        <f t="shared" si="114"/>
        <v>0</v>
      </c>
      <c r="R1051" t="b">
        <f>SUMPRODUCT(COUNTIF(_xlfn.XLOOKUP(B1051,BugList!A:A,BugList!P:P), "*SC*"))&gt;0</f>
        <v>0</v>
      </c>
      <c r="S1051" t="str">
        <f>_xlfn.XLOOKUP(B1051,BugList!A:A,BugList!W:W)</f>
        <v/>
      </c>
      <c r="T1051">
        <f t="shared" si="115"/>
        <v>36</v>
      </c>
      <c r="U1051">
        <f t="shared" si="116"/>
        <v>36</v>
      </c>
    </row>
    <row r="1052" spans="1:21">
      <c r="A1052" t="s">
        <v>2680</v>
      </c>
      <c r="B1052">
        <v>1089</v>
      </c>
      <c r="D1052" t="s">
        <v>126</v>
      </c>
      <c r="E1052" t="s">
        <v>127</v>
      </c>
      <c r="F1052">
        <v>38</v>
      </c>
      <c r="G1052">
        <f t="shared" si="117"/>
        <v>35.185185185185183</v>
      </c>
      <c r="H1052">
        <f t="shared" si="118"/>
        <v>35</v>
      </c>
      <c r="I1052">
        <f t="shared" si="119"/>
        <v>0.18518518518518334</v>
      </c>
      <c r="J1052" cm="1">
        <f t="array" ref="J1052">INT(G1052)+IF(100-SUM(INT(G$1046:G$1055))&gt;=RANK(I1052,I$1046:I$1055)+COUNTIF(I$1046:I1052,I1052)-1,1,0)</f>
        <v>35</v>
      </c>
      <c r="K1052" t="str">
        <f>_xlfn.XLOOKUP(B1052,BugList!A:A,BugList!H:H)</f>
        <v/>
      </c>
      <c r="L1052" t="str">
        <f>IF(K1052 = "","",_xlfn.XLOOKUP(B1052, BugList!A:A,BugList!B:B,""))</f>
        <v/>
      </c>
      <c r="M1052">
        <f>_xlfn.XLOOKUP(D1052,BugList!C:C,BugList!N:N)</f>
        <v>8</v>
      </c>
      <c r="N1052">
        <f>_xlfn.XLOOKUP(B1052,BugList!A:A,BugList!R:R)</f>
        <v>10</v>
      </c>
      <c r="O1052" t="b">
        <f>_xlfn.XLOOKUP(B1052,BugList!A:A,BugList!L:L)</f>
        <v>1</v>
      </c>
      <c r="P1052" t="b">
        <f t="shared" si="114"/>
        <v>0</v>
      </c>
      <c r="R1052" t="b">
        <f>SUMPRODUCT(COUNTIF(_xlfn.XLOOKUP(B1052,BugList!A:A,BugList!P:P), "*SC*"))&gt;0</f>
        <v>0</v>
      </c>
      <c r="S1052" t="str">
        <f>_xlfn.XLOOKUP(B1052,BugList!A:A,BugList!W:W)</f>
        <v/>
      </c>
      <c r="T1052">
        <f t="shared" si="115"/>
        <v>280</v>
      </c>
      <c r="U1052">
        <f t="shared" si="116"/>
        <v>350</v>
      </c>
    </row>
    <row r="1053" spans="1:21">
      <c r="A1053" t="s">
        <v>2680</v>
      </c>
      <c r="B1053">
        <v>1582</v>
      </c>
      <c r="D1053" t="s">
        <v>121</v>
      </c>
      <c r="E1053" t="s">
        <v>121</v>
      </c>
      <c r="F1053">
        <v>2</v>
      </c>
      <c r="G1053">
        <f t="shared" si="117"/>
        <v>1.8518518518518516</v>
      </c>
      <c r="H1053">
        <f t="shared" si="118"/>
        <v>1</v>
      </c>
      <c r="I1053">
        <f t="shared" si="119"/>
        <v>0.85185185185185164</v>
      </c>
      <c r="J1053" cm="1">
        <f t="array" ref="J1053">INT(G1053)+IF(100-SUM(INT(G$1046:G$1055))&gt;=RANK(I1053,I$1046:I$1055)+COUNTIF(I$1046:I1053,I1053)-1,1,0)</f>
        <v>2</v>
      </c>
      <c r="K1053" t="str">
        <f>_xlfn.XLOOKUP(B1053,BugList!A:A,BugList!H:H)</f>
        <v/>
      </c>
      <c r="L1053" t="str">
        <f>IF(K1053 = "","",_xlfn.XLOOKUP(B1053, BugList!A:A,BugList!B:B,""))</f>
        <v/>
      </c>
      <c r="M1053">
        <f>_xlfn.XLOOKUP(D1053,BugList!C:C,BugList!N:N)</f>
        <v>6</v>
      </c>
      <c r="N1053">
        <f>_xlfn.XLOOKUP(B1053,BugList!A:A,BugList!R:R)</f>
        <v>6</v>
      </c>
      <c r="O1053" t="b">
        <f>_xlfn.XLOOKUP(B1053,BugList!A:A,BugList!L:L)</f>
        <v>0</v>
      </c>
      <c r="P1053" t="b">
        <f t="shared" si="114"/>
        <v>0</v>
      </c>
      <c r="R1053" t="b">
        <f>SUMPRODUCT(COUNTIF(_xlfn.XLOOKUP(B1053,BugList!A:A,BugList!P:P), "*SC*"))&gt;0</f>
        <v>1</v>
      </c>
      <c r="S1053" t="str">
        <f>_xlfn.XLOOKUP(B1053,BugList!A:A,BugList!W:W)</f>
        <v/>
      </c>
      <c r="T1053">
        <f t="shared" si="115"/>
        <v>12</v>
      </c>
      <c r="U1053">
        <f t="shared" si="116"/>
        <v>12</v>
      </c>
    </row>
    <row r="1054" spans="1:21">
      <c r="A1054" t="s">
        <v>2680</v>
      </c>
      <c r="B1054">
        <v>1678</v>
      </c>
      <c r="D1054" t="s">
        <v>166</v>
      </c>
      <c r="E1054" t="s">
        <v>166</v>
      </c>
      <c r="F1054">
        <v>1</v>
      </c>
      <c r="G1054">
        <f t="shared" si="117"/>
        <v>0.92592592592592582</v>
      </c>
      <c r="H1054">
        <f t="shared" si="118"/>
        <v>0</v>
      </c>
      <c r="I1054">
        <f t="shared" si="119"/>
        <v>0.92592592592592582</v>
      </c>
      <c r="J1054" cm="1">
        <f t="array" ref="J1054">INT(G1054)+IF(100-SUM(INT(G$1046:G$1055))&gt;=RANK(I1054,I$1046:I$1055)+COUNTIF(I$1046:I1054,I1054)-1,1,0)</f>
        <v>1</v>
      </c>
      <c r="K1054" t="str">
        <f>_xlfn.XLOOKUP(B1054,BugList!A:A,BugList!H:H)</f>
        <v/>
      </c>
      <c r="L1054" t="str">
        <f>IF(K1054 = "","",_xlfn.XLOOKUP(B1054, BugList!A:A,BugList!B:B,""))</f>
        <v/>
      </c>
      <c r="M1054">
        <f>_xlfn.XLOOKUP(D1054,BugList!C:C,BugList!N:N)</f>
        <v>6</v>
      </c>
      <c r="N1054">
        <f>_xlfn.XLOOKUP(B1054,BugList!A:A,BugList!R:R)</f>
        <v>6</v>
      </c>
      <c r="O1054" t="b">
        <f>_xlfn.XLOOKUP(B1054,BugList!A:A,BugList!L:L)</f>
        <v>0</v>
      </c>
      <c r="P1054" t="b">
        <f t="shared" si="114"/>
        <v>0</v>
      </c>
      <c r="R1054" t="b">
        <f>SUMPRODUCT(COUNTIF(_xlfn.XLOOKUP(B1054,BugList!A:A,BugList!P:P), "*SC*"))&gt;0</f>
        <v>1</v>
      </c>
      <c r="S1054" t="str">
        <f>_xlfn.XLOOKUP(B1054,BugList!A:A,BugList!W:W)</f>
        <v/>
      </c>
      <c r="T1054">
        <f t="shared" si="115"/>
        <v>6</v>
      </c>
      <c r="U1054">
        <f t="shared" si="116"/>
        <v>6</v>
      </c>
    </row>
    <row r="1055" spans="1:21">
      <c r="A1055" t="s">
        <v>2680</v>
      </c>
      <c r="B1055">
        <v>1696</v>
      </c>
      <c r="D1055" t="s">
        <v>94</v>
      </c>
      <c r="E1055" t="s">
        <v>94</v>
      </c>
      <c r="F1055">
        <v>35</v>
      </c>
      <c r="G1055">
        <f t="shared" si="117"/>
        <v>32.407407407407405</v>
      </c>
      <c r="H1055">
        <f t="shared" si="118"/>
        <v>32</v>
      </c>
      <c r="I1055">
        <f t="shared" si="119"/>
        <v>0.40740740740740478</v>
      </c>
      <c r="J1055" cm="1">
        <f t="array" ref="J1055">INT(G1055)+IF(100-SUM(INT(G$1046:G$1055))&gt;=RANK(I1055,I$1046:I$1055)+COUNTIF(I$1046:I1055,I1055)-1,1,0)</f>
        <v>32</v>
      </c>
      <c r="K1055" t="str">
        <f>_xlfn.XLOOKUP(B1055,BugList!A:A,BugList!H:H)</f>
        <v/>
      </c>
      <c r="L1055" t="str">
        <f>IF(K1055 = "","",_xlfn.XLOOKUP(B1055, BugList!A:A,BugList!B:B,""))</f>
        <v/>
      </c>
      <c r="M1055">
        <f>_xlfn.XLOOKUP(D1055,BugList!C:C,BugList!N:N)</f>
        <v>8</v>
      </c>
      <c r="N1055">
        <f>_xlfn.XLOOKUP(B1055,BugList!A:A,BugList!R:R)</f>
        <v>8</v>
      </c>
      <c r="O1055" t="b">
        <f>_xlfn.XLOOKUP(B1055,BugList!A:A,BugList!L:L)</f>
        <v>0</v>
      </c>
      <c r="P1055" t="b">
        <f t="shared" si="114"/>
        <v>0</v>
      </c>
      <c r="R1055" t="b">
        <f>SUMPRODUCT(COUNTIF(_xlfn.XLOOKUP(B1055,BugList!A:A,BugList!P:P), "*SC*"))&gt;0</f>
        <v>0</v>
      </c>
      <c r="S1055" t="str">
        <f>_xlfn.XLOOKUP(B1055,BugList!A:A,BugList!W:W)</f>
        <v/>
      </c>
      <c r="T1055">
        <f t="shared" si="115"/>
        <v>256</v>
      </c>
      <c r="U1055">
        <f t="shared" si="116"/>
        <v>256</v>
      </c>
    </row>
    <row r="1056" spans="1:21">
      <c r="A1056" t="s">
        <v>2681</v>
      </c>
      <c r="B1056">
        <v>63</v>
      </c>
      <c r="D1056" t="s">
        <v>84</v>
      </c>
      <c r="E1056" t="s">
        <v>84</v>
      </c>
      <c r="F1056">
        <v>1</v>
      </c>
      <c r="G1056">
        <f t="shared" si="117"/>
        <v>0.47619047619047622</v>
      </c>
      <c r="H1056">
        <f t="shared" si="118"/>
        <v>0</v>
      </c>
      <c r="I1056">
        <f t="shared" si="119"/>
        <v>0.47619047619047622</v>
      </c>
      <c r="J1056" cm="1">
        <f t="array" ref="J1056">INT(G1056)+IF(100-SUM(INT(G$1056:G$1071))&gt;=RANK(I1056,I$1056:I$1071)+COUNTIF(I$1056:I1056,I1056)-1,1,0)</f>
        <v>1</v>
      </c>
      <c r="K1056" t="str">
        <f>_xlfn.XLOOKUP(B1056,BugList!A:A,BugList!H:H)</f>
        <v/>
      </c>
      <c r="L1056" t="str">
        <f>IF(K1056 = "","",_xlfn.XLOOKUP(B1056, BugList!A:A,BugList!B:B,""))</f>
        <v/>
      </c>
      <c r="M1056">
        <f>_xlfn.XLOOKUP(D1056,BugList!C:C,BugList!N:N)</f>
        <v>8</v>
      </c>
      <c r="N1056">
        <f>_xlfn.XLOOKUP(B1056,BugList!A:A,BugList!R:R)</f>
        <v>8</v>
      </c>
      <c r="O1056" t="b">
        <f>_xlfn.XLOOKUP(B1056,BugList!A:A,BugList!L:L)</f>
        <v>0</v>
      </c>
      <c r="P1056" t="b">
        <f t="shared" si="114"/>
        <v>0</v>
      </c>
      <c r="R1056" t="b">
        <f>SUMPRODUCT(COUNTIF(_xlfn.XLOOKUP(B1056,BugList!A:A,BugList!P:P), "*SC*"))&gt;0</f>
        <v>0</v>
      </c>
      <c r="S1056" t="str">
        <f>_xlfn.XLOOKUP(B1056,BugList!A:A,BugList!W:W)</f>
        <v/>
      </c>
      <c r="T1056">
        <f t="shared" si="115"/>
        <v>8</v>
      </c>
      <c r="U1056">
        <f t="shared" si="116"/>
        <v>8</v>
      </c>
    </row>
    <row r="1057" spans="1:21">
      <c r="A1057" t="s">
        <v>2681</v>
      </c>
      <c r="B1057">
        <v>88</v>
      </c>
      <c r="D1057" t="s">
        <v>85</v>
      </c>
      <c r="E1057" t="s">
        <v>85</v>
      </c>
      <c r="F1057">
        <v>11</v>
      </c>
      <c r="G1057">
        <f t="shared" si="117"/>
        <v>5.2380952380952381</v>
      </c>
      <c r="H1057">
        <f t="shared" si="118"/>
        <v>5</v>
      </c>
      <c r="I1057">
        <f t="shared" si="119"/>
        <v>0.23809523809523814</v>
      </c>
      <c r="J1057" cm="1">
        <f t="array" ref="J1057">INT(G1057)+IF(100-SUM(INT(G$1056:G$1071))&gt;=RANK(I1057,I$1056:I$1071)+COUNTIF(I$1056:I1057,I1057)-1,1,0)</f>
        <v>5</v>
      </c>
      <c r="K1057" t="str">
        <f>_xlfn.XLOOKUP(B1057,BugList!A:A,BugList!H:H)</f>
        <v/>
      </c>
      <c r="L1057" t="str">
        <f>IF(K1057 = "","",_xlfn.XLOOKUP(B1057, BugList!A:A,BugList!B:B,""))</f>
        <v/>
      </c>
      <c r="M1057">
        <f>_xlfn.XLOOKUP(D1057,BugList!C:C,BugList!N:N)</f>
        <v>4</v>
      </c>
      <c r="N1057">
        <f>_xlfn.XLOOKUP(B1057,BugList!A:A,BugList!R:R)</f>
        <v>4</v>
      </c>
      <c r="O1057" t="b">
        <f>_xlfn.XLOOKUP(B1057,BugList!A:A,BugList!L:L)</f>
        <v>0</v>
      </c>
      <c r="P1057" t="b">
        <f t="shared" si="114"/>
        <v>0</v>
      </c>
      <c r="R1057" t="b">
        <f>SUMPRODUCT(COUNTIF(_xlfn.XLOOKUP(B1057,BugList!A:A,BugList!P:P), "*SC*"))&gt;0</f>
        <v>0</v>
      </c>
      <c r="S1057" t="str">
        <f>_xlfn.XLOOKUP(B1057,BugList!A:A,BugList!W:W)</f>
        <v/>
      </c>
      <c r="T1057">
        <f t="shared" si="115"/>
        <v>20</v>
      </c>
      <c r="U1057">
        <f t="shared" si="116"/>
        <v>20</v>
      </c>
    </row>
    <row r="1058" spans="1:21">
      <c r="A1058" t="s">
        <v>2681</v>
      </c>
      <c r="B1058">
        <v>99</v>
      </c>
      <c r="D1058" t="s">
        <v>169</v>
      </c>
      <c r="E1058" t="s">
        <v>169</v>
      </c>
      <c r="F1058">
        <v>1</v>
      </c>
      <c r="G1058">
        <f t="shared" si="117"/>
        <v>0.47619047619047622</v>
      </c>
      <c r="H1058">
        <f t="shared" si="118"/>
        <v>0</v>
      </c>
      <c r="I1058">
        <f t="shared" si="119"/>
        <v>0.47619047619047622</v>
      </c>
      <c r="J1058" cm="1">
        <f t="array" ref="J1058">INT(G1058)+IF(100-SUM(INT(G$1056:G$1071))&gt;=RANK(I1058,I$1056:I$1071)+COUNTIF(I$1056:I1058,I1058)-1,1,0)</f>
        <v>1</v>
      </c>
      <c r="K1058" t="str">
        <f>_xlfn.XLOOKUP(B1058,BugList!A:A,BugList!H:H)</f>
        <v/>
      </c>
      <c r="L1058" t="str">
        <f>IF(K1058 = "","",_xlfn.XLOOKUP(B1058, BugList!A:A,BugList!B:B,""))</f>
        <v/>
      </c>
      <c r="M1058">
        <f>_xlfn.XLOOKUP(D1058,BugList!C:C,BugList!N:N)</f>
        <v>5</v>
      </c>
      <c r="N1058">
        <f>_xlfn.XLOOKUP(B1058,BugList!A:A,BugList!R:R)</f>
        <v>5</v>
      </c>
      <c r="O1058" t="b">
        <f>_xlfn.XLOOKUP(B1058,BugList!A:A,BugList!L:L)</f>
        <v>0</v>
      </c>
      <c r="P1058" t="b">
        <f t="shared" si="114"/>
        <v>0</v>
      </c>
      <c r="R1058" t="b">
        <f>SUMPRODUCT(COUNTIF(_xlfn.XLOOKUP(B1058,BugList!A:A,BugList!P:P), "*SC*"))&gt;0</f>
        <v>0</v>
      </c>
      <c r="S1058" t="str">
        <f>_xlfn.XLOOKUP(B1058,BugList!A:A,BugList!W:W)</f>
        <v/>
      </c>
      <c r="T1058">
        <f t="shared" si="115"/>
        <v>5</v>
      </c>
      <c r="U1058">
        <f t="shared" si="116"/>
        <v>5</v>
      </c>
    </row>
    <row r="1059" spans="1:21">
      <c r="A1059" t="s">
        <v>2681</v>
      </c>
      <c r="B1059">
        <v>513</v>
      </c>
      <c r="D1059" t="s">
        <v>111</v>
      </c>
      <c r="E1059" t="s">
        <v>111</v>
      </c>
      <c r="F1059">
        <v>5</v>
      </c>
      <c r="G1059">
        <f t="shared" si="117"/>
        <v>2.3809523809523809</v>
      </c>
      <c r="H1059">
        <f t="shared" si="118"/>
        <v>2</v>
      </c>
      <c r="I1059">
        <f t="shared" si="119"/>
        <v>0.38095238095238093</v>
      </c>
      <c r="J1059" cm="1">
        <f t="array" ref="J1059">INT(G1059)+IF(100-SUM(INT(G$1056:G$1071))&gt;=RANK(I1059,I$1056:I$1071)+COUNTIF(I$1056:I1059,I1059)-1,1,0)</f>
        <v>2</v>
      </c>
      <c r="K1059" t="str">
        <f>_xlfn.XLOOKUP(B1059,BugList!A:A,BugList!H:H)</f>
        <v>*</v>
      </c>
      <c r="L1059" t="str">
        <f>IF(K1059 = "","",_xlfn.XLOOKUP(B1059, BugList!A:A,BugList!B:B,""))</f>
        <v>Ephemeroptera</v>
      </c>
      <c r="M1059">
        <f>_xlfn.XLOOKUP(D1059,BugList!C:C,BugList!N:N)</f>
        <v>4</v>
      </c>
      <c r="N1059">
        <f>_xlfn.XLOOKUP(B1059,BugList!A:A,BugList!R:R)</f>
        <v>4</v>
      </c>
      <c r="O1059" t="b">
        <f>_xlfn.XLOOKUP(B1059,BugList!A:A,BugList!L:L)</f>
        <v>1</v>
      </c>
      <c r="P1059" t="b">
        <f t="shared" si="114"/>
        <v>1</v>
      </c>
      <c r="R1059" t="b">
        <f>SUMPRODUCT(COUNTIF(_xlfn.XLOOKUP(B1059,BugList!A:A,BugList!P:P), "*SC*"))&gt;0</f>
        <v>1</v>
      </c>
      <c r="S1059" t="str">
        <f>_xlfn.XLOOKUP(B1059,BugList!A:A,BugList!W:W)</f>
        <v/>
      </c>
      <c r="T1059">
        <f t="shared" si="115"/>
        <v>8</v>
      </c>
      <c r="U1059">
        <f t="shared" si="116"/>
        <v>8</v>
      </c>
    </row>
    <row r="1060" spans="1:21">
      <c r="A1060" t="s">
        <v>2681</v>
      </c>
      <c r="B1060">
        <v>526</v>
      </c>
      <c r="D1060" t="s">
        <v>963</v>
      </c>
      <c r="E1060" t="s">
        <v>963</v>
      </c>
      <c r="F1060">
        <v>1</v>
      </c>
      <c r="G1060">
        <f t="shared" si="117"/>
        <v>0.47619047619047622</v>
      </c>
      <c r="H1060">
        <f t="shared" si="118"/>
        <v>0</v>
      </c>
      <c r="I1060">
        <f t="shared" si="119"/>
        <v>0.47619047619047622</v>
      </c>
      <c r="J1060" cm="1">
        <f t="array" ref="J1060">INT(G1060)+IF(100-SUM(INT(G$1056:G$1071))&gt;=RANK(I1060,I$1056:I$1071)+COUNTIF(I$1056:I1060,I1060)-1,1,0)</f>
        <v>1</v>
      </c>
      <c r="K1060" t="str">
        <f>_xlfn.XLOOKUP(B1060,BugList!A:A,BugList!H:H)</f>
        <v>*</v>
      </c>
      <c r="L1060" t="str">
        <f>IF(K1060 = "","",_xlfn.XLOOKUP(B1060, BugList!A:A,BugList!B:B,""))</f>
        <v>Ephemeroptera</v>
      </c>
      <c r="M1060">
        <f>_xlfn.XLOOKUP(D1060,BugList!C:C,BugList!N:N)</f>
        <v>2</v>
      </c>
      <c r="N1060">
        <f>_xlfn.XLOOKUP(B1060,BugList!A:A,BugList!R:R)</f>
        <v>2</v>
      </c>
      <c r="O1060" t="b">
        <f>_xlfn.XLOOKUP(B1060,BugList!A:A,BugList!L:L)</f>
        <v>1</v>
      </c>
      <c r="P1060" t="b">
        <f t="shared" si="114"/>
        <v>1</v>
      </c>
      <c r="R1060" t="b">
        <f>SUMPRODUCT(COUNTIF(_xlfn.XLOOKUP(B1060,BugList!A:A,BugList!P:P), "*SC*"))&gt;0</f>
        <v>0</v>
      </c>
      <c r="S1060" t="str">
        <f>_xlfn.XLOOKUP(B1060,BugList!A:A,BugList!W:W)</f>
        <v/>
      </c>
      <c r="T1060">
        <f t="shared" si="115"/>
        <v>2</v>
      </c>
      <c r="U1060">
        <f t="shared" si="116"/>
        <v>2</v>
      </c>
    </row>
    <row r="1061" spans="1:21">
      <c r="A1061" t="s">
        <v>2681</v>
      </c>
      <c r="B1061">
        <v>602</v>
      </c>
      <c r="D1061" t="s">
        <v>97</v>
      </c>
      <c r="E1061" t="s">
        <v>97</v>
      </c>
      <c r="F1061">
        <v>12</v>
      </c>
      <c r="G1061">
        <f t="shared" si="117"/>
        <v>5.7142857142857144</v>
      </c>
      <c r="H1061">
        <f t="shared" si="118"/>
        <v>5</v>
      </c>
      <c r="I1061">
        <f t="shared" si="119"/>
        <v>0.71428571428571441</v>
      </c>
      <c r="J1061" cm="1">
        <f t="array" ref="J1061">INT(G1061)+IF(100-SUM(INT(G$1056:G$1071))&gt;=RANK(I1061,I$1056:I$1071)+COUNTIF(I$1056:I1061,I1061)-1,1,0)</f>
        <v>6</v>
      </c>
      <c r="K1061" t="str">
        <f>_xlfn.XLOOKUP(B1061,BugList!A:A,BugList!H:H)</f>
        <v/>
      </c>
      <c r="L1061" t="str">
        <f>IF(K1061 = "","",_xlfn.XLOOKUP(B1061, BugList!A:A,BugList!B:B,""))</f>
        <v/>
      </c>
      <c r="M1061">
        <f>_xlfn.XLOOKUP(D1061,BugList!C:C,BugList!N:N)</f>
        <v>9</v>
      </c>
      <c r="N1061">
        <f>_xlfn.XLOOKUP(B1061,BugList!A:A,BugList!R:R)</f>
        <v>9</v>
      </c>
      <c r="O1061" t="b">
        <f>_xlfn.XLOOKUP(B1061,BugList!A:A,BugList!L:L)</f>
        <v>1</v>
      </c>
      <c r="P1061" t="b">
        <f t="shared" si="114"/>
        <v>0</v>
      </c>
      <c r="R1061" t="b">
        <f>SUMPRODUCT(COUNTIF(_xlfn.XLOOKUP(B1061,BugList!A:A,BugList!P:P), "*SC*"))&gt;0</f>
        <v>0</v>
      </c>
      <c r="S1061" t="str">
        <f>_xlfn.XLOOKUP(B1061,BugList!A:A,BugList!W:W)</f>
        <v/>
      </c>
      <c r="T1061">
        <f t="shared" si="115"/>
        <v>54</v>
      </c>
      <c r="U1061">
        <f t="shared" si="116"/>
        <v>54</v>
      </c>
    </row>
    <row r="1062" spans="1:21">
      <c r="A1062" t="s">
        <v>2681</v>
      </c>
      <c r="B1062">
        <v>719</v>
      </c>
      <c r="D1062" t="s">
        <v>1226</v>
      </c>
      <c r="E1062" t="s">
        <v>1226</v>
      </c>
      <c r="F1062">
        <v>2</v>
      </c>
      <c r="G1062">
        <f t="shared" si="117"/>
        <v>0.95238095238095244</v>
      </c>
      <c r="H1062">
        <f t="shared" si="118"/>
        <v>0</v>
      </c>
      <c r="I1062">
        <f t="shared" si="119"/>
        <v>0.95238095238095244</v>
      </c>
      <c r="J1062" cm="1">
        <f t="array" ref="J1062">INT(G1062)+IF(100-SUM(INT(G$1056:G$1071))&gt;=RANK(I1062,I$1056:I$1071)+COUNTIF(I$1056:I1062,I1062)-1,1,0)</f>
        <v>1</v>
      </c>
      <c r="K1062" t="str">
        <f>_xlfn.XLOOKUP(B1062,BugList!A:A,BugList!H:H)</f>
        <v/>
      </c>
      <c r="L1062" t="str">
        <f>IF(K1062 = "","",_xlfn.XLOOKUP(B1062, BugList!A:A,BugList!B:B,""))</f>
        <v/>
      </c>
      <c r="M1062">
        <f>_xlfn.XLOOKUP(D1062,BugList!C:C,BugList!N:N)</f>
        <v>0</v>
      </c>
      <c r="N1062">
        <f>_xlfn.XLOOKUP(B1062,BugList!A:A,BugList!R:R)</f>
        <v>0</v>
      </c>
      <c r="O1062" t="b">
        <f>_xlfn.XLOOKUP(B1062,BugList!A:A,BugList!L:L)</f>
        <v>1</v>
      </c>
      <c r="P1062" t="b">
        <f t="shared" si="114"/>
        <v>0</v>
      </c>
      <c r="R1062" t="b">
        <f>SUMPRODUCT(COUNTIF(_xlfn.XLOOKUP(B1062,BugList!A:A,BugList!P:P), "*SC*"))&gt;0</f>
        <v>0</v>
      </c>
      <c r="S1062" t="str">
        <f>_xlfn.XLOOKUP(B1062,BugList!A:A,BugList!W:W)</f>
        <v/>
      </c>
      <c r="T1062">
        <f t="shared" si="115"/>
        <v>0</v>
      </c>
      <c r="U1062">
        <f t="shared" si="116"/>
        <v>0</v>
      </c>
    </row>
    <row r="1063" spans="1:21">
      <c r="A1063" t="s">
        <v>2681</v>
      </c>
      <c r="B1063">
        <v>794</v>
      </c>
      <c r="D1063" t="s">
        <v>89</v>
      </c>
      <c r="E1063" t="s">
        <v>89</v>
      </c>
      <c r="F1063">
        <v>61</v>
      </c>
      <c r="G1063">
        <f t="shared" si="117"/>
        <v>29.047619047619051</v>
      </c>
      <c r="H1063">
        <f t="shared" si="118"/>
        <v>29</v>
      </c>
      <c r="I1063">
        <f t="shared" si="119"/>
        <v>4.7619047619051003E-2</v>
      </c>
      <c r="J1063" cm="1">
        <f t="array" ref="J1063">INT(G1063)+IF(100-SUM(INT(G$1056:G$1071))&gt;=RANK(I1063,I$1056:I$1071)+COUNTIF(I$1056:I1063,I1063)-1,1,0)</f>
        <v>29</v>
      </c>
      <c r="K1063" t="str">
        <f>_xlfn.XLOOKUP(B1063,BugList!A:A,BugList!H:H)</f>
        <v>*</v>
      </c>
      <c r="L1063" t="str">
        <f>IF(K1063 = "","",_xlfn.XLOOKUP(B1063, BugList!A:A,BugList!B:B,""))</f>
        <v>Trichoptera</v>
      </c>
      <c r="M1063">
        <f>_xlfn.XLOOKUP(D1063,BugList!C:C,BugList!N:N)</f>
        <v>4</v>
      </c>
      <c r="N1063">
        <f>_xlfn.XLOOKUP(B1063,BugList!A:A,BugList!R:R)</f>
        <v>4</v>
      </c>
      <c r="O1063" t="b">
        <f>_xlfn.XLOOKUP(B1063,BugList!A:A,BugList!L:L)</f>
        <v>1</v>
      </c>
      <c r="P1063" t="b">
        <f t="shared" si="114"/>
        <v>0</v>
      </c>
      <c r="R1063" t="b">
        <f>SUMPRODUCT(COUNTIF(_xlfn.XLOOKUP(B1063,BugList!A:A,BugList!P:P), "*SC*"))&gt;0</f>
        <v>0</v>
      </c>
      <c r="S1063" t="str">
        <f>_xlfn.XLOOKUP(B1063,BugList!A:A,BugList!W:W)</f>
        <v/>
      </c>
      <c r="T1063">
        <f t="shared" si="115"/>
        <v>116</v>
      </c>
      <c r="U1063">
        <f t="shared" si="116"/>
        <v>116</v>
      </c>
    </row>
    <row r="1064" spans="1:21">
      <c r="A1064" t="s">
        <v>2681</v>
      </c>
      <c r="B1064">
        <v>837</v>
      </c>
      <c r="D1064" t="s">
        <v>107</v>
      </c>
      <c r="E1064" t="s">
        <v>107</v>
      </c>
      <c r="F1064">
        <v>52</v>
      </c>
      <c r="G1064">
        <f t="shared" si="117"/>
        <v>24.761904761904763</v>
      </c>
      <c r="H1064">
        <f t="shared" si="118"/>
        <v>24</v>
      </c>
      <c r="I1064">
        <f t="shared" si="119"/>
        <v>0.76190476190476275</v>
      </c>
      <c r="J1064" cm="1">
        <f t="array" ref="J1064">INT(G1064)+IF(100-SUM(INT(G$1056:G$1071))&gt;=RANK(I1064,I$1056:I$1071)+COUNTIF(I$1056:I1064,I1064)-1,1,0)</f>
        <v>25</v>
      </c>
      <c r="K1064" t="str">
        <f>_xlfn.XLOOKUP(B1064,BugList!A:A,BugList!H:H)</f>
        <v>*</v>
      </c>
      <c r="L1064" t="str">
        <f>IF(K1064 = "","",_xlfn.XLOOKUP(B1064, BugList!A:A,BugList!B:B,""))</f>
        <v>Trichoptera</v>
      </c>
      <c r="M1064">
        <f>_xlfn.XLOOKUP(D1064,BugList!C:C,BugList!N:N)</f>
        <v>3</v>
      </c>
      <c r="N1064">
        <f>_xlfn.XLOOKUP(B1064,BugList!A:A,BugList!R:R)</f>
        <v>3</v>
      </c>
      <c r="O1064" t="b">
        <f>_xlfn.XLOOKUP(B1064,BugList!A:A,BugList!L:L)</f>
        <v>1</v>
      </c>
      <c r="P1064" t="b">
        <f t="shared" si="114"/>
        <v>1</v>
      </c>
      <c r="R1064" t="b">
        <f>SUMPRODUCT(COUNTIF(_xlfn.XLOOKUP(B1064,BugList!A:A,BugList!P:P), "*SC*"))&gt;0</f>
        <v>0</v>
      </c>
      <c r="S1064" t="str">
        <f>_xlfn.XLOOKUP(B1064,BugList!A:A,BugList!W:W)</f>
        <v/>
      </c>
      <c r="T1064">
        <f t="shared" si="115"/>
        <v>75</v>
      </c>
      <c r="U1064">
        <f t="shared" si="116"/>
        <v>75</v>
      </c>
    </row>
    <row r="1065" spans="1:21">
      <c r="A1065" t="s">
        <v>2681</v>
      </c>
      <c r="B1065">
        <v>842</v>
      </c>
      <c r="D1065" t="s">
        <v>163</v>
      </c>
      <c r="E1065" t="s">
        <v>163</v>
      </c>
      <c r="F1065">
        <v>1</v>
      </c>
      <c r="G1065">
        <f t="shared" si="117"/>
        <v>0.47619047619047622</v>
      </c>
      <c r="H1065">
        <f t="shared" si="118"/>
        <v>0</v>
      </c>
      <c r="I1065">
        <f t="shared" si="119"/>
        <v>0.47619047619047622</v>
      </c>
      <c r="J1065" cm="1">
        <f t="array" ref="J1065">INT(G1065)+IF(100-SUM(INT(G$1056:G$1071))&gt;=RANK(I1065,I$1056:I$1071)+COUNTIF(I$1056:I1065,I1065)-1,1,0)</f>
        <v>1</v>
      </c>
      <c r="K1065" t="str">
        <f>_xlfn.XLOOKUP(B1065,BugList!A:A,BugList!H:H)</f>
        <v>*</v>
      </c>
      <c r="L1065" t="str">
        <f>IF(K1065 = "","",_xlfn.XLOOKUP(B1065, BugList!A:A,BugList!B:B,""))</f>
        <v>Trichoptera</v>
      </c>
      <c r="M1065">
        <f>_xlfn.XLOOKUP(D1065,BugList!C:C,BugList!N:N)</f>
        <v>6</v>
      </c>
      <c r="N1065">
        <f>_xlfn.XLOOKUP(B1065,BugList!A:A,BugList!R:R)</f>
        <v>6</v>
      </c>
      <c r="O1065" t="b">
        <f>_xlfn.XLOOKUP(B1065,BugList!A:A,BugList!L:L)</f>
        <v>1</v>
      </c>
      <c r="P1065" t="b">
        <f t="shared" si="114"/>
        <v>1</v>
      </c>
      <c r="R1065" t="b">
        <f>SUMPRODUCT(COUNTIF(_xlfn.XLOOKUP(B1065,BugList!A:A,BugList!P:P), "*SC*"))&gt;0</f>
        <v>0</v>
      </c>
      <c r="S1065" t="str">
        <f>_xlfn.XLOOKUP(B1065,BugList!A:A,BugList!W:W)</f>
        <v/>
      </c>
      <c r="T1065">
        <f t="shared" si="115"/>
        <v>6</v>
      </c>
      <c r="U1065">
        <f t="shared" si="116"/>
        <v>6</v>
      </c>
    </row>
    <row r="1066" spans="1:21">
      <c r="A1066" t="s">
        <v>2681</v>
      </c>
      <c r="B1066">
        <v>935</v>
      </c>
      <c r="D1066" t="s">
        <v>98</v>
      </c>
      <c r="E1066" t="s">
        <v>98</v>
      </c>
      <c r="F1066">
        <v>15</v>
      </c>
      <c r="G1066">
        <f t="shared" si="117"/>
        <v>7.1428571428571423</v>
      </c>
      <c r="H1066">
        <f t="shared" si="118"/>
        <v>7</v>
      </c>
      <c r="I1066">
        <f t="shared" si="119"/>
        <v>0.14285714285714235</v>
      </c>
      <c r="J1066" cm="1">
        <f t="array" ref="J1066">INT(G1066)+IF(100-SUM(INT(G$1056:G$1071))&gt;=RANK(I1066,I$1056:I$1071)+COUNTIF(I$1056:I1066,I1066)-1,1,0)</f>
        <v>7</v>
      </c>
      <c r="K1066" t="str">
        <f>_xlfn.XLOOKUP(B1066,BugList!A:A,BugList!H:H)</f>
        <v/>
      </c>
      <c r="L1066" t="str">
        <f>IF(K1066 = "","",_xlfn.XLOOKUP(B1066, BugList!A:A,BugList!B:B,""))</f>
        <v/>
      </c>
      <c r="M1066">
        <f>_xlfn.XLOOKUP(D1066,BugList!C:C,BugList!N:N)</f>
        <v>4</v>
      </c>
      <c r="N1066">
        <f>_xlfn.XLOOKUP(B1066,BugList!A:A,BugList!R:R)</f>
        <v>4</v>
      </c>
      <c r="O1066" t="b">
        <f>_xlfn.XLOOKUP(B1066,BugList!A:A,BugList!L:L)</f>
        <v>1</v>
      </c>
      <c r="P1066" t="b">
        <f t="shared" si="114"/>
        <v>0</v>
      </c>
      <c r="R1066" t="b">
        <f>SUMPRODUCT(COUNTIF(_xlfn.XLOOKUP(B1066,BugList!A:A,BugList!P:P), "*SC*"))&gt;0</f>
        <v>1</v>
      </c>
      <c r="S1066" t="str">
        <f>_xlfn.XLOOKUP(B1066,BugList!A:A,BugList!W:W)</f>
        <v/>
      </c>
      <c r="T1066">
        <f t="shared" si="115"/>
        <v>28</v>
      </c>
      <c r="U1066">
        <f t="shared" si="116"/>
        <v>28</v>
      </c>
    </row>
    <row r="1067" spans="1:21">
      <c r="A1067" t="s">
        <v>2681</v>
      </c>
      <c r="B1067">
        <v>1002</v>
      </c>
      <c r="D1067" t="s">
        <v>100</v>
      </c>
      <c r="E1067" t="s">
        <v>100</v>
      </c>
      <c r="F1067">
        <v>36</v>
      </c>
      <c r="G1067">
        <f t="shared" si="117"/>
        <v>17.142857142857142</v>
      </c>
      <c r="H1067">
        <f t="shared" si="118"/>
        <v>17</v>
      </c>
      <c r="I1067">
        <f t="shared" si="119"/>
        <v>0.14285714285714235</v>
      </c>
      <c r="J1067" cm="1">
        <f t="array" ref="J1067">INT(G1067)+IF(100-SUM(INT(G$1056:G$1071))&gt;=RANK(I1067,I$1056:I$1071)+COUNTIF(I$1056:I1067,I1067)-1,1,0)</f>
        <v>17</v>
      </c>
      <c r="K1067" t="str">
        <f>_xlfn.XLOOKUP(B1067,BugList!A:A,BugList!H:H)</f>
        <v/>
      </c>
      <c r="L1067" t="str">
        <f>IF(K1067 = "","",_xlfn.XLOOKUP(B1067, BugList!A:A,BugList!B:B,""))</f>
        <v/>
      </c>
      <c r="M1067">
        <f>_xlfn.XLOOKUP(D1067,BugList!C:C,BugList!N:N)</f>
        <v>4</v>
      </c>
      <c r="N1067">
        <f>_xlfn.XLOOKUP(B1067,BugList!A:A,BugList!R:R)</f>
        <v>4</v>
      </c>
      <c r="O1067" t="b">
        <f>_xlfn.XLOOKUP(B1067,BugList!A:A,BugList!L:L)</f>
        <v>1</v>
      </c>
      <c r="P1067" t="b">
        <f t="shared" si="114"/>
        <v>0</v>
      </c>
      <c r="R1067" t="b">
        <f>SUMPRODUCT(COUNTIF(_xlfn.XLOOKUP(B1067,BugList!A:A,BugList!P:P), "*SC*"))&gt;0</f>
        <v>1</v>
      </c>
      <c r="S1067" t="str">
        <f>_xlfn.XLOOKUP(B1067,BugList!A:A,BugList!W:W)</f>
        <v/>
      </c>
      <c r="T1067">
        <f t="shared" si="115"/>
        <v>68</v>
      </c>
      <c r="U1067">
        <f t="shared" si="116"/>
        <v>68</v>
      </c>
    </row>
    <row r="1068" spans="1:21">
      <c r="A1068" t="s">
        <v>2681</v>
      </c>
      <c r="B1068">
        <v>1088</v>
      </c>
      <c r="D1068" t="s">
        <v>90</v>
      </c>
      <c r="E1068" t="s">
        <v>90</v>
      </c>
      <c r="F1068">
        <v>3</v>
      </c>
      <c r="G1068">
        <f t="shared" si="117"/>
        <v>1.4285714285714286</v>
      </c>
      <c r="H1068">
        <f t="shared" si="118"/>
        <v>1</v>
      </c>
      <c r="I1068">
        <f t="shared" si="119"/>
        <v>0.4285714285714286</v>
      </c>
      <c r="J1068" cm="1">
        <f t="array" ref="J1068">INT(G1068)+IF(100-SUM(INT(G$1056:G$1071))&gt;=RANK(I1068,I$1056:I$1071)+COUNTIF(I$1056:I1068,I1068)-1,1,0)</f>
        <v>1</v>
      </c>
      <c r="K1068" t="str">
        <f>_xlfn.XLOOKUP(B1068,BugList!A:A,BugList!H:H)</f>
        <v/>
      </c>
      <c r="L1068" t="str">
        <f>IF(K1068 = "","",_xlfn.XLOOKUP(B1068, BugList!A:A,BugList!B:B,""))</f>
        <v/>
      </c>
      <c r="M1068">
        <f>_xlfn.XLOOKUP(D1068,BugList!C:C,BugList!N:N)</f>
        <v>6</v>
      </c>
      <c r="N1068">
        <f>_xlfn.XLOOKUP(B1068,BugList!A:A,BugList!R:R)</f>
        <v>6</v>
      </c>
      <c r="O1068" t="b">
        <f>_xlfn.XLOOKUP(B1068,BugList!A:A,BugList!L:L)</f>
        <v>1</v>
      </c>
      <c r="P1068" t="b">
        <f t="shared" si="114"/>
        <v>0</v>
      </c>
      <c r="R1068" t="b">
        <f>SUMPRODUCT(COUNTIF(_xlfn.XLOOKUP(B1068,BugList!A:A,BugList!P:P), "*SC*"))&gt;0</f>
        <v>0</v>
      </c>
      <c r="S1068" t="str">
        <f>_xlfn.XLOOKUP(B1068,BugList!A:A,BugList!W:W)</f>
        <v/>
      </c>
      <c r="T1068">
        <f t="shared" si="115"/>
        <v>6</v>
      </c>
      <c r="U1068">
        <f t="shared" si="116"/>
        <v>6</v>
      </c>
    </row>
    <row r="1069" spans="1:21">
      <c r="A1069" t="s">
        <v>2681</v>
      </c>
      <c r="B1069">
        <v>1436</v>
      </c>
      <c r="D1069" t="s">
        <v>101</v>
      </c>
      <c r="E1069" t="s">
        <v>101</v>
      </c>
      <c r="F1069">
        <v>1</v>
      </c>
      <c r="G1069">
        <f t="shared" si="117"/>
        <v>0.47619047619047622</v>
      </c>
      <c r="H1069">
        <f t="shared" si="118"/>
        <v>0</v>
      </c>
      <c r="I1069">
        <f t="shared" si="119"/>
        <v>0.47619047619047622</v>
      </c>
      <c r="J1069" cm="1">
        <f t="array" ref="J1069">INT(G1069)+IF(100-SUM(INT(G$1056:G$1071))&gt;=RANK(I1069,I$1056:I$1071)+COUNTIF(I$1056:I1069,I1069)-1,1,0)</f>
        <v>0</v>
      </c>
      <c r="K1069" t="str">
        <f>_xlfn.XLOOKUP(B1069,BugList!A:A,BugList!H:H)</f>
        <v/>
      </c>
      <c r="L1069" t="str">
        <f>IF(K1069 = "","",_xlfn.XLOOKUP(B1069, BugList!A:A,BugList!B:B,""))</f>
        <v/>
      </c>
      <c r="M1069">
        <f>_xlfn.XLOOKUP(D1069,BugList!C:C,BugList!N:N)</f>
        <v>6</v>
      </c>
      <c r="N1069">
        <f>_xlfn.XLOOKUP(B1069,BugList!A:A,BugList!R:R)</f>
        <v>6</v>
      </c>
      <c r="O1069" t="b">
        <f>_xlfn.XLOOKUP(B1069,BugList!A:A,BugList!L:L)</f>
        <v>1</v>
      </c>
      <c r="P1069" t="b">
        <f t="shared" ref="P1069:P1132" si="120">IF(K1069="*",IF(D1069="Hydropsychidae", IF(E1069="Diplectrona",TRUE,FALSE),TRUE),FALSE)</f>
        <v>0</v>
      </c>
      <c r="R1069" t="b">
        <f>SUMPRODUCT(COUNTIF(_xlfn.XLOOKUP(B1069,BugList!A:A,BugList!P:P), "*SC*"))&gt;0</f>
        <v>0</v>
      </c>
      <c r="S1069" t="str">
        <f>_xlfn.XLOOKUP(B1069,BugList!A:A,BugList!W:W)</f>
        <v/>
      </c>
      <c r="T1069">
        <f t="shared" si="115"/>
        <v>0</v>
      </c>
      <c r="U1069">
        <f t="shared" si="116"/>
        <v>0</v>
      </c>
    </row>
    <row r="1070" spans="1:21">
      <c r="A1070" t="s">
        <v>2681</v>
      </c>
      <c r="B1070">
        <v>1497</v>
      </c>
      <c r="D1070" t="s">
        <v>108</v>
      </c>
      <c r="E1070" t="s">
        <v>108</v>
      </c>
      <c r="F1070">
        <v>5</v>
      </c>
      <c r="G1070">
        <f t="shared" si="117"/>
        <v>2.3809523809523809</v>
      </c>
      <c r="H1070">
        <f t="shared" si="118"/>
        <v>2</v>
      </c>
      <c r="I1070">
        <f t="shared" si="119"/>
        <v>0.38095238095238093</v>
      </c>
      <c r="J1070" cm="1">
        <f t="array" ref="J1070">INT(G1070)+IF(100-SUM(INT(G$1056:G$1071))&gt;=RANK(I1070,I$1056:I$1071)+COUNTIF(I$1056:I1070,I1070)-1,1,0)</f>
        <v>2</v>
      </c>
      <c r="K1070" t="str">
        <f>_xlfn.XLOOKUP(B1070,BugList!A:A,BugList!H:H)</f>
        <v/>
      </c>
      <c r="L1070" t="str">
        <f>IF(K1070 = "","",_xlfn.XLOOKUP(B1070, BugList!A:A,BugList!B:B,""))</f>
        <v/>
      </c>
      <c r="M1070">
        <f>_xlfn.XLOOKUP(D1070,BugList!C:C,BugList!N:N)</f>
        <v>3</v>
      </c>
      <c r="N1070">
        <f>_xlfn.XLOOKUP(B1070,BugList!A:A,BugList!R:R)</f>
        <v>3</v>
      </c>
      <c r="O1070" t="b">
        <f>_xlfn.XLOOKUP(B1070,BugList!A:A,BugList!L:L)</f>
        <v>1</v>
      </c>
      <c r="P1070" t="b">
        <f t="shared" si="120"/>
        <v>0</v>
      </c>
      <c r="R1070" t="b">
        <f>SUMPRODUCT(COUNTIF(_xlfn.XLOOKUP(B1070,BugList!A:A,BugList!P:P), "*SC*"))&gt;0</f>
        <v>0</v>
      </c>
      <c r="S1070" t="str">
        <f>_xlfn.XLOOKUP(B1070,BugList!A:A,BugList!W:W)</f>
        <v/>
      </c>
      <c r="T1070">
        <f t="shared" si="115"/>
        <v>6</v>
      </c>
      <c r="U1070">
        <f t="shared" si="116"/>
        <v>6</v>
      </c>
    </row>
    <row r="1071" spans="1:21">
      <c r="A1071" t="s">
        <v>2681</v>
      </c>
      <c r="B1071">
        <v>1696</v>
      </c>
      <c r="D1071" t="s">
        <v>94</v>
      </c>
      <c r="E1071" t="s">
        <v>94</v>
      </c>
      <c r="F1071">
        <v>3</v>
      </c>
      <c r="G1071">
        <f t="shared" si="117"/>
        <v>1.4285714285714286</v>
      </c>
      <c r="H1071">
        <f t="shared" si="118"/>
        <v>1</v>
      </c>
      <c r="I1071">
        <f t="shared" si="119"/>
        <v>0.4285714285714286</v>
      </c>
      <c r="J1071" cm="1">
        <f t="array" ref="J1071">INT(G1071)+IF(100-SUM(INT(G$1056:G$1071))&gt;=RANK(I1071,I$1056:I$1071)+COUNTIF(I$1056:I1071,I1071)-1,1,0)</f>
        <v>1</v>
      </c>
      <c r="K1071" t="str">
        <f>_xlfn.XLOOKUP(B1071,BugList!A:A,BugList!H:H)</f>
        <v/>
      </c>
      <c r="L1071" t="str">
        <f>IF(K1071 = "","",_xlfn.XLOOKUP(B1071, BugList!A:A,BugList!B:B,""))</f>
        <v/>
      </c>
      <c r="M1071">
        <f>_xlfn.XLOOKUP(D1071,BugList!C:C,BugList!N:N)</f>
        <v>8</v>
      </c>
      <c r="N1071">
        <f>_xlfn.XLOOKUP(B1071,BugList!A:A,BugList!R:R)</f>
        <v>8</v>
      </c>
      <c r="O1071" t="b">
        <f>_xlfn.XLOOKUP(B1071,BugList!A:A,BugList!L:L)</f>
        <v>0</v>
      </c>
      <c r="P1071" t="b">
        <f t="shared" si="120"/>
        <v>0</v>
      </c>
      <c r="R1071" t="b">
        <f>SUMPRODUCT(COUNTIF(_xlfn.XLOOKUP(B1071,BugList!A:A,BugList!P:P), "*SC*"))&gt;0</f>
        <v>0</v>
      </c>
      <c r="S1071" t="str">
        <f>_xlfn.XLOOKUP(B1071,BugList!A:A,BugList!W:W)</f>
        <v/>
      </c>
      <c r="T1071">
        <f t="shared" si="115"/>
        <v>8</v>
      </c>
      <c r="U1071">
        <f t="shared" si="116"/>
        <v>8</v>
      </c>
    </row>
    <row r="1072" spans="1:21">
      <c r="A1072" t="s">
        <v>2682</v>
      </c>
      <c r="B1072">
        <v>63</v>
      </c>
      <c r="D1072" t="s">
        <v>84</v>
      </c>
      <c r="E1072" t="s">
        <v>84</v>
      </c>
      <c r="F1072">
        <v>7</v>
      </c>
      <c r="G1072">
        <f t="shared" si="117"/>
        <v>5.0724637681159424</v>
      </c>
      <c r="H1072">
        <f t="shared" si="118"/>
        <v>5</v>
      </c>
      <c r="I1072">
        <f t="shared" si="119"/>
        <v>7.2463768115942351E-2</v>
      </c>
      <c r="J1072" cm="1">
        <f t="array" ref="J1072">INT(G1072)+IF(100-SUM(INT(G$1072:G$1082))&gt;=RANK(I1072,I$1072:I$1082)+COUNTIF(I$1072:I1072,I1072)-1,1,0)</f>
        <v>5</v>
      </c>
      <c r="K1072" t="str">
        <f>_xlfn.XLOOKUP(B1072,BugList!A:A,BugList!H:H)</f>
        <v/>
      </c>
      <c r="L1072" t="str">
        <f>IF(K1072 = "","",_xlfn.XLOOKUP(B1072, BugList!A:A,BugList!B:B,""))</f>
        <v/>
      </c>
      <c r="M1072">
        <f>_xlfn.XLOOKUP(D1072,BugList!C:C,BugList!N:N)</f>
        <v>8</v>
      </c>
      <c r="N1072">
        <f>_xlfn.XLOOKUP(B1072,BugList!A:A,BugList!R:R)</f>
        <v>8</v>
      </c>
      <c r="O1072" t="b">
        <f>_xlfn.XLOOKUP(B1072,BugList!A:A,BugList!L:L)</f>
        <v>0</v>
      </c>
      <c r="P1072" t="b">
        <f t="shared" si="120"/>
        <v>0</v>
      </c>
      <c r="R1072" t="b">
        <f>SUMPRODUCT(COUNTIF(_xlfn.XLOOKUP(B1072,BugList!A:A,BugList!P:P), "*SC*"))&gt;0</f>
        <v>0</v>
      </c>
      <c r="S1072" t="str">
        <f>_xlfn.XLOOKUP(B1072,BugList!A:A,BugList!W:W)</f>
        <v/>
      </c>
      <c r="T1072">
        <f t="shared" si="115"/>
        <v>40</v>
      </c>
      <c r="U1072">
        <f t="shared" si="116"/>
        <v>40</v>
      </c>
    </row>
    <row r="1073" spans="1:21">
      <c r="A1073" t="s">
        <v>2682</v>
      </c>
      <c r="B1073">
        <v>88</v>
      </c>
      <c r="D1073" t="s">
        <v>85</v>
      </c>
      <c r="E1073" t="s">
        <v>85</v>
      </c>
      <c r="F1073">
        <v>60</v>
      </c>
      <c r="G1073">
        <f t="shared" si="117"/>
        <v>43.478260869565219</v>
      </c>
      <c r="H1073">
        <f t="shared" si="118"/>
        <v>43</v>
      </c>
      <c r="I1073">
        <f t="shared" si="119"/>
        <v>0.47826086956521863</v>
      </c>
      <c r="J1073" cm="1">
        <f t="array" ref="J1073">INT(G1073)+IF(100-SUM(INT(G$1072:G$1082))&gt;=RANK(I1073,I$1072:I$1082)+COUNTIF(I$1072:I1073,I1073)-1,1,0)</f>
        <v>43</v>
      </c>
      <c r="K1073" t="str">
        <f>_xlfn.XLOOKUP(B1073,BugList!A:A,BugList!H:H)</f>
        <v/>
      </c>
      <c r="L1073" t="str">
        <f>IF(K1073 = "","",_xlfn.XLOOKUP(B1073, BugList!A:A,BugList!B:B,""))</f>
        <v/>
      </c>
      <c r="M1073">
        <f>_xlfn.XLOOKUP(D1073,BugList!C:C,BugList!N:N)</f>
        <v>4</v>
      </c>
      <c r="N1073">
        <f>_xlfn.XLOOKUP(B1073,BugList!A:A,BugList!R:R)</f>
        <v>4</v>
      </c>
      <c r="O1073" t="b">
        <f>_xlfn.XLOOKUP(B1073,BugList!A:A,BugList!L:L)</f>
        <v>0</v>
      </c>
      <c r="P1073" t="b">
        <f t="shared" si="120"/>
        <v>0</v>
      </c>
      <c r="R1073" t="b">
        <f>SUMPRODUCT(COUNTIF(_xlfn.XLOOKUP(B1073,BugList!A:A,BugList!P:P), "*SC*"))&gt;0</f>
        <v>0</v>
      </c>
      <c r="S1073" t="str">
        <f>_xlfn.XLOOKUP(B1073,BugList!A:A,BugList!W:W)</f>
        <v/>
      </c>
      <c r="T1073">
        <f t="shared" si="115"/>
        <v>172</v>
      </c>
      <c r="U1073">
        <f t="shared" si="116"/>
        <v>172</v>
      </c>
    </row>
    <row r="1074" spans="1:21">
      <c r="A1074" t="s">
        <v>2682</v>
      </c>
      <c r="B1074">
        <v>500</v>
      </c>
      <c r="D1074" t="s">
        <v>151</v>
      </c>
      <c r="E1074" t="s">
        <v>151</v>
      </c>
      <c r="F1074">
        <v>1</v>
      </c>
      <c r="G1074">
        <f t="shared" si="117"/>
        <v>0.72463768115942029</v>
      </c>
      <c r="H1074">
        <f t="shared" si="118"/>
        <v>0</v>
      </c>
      <c r="I1074">
        <f t="shared" si="119"/>
        <v>0.72463768115942029</v>
      </c>
      <c r="J1074" cm="1">
        <f t="array" ref="J1074">INT(G1074)+IF(100-SUM(INT(G$1072:G$1082))&gt;=RANK(I1074,I$1072:I$1082)+COUNTIF(I$1072:I1074,I1074)-1,1,0)</f>
        <v>1</v>
      </c>
      <c r="K1074" t="str">
        <f>_xlfn.XLOOKUP(B1074,BugList!A:A,BugList!H:H)</f>
        <v>*</v>
      </c>
      <c r="L1074" t="str">
        <f>IF(K1074 = "","",_xlfn.XLOOKUP(B1074, BugList!A:A,BugList!B:B,""))</f>
        <v>Ephemeroptera</v>
      </c>
      <c r="M1074">
        <f>_xlfn.XLOOKUP(D1074,BugList!C:C,BugList!N:N)</f>
        <v>1</v>
      </c>
      <c r="N1074">
        <f>_xlfn.XLOOKUP(B1074,BugList!A:A,BugList!R:R)</f>
        <v>1</v>
      </c>
      <c r="O1074" t="b">
        <f>_xlfn.XLOOKUP(B1074,BugList!A:A,BugList!L:L)</f>
        <v>1</v>
      </c>
      <c r="P1074" t="b">
        <f t="shared" si="120"/>
        <v>1</v>
      </c>
      <c r="R1074" t="b">
        <f>SUMPRODUCT(COUNTIF(_xlfn.XLOOKUP(B1074,BugList!A:A,BugList!P:P), "*SC*"))&gt;0</f>
        <v>1</v>
      </c>
      <c r="S1074" t="str">
        <f>_xlfn.XLOOKUP(B1074,BugList!A:A,BugList!W:W)</f>
        <v/>
      </c>
      <c r="T1074">
        <f t="shared" si="115"/>
        <v>1</v>
      </c>
      <c r="U1074">
        <f t="shared" si="116"/>
        <v>1</v>
      </c>
    </row>
    <row r="1075" spans="1:21">
      <c r="A1075" t="s">
        <v>2682</v>
      </c>
      <c r="B1075">
        <v>513</v>
      </c>
      <c r="D1075" t="s">
        <v>111</v>
      </c>
      <c r="E1075" t="s">
        <v>111</v>
      </c>
      <c r="F1075">
        <v>7</v>
      </c>
      <c r="G1075">
        <f t="shared" si="117"/>
        <v>5.0724637681159424</v>
      </c>
      <c r="H1075">
        <f t="shared" si="118"/>
        <v>5</v>
      </c>
      <c r="I1075">
        <f t="shared" si="119"/>
        <v>7.2463768115942351E-2</v>
      </c>
      <c r="J1075" cm="1">
        <f t="array" ref="J1075">INT(G1075)+IF(100-SUM(INT(G$1072:G$1082))&gt;=RANK(I1075,I$1072:I$1082)+COUNTIF(I$1072:I1075,I1075)-1,1,0)</f>
        <v>5</v>
      </c>
      <c r="K1075" t="str">
        <f>_xlfn.XLOOKUP(B1075,BugList!A:A,BugList!H:H)</f>
        <v>*</v>
      </c>
      <c r="L1075" t="str">
        <f>IF(K1075 = "","",_xlfn.XLOOKUP(B1075, BugList!A:A,BugList!B:B,""))</f>
        <v>Ephemeroptera</v>
      </c>
      <c r="M1075">
        <f>_xlfn.XLOOKUP(D1075,BugList!C:C,BugList!N:N)</f>
        <v>4</v>
      </c>
      <c r="N1075">
        <f>_xlfn.XLOOKUP(B1075,BugList!A:A,BugList!R:R)</f>
        <v>4</v>
      </c>
      <c r="O1075" t="b">
        <f>_xlfn.XLOOKUP(B1075,BugList!A:A,BugList!L:L)</f>
        <v>1</v>
      </c>
      <c r="P1075" t="b">
        <f t="shared" si="120"/>
        <v>1</v>
      </c>
      <c r="R1075" t="b">
        <f>SUMPRODUCT(COUNTIF(_xlfn.XLOOKUP(B1075,BugList!A:A,BugList!P:P), "*SC*"))&gt;0</f>
        <v>1</v>
      </c>
      <c r="S1075" t="str">
        <f>_xlfn.XLOOKUP(B1075,BugList!A:A,BugList!W:W)</f>
        <v/>
      </c>
      <c r="T1075">
        <f t="shared" si="115"/>
        <v>20</v>
      </c>
      <c r="U1075">
        <f t="shared" si="116"/>
        <v>20</v>
      </c>
    </row>
    <row r="1076" spans="1:21">
      <c r="A1076" t="s">
        <v>2682</v>
      </c>
      <c r="B1076">
        <v>794</v>
      </c>
      <c r="D1076" t="s">
        <v>89</v>
      </c>
      <c r="E1076" t="s">
        <v>89</v>
      </c>
      <c r="F1076">
        <v>4</v>
      </c>
      <c r="G1076">
        <f t="shared" si="117"/>
        <v>2.8985507246376812</v>
      </c>
      <c r="H1076">
        <f t="shared" si="118"/>
        <v>2</v>
      </c>
      <c r="I1076">
        <f t="shared" si="119"/>
        <v>0.89855072463768115</v>
      </c>
      <c r="J1076" cm="1">
        <f t="array" ref="J1076">INT(G1076)+IF(100-SUM(INT(G$1072:G$1082))&gt;=RANK(I1076,I$1072:I$1082)+COUNTIF(I$1072:I1076,I1076)-1,1,0)</f>
        <v>3</v>
      </c>
      <c r="K1076" t="str">
        <f>_xlfn.XLOOKUP(B1076,BugList!A:A,BugList!H:H)</f>
        <v>*</v>
      </c>
      <c r="L1076" t="str">
        <f>IF(K1076 = "","",_xlfn.XLOOKUP(B1076, BugList!A:A,BugList!B:B,""))</f>
        <v>Trichoptera</v>
      </c>
      <c r="M1076">
        <f>_xlfn.XLOOKUP(D1076,BugList!C:C,BugList!N:N)</f>
        <v>4</v>
      </c>
      <c r="N1076">
        <f>_xlfn.XLOOKUP(B1076,BugList!A:A,BugList!R:R)</f>
        <v>4</v>
      </c>
      <c r="O1076" t="b">
        <f>_xlfn.XLOOKUP(B1076,BugList!A:A,BugList!L:L)</f>
        <v>1</v>
      </c>
      <c r="P1076" t="b">
        <f t="shared" si="120"/>
        <v>0</v>
      </c>
      <c r="R1076" t="b">
        <f>SUMPRODUCT(COUNTIF(_xlfn.XLOOKUP(B1076,BugList!A:A,BugList!P:P), "*SC*"))&gt;0</f>
        <v>0</v>
      </c>
      <c r="S1076" t="str">
        <f>_xlfn.XLOOKUP(B1076,BugList!A:A,BugList!W:W)</f>
        <v/>
      </c>
      <c r="T1076">
        <f t="shared" si="115"/>
        <v>12</v>
      </c>
      <c r="U1076">
        <f t="shared" si="116"/>
        <v>12</v>
      </c>
    </row>
    <row r="1077" spans="1:21">
      <c r="A1077" t="s">
        <v>2682</v>
      </c>
      <c r="B1077">
        <v>842</v>
      </c>
      <c r="D1077" t="s">
        <v>163</v>
      </c>
      <c r="E1077" t="s">
        <v>163</v>
      </c>
      <c r="F1077">
        <v>12</v>
      </c>
      <c r="G1077">
        <f t="shared" si="117"/>
        <v>8.695652173913043</v>
      </c>
      <c r="H1077">
        <f t="shared" si="118"/>
        <v>8</v>
      </c>
      <c r="I1077">
        <f t="shared" si="119"/>
        <v>0.69565217391304301</v>
      </c>
      <c r="J1077" cm="1">
        <f t="array" ref="J1077">INT(G1077)+IF(100-SUM(INT(G$1072:G$1082))&gt;=RANK(I1077,I$1072:I$1082)+COUNTIF(I$1072:I1077,I1077)-1,1,0)</f>
        <v>9</v>
      </c>
      <c r="K1077" t="str">
        <f>_xlfn.XLOOKUP(B1077,BugList!A:A,BugList!H:H)</f>
        <v>*</v>
      </c>
      <c r="L1077" t="str">
        <f>IF(K1077 = "","",_xlfn.XLOOKUP(B1077, BugList!A:A,BugList!B:B,""))</f>
        <v>Trichoptera</v>
      </c>
      <c r="M1077">
        <f>_xlfn.XLOOKUP(D1077,BugList!C:C,BugList!N:N)</f>
        <v>6</v>
      </c>
      <c r="N1077">
        <f>_xlfn.XLOOKUP(B1077,BugList!A:A,BugList!R:R)</f>
        <v>6</v>
      </c>
      <c r="O1077" t="b">
        <f>_xlfn.XLOOKUP(B1077,BugList!A:A,BugList!L:L)</f>
        <v>1</v>
      </c>
      <c r="P1077" t="b">
        <f t="shared" si="120"/>
        <v>1</v>
      </c>
      <c r="R1077" t="b">
        <f>SUMPRODUCT(COUNTIF(_xlfn.XLOOKUP(B1077,BugList!A:A,BugList!P:P), "*SC*"))&gt;0</f>
        <v>0</v>
      </c>
      <c r="S1077" t="str">
        <f>_xlfn.XLOOKUP(B1077,BugList!A:A,BugList!W:W)</f>
        <v/>
      </c>
      <c r="T1077">
        <f t="shared" si="115"/>
        <v>54</v>
      </c>
      <c r="U1077">
        <f t="shared" si="116"/>
        <v>54</v>
      </c>
    </row>
    <row r="1078" spans="1:21">
      <c r="A1078" t="s">
        <v>2682</v>
      </c>
      <c r="B1078">
        <v>935</v>
      </c>
      <c r="D1078" t="s">
        <v>98</v>
      </c>
      <c r="E1078" t="s">
        <v>98</v>
      </c>
      <c r="F1078">
        <v>8</v>
      </c>
      <c r="G1078">
        <f t="shared" si="117"/>
        <v>5.7971014492753623</v>
      </c>
      <c r="H1078">
        <f t="shared" si="118"/>
        <v>5</v>
      </c>
      <c r="I1078">
        <f t="shared" si="119"/>
        <v>0.79710144927536231</v>
      </c>
      <c r="J1078" cm="1">
        <f t="array" ref="J1078">INT(G1078)+IF(100-SUM(INT(G$1072:G$1082))&gt;=RANK(I1078,I$1072:I$1082)+COUNTIF(I$1072:I1078,I1078)-1,1,0)</f>
        <v>6</v>
      </c>
      <c r="K1078" t="str">
        <f>_xlfn.XLOOKUP(B1078,BugList!A:A,BugList!H:H)</f>
        <v/>
      </c>
      <c r="L1078" t="str">
        <f>IF(K1078 = "","",_xlfn.XLOOKUP(B1078, BugList!A:A,BugList!B:B,""))</f>
        <v/>
      </c>
      <c r="M1078">
        <f>_xlfn.XLOOKUP(D1078,BugList!C:C,BugList!N:N)</f>
        <v>4</v>
      </c>
      <c r="N1078">
        <f>_xlfn.XLOOKUP(B1078,BugList!A:A,BugList!R:R)</f>
        <v>4</v>
      </c>
      <c r="O1078" t="b">
        <f>_xlfn.XLOOKUP(B1078,BugList!A:A,BugList!L:L)</f>
        <v>1</v>
      </c>
      <c r="P1078" t="b">
        <f t="shared" si="120"/>
        <v>0</v>
      </c>
      <c r="R1078" t="b">
        <f>SUMPRODUCT(COUNTIF(_xlfn.XLOOKUP(B1078,BugList!A:A,BugList!P:P), "*SC*"))&gt;0</f>
        <v>1</v>
      </c>
      <c r="S1078" t="str">
        <f>_xlfn.XLOOKUP(B1078,BugList!A:A,BugList!W:W)</f>
        <v/>
      </c>
      <c r="T1078">
        <f t="shared" si="115"/>
        <v>24</v>
      </c>
      <c r="U1078">
        <f t="shared" si="116"/>
        <v>24</v>
      </c>
    </row>
    <row r="1079" spans="1:21">
      <c r="A1079" t="s">
        <v>2682</v>
      </c>
      <c r="B1079">
        <v>1002</v>
      </c>
      <c r="D1079" t="s">
        <v>100</v>
      </c>
      <c r="E1079" t="s">
        <v>100</v>
      </c>
      <c r="F1079">
        <v>32</v>
      </c>
      <c r="G1079">
        <f t="shared" si="117"/>
        <v>23.188405797101449</v>
      </c>
      <c r="H1079">
        <f t="shared" si="118"/>
        <v>23</v>
      </c>
      <c r="I1079">
        <f t="shared" si="119"/>
        <v>0.18840579710144922</v>
      </c>
      <c r="J1079" cm="1">
        <f t="array" ref="J1079">INT(G1079)+IF(100-SUM(INT(G$1072:G$1082))&gt;=RANK(I1079,I$1072:I$1082)+COUNTIF(I$1072:I1079,I1079)-1,1,0)</f>
        <v>23</v>
      </c>
      <c r="K1079" t="str">
        <f>_xlfn.XLOOKUP(B1079,BugList!A:A,BugList!H:H)</f>
        <v/>
      </c>
      <c r="L1079" t="str">
        <f>IF(K1079 = "","",_xlfn.XLOOKUP(B1079, BugList!A:A,BugList!B:B,""))</f>
        <v/>
      </c>
      <c r="M1079">
        <f>_xlfn.XLOOKUP(D1079,BugList!C:C,BugList!N:N)</f>
        <v>4</v>
      </c>
      <c r="N1079">
        <f>_xlfn.XLOOKUP(B1079,BugList!A:A,BugList!R:R)</f>
        <v>4</v>
      </c>
      <c r="O1079" t="b">
        <f>_xlfn.XLOOKUP(B1079,BugList!A:A,BugList!L:L)</f>
        <v>1</v>
      </c>
      <c r="P1079" t="b">
        <f t="shared" si="120"/>
        <v>0</v>
      </c>
      <c r="R1079" t="b">
        <f>SUMPRODUCT(COUNTIF(_xlfn.XLOOKUP(B1079,BugList!A:A,BugList!P:P), "*SC*"))&gt;0</f>
        <v>1</v>
      </c>
      <c r="S1079" t="str">
        <f>_xlfn.XLOOKUP(B1079,BugList!A:A,BugList!W:W)</f>
        <v/>
      </c>
      <c r="T1079">
        <f t="shared" si="115"/>
        <v>92</v>
      </c>
      <c r="U1079">
        <f t="shared" si="116"/>
        <v>92</v>
      </c>
    </row>
    <row r="1080" spans="1:21">
      <c r="A1080" t="s">
        <v>2682</v>
      </c>
      <c r="B1080">
        <v>1471</v>
      </c>
      <c r="D1080" t="s">
        <v>1758</v>
      </c>
      <c r="E1080" t="s">
        <v>1758</v>
      </c>
      <c r="F1080">
        <v>1</v>
      </c>
      <c r="G1080">
        <f t="shared" si="117"/>
        <v>0.72463768115942029</v>
      </c>
      <c r="H1080">
        <f t="shared" si="118"/>
        <v>0</v>
      </c>
      <c r="I1080">
        <f t="shared" si="119"/>
        <v>0.72463768115942029</v>
      </c>
      <c r="J1080" cm="1">
        <f t="array" ref="J1080">INT(G1080)+IF(100-SUM(INT(G$1072:G$1082))&gt;=RANK(I1080,I$1072:I$1082)+COUNTIF(I$1072:I1080,I1080)-1,1,0)</f>
        <v>1</v>
      </c>
      <c r="K1080" t="str">
        <f>_xlfn.XLOOKUP(B1080,BugList!A:A,BugList!H:H)</f>
        <v/>
      </c>
      <c r="L1080" t="str">
        <f>IF(K1080 = "","",_xlfn.XLOOKUP(B1080, BugList!A:A,BugList!B:B,""))</f>
        <v/>
      </c>
      <c r="M1080">
        <f>_xlfn.XLOOKUP(D1080,BugList!C:C,BugList!N:N)</f>
        <v>6</v>
      </c>
      <c r="N1080">
        <f>_xlfn.XLOOKUP(B1080,BugList!A:A,BugList!R:R)</f>
        <v>6</v>
      </c>
      <c r="O1080" t="b">
        <f>_xlfn.XLOOKUP(B1080,BugList!A:A,BugList!L:L)</f>
        <v>1</v>
      </c>
      <c r="P1080" t="b">
        <f t="shared" si="120"/>
        <v>0</v>
      </c>
      <c r="R1080" t="b">
        <f>SUMPRODUCT(COUNTIF(_xlfn.XLOOKUP(B1080,BugList!A:A,BugList!P:P), "*SC*"))&gt;0</f>
        <v>0</v>
      </c>
      <c r="S1080" t="str">
        <f>_xlfn.XLOOKUP(B1080,BugList!A:A,BugList!W:W)</f>
        <v/>
      </c>
      <c r="T1080">
        <f t="shared" si="115"/>
        <v>6</v>
      </c>
      <c r="U1080">
        <f t="shared" si="116"/>
        <v>6</v>
      </c>
    </row>
    <row r="1081" spans="1:21">
      <c r="A1081" t="s">
        <v>2682</v>
      </c>
      <c r="B1081">
        <v>1696</v>
      </c>
      <c r="D1081" t="s">
        <v>94</v>
      </c>
      <c r="E1081" t="s">
        <v>94</v>
      </c>
      <c r="F1081">
        <v>1</v>
      </c>
      <c r="G1081">
        <f t="shared" si="117"/>
        <v>0.72463768115942029</v>
      </c>
      <c r="H1081">
        <f t="shared" si="118"/>
        <v>0</v>
      </c>
      <c r="I1081">
        <f t="shared" si="119"/>
        <v>0.72463768115942029</v>
      </c>
      <c r="J1081" cm="1">
        <f t="array" ref="J1081">INT(G1081)+IF(100-SUM(INT(G$1072:G$1082))&gt;=RANK(I1081,I$1072:I$1082)+COUNTIF(I$1072:I1081,I1081)-1,1,0)</f>
        <v>1</v>
      </c>
      <c r="K1081" t="str">
        <f>_xlfn.XLOOKUP(B1081,BugList!A:A,BugList!H:H)</f>
        <v/>
      </c>
      <c r="L1081" t="str">
        <f>IF(K1081 = "","",_xlfn.XLOOKUP(B1081, BugList!A:A,BugList!B:B,""))</f>
        <v/>
      </c>
      <c r="M1081">
        <f>_xlfn.XLOOKUP(D1081,BugList!C:C,BugList!N:N)</f>
        <v>8</v>
      </c>
      <c r="N1081">
        <f>_xlfn.XLOOKUP(B1081,BugList!A:A,BugList!R:R)</f>
        <v>8</v>
      </c>
      <c r="O1081" t="b">
        <f>_xlfn.XLOOKUP(B1081,BugList!A:A,BugList!L:L)</f>
        <v>0</v>
      </c>
      <c r="P1081" t="b">
        <f t="shared" si="120"/>
        <v>0</v>
      </c>
      <c r="R1081" t="b">
        <f>SUMPRODUCT(COUNTIF(_xlfn.XLOOKUP(B1081,BugList!A:A,BugList!P:P), "*SC*"))&gt;0</f>
        <v>0</v>
      </c>
      <c r="S1081" t="str">
        <f>_xlfn.XLOOKUP(B1081,BugList!A:A,BugList!W:W)</f>
        <v/>
      </c>
      <c r="T1081">
        <f t="shared" si="115"/>
        <v>8</v>
      </c>
      <c r="U1081">
        <f t="shared" si="116"/>
        <v>8</v>
      </c>
    </row>
    <row r="1082" spans="1:21">
      <c r="A1082" t="s">
        <v>2682</v>
      </c>
      <c r="B1082">
        <v>2781</v>
      </c>
      <c r="D1082" t="s">
        <v>109</v>
      </c>
      <c r="E1082" t="s">
        <v>109</v>
      </c>
      <c r="F1082">
        <v>5</v>
      </c>
      <c r="G1082">
        <f t="shared" si="117"/>
        <v>3.6231884057971016</v>
      </c>
      <c r="H1082">
        <f t="shared" si="118"/>
        <v>3</v>
      </c>
      <c r="I1082">
        <f t="shared" si="119"/>
        <v>0.62318840579710155</v>
      </c>
      <c r="J1082" cm="1">
        <f t="array" ref="J1082">INT(G1082)+IF(100-SUM(INT(G$1072:G$1082))&gt;=RANK(I1082,I$1072:I$1082)+COUNTIF(I$1072:I1082,I1082)-1,1,0)</f>
        <v>3</v>
      </c>
      <c r="K1082" t="str">
        <f>_xlfn.XLOOKUP(B1082,BugList!A:A,BugList!H:H)</f>
        <v/>
      </c>
      <c r="L1082" t="str">
        <f>IF(K1082 = "","",_xlfn.XLOOKUP(B1082, BugList!A:A,BugList!B:B,""))</f>
        <v/>
      </c>
      <c r="M1082">
        <f>_xlfn.XLOOKUP(D1082,BugList!C:C,BugList!N:N)</f>
        <v>6</v>
      </c>
      <c r="N1082">
        <f>_xlfn.XLOOKUP(B1082,BugList!A:A,BugList!R:R)</f>
        <v>4</v>
      </c>
      <c r="O1082" t="b">
        <f>_xlfn.XLOOKUP(B1082,BugList!A:A,BugList!L:L)</f>
        <v>0</v>
      </c>
      <c r="P1082" t="b">
        <f t="shared" si="120"/>
        <v>0</v>
      </c>
      <c r="R1082" t="b">
        <f>SUMPRODUCT(COUNTIF(_xlfn.XLOOKUP(B1082,BugList!A:A,BugList!P:P), "*SC*"))&gt;0</f>
        <v>0</v>
      </c>
      <c r="S1082" t="str">
        <f>_xlfn.XLOOKUP(B1082,BugList!A:A,BugList!W:W)</f>
        <v/>
      </c>
      <c r="T1082">
        <f t="shared" si="115"/>
        <v>18</v>
      </c>
      <c r="U1082">
        <f t="shared" si="116"/>
        <v>12</v>
      </c>
    </row>
    <row r="1083" spans="1:21">
      <c r="A1083" t="s">
        <v>2683</v>
      </c>
      <c r="B1083">
        <v>88</v>
      </c>
      <c r="D1083" t="s">
        <v>85</v>
      </c>
      <c r="E1083" t="s">
        <v>85</v>
      </c>
      <c r="F1083">
        <v>1</v>
      </c>
      <c r="G1083">
        <f t="shared" si="117"/>
        <v>0.79365079365079361</v>
      </c>
      <c r="H1083">
        <f t="shared" si="118"/>
        <v>0</v>
      </c>
      <c r="I1083">
        <f t="shared" si="119"/>
        <v>0.79365079365079361</v>
      </c>
      <c r="J1083" cm="1">
        <f t="array" ref="J1083">INT(G1083)+IF(100-SUM(INT(G$1083:G$1100))&gt;=RANK(I1083,I$1083:I$1100)+COUNTIF(I$1083:I1083,I1083)-1,1,0)</f>
        <v>1</v>
      </c>
      <c r="K1083" t="str">
        <f>_xlfn.XLOOKUP(B1083,BugList!A:A,BugList!H:H)</f>
        <v/>
      </c>
      <c r="L1083" t="str">
        <f>IF(K1083 = "","",_xlfn.XLOOKUP(B1083, BugList!A:A,BugList!B:B,""))</f>
        <v/>
      </c>
      <c r="M1083">
        <f>_xlfn.XLOOKUP(D1083,BugList!C:C,BugList!N:N)</f>
        <v>4</v>
      </c>
      <c r="N1083">
        <f>_xlfn.XLOOKUP(B1083,BugList!A:A,BugList!R:R)</f>
        <v>4</v>
      </c>
      <c r="O1083" t="b">
        <f>_xlfn.XLOOKUP(B1083,BugList!A:A,BugList!L:L)</f>
        <v>0</v>
      </c>
      <c r="P1083" t="b">
        <f t="shared" si="120"/>
        <v>0</v>
      </c>
      <c r="R1083" t="b">
        <f>SUMPRODUCT(COUNTIF(_xlfn.XLOOKUP(B1083,BugList!A:A,BugList!P:P), "*SC*"))&gt;0</f>
        <v>0</v>
      </c>
      <c r="S1083" t="str">
        <f>_xlfn.XLOOKUP(B1083,BugList!A:A,BugList!W:W)</f>
        <v/>
      </c>
      <c r="T1083">
        <f t="shared" si="115"/>
        <v>4</v>
      </c>
      <c r="U1083">
        <f t="shared" si="116"/>
        <v>4</v>
      </c>
    </row>
    <row r="1084" spans="1:21">
      <c r="A1084" t="s">
        <v>2683</v>
      </c>
      <c r="B1084">
        <v>436</v>
      </c>
      <c r="D1084" t="s">
        <v>106</v>
      </c>
      <c r="E1084" t="s">
        <v>106</v>
      </c>
      <c r="F1084">
        <v>1</v>
      </c>
      <c r="G1084">
        <f t="shared" si="117"/>
        <v>0.79365079365079361</v>
      </c>
      <c r="H1084">
        <f t="shared" si="118"/>
        <v>0</v>
      </c>
      <c r="I1084">
        <f t="shared" si="119"/>
        <v>0.79365079365079361</v>
      </c>
      <c r="J1084" cm="1">
        <f t="array" ref="J1084">INT(G1084)+IF(100-SUM(INT(G$1083:G$1100))&gt;=RANK(I1084,I$1083:I$1100)+COUNTIF(I$1083:I1084,I1084)-1,1,0)</f>
        <v>1</v>
      </c>
      <c r="K1084" t="str">
        <f>_xlfn.XLOOKUP(B1084,BugList!A:A,BugList!H:H)</f>
        <v>*</v>
      </c>
      <c r="L1084" t="str">
        <f>IF(K1084 = "","",_xlfn.XLOOKUP(B1084, BugList!A:A,BugList!B:B,""))</f>
        <v>Plecoptera</v>
      </c>
      <c r="M1084">
        <f>_xlfn.XLOOKUP(D1084,BugList!C:C,BugList!N:N)</f>
        <v>2</v>
      </c>
      <c r="N1084">
        <f>_xlfn.XLOOKUP(B1084,BugList!A:A,BugList!R:R)</f>
        <v>2</v>
      </c>
      <c r="O1084" t="b">
        <f>_xlfn.XLOOKUP(B1084,BugList!A:A,BugList!L:L)</f>
        <v>1</v>
      </c>
      <c r="P1084" t="b">
        <f t="shared" si="120"/>
        <v>1</v>
      </c>
      <c r="R1084" t="b">
        <f>SUMPRODUCT(COUNTIF(_xlfn.XLOOKUP(B1084,BugList!A:A,BugList!P:P), "*SC*"))&gt;0</f>
        <v>0</v>
      </c>
      <c r="S1084" t="str">
        <f>_xlfn.XLOOKUP(B1084,BugList!A:A,BugList!W:W)</f>
        <v/>
      </c>
      <c r="T1084">
        <f t="shared" si="115"/>
        <v>2</v>
      </c>
      <c r="U1084">
        <f t="shared" si="116"/>
        <v>2</v>
      </c>
    </row>
    <row r="1085" spans="1:21">
      <c r="A1085" t="s">
        <v>2683</v>
      </c>
      <c r="B1085">
        <v>500</v>
      </c>
      <c r="D1085" t="s">
        <v>151</v>
      </c>
      <c r="E1085" t="s">
        <v>151</v>
      </c>
      <c r="F1085">
        <v>1</v>
      </c>
      <c r="G1085">
        <f t="shared" si="117"/>
        <v>0.79365079365079361</v>
      </c>
      <c r="H1085">
        <f t="shared" si="118"/>
        <v>0</v>
      </c>
      <c r="I1085">
        <f t="shared" si="119"/>
        <v>0.79365079365079361</v>
      </c>
      <c r="J1085" cm="1">
        <f t="array" ref="J1085">INT(G1085)+IF(100-SUM(INT(G$1083:G$1100))&gt;=RANK(I1085,I$1083:I$1100)+COUNTIF(I$1083:I1085,I1085)-1,1,0)</f>
        <v>1</v>
      </c>
      <c r="K1085" t="str">
        <f>_xlfn.XLOOKUP(B1085,BugList!A:A,BugList!H:H)</f>
        <v>*</v>
      </c>
      <c r="L1085" t="str">
        <f>IF(K1085 = "","",_xlfn.XLOOKUP(B1085, BugList!A:A,BugList!B:B,""))</f>
        <v>Ephemeroptera</v>
      </c>
      <c r="M1085">
        <f>_xlfn.XLOOKUP(D1085,BugList!C:C,BugList!N:N)</f>
        <v>1</v>
      </c>
      <c r="N1085">
        <f>_xlfn.XLOOKUP(B1085,BugList!A:A,BugList!R:R)</f>
        <v>1</v>
      </c>
      <c r="O1085" t="b">
        <f>_xlfn.XLOOKUP(B1085,BugList!A:A,BugList!L:L)</f>
        <v>1</v>
      </c>
      <c r="P1085" t="b">
        <f t="shared" si="120"/>
        <v>1</v>
      </c>
      <c r="R1085" t="b">
        <f>SUMPRODUCT(COUNTIF(_xlfn.XLOOKUP(B1085,BugList!A:A,BugList!P:P), "*SC*"))&gt;0</f>
        <v>1</v>
      </c>
      <c r="S1085" t="str">
        <f>_xlfn.XLOOKUP(B1085,BugList!A:A,BugList!W:W)</f>
        <v/>
      </c>
      <c r="T1085">
        <f t="shared" si="115"/>
        <v>1</v>
      </c>
      <c r="U1085">
        <f t="shared" si="116"/>
        <v>1</v>
      </c>
    </row>
    <row r="1086" spans="1:21">
      <c r="A1086" t="s">
        <v>2683</v>
      </c>
      <c r="B1086">
        <v>513</v>
      </c>
      <c r="D1086" t="s">
        <v>111</v>
      </c>
      <c r="E1086" t="s">
        <v>111</v>
      </c>
      <c r="F1086">
        <v>4</v>
      </c>
      <c r="G1086">
        <f t="shared" si="117"/>
        <v>3.1746031746031744</v>
      </c>
      <c r="H1086">
        <f t="shared" si="118"/>
        <v>3</v>
      </c>
      <c r="I1086">
        <f t="shared" si="119"/>
        <v>0.17460317460317443</v>
      </c>
      <c r="J1086" cm="1">
        <f t="array" ref="J1086">INT(G1086)+IF(100-SUM(INT(G$1083:G$1100))&gt;=RANK(I1086,I$1083:I$1100)+COUNTIF(I$1083:I1086,I1086)-1,1,0)</f>
        <v>3</v>
      </c>
      <c r="K1086" t="str">
        <f>_xlfn.XLOOKUP(B1086,BugList!A:A,BugList!H:H)</f>
        <v>*</v>
      </c>
      <c r="L1086" t="str">
        <f>IF(K1086 = "","",_xlfn.XLOOKUP(B1086, BugList!A:A,BugList!B:B,""))</f>
        <v>Ephemeroptera</v>
      </c>
      <c r="M1086">
        <f>_xlfn.XLOOKUP(D1086,BugList!C:C,BugList!N:N)</f>
        <v>4</v>
      </c>
      <c r="N1086">
        <f>_xlfn.XLOOKUP(B1086,BugList!A:A,BugList!R:R)</f>
        <v>4</v>
      </c>
      <c r="O1086" t="b">
        <f>_xlfn.XLOOKUP(B1086,BugList!A:A,BugList!L:L)</f>
        <v>1</v>
      </c>
      <c r="P1086" t="b">
        <f t="shared" si="120"/>
        <v>1</v>
      </c>
      <c r="R1086" t="b">
        <f>SUMPRODUCT(COUNTIF(_xlfn.XLOOKUP(B1086,BugList!A:A,BugList!P:P), "*SC*"))&gt;0</f>
        <v>1</v>
      </c>
      <c r="S1086" t="str">
        <f>_xlfn.XLOOKUP(B1086,BugList!A:A,BugList!W:W)</f>
        <v/>
      </c>
      <c r="T1086">
        <f t="shared" si="115"/>
        <v>12</v>
      </c>
      <c r="U1086">
        <f t="shared" si="116"/>
        <v>12</v>
      </c>
    </row>
    <row r="1087" spans="1:21">
      <c r="A1087" t="s">
        <v>2683</v>
      </c>
      <c r="B1087">
        <v>602</v>
      </c>
      <c r="D1087" t="s">
        <v>97</v>
      </c>
      <c r="E1087" t="s">
        <v>97</v>
      </c>
      <c r="F1087">
        <v>8</v>
      </c>
      <c r="G1087">
        <f t="shared" si="117"/>
        <v>6.3492063492063489</v>
      </c>
      <c r="H1087">
        <f t="shared" si="118"/>
        <v>6</v>
      </c>
      <c r="I1087">
        <f t="shared" si="119"/>
        <v>0.34920634920634885</v>
      </c>
      <c r="J1087" cm="1">
        <f t="array" ref="J1087">INT(G1087)+IF(100-SUM(INT(G$1083:G$1100))&gt;=RANK(I1087,I$1083:I$1100)+COUNTIF(I$1083:I1087,I1087)-1,1,0)</f>
        <v>6</v>
      </c>
      <c r="K1087" t="str">
        <f>_xlfn.XLOOKUP(B1087,BugList!A:A,BugList!H:H)</f>
        <v/>
      </c>
      <c r="L1087" t="str">
        <f>IF(K1087 = "","",_xlfn.XLOOKUP(B1087, BugList!A:A,BugList!B:B,""))</f>
        <v/>
      </c>
      <c r="M1087">
        <f>_xlfn.XLOOKUP(D1087,BugList!C:C,BugList!N:N)</f>
        <v>9</v>
      </c>
      <c r="N1087">
        <f>_xlfn.XLOOKUP(B1087,BugList!A:A,BugList!R:R)</f>
        <v>9</v>
      </c>
      <c r="O1087" t="b">
        <f>_xlfn.XLOOKUP(B1087,BugList!A:A,BugList!L:L)</f>
        <v>1</v>
      </c>
      <c r="P1087" t="b">
        <f t="shared" si="120"/>
        <v>0</v>
      </c>
      <c r="R1087" t="b">
        <f>SUMPRODUCT(COUNTIF(_xlfn.XLOOKUP(B1087,BugList!A:A,BugList!P:P), "*SC*"))&gt;0</f>
        <v>0</v>
      </c>
      <c r="S1087" t="str">
        <f>_xlfn.XLOOKUP(B1087,BugList!A:A,BugList!W:W)</f>
        <v/>
      </c>
      <c r="T1087">
        <f t="shared" si="115"/>
        <v>54</v>
      </c>
      <c r="U1087">
        <f t="shared" si="116"/>
        <v>54</v>
      </c>
    </row>
    <row r="1088" spans="1:21">
      <c r="A1088" t="s">
        <v>2683</v>
      </c>
      <c r="B1088">
        <v>620</v>
      </c>
      <c r="D1088" t="s">
        <v>113</v>
      </c>
      <c r="E1088" t="s">
        <v>113</v>
      </c>
      <c r="F1088">
        <v>1</v>
      </c>
      <c r="G1088">
        <f t="shared" si="117"/>
        <v>0.79365079365079361</v>
      </c>
      <c r="H1088">
        <f t="shared" si="118"/>
        <v>0</v>
      </c>
      <c r="I1088">
        <f t="shared" si="119"/>
        <v>0.79365079365079361</v>
      </c>
      <c r="J1088" cm="1">
        <f t="array" ref="J1088">INT(G1088)+IF(100-SUM(INT(G$1083:G$1100))&gt;=RANK(I1088,I$1083:I$1100)+COUNTIF(I$1083:I1088,I1088)-1,1,0)</f>
        <v>1</v>
      </c>
      <c r="K1088" t="str">
        <f>_xlfn.XLOOKUP(B1088,BugList!A:A,BugList!H:H)</f>
        <v/>
      </c>
      <c r="L1088" t="str">
        <f>IF(K1088 = "","",_xlfn.XLOOKUP(B1088, BugList!A:A,BugList!B:B,""))</f>
        <v/>
      </c>
      <c r="M1088">
        <f>_xlfn.XLOOKUP(D1088,BugList!C:C,BugList!N:N)</f>
        <v>1</v>
      </c>
      <c r="N1088">
        <f>_xlfn.XLOOKUP(B1088,BugList!A:A,BugList!R:R)</f>
        <v>1</v>
      </c>
      <c r="O1088" t="b">
        <f>_xlfn.XLOOKUP(B1088,BugList!A:A,BugList!L:L)</f>
        <v>1</v>
      </c>
      <c r="P1088" t="b">
        <f t="shared" si="120"/>
        <v>0</v>
      </c>
      <c r="R1088" t="b">
        <f>SUMPRODUCT(COUNTIF(_xlfn.XLOOKUP(B1088,BugList!A:A,BugList!P:P), "*SC*"))&gt;0</f>
        <v>0</v>
      </c>
      <c r="S1088" t="str">
        <f>_xlfn.XLOOKUP(B1088,BugList!A:A,BugList!W:W)</f>
        <v>3</v>
      </c>
      <c r="T1088">
        <f t="shared" si="115"/>
        <v>1</v>
      </c>
      <c r="U1088">
        <f t="shared" si="116"/>
        <v>1</v>
      </c>
    </row>
    <row r="1089" spans="1:21">
      <c r="A1089" t="s">
        <v>2683</v>
      </c>
      <c r="B1089">
        <v>794</v>
      </c>
      <c r="D1089" t="s">
        <v>89</v>
      </c>
      <c r="E1089" t="s">
        <v>89</v>
      </c>
      <c r="F1089">
        <v>7</v>
      </c>
      <c r="G1089">
        <f t="shared" si="117"/>
        <v>5.5555555555555554</v>
      </c>
      <c r="H1089">
        <f t="shared" si="118"/>
        <v>5</v>
      </c>
      <c r="I1089">
        <f t="shared" si="119"/>
        <v>0.55555555555555536</v>
      </c>
      <c r="J1089" cm="1">
        <f t="array" ref="J1089">INT(G1089)+IF(100-SUM(INT(G$1083:G$1100))&gt;=RANK(I1089,I$1083:I$1100)+COUNTIF(I$1083:I1089,I1089)-1,1,0)</f>
        <v>6</v>
      </c>
      <c r="K1089" t="str">
        <f>_xlfn.XLOOKUP(B1089,BugList!A:A,BugList!H:H)</f>
        <v>*</v>
      </c>
      <c r="L1089" t="str">
        <f>IF(K1089 = "","",_xlfn.XLOOKUP(B1089, BugList!A:A,BugList!B:B,""))</f>
        <v>Trichoptera</v>
      </c>
      <c r="M1089">
        <f>_xlfn.XLOOKUP(D1089,BugList!C:C,BugList!N:N)</f>
        <v>4</v>
      </c>
      <c r="N1089">
        <f>_xlfn.XLOOKUP(B1089,BugList!A:A,BugList!R:R)</f>
        <v>4</v>
      </c>
      <c r="O1089" t="b">
        <f>_xlfn.XLOOKUP(B1089,BugList!A:A,BugList!L:L)</f>
        <v>1</v>
      </c>
      <c r="P1089" t="b">
        <f t="shared" si="120"/>
        <v>0</v>
      </c>
      <c r="R1089" t="b">
        <f>SUMPRODUCT(COUNTIF(_xlfn.XLOOKUP(B1089,BugList!A:A,BugList!P:P), "*SC*"))&gt;0</f>
        <v>0</v>
      </c>
      <c r="S1089" t="str">
        <f>_xlfn.XLOOKUP(B1089,BugList!A:A,BugList!W:W)</f>
        <v/>
      </c>
      <c r="T1089">
        <f t="shared" si="115"/>
        <v>24</v>
      </c>
      <c r="U1089">
        <f t="shared" si="116"/>
        <v>24</v>
      </c>
    </row>
    <row r="1090" spans="1:21">
      <c r="A1090" t="s">
        <v>2683</v>
      </c>
      <c r="B1090">
        <v>829</v>
      </c>
      <c r="D1090" t="s">
        <v>1411</v>
      </c>
      <c r="E1090" t="s">
        <v>1411</v>
      </c>
      <c r="F1090">
        <v>2</v>
      </c>
      <c r="G1090">
        <f t="shared" si="117"/>
        <v>1.5873015873015872</v>
      </c>
      <c r="H1090">
        <f t="shared" si="118"/>
        <v>1</v>
      </c>
      <c r="I1090">
        <f t="shared" si="119"/>
        <v>0.58730158730158721</v>
      </c>
      <c r="J1090" cm="1">
        <f t="array" ref="J1090">INT(G1090)+IF(100-SUM(INT(G$1083:G$1100))&gt;=RANK(I1090,I$1083:I$1100)+COUNTIF(I$1083:I1090,I1090)-1,1,0)</f>
        <v>2</v>
      </c>
      <c r="K1090" t="str">
        <f>_xlfn.XLOOKUP(B1090,BugList!A:A,BugList!H:H)</f>
        <v>*</v>
      </c>
      <c r="L1090" t="str">
        <f>IF(K1090 = "","",_xlfn.XLOOKUP(B1090, BugList!A:A,BugList!B:B,""))</f>
        <v>Trichoptera</v>
      </c>
      <c r="M1090">
        <f>_xlfn.XLOOKUP(D1090,BugList!C:C,BugList!N:N)</f>
        <v>0</v>
      </c>
      <c r="N1090">
        <f>_xlfn.XLOOKUP(B1090,BugList!A:A,BugList!R:R)</f>
        <v>0</v>
      </c>
      <c r="O1090" t="b">
        <f>_xlfn.XLOOKUP(B1090,BugList!A:A,BugList!L:L)</f>
        <v>1</v>
      </c>
      <c r="P1090" t="b">
        <f t="shared" si="120"/>
        <v>1</v>
      </c>
      <c r="R1090" t="b">
        <f>SUMPRODUCT(COUNTIF(_xlfn.XLOOKUP(B1090,BugList!A:A,BugList!P:P), "*SC*"))&gt;0</f>
        <v>1</v>
      </c>
      <c r="S1090" t="str">
        <f>_xlfn.XLOOKUP(B1090,BugList!A:A,BugList!W:W)</f>
        <v/>
      </c>
      <c r="T1090">
        <f t="shared" ref="T1090:T1153" si="121">J1090*M1090</f>
        <v>0</v>
      </c>
      <c r="U1090">
        <f t="shared" ref="U1090:U1153" si="122">J1090*N1090</f>
        <v>0</v>
      </c>
    </row>
    <row r="1091" spans="1:21">
      <c r="A1091" t="s">
        <v>2683</v>
      </c>
      <c r="B1091">
        <v>837</v>
      </c>
      <c r="D1091" t="s">
        <v>107</v>
      </c>
      <c r="E1091" t="s">
        <v>107</v>
      </c>
      <c r="F1091">
        <v>12</v>
      </c>
      <c r="G1091">
        <f t="shared" si="117"/>
        <v>9.5238095238095237</v>
      </c>
      <c r="H1091">
        <f t="shared" si="118"/>
        <v>9</v>
      </c>
      <c r="I1091">
        <f t="shared" si="119"/>
        <v>0.52380952380952372</v>
      </c>
      <c r="J1091" cm="1">
        <f t="array" ref="J1091">INT(G1091)+IF(100-SUM(INT(G$1083:G$1100))&gt;=RANK(I1091,I$1083:I$1100)+COUNTIF(I$1083:I1091,I1091)-1,1,0)</f>
        <v>9</v>
      </c>
      <c r="K1091" t="str">
        <f>_xlfn.XLOOKUP(B1091,BugList!A:A,BugList!H:H)</f>
        <v>*</v>
      </c>
      <c r="L1091" t="str">
        <f>IF(K1091 = "","",_xlfn.XLOOKUP(B1091, BugList!A:A,BugList!B:B,""))</f>
        <v>Trichoptera</v>
      </c>
      <c r="M1091">
        <f>_xlfn.XLOOKUP(D1091,BugList!C:C,BugList!N:N)</f>
        <v>3</v>
      </c>
      <c r="N1091">
        <f>_xlfn.XLOOKUP(B1091,BugList!A:A,BugList!R:R)</f>
        <v>3</v>
      </c>
      <c r="O1091" t="b">
        <f>_xlfn.XLOOKUP(B1091,BugList!A:A,BugList!L:L)</f>
        <v>1</v>
      </c>
      <c r="P1091" t="b">
        <f t="shared" si="120"/>
        <v>1</v>
      </c>
      <c r="R1091" t="b">
        <f>SUMPRODUCT(COUNTIF(_xlfn.XLOOKUP(B1091,BugList!A:A,BugList!P:P), "*SC*"))&gt;0</f>
        <v>0</v>
      </c>
      <c r="S1091" t="str">
        <f>_xlfn.XLOOKUP(B1091,BugList!A:A,BugList!W:W)</f>
        <v/>
      </c>
      <c r="T1091">
        <f t="shared" si="121"/>
        <v>27</v>
      </c>
      <c r="U1091">
        <f t="shared" si="122"/>
        <v>27</v>
      </c>
    </row>
    <row r="1092" spans="1:21">
      <c r="A1092" t="s">
        <v>2683</v>
      </c>
      <c r="B1092">
        <v>935</v>
      </c>
      <c r="D1092" t="s">
        <v>98</v>
      </c>
      <c r="E1092" t="s">
        <v>98</v>
      </c>
      <c r="F1092">
        <v>4</v>
      </c>
      <c r="G1092">
        <f t="shared" si="117"/>
        <v>3.1746031746031744</v>
      </c>
      <c r="H1092">
        <f t="shared" si="118"/>
        <v>3</v>
      </c>
      <c r="I1092">
        <f t="shared" si="119"/>
        <v>0.17460317460317443</v>
      </c>
      <c r="J1092" cm="1">
        <f t="array" ref="J1092">INT(G1092)+IF(100-SUM(INT(G$1083:G$1100))&gt;=RANK(I1092,I$1083:I$1100)+COUNTIF(I$1083:I1092,I1092)-1,1,0)</f>
        <v>3</v>
      </c>
      <c r="K1092" t="str">
        <f>_xlfn.XLOOKUP(B1092,BugList!A:A,BugList!H:H)</f>
        <v/>
      </c>
      <c r="L1092" t="str">
        <f>IF(K1092 = "","",_xlfn.XLOOKUP(B1092, BugList!A:A,BugList!B:B,""))</f>
        <v/>
      </c>
      <c r="M1092">
        <f>_xlfn.XLOOKUP(D1092,BugList!C:C,BugList!N:N)</f>
        <v>4</v>
      </c>
      <c r="N1092">
        <f>_xlfn.XLOOKUP(B1092,BugList!A:A,BugList!R:R)</f>
        <v>4</v>
      </c>
      <c r="O1092" t="b">
        <f>_xlfn.XLOOKUP(B1092,BugList!A:A,BugList!L:L)</f>
        <v>1</v>
      </c>
      <c r="P1092" t="b">
        <f t="shared" si="120"/>
        <v>0</v>
      </c>
      <c r="R1092" t="b">
        <f>SUMPRODUCT(COUNTIF(_xlfn.XLOOKUP(B1092,BugList!A:A,BugList!P:P), "*SC*"))&gt;0</f>
        <v>1</v>
      </c>
      <c r="S1092" t="str">
        <f>_xlfn.XLOOKUP(B1092,BugList!A:A,BugList!W:W)</f>
        <v/>
      </c>
      <c r="T1092">
        <f t="shared" si="121"/>
        <v>12</v>
      </c>
      <c r="U1092">
        <f t="shared" si="122"/>
        <v>12</v>
      </c>
    </row>
    <row r="1093" spans="1:21">
      <c r="A1093" t="s">
        <v>2683</v>
      </c>
      <c r="B1093">
        <v>1002</v>
      </c>
      <c r="D1093" t="s">
        <v>100</v>
      </c>
      <c r="E1093" t="s">
        <v>100</v>
      </c>
      <c r="F1093">
        <v>15</v>
      </c>
      <c r="G1093">
        <f t="shared" si="117"/>
        <v>11.904761904761903</v>
      </c>
      <c r="H1093">
        <f t="shared" si="118"/>
        <v>11</v>
      </c>
      <c r="I1093">
        <f t="shared" si="119"/>
        <v>0.90476190476190332</v>
      </c>
      <c r="J1093" cm="1">
        <f t="array" ref="J1093">INT(G1093)+IF(100-SUM(INT(G$1083:G$1100))&gt;=RANK(I1093,I$1083:I$1100)+COUNTIF(I$1083:I1093,I1093)-1,1,0)</f>
        <v>12</v>
      </c>
      <c r="K1093" t="str">
        <f>_xlfn.XLOOKUP(B1093,BugList!A:A,BugList!H:H)</f>
        <v/>
      </c>
      <c r="L1093" t="str">
        <f>IF(K1093 = "","",_xlfn.XLOOKUP(B1093, BugList!A:A,BugList!B:B,""))</f>
        <v/>
      </c>
      <c r="M1093">
        <f>_xlfn.XLOOKUP(D1093,BugList!C:C,BugList!N:N)</f>
        <v>4</v>
      </c>
      <c r="N1093">
        <f>_xlfn.XLOOKUP(B1093,BugList!A:A,BugList!R:R)</f>
        <v>4</v>
      </c>
      <c r="O1093" t="b">
        <f>_xlfn.XLOOKUP(B1093,BugList!A:A,BugList!L:L)</f>
        <v>1</v>
      </c>
      <c r="P1093" t="b">
        <f t="shared" si="120"/>
        <v>0</v>
      </c>
      <c r="R1093" t="b">
        <f>SUMPRODUCT(COUNTIF(_xlfn.XLOOKUP(B1093,BugList!A:A,BugList!P:P), "*SC*"))&gt;0</f>
        <v>1</v>
      </c>
      <c r="S1093" t="str">
        <f>_xlfn.XLOOKUP(B1093,BugList!A:A,BugList!W:W)</f>
        <v/>
      </c>
      <c r="T1093">
        <f t="shared" si="121"/>
        <v>48</v>
      </c>
      <c r="U1093">
        <f t="shared" si="122"/>
        <v>48</v>
      </c>
    </row>
    <row r="1094" spans="1:21">
      <c r="A1094" t="s">
        <v>2683</v>
      </c>
      <c r="B1094">
        <v>1088</v>
      </c>
      <c r="D1094" t="s">
        <v>90</v>
      </c>
      <c r="E1094" t="s">
        <v>90</v>
      </c>
      <c r="F1094">
        <v>23</v>
      </c>
      <c r="G1094">
        <f t="shared" si="117"/>
        <v>18.253968253968253</v>
      </c>
      <c r="H1094">
        <f t="shared" si="118"/>
        <v>18</v>
      </c>
      <c r="I1094">
        <f t="shared" si="119"/>
        <v>0.25396825396825307</v>
      </c>
      <c r="J1094" cm="1">
        <f t="array" ref="J1094">INT(G1094)+IF(100-SUM(INT(G$1083:G$1100))&gt;=RANK(I1094,I$1083:I$1100)+COUNTIF(I$1083:I1094,I1094)-1,1,0)</f>
        <v>18</v>
      </c>
      <c r="K1094" t="str">
        <f>_xlfn.XLOOKUP(B1094,BugList!A:A,BugList!H:H)</f>
        <v/>
      </c>
      <c r="L1094" t="str">
        <f>IF(K1094 = "","",_xlfn.XLOOKUP(B1094, BugList!A:A,BugList!B:B,""))</f>
        <v/>
      </c>
      <c r="M1094">
        <f>_xlfn.XLOOKUP(D1094,BugList!C:C,BugList!N:N)</f>
        <v>6</v>
      </c>
      <c r="N1094">
        <f>_xlfn.XLOOKUP(B1094,BugList!A:A,BugList!R:R)</f>
        <v>6</v>
      </c>
      <c r="O1094" t="b">
        <f>_xlfn.XLOOKUP(B1094,BugList!A:A,BugList!L:L)</f>
        <v>1</v>
      </c>
      <c r="P1094" t="b">
        <f t="shared" si="120"/>
        <v>0</v>
      </c>
      <c r="R1094" t="b">
        <f>SUMPRODUCT(COUNTIF(_xlfn.XLOOKUP(B1094,BugList!A:A,BugList!P:P), "*SC*"))&gt;0</f>
        <v>0</v>
      </c>
      <c r="S1094" t="str">
        <f>_xlfn.XLOOKUP(B1094,BugList!A:A,BugList!W:W)</f>
        <v/>
      </c>
      <c r="T1094">
        <f t="shared" si="121"/>
        <v>108</v>
      </c>
      <c r="U1094">
        <f t="shared" si="122"/>
        <v>108</v>
      </c>
    </row>
    <row r="1095" spans="1:21">
      <c r="A1095" t="s">
        <v>2683</v>
      </c>
      <c r="B1095">
        <v>1089</v>
      </c>
      <c r="D1095" t="s">
        <v>126</v>
      </c>
      <c r="E1095" t="s">
        <v>127</v>
      </c>
      <c r="F1095">
        <v>3</v>
      </c>
      <c r="G1095">
        <f t="shared" si="117"/>
        <v>2.3809523809523809</v>
      </c>
      <c r="H1095">
        <f t="shared" si="118"/>
        <v>2</v>
      </c>
      <c r="I1095">
        <f t="shared" si="119"/>
        <v>0.38095238095238093</v>
      </c>
      <c r="J1095" cm="1">
        <f t="array" ref="J1095">INT(G1095)+IF(100-SUM(INT(G$1083:G$1100))&gt;=RANK(I1095,I$1083:I$1100)+COUNTIF(I$1083:I1095,I1095)-1,1,0)</f>
        <v>2</v>
      </c>
      <c r="K1095" t="str">
        <f>_xlfn.XLOOKUP(B1095,BugList!A:A,BugList!H:H)</f>
        <v/>
      </c>
      <c r="L1095" t="str">
        <f>IF(K1095 = "","",_xlfn.XLOOKUP(B1095, BugList!A:A,BugList!B:B,""))</f>
        <v/>
      </c>
      <c r="M1095">
        <f>_xlfn.XLOOKUP(D1095,BugList!C:C,BugList!N:N)</f>
        <v>8</v>
      </c>
      <c r="N1095">
        <f>_xlfn.XLOOKUP(B1095,BugList!A:A,BugList!R:R)</f>
        <v>10</v>
      </c>
      <c r="O1095" t="b">
        <f>_xlfn.XLOOKUP(B1095,BugList!A:A,BugList!L:L)</f>
        <v>1</v>
      </c>
      <c r="P1095" t="b">
        <f t="shared" si="120"/>
        <v>0</v>
      </c>
      <c r="R1095" t="b">
        <f>SUMPRODUCT(COUNTIF(_xlfn.XLOOKUP(B1095,BugList!A:A,BugList!P:P), "*SC*"))&gt;0</f>
        <v>0</v>
      </c>
      <c r="S1095" t="str">
        <f>_xlfn.XLOOKUP(B1095,BugList!A:A,BugList!W:W)</f>
        <v/>
      </c>
      <c r="T1095">
        <f t="shared" si="121"/>
        <v>16</v>
      </c>
      <c r="U1095">
        <f t="shared" si="122"/>
        <v>20</v>
      </c>
    </row>
    <row r="1096" spans="1:21">
      <c r="A1096" t="s">
        <v>2683</v>
      </c>
      <c r="B1096">
        <v>1199</v>
      </c>
      <c r="D1096" t="s">
        <v>131</v>
      </c>
      <c r="E1096" t="s">
        <v>131</v>
      </c>
      <c r="F1096">
        <v>7</v>
      </c>
      <c r="G1096">
        <f t="shared" si="117"/>
        <v>5.5555555555555554</v>
      </c>
      <c r="H1096">
        <f t="shared" si="118"/>
        <v>5</v>
      </c>
      <c r="I1096">
        <f t="shared" si="119"/>
        <v>0.55555555555555536</v>
      </c>
      <c r="J1096" cm="1">
        <f t="array" ref="J1096">INT(G1096)+IF(100-SUM(INT(G$1083:G$1100))&gt;=RANK(I1096,I$1083:I$1100)+COUNTIF(I$1083:I1096,I1096)-1,1,0)</f>
        <v>6</v>
      </c>
      <c r="K1096" t="str">
        <f>_xlfn.XLOOKUP(B1096,BugList!A:A,BugList!H:H)</f>
        <v/>
      </c>
      <c r="L1096" t="str">
        <f>IF(K1096 = "","",_xlfn.XLOOKUP(B1096, BugList!A:A,BugList!B:B,""))</f>
        <v/>
      </c>
      <c r="M1096">
        <f>_xlfn.XLOOKUP(D1096,BugList!C:C,BugList!N:N)</f>
        <v>6</v>
      </c>
      <c r="N1096">
        <f>_xlfn.XLOOKUP(B1096,BugList!A:A,BugList!R:R)</f>
        <v>6</v>
      </c>
      <c r="O1096" t="b">
        <f>_xlfn.XLOOKUP(B1096,BugList!A:A,BugList!L:L)</f>
        <v>1</v>
      </c>
      <c r="P1096" t="b">
        <f t="shared" si="120"/>
        <v>0</v>
      </c>
      <c r="R1096" t="b">
        <f>SUMPRODUCT(COUNTIF(_xlfn.XLOOKUP(B1096,BugList!A:A,BugList!P:P), "*SC*"))&gt;0</f>
        <v>0</v>
      </c>
      <c r="S1096" t="str">
        <f>_xlfn.XLOOKUP(B1096,BugList!A:A,BugList!W:W)</f>
        <v/>
      </c>
      <c r="T1096">
        <f t="shared" si="121"/>
        <v>36</v>
      </c>
      <c r="U1096">
        <f t="shared" si="122"/>
        <v>36</v>
      </c>
    </row>
    <row r="1097" spans="1:21">
      <c r="A1097" t="s">
        <v>2683</v>
      </c>
      <c r="B1097">
        <v>1436</v>
      </c>
      <c r="D1097" t="s">
        <v>101</v>
      </c>
      <c r="E1097" t="s">
        <v>101</v>
      </c>
      <c r="F1097">
        <v>25</v>
      </c>
      <c r="G1097">
        <f t="shared" si="117"/>
        <v>19.841269841269842</v>
      </c>
      <c r="H1097">
        <f t="shared" si="118"/>
        <v>19</v>
      </c>
      <c r="I1097">
        <f t="shared" si="119"/>
        <v>0.84126984126984183</v>
      </c>
      <c r="J1097" cm="1">
        <f t="array" ref="J1097">INT(G1097)+IF(100-SUM(INT(G$1083:G$1100))&gt;=RANK(I1097,I$1083:I$1100)+COUNTIF(I$1083:I1097,I1097)-1,1,0)</f>
        <v>20</v>
      </c>
      <c r="K1097" t="str">
        <f>_xlfn.XLOOKUP(B1097,BugList!A:A,BugList!H:H)</f>
        <v/>
      </c>
      <c r="L1097" t="str">
        <f>IF(K1097 = "","",_xlfn.XLOOKUP(B1097, BugList!A:A,BugList!B:B,""))</f>
        <v/>
      </c>
      <c r="M1097">
        <f>_xlfn.XLOOKUP(D1097,BugList!C:C,BugList!N:N)</f>
        <v>6</v>
      </c>
      <c r="N1097">
        <f>_xlfn.XLOOKUP(B1097,BugList!A:A,BugList!R:R)</f>
        <v>6</v>
      </c>
      <c r="O1097" t="b">
        <f>_xlfn.XLOOKUP(B1097,BugList!A:A,BugList!L:L)</f>
        <v>1</v>
      </c>
      <c r="P1097" t="b">
        <f t="shared" si="120"/>
        <v>0</v>
      </c>
      <c r="R1097" t="b">
        <f>SUMPRODUCT(COUNTIF(_xlfn.XLOOKUP(B1097,BugList!A:A,BugList!P:P), "*SC*"))&gt;0</f>
        <v>0</v>
      </c>
      <c r="S1097" t="str">
        <f>_xlfn.XLOOKUP(B1097,BugList!A:A,BugList!W:W)</f>
        <v/>
      </c>
      <c r="T1097">
        <f t="shared" si="121"/>
        <v>120</v>
      </c>
      <c r="U1097">
        <f t="shared" si="122"/>
        <v>120</v>
      </c>
    </row>
    <row r="1098" spans="1:21">
      <c r="A1098" t="s">
        <v>2683</v>
      </c>
      <c r="B1098">
        <v>1497</v>
      </c>
      <c r="D1098" t="s">
        <v>108</v>
      </c>
      <c r="E1098" t="s">
        <v>108</v>
      </c>
      <c r="F1098">
        <v>1</v>
      </c>
      <c r="G1098">
        <f t="shared" si="117"/>
        <v>0.79365079365079361</v>
      </c>
      <c r="H1098">
        <f t="shared" si="118"/>
        <v>0</v>
      </c>
      <c r="I1098">
        <f t="shared" si="119"/>
        <v>0.79365079365079361</v>
      </c>
      <c r="J1098" cm="1">
        <f t="array" ref="J1098">INT(G1098)+IF(100-SUM(INT(G$1083:G$1100))&gt;=RANK(I1098,I$1083:I$1100)+COUNTIF(I$1083:I1098,I1098)-1,1,0)</f>
        <v>1</v>
      </c>
      <c r="K1098" t="str">
        <f>_xlfn.XLOOKUP(B1098,BugList!A:A,BugList!H:H)</f>
        <v/>
      </c>
      <c r="L1098" t="str">
        <f>IF(K1098 = "","",_xlfn.XLOOKUP(B1098, BugList!A:A,BugList!B:B,""))</f>
        <v/>
      </c>
      <c r="M1098">
        <f>_xlfn.XLOOKUP(D1098,BugList!C:C,BugList!N:N)</f>
        <v>3</v>
      </c>
      <c r="N1098">
        <f>_xlfn.XLOOKUP(B1098,BugList!A:A,BugList!R:R)</f>
        <v>3</v>
      </c>
      <c r="O1098" t="b">
        <f>_xlfn.XLOOKUP(B1098,BugList!A:A,BugList!L:L)</f>
        <v>1</v>
      </c>
      <c r="P1098" t="b">
        <f t="shared" si="120"/>
        <v>0</v>
      </c>
      <c r="R1098" t="b">
        <f>SUMPRODUCT(COUNTIF(_xlfn.XLOOKUP(B1098,BugList!A:A,BugList!P:P), "*SC*"))&gt;0</f>
        <v>0</v>
      </c>
      <c r="S1098" t="str">
        <f>_xlfn.XLOOKUP(B1098,BugList!A:A,BugList!W:W)</f>
        <v/>
      </c>
      <c r="T1098">
        <f t="shared" si="121"/>
        <v>3</v>
      </c>
      <c r="U1098">
        <f t="shared" si="122"/>
        <v>3</v>
      </c>
    </row>
    <row r="1099" spans="1:21">
      <c r="A1099" t="s">
        <v>2683</v>
      </c>
      <c r="B1099">
        <v>1696</v>
      </c>
      <c r="D1099" t="s">
        <v>94</v>
      </c>
      <c r="E1099" t="s">
        <v>94</v>
      </c>
      <c r="F1099">
        <v>7</v>
      </c>
      <c r="G1099">
        <f t="shared" si="117"/>
        <v>5.5555555555555554</v>
      </c>
      <c r="H1099">
        <f t="shared" si="118"/>
        <v>5</v>
      </c>
      <c r="I1099">
        <f t="shared" si="119"/>
        <v>0.55555555555555536</v>
      </c>
      <c r="J1099" cm="1">
        <f t="array" ref="J1099">INT(G1099)+IF(100-SUM(INT(G$1083:G$1100))&gt;=RANK(I1099,I$1083:I$1100)+COUNTIF(I$1083:I1099,I1099)-1,1,0)</f>
        <v>5</v>
      </c>
      <c r="K1099" t="str">
        <f>_xlfn.XLOOKUP(B1099,BugList!A:A,BugList!H:H)</f>
        <v/>
      </c>
      <c r="L1099" t="str">
        <f>IF(K1099 = "","",_xlfn.XLOOKUP(B1099, BugList!A:A,BugList!B:B,""))</f>
        <v/>
      </c>
      <c r="M1099">
        <f>_xlfn.XLOOKUP(D1099,BugList!C:C,BugList!N:N)</f>
        <v>8</v>
      </c>
      <c r="N1099">
        <f>_xlfn.XLOOKUP(B1099,BugList!A:A,BugList!R:R)</f>
        <v>8</v>
      </c>
      <c r="O1099" t="b">
        <f>_xlfn.XLOOKUP(B1099,BugList!A:A,BugList!L:L)</f>
        <v>0</v>
      </c>
      <c r="P1099" t="b">
        <f t="shared" si="120"/>
        <v>0</v>
      </c>
      <c r="R1099" t="b">
        <f>SUMPRODUCT(COUNTIF(_xlfn.XLOOKUP(B1099,BugList!A:A,BugList!P:P), "*SC*"))&gt;0</f>
        <v>0</v>
      </c>
      <c r="S1099" t="str">
        <f>_xlfn.XLOOKUP(B1099,BugList!A:A,BugList!W:W)</f>
        <v/>
      </c>
      <c r="T1099">
        <f t="shared" si="121"/>
        <v>40</v>
      </c>
      <c r="U1099">
        <f t="shared" si="122"/>
        <v>40</v>
      </c>
    </row>
    <row r="1100" spans="1:21">
      <c r="A1100" t="s">
        <v>2683</v>
      </c>
      <c r="B1100">
        <v>2781</v>
      </c>
      <c r="D1100" t="s">
        <v>109</v>
      </c>
      <c r="E1100" t="s">
        <v>109</v>
      </c>
      <c r="F1100">
        <v>4</v>
      </c>
      <c r="G1100">
        <f t="shared" si="117"/>
        <v>3.1746031746031744</v>
      </c>
      <c r="H1100">
        <f t="shared" si="118"/>
        <v>3</v>
      </c>
      <c r="I1100">
        <f t="shared" si="119"/>
        <v>0.17460317460317443</v>
      </c>
      <c r="J1100" cm="1">
        <f t="array" ref="J1100">INT(G1100)+IF(100-SUM(INT(G$1083:G$1100))&gt;=RANK(I1100,I$1083:I$1100)+COUNTIF(I$1083:I1100,I1100)-1,1,0)</f>
        <v>3</v>
      </c>
      <c r="K1100" t="str">
        <f>_xlfn.XLOOKUP(B1100,BugList!A:A,BugList!H:H)</f>
        <v/>
      </c>
      <c r="L1100" t="str">
        <f>IF(K1100 = "","",_xlfn.XLOOKUP(B1100, BugList!A:A,BugList!B:B,""))</f>
        <v/>
      </c>
      <c r="M1100">
        <f>_xlfn.XLOOKUP(D1100,BugList!C:C,BugList!N:N)</f>
        <v>6</v>
      </c>
      <c r="N1100">
        <f>_xlfn.XLOOKUP(B1100,BugList!A:A,BugList!R:R)</f>
        <v>4</v>
      </c>
      <c r="O1100" t="b">
        <f>_xlfn.XLOOKUP(B1100,BugList!A:A,BugList!L:L)</f>
        <v>0</v>
      </c>
      <c r="P1100" t="b">
        <f t="shared" si="120"/>
        <v>0</v>
      </c>
      <c r="R1100" t="b">
        <f>SUMPRODUCT(COUNTIF(_xlfn.XLOOKUP(B1100,BugList!A:A,BugList!P:P), "*SC*"))&gt;0</f>
        <v>0</v>
      </c>
      <c r="S1100" t="str">
        <f>_xlfn.XLOOKUP(B1100,BugList!A:A,BugList!W:W)</f>
        <v/>
      </c>
      <c r="T1100">
        <f t="shared" si="121"/>
        <v>18</v>
      </c>
      <c r="U1100">
        <f t="shared" si="122"/>
        <v>12</v>
      </c>
    </row>
    <row r="1101" spans="1:21">
      <c r="A1101" t="s">
        <v>2684</v>
      </c>
      <c r="B1101">
        <v>1089</v>
      </c>
      <c r="D1101" t="s">
        <v>126</v>
      </c>
      <c r="E1101" t="s">
        <v>127</v>
      </c>
      <c r="F1101">
        <v>5</v>
      </c>
      <c r="G1101">
        <f t="shared" si="117"/>
        <v>4.1666666666666661</v>
      </c>
      <c r="H1101">
        <f t="shared" si="118"/>
        <v>4</v>
      </c>
      <c r="I1101">
        <f t="shared" si="119"/>
        <v>0.16666666666666607</v>
      </c>
      <c r="J1101" cm="1">
        <f t="array" ref="J1101">INT(G1101)+IF(100-SUM(INT(G$1101:G$1121))&gt;=RANK(I1101,I$1101:I$1121)+COUNTIF(I$1101:I1101,I1101)-1,1,0)</f>
        <v>4</v>
      </c>
      <c r="K1101" t="str">
        <f>_xlfn.XLOOKUP(B1101,BugList!A:A,BugList!H:H)</f>
        <v/>
      </c>
      <c r="L1101" t="str">
        <f>IF(K1101 = "","",_xlfn.XLOOKUP(B1101, BugList!A:A,BugList!B:B,""))</f>
        <v/>
      </c>
      <c r="M1101">
        <f>_xlfn.XLOOKUP(D1101,BugList!C:C,BugList!N:N)</f>
        <v>8</v>
      </c>
      <c r="N1101">
        <f>_xlfn.XLOOKUP(B1101,BugList!A:A,BugList!R:R)</f>
        <v>10</v>
      </c>
      <c r="O1101" t="b">
        <f>_xlfn.XLOOKUP(B1101,BugList!A:A,BugList!L:L)</f>
        <v>1</v>
      </c>
      <c r="P1101" t="b">
        <f t="shared" si="120"/>
        <v>0</v>
      </c>
      <c r="R1101" t="b">
        <f>SUMPRODUCT(COUNTIF(_xlfn.XLOOKUP(B1101,BugList!A:A,BugList!P:P), "*SC*"))&gt;0</f>
        <v>0</v>
      </c>
      <c r="S1101" t="str">
        <f>_xlfn.XLOOKUP(B1101,BugList!A:A,BugList!W:W)</f>
        <v/>
      </c>
      <c r="T1101">
        <f t="shared" si="121"/>
        <v>32</v>
      </c>
      <c r="U1101">
        <f t="shared" si="122"/>
        <v>40</v>
      </c>
    </row>
    <row r="1102" spans="1:21">
      <c r="A1102" t="s">
        <v>2684</v>
      </c>
      <c r="B1102">
        <v>1199</v>
      </c>
      <c r="D1102" t="s">
        <v>131</v>
      </c>
      <c r="E1102" t="s">
        <v>131</v>
      </c>
      <c r="F1102">
        <v>7</v>
      </c>
      <c r="G1102">
        <f t="shared" si="117"/>
        <v>5.833333333333333</v>
      </c>
      <c r="H1102">
        <f t="shared" si="118"/>
        <v>5</v>
      </c>
      <c r="I1102">
        <f t="shared" si="119"/>
        <v>0.83333333333333304</v>
      </c>
      <c r="J1102" cm="1">
        <f t="array" ref="J1102">INT(G1102)+IF(100-SUM(INT(G$1101:G$1121))&gt;=RANK(I1102,I$1101:I$1121)+COUNTIF(I$1101:I1102,I1102)-1,1,0)</f>
        <v>6</v>
      </c>
      <c r="K1102" t="str">
        <f>_xlfn.XLOOKUP(B1102,BugList!A:A,BugList!H:H)</f>
        <v/>
      </c>
      <c r="L1102" t="str">
        <f>IF(K1102 = "","",_xlfn.XLOOKUP(B1102, BugList!A:A,BugList!B:B,""))</f>
        <v/>
      </c>
      <c r="M1102">
        <f>_xlfn.XLOOKUP(D1102,BugList!C:C,BugList!N:N)</f>
        <v>6</v>
      </c>
      <c r="N1102">
        <f>_xlfn.XLOOKUP(B1102,BugList!A:A,BugList!R:R)</f>
        <v>6</v>
      </c>
      <c r="O1102" t="b">
        <f>_xlfn.XLOOKUP(B1102,BugList!A:A,BugList!L:L)</f>
        <v>1</v>
      </c>
      <c r="P1102" t="b">
        <f t="shared" si="120"/>
        <v>0</v>
      </c>
      <c r="R1102" t="b">
        <f>SUMPRODUCT(COUNTIF(_xlfn.XLOOKUP(B1102,BugList!A:A,BugList!P:P), "*SC*"))&gt;0</f>
        <v>0</v>
      </c>
      <c r="S1102" t="str">
        <f>_xlfn.XLOOKUP(B1102,BugList!A:A,BugList!W:W)</f>
        <v/>
      </c>
      <c r="T1102">
        <f t="shared" si="121"/>
        <v>36</v>
      </c>
      <c r="U1102">
        <f t="shared" si="122"/>
        <v>36</v>
      </c>
    </row>
    <row r="1103" spans="1:21">
      <c r="A1103" t="s">
        <v>2684</v>
      </c>
      <c r="B1103">
        <v>1436</v>
      </c>
      <c r="D1103" t="s">
        <v>101</v>
      </c>
      <c r="E1103" t="s">
        <v>101</v>
      </c>
      <c r="F1103">
        <v>1</v>
      </c>
      <c r="G1103">
        <f t="shared" si="117"/>
        <v>0.83333333333333337</v>
      </c>
      <c r="H1103">
        <f t="shared" si="118"/>
        <v>0</v>
      </c>
      <c r="I1103">
        <f t="shared" si="119"/>
        <v>0.83333333333333337</v>
      </c>
      <c r="J1103" cm="1">
        <f t="array" ref="J1103">INT(G1103)+IF(100-SUM(INT(G$1101:G$1121))&gt;=RANK(I1103,I$1101:I$1121)+COUNTIF(I$1101:I1103,I1103)-1,1,0)</f>
        <v>1</v>
      </c>
      <c r="K1103" t="str">
        <f>_xlfn.XLOOKUP(B1103,BugList!A:A,BugList!H:H)</f>
        <v/>
      </c>
      <c r="L1103" t="str">
        <f>IF(K1103 = "","",_xlfn.XLOOKUP(B1103, BugList!A:A,BugList!B:B,""))</f>
        <v/>
      </c>
      <c r="M1103">
        <f>_xlfn.XLOOKUP(D1103,BugList!C:C,BugList!N:N)</f>
        <v>6</v>
      </c>
      <c r="N1103">
        <f>_xlfn.XLOOKUP(B1103,BugList!A:A,BugList!R:R)</f>
        <v>6</v>
      </c>
      <c r="O1103" t="b">
        <f>_xlfn.XLOOKUP(B1103,BugList!A:A,BugList!L:L)</f>
        <v>1</v>
      </c>
      <c r="P1103" t="b">
        <f t="shared" si="120"/>
        <v>0</v>
      </c>
      <c r="R1103" t="b">
        <f>SUMPRODUCT(COUNTIF(_xlfn.XLOOKUP(B1103,BugList!A:A,BugList!P:P), "*SC*"))&gt;0</f>
        <v>0</v>
      </c>
      <c r="S1103" t="str">
        <f>_xlfn.XLOOKUP(B1103,BugList!A:A,BugList!W:W)</f>
        <v/>
      </c>
      <c r="T1103">
        <f t="shared" si="121"/>
        <v>6</v>
      </c>
      <c r="U1103">
        <f t="shared" si="122"/>
        <v>6</v>
      </c>
    </row>
    <row r="1104" spans="1:21">
      <c r="A1104" t="s">
        <v>2684</v>
      </c>
      <c r="B1104">
        <v>1578</v>
      </c>
      <c r="D1104" t="s">
        <v>102</v>
      </c>
      <c r="E1104" t="s">
        <v>102</v>
      </c>
      <c r="F1104">
        <v>1</v>
      </c>
      <c r="G1104">
        <f t="shared" ref="G1104:G1167" si="123">(F1104/(SUMIFS(F:F,A:A,A1104))*100)</f>
        <v>0.83333333333333337</v>
      </c>
      <c r="H1104">
        <f t="shared" ref="H1104:H1167" si="124">INT(G1104)</f>
        <v>0</v>
      </c>
      <c r="I1104">
        <f t="shared" ref="I1104:I1167" si="125">G1104-H1104</f>
        <v>0.83333333333333337</v>
      </c>
      <c r="J1104" cm="1">
        <f t="array" ref="J1104">INT(G1104)+IF(100-SUM(INT(G$1101:G$1121))&gt;=RANK(I1104,I$1101:I$1121)+COUNTIF(I$1101:I1104,I1104)-1,1,0)</f>
        <v>1</v>
      </c>
      <c r="K1104" t="str">
        <f>_xlfn.XLOOKUP(B1104,BugList!A:A,BugList!H:H)</f>
        <v/>
      </c>
      <c r="L1104" t="str">
        <f>IF(K1104 = "","",_xlfn.XLOOKUP(B1104, BugList!A:A,BugList!B:B,""))</f>
        <v/>
      </c>
      <c r="M1104">
        <f>_xlfn.XLOOKUP(D1104,BugList!C:C,BugList!N:N)</f>
        <v>7</v>
      </c>
      <c r="N1104">
        <f>_xlfn.XLOOKUP(B1104,BugList!A:A,BugList!R:R)</f>
        <v>7</v>
      </c>
      <c r="O1104" t="b">
        <f>_xlfn.XLOOKUP(B1104,BugList!A:A,BugList!L:L)</f>
        <v>0</v>
      </c>
      <c r="P1104" t="b">
        <f t="shared" si="120"/>
        <v>0</v>
      </c>
      <c r="R1104" t="b">
        <f>SUMPRODUCT(COUNTIF(_xlfn.XLOOKUP(B1104,BugList!A:A,BugList!P:P), "*SC*"))&gt;0</f>
        <v>0</v>
      </c>
      <c r="S1104" t="str">
        <f>_xlfn.XLOOKUP(B1104,BugList!A:A,BugList!W:W)</f>
        <v/>
      </c>
      <c r="T1104">
        <f t="shared" si="121"/>
        <v>7</v>
      </c>
      <c r="U1104">
        <f t="shared" si="122"/>
        <v>7</v>
      </c>
    </row>
    <row r="1105" spans="1:21">
      <c r="A1105" t="s">
        <v>2684</v>
      </c>
      <c r="B1105">
        <v>1587</v>
      </c>
      <c r="D1105" t="s">
        <v>91</v>
      </c>
      <c r="E1105" t="s">
        <v>91</v>
      </c>
      <c r="F1105">
        <v>1</v>
      </c>
      <c r="G1105">
        <f t="shared" si="123"/>
        <v>0.83333333333333337</v>
      </c>
      <c r="H1105">
        <f t="shared" si="124"/>
        <v>0</v>
      </c>
      <c r="I1105">
        <f t="shared" si="125"/>
        <v>0.83333333333333337</v>
      </c>
      <c r="J1105" cm="1">
        <f t="array" ref="J1105">INT(G1105)+IF(100-SUM(INT(G$1101:G$1121))&gt;=RANK(I1105,I$1101:I$1121)+COUNTIF(I$1101:I1105,I1105)-1,1,0)</f>
        <v>1</v>
      </c>
      <c r="K1105" t="str">
        <f>_xlfn.XLOOKUP(B1105,BugList!A:A,BugList!H:H)</f>
        <v/>
      </c>
      <c r="L1105" t="str">
        <f>IF(K1105 = "","",_xlfn.XLOOKUP(B1105, BugList!A:A,BugList!B:B,""))</f>
        <v/>
      </c>
      <c r="M1105">
        <f>_xlfn.XLOOKUP(D1105,BugList!C:C,BugList!N:N)</f>
        <v>6</v>
      </c>
      <c r="N1105">
        <f>_xlfn.XLOOKUP(B1105,BugList!A:A,BugList!R:R)</f>
        <v>6</v>
      </c>
      <c r="O1105" t="b">
        <f>_xlfn.XLOOKUP(B1105,BugList!A:A,BugList!L:L)</f>
        <v>0</v>
      </c>
      <c r="P1105" t="b">
        <f t="shared" si="120"/>
        <v>0</v>
      </c>
      <c r="R1105" t="b">
        <f>SUMPRODUCT(COUNTIF(_xlfn.XLOOKUP(B1105,BugList!A:A,BugList!P:P), "*SC*"))&gt;0</f>
        <v>0</v>
      </c>
      <c r="S1105" t="str">
        <f>_xlfn.XLOOKUP(B1105,BugList!A:A,BugList!W:W)</f>
        <v/>
      </c>
      <c r="T1105">
        <f t="shared" si="121"/>
        <v>6</v>
      </c>
      <c r="U1105">
        <f t="shared" si="122"/>
        <v>6</v>
      </c>
    </row>
    <row r="1106" spans="1:21">
      <c r="A1106" t="s">
        <v>2684</v>
      </c>
      <c r="B1106">
        <v>1614</v>
      </c>
      <c r="D1106" t="s">
        <v>92</v>
      </c>
      <c r="E1106" t="s">
        <v>92</v>
      </c>
      <c r="F1106">
        <v>2</v>
      </c>
      <c r="G1106">
        <f t="shared" si="123"/>
        <v>1.6666666666666667</v>
      </c>
      <c r="H1106">
        <f t="shared" si="124"/>
        <v>1</v>
      </c>
      <c r="I1106">
        <f t="shared" si="125"/>
        <v>0.66666666666666674</v>
      </c>
      <c r="J1106" cm="1">
        <f t="array" ref="J1106">INT(G1106)+IF(100-SUM(INT(G$1101:G$1121))&gt;=RANK(I1106,I$1101:I$1121)+COUNTIF(I$1101:I1106,I1106)-1,1,0)</f>
        <v>2</v>
      </c>
      <c r="K1106" t="str">
        <f>_xlfn.XLOOKUP(B1106,BugList!A:A,BugList!H:H)</f>
        <v/>
      </c>
      <c r="L1106" t="str">
        <f>IF(K1106 = "","",_xlfn.XLOOKUP(B1106, BugList!A:A,BugList!B:B,""))</f>
        <v/>
      </c>
      <c r="M1106">
        <f>_xlfn.XLOOKUP(D1106,BugList!C:C,BugList!N:N)</f>
        <v>8</v>
      </c>
      <c r="N1106">
        <f>_xlfn.XLOOKUP(B1106,BugList!A:A,BugList!R:R)</f>
        <v>8</v>
      </c>
      <c r="O1106" t="b">
        <f>_xlfn.XLOOKUP(B1106,BugList!A:A,BugList!L:L)</f>
        <v>0</v>
      </c>
      <c r="P1106" t="b">
        <f t="shared" si="120"/>
        <v>0</v>
      </c>
      <c r="R1106" t="b">
        <f>SUMPRODUCT(COUNTIF(_xlfn.XLOOKUP(B1106,BugList!A:A,BugList!P:P), "*SC*"))&gt;0</f>
        <v>0</v>
      </c>
      <c r="S1106" t="str">
        <f>_xlfn.XLOOKUP(B1106,BugList!A:A,BugList!W:W)</f>
        <v/>
      </c>
      <c r="T1106">
        <f t="shared" si="121"/>
        <v>16</v>
      </c>
      <c r="U1106">
        <f t="shared" si="122"/>
        <v>16</v>
      </c>
    </row>
    <row r="1107" spans="1:21">
      <c r="A1107" t="s">
        <v>2684</v>
      </c>
      <c r="B1107">
        <v>1629</v>
      </c>
      <c r="D1107" t="s">
        <v>93</v>
      </c>
      <c r="E1107" t="s">
        <v>93</v>
      </c>
      <c r="F1107">
        <v>1</v>
      </c>
      <c r="G1107">
        <f t="shared" si="123"/>
        <v>0.83333333333333337</v>
      </c>
      <c r="H1107">
        <f t="shared" si="124"/>
        <v>0</v>
      </c>
      <c r="I1107">
        <f t="shared" si="125"/>
        <v>0.83333333333333337</v>
      </c>
      <c r="J1107" cm="1">
        <f t="array" ref="J1107">INT(G1107)+IF(100-SUM(INT(G$1101:G$1121))&gt;=RANK(I1107,I$1101:I$1121)+COUNTIF(I$1101:I1107,I1107)-1,1,0)</f>
        <v>1</v>
      </c>
      <c r="K1107" t="str">
        <f>_xlfn.XLOOKUP(B1107,BugList!A:A,BugList!H:H)</f>
        <v/>
      </c>
      <c r="L1107" t="str">
        <f>IF(K1107 = "","",_xlfn.XLOOKUP(B1107, BugList!A:A,BugList!B:B,""))</f>
        <v/>
      </c>
      <c r="M1107">
        <f>_xlfn.XLOOKUP(D1107,BugList!C:C,BugList!N:N)</f>
        <v>8</v>
      </c>
      <c r="N1107">
        <f>_xlfn.XLOOKUP(B1107,BugList!A:A,BugList!R:R)</f>
        <v>8</v>
      </c>
      <c r="O1107" t="b">
        <f>_xlfn.XLOOKUP(B1107,BugList!A:A,BugList!L:L)</f>
        <v>0</v>
      </c>
      <c r="P1107" t="b">
        <f t="shared" si="120"/>
        <v>0</v>
      </c>
      <c r="R1107" t="b">
        <f>SUMPRODUCT(COUNTIF(_xlfn.XLOOKUP(B1107,BugList!A:A,BugList!P:P), "*SC*"))&gt;0</f>
        <v>0</v>
      </c>
      <c r="S1107" t="str">
        <f>_xlfn.XLOOKUP(B1107,BugList!A:A,BugList!W:W)</f>
        <v/>
      </c>
      <c r="T1107">
        <f t="shared" si="121"/>
        <v>8</v>
      </c>
      <c r="U1107">
        <f t="shared" si="122"/>
        <v>8</v>
      </c>
    </row>
    <row r="1108" spans="1:21">
      <c r="A1108" t="s">
        <v>2684</v>
      </c>
      <c r="B1108">
        <v>1696</v>
      </c>
      <c r="D1108" t="s">
        <v>94</v>
      </c>
      <c r="E1108" t="s">
        <v>94</v>
      </c>
      <c r="F1108">
        <v>1</v>
      </c>
      <c r="G1108">
        <f t="shared" si="123"/>
        <v>0.83333333333333337</v>
      </c>
      <c r="H1108">
        <f t="shared" si="124"/>
        <v>0</v>
      </c>
      <c r="I1108">
        <f t="shared" si="125"/>
        <v>0.83333333333333337</v>
      </c>
      <c r="J1108" cm="1">
        <f t="array" ref="J1108">INT(G1108)+IF(100-SUM(INT(G$1101:G$1121))&gt;=RANK(I1108,I$1101:I$1121)+COUNTIF(I$1101:I1108,I1108)-1,1,0)</f>
        <v>1</v>
      </c>
      <c r="K1108" t="str">
        <f>_xlfn.XLOOKUP(B1108,BugList!A:A,BugList!H:H)</f>
        <v/>
      </c>
      <c r="L1108" t="str">
        <f>IF(K1108 = "","",_xlfn.XLOOKUP(B1108, BugList!A:A,BugList!B:B,""))</f>
        <v/>
      </c>
      <c r="M1108">
        <f>_xlfn.XLOOKUP(D1108,BugList!C:C,BugList!N:N)</f>
        <v>8</v>
      </c>
      <c r="N1108">
        <f>_xlfn.XLOOKUP(B1108,BugList!A:A,BugList!R:R)</f>
        <v>8</v>
      </c>
      <c r="O1108" t="b">
        <f>_xlfn.XLOOKUP(B1108,BugList!A:A,BugList!L:L)</f>
        <v>0</v>
      </c>
      <c r="P1108" t="b">
        <f t="shared" si="120"/>
        <v>0</v>
      </c>
      <c r="R1108" t="b">
        <f>SUMPRODUCT(COUNTIF(_xlfn.XLOOKUP(B1108,BugList!A:A,BugList!P:P), "*SC*"))&gt;0</f>
        <v>0</v>
      </c>
      <c r="S1108" t="str">
        <f>_xlfn.XLOOKUP(B1108,BugList!A:A,BugList!W:W)</f>
        <v/>
      </c>
      <c r="T1108">
        <f t="shared" si="121"/>
        <v>8</v>
      </c>
      <c r="U1108">
        <f t="shared" si="122"/>
        <v>8</v>
      </c>
    </row>
    <row r="1109" spans="1:21">
      <c r="A1109" t="s">
        <v>2684</v>
      </c>
      <c r="B1109">
        <v>2781</v>
      </c>
      <c r="D1109" t="s">
        <v>109</v>
      </c>
      <c r="E1109" t="s">
        <v>109</v>
      </c>
      <c r="F1109">
        <v>7</v>
      </c>
      <c r="G1109">
        <f t="shared" si="123"/>
        <v>5.833333333333333</v>
      </c>
      <c r="H1109">
        <f t="shared" si="124"/>
        <v>5</v>
      </c>
      <c r="I1109">
        <f t="shared" si="125"/>
        <v>0.83333333333333304</v>
      </c>
      <c r="J1109" s="71">
        <v>6</v>
      </c>
      <c r="K1109" t="str">
        <f>_xlfn.XLOOKUP(B1109,BugList!A:A,BugList!H:H)</f>
        <v/>
      </c>
      <c r="L1109" t="str">
        <f>IF(K1109 = "","",_xlfn.XLOOKUP(B1109, BugList!A:A,BugList!B:B,""))</f>
        <v/>
      </c>
      <c r="M1109">
        <f>_xlfn.XLOOKUP(D1109,BugList!C:C,BugList!N:N)</f>
        <v>6</v>
      </c>
      <c r="N1109">
        <f>_xlfn.XLOOKUP(B1109,BugList!A:A,BugList!R:R)</f>
        <v>4</v>
      </c>
      <c r="O1109" t="b">
        <f>_xlfn.XLOOKUP(B1109,BugList!A:A,BugList!L:L)</f>
        <v>0</v>
      </c>
      <c r="P1109" t="b">
        <f t="shared" si="120"/>
        <v>0</v>
      </c>
      <c r="R1109" t="b">
        <f>SUMPRODUCT(COUNTIF(_xlfn.XLOOKUP(B1109,BugList!A:A,BugList!P:P), "*SC*"))&gt;0</f>
        <v>0</v>
      </c>
      <c r="S1109" t="str">
        <f>_xlfn.XLOOKUP(B1109,BugList!A:A,BugList!W:W)</f>
        <v/>
      </c>
      <c r="T1109">
        <f t="shared" si="121"/>
        <v>36</v>
      </c>
      <c r="U1109">
        <f t="shared" si="122"/>
        <v>24</v>
      </c>
    </row>
    <row r="1110" spans="1:21">
      <c r="A1110" t="s">
        <v>2684</v>
      </c>
      <c r="B1110">
        <v>63</v>
      </c>
      <c r="D1110" t="s">
        <v>84</v>
      </c>
      <c r="E1110" t="s">
        <v>84</v>
      </c>
      <c r="F1110">
        <v>4</v>
      </c>
      <c r="G1110">
        <f t="shared" si="123"/>
        <v>3.3333333333333335</v>
      </c>
      <c r="H1110">
        <f t="shared" si="124"/>
        <v>3</v>
      </c>
      <c r="I1110">
        <f t="shared" si="125"/>
        <v>0.33333333333333348</v>
      </c>
      <c r="J1110" cm="1">
        <f t="array" ref="J1110">INT(G1110)+IF(100-SUM(INT(G$1101:G$1121))&gt;=RANK(I1110,I$1101:I$1121)+COUNTIF(I$1101:I1110,I1110)-1,1,0)</f>
        <v>3</v>
      </c>
      <c r="K1110" t="str">
        <f>_xlfn.XLOOKUP(B1110,BugList!A:A,BugList!H:H)</f>
        <v/>
      </c>
      <c r="L1110" t="str">
        <f>IF(K1110 = "","",_xlfn.XLOOKUP(B1110, BugList!A:A,BugList!B:B,""))</f>
        <v/>
      </c>
      <c r="M1110">
        <f>_xlfn.XLOOKUP(D1110,BugList!C:C,BugList!N:N)</f>
        <v>8</v>
      </c>
      <c r="N1110">
        <f>_xlfn.XLOOKUP(B1110,BugList!A:A,BugList!R:R)</f>
        <v>8</v>
      </c>
      <c r="O1110" t="b">
        <f>_xlfn.XLOOKUP(B1110,BugList!A:A,BugList!L:L)</f>
        <v>0</v>
      </c>
      <c r="P1110" t="b">
        <f t="shared" si="120"/>
        <v>0</v>
      </c>
      <c r="R1110" t="b">
        <f>SUMPRODUCT(COUNTIF(_xlfn.XLOOKUP(B1110,BugList!A:A,BugList!P:P), "*SC*"))&gt;0</f>
        <v>0</v>
      </c>
      <c r="S1110" t="str">
        <f>_xlfn.XLOOKUP(B1110,BugList!A:A,BugList!W:W)</f>
        <v/>
      </c>
      <c r="T1110">
        <f t="shared" si="121"/>
        <v>24</v>
      </c>
      <c r="U1110">
        <f t="shared" si="122"/>
        <v>24</v>
      </c>
    </row>
    <row r="1111" spans="1:21">
      <c r="A1111" t="s">
        <v>2684</v>
      </c>
      <c r="B1111">
        <v>88</v>
      </c>
      <c r="D1111" t="s">
        <v>85</v>
      </c>
      <c r="E1111" t="s">
        <v>85</v>
      </c>
      <c r="F1111">
        <v>56</v>
      </c>
      <c r="G1111">
        <f t="shared" si="123"/>
        <v>46.666666666666664</v>
      </c>
      <c r="H1111">
        <f t="shared" si="124"/>
        <v>46</v>
      </c>
      <c r="I1111">
        <f t="shared" si="125"/>
        <v>0.6666666666666643</v>
      </c>
      <c r="J1111" s="71">
        <v>47</v>
      </c>
      <c r="K1111" t="str">
        <f>_xlfn.XLOOKUP(B1111,BugList!A:A,BugList!H:H)</f>
        <v/>
      </c>
      <c r="L1111" t="str">
        <f>IF(K1111 = "","",_xlfn.XLOOKUP(B1111, BugList!A:A,BugList!B:B,""))</f>
        <v/>
      </c>
      <c r="M1111">
        <f>_xlfn.XLOOKUP(D1111,BugList!C:C,BugList!N:N)</f>
        <v>4</v>
      </c>
      <c r="N1111">
        <f>_xlfn.XLOOKUP(B1111,BugList!A:A,BugList!R:R)</f>
        <v>4</v>
      </c>
      <c r="O1111" t="b">
        <f>_xlfn.XLOOKUP(B1111,BugList!A:A,BugList!L:L)</f>
        <v>0</v>
      </c>
      <c r="P1111" t="b">
        <f t="shared" si="120"/>
        <v>0</v>
      </c>
      <c r="R1111" t="b">
        <f>SUMPRODUCT(COUNTIF(_xlfn.XLOOKUP(B1111,BugList!A:A,BugList!P:P), "*SC*"))&gt;0</f>
        <v>0</v>
      </c>
      <c r="S1111" t="str">
        <f>_xlfn.XLOOKUP(B1111,BugList!A:A,BugList!W:W)</f>
        <v/>
      </c>
      <c r="T1111">
        <f t="shared" si="121"/>
        <v>188</v>
      </c>
      <c r="U1111">
        <f t="shared" si="122"/>
        <v>188</v>
      </c>
    </row>
    <row r="1112" spans="1:21">
      <c r="A1112" t="s">
        <v>2684</v>
      </c>
      <c r="B1112">
        <v>247</v>
      </c>
      <c r="D1112" t="s">
        <v>87</v>
      </c>
      <c r="E1112" t="s">
        <v>87</v>
      </c>
      <c r="F1112">
        <v>1</v>
      </c>
      <c r="G1112">
        <f t="shared" si="123"/>
        <v>0.83333333333333337</v>
      </c>
      <c r="H1112">
        <f t="shared" si="124"/>
        <v>0</v>
      </c>
      <c r="I1112">
        <f t="shared" si="125"/>
        <v>0.83333333333333337</v>
      </c>
      <c r="J1112" cm="1">
        <f t="array" ref="J1112">INT(G1112)+IF(100-SUM(INT(G$1101:G$1121))&gt;=RANK(I1112,I$1101:I$1121)+COUNTIF(I$1101:I1112,I1112)-1,1,0)</f>
        <v>1</v>
      </c>
      <c r="K1112" t="str">
        <f>_xlfn.XLOOKUP(B1112,BugList!A:A,BugList!H:H)</f>
        <v/>
      </c>
      <c r="L1112" t="str">
        <f>IF(K1112 = "","",_xlfn.XLOOKUP(B1112, BugList!A:A,BugList!B:B,""))</f>
        <v/>
      </c>
      <c r="M1112">
        <f>_xlfn.XLOOKUP(D1112,BugList!C:C,BugList!N:N)</f>
        <v>4</v>
      </c>
      <c r="N1112">
        <f>_xlfn.XLOOKUP(B1112,BugList!A:A,BugList!R:R)</f>
        <v>4</v>
      </c>
      <c r="O1112" t="b">
        <f>_xlfn.XLOOKUP(B1112,BugList!A:A,BugList!L:L)</f>
        <v>0</v>
      </c>
      <c r="P1112" t="b">
        <f t="shared" si="120"/>
        <v>0</v>
      </c>
      <c r="R1112" t="b">
        <f>SUMPRODUCT(COUNTIF(_xlfn.XLOOKUP(B1112,BugList!A:A,BugList!P:P), "*SC*"))&gt;0</f>
        <v>0</v>
      </c>
      <c r="S1112" t="str">
        <f>_xlfn.XLOOKUP(B1112,BugList!A:A,BugList!W:W)</f>
        <v/>
      </c>
      <c r="T1112">
        <f t="shared" si="121"/>
        <v>4</v>
      </c>
      <c r="U1112">
        <f t="shared" si="122"/>
        <v>4</v>
      </c>
    </row>
    <row r="1113" spans="1:21">
      <c r="A1113" t="s">
        <v>2684</v>
      </c>
      <c r="B1113">
        <v>372</v>
      </c>
      <c r="D1113" t="s">
        <v>88</v>
      </c>
      <c r="E1113" t="s">
        <v>88</v>
      </c>
      <c r="F1113">
        <v>1</v>
      </c>
      <c r="G1113">
        <f t="shared" si="123"/>
        <v>0.83333333333333337</v>
      </c>
      <c r="H1113">
        <f t="shared" si="124"/>
        <v>0</v>
      </c>
      <c r="I1113">
        <f t="shared" si="125"/>
        <v>0.83333333333333337</v>
      </c>
      <c r="J1113" cm="1">
        <f t="array" ref="J1113">INT(G1113)+IF(100-SUM(INT(G$1101:G$1121))&gt;=RANK(I1113,I$1101:I$1121)+COUNTIF(I$1101:I1113,I1113)-1,1,0)</f>
        <v>1</v>
      </c>
      <c r="K1113" t="str">
        <f>_xlfn.XLOOKUP(B1113,BugList!A:A,BugList!H:H)</f>
        <v/>
      </c>
      <c r="L1113" t="str">
        <f>IF(K1113 = "","",_xlfn.XLOOKUP(B1113, BugList!A:A,BugList!B:B,""))</f>
        <v/>
      </c>
      <c r="M1113">
        <f>_xlfn.XLOOKUP(D1113,BugList!C:C,BugList!N:N)</f>
        <v>8</v>
      </c>
      <c r="N1113">
        <f>_xlfn.XLOOKUP(B1113,BugList!A:A,BugList!R:R)</f>
        <v>8</v>
      </c>
      <c r="O1113" t="b">
        <f>_xlfn.XLOOKUP(B1113,BugList!A:A,BugList!L:L)</f>
        <v>0</v>
      </c>
      <c r="P1113" t="b">
        <f t="shared" si="120"/>
        <v>0</v>
      </c>
      <c r="R1113" t="b">
        <f>SUMPRODUCT(COUNTIF(_xlfn.XLOOKUP(B1113,BugList!A:A,BugList!P:P), "*SC*"))&gt;0</f>
        <v>0</v>
      </c>
      <c r="S1113" t="str">
        <f>_xlfn.XLOOKUP(B1113,BugList!A:A,BugList!W:W)</f>
        <v/>
      </c>
      <c r="T1113">
        <f t="shared" si="121"/>
        <v>8</v>
      </c>
      <c r="U1113">
        <f t="shared" si="122"/>
        <v>8</v>
      </c>
    </row>
    <row r="1114" spans="1:21">
      <c r="A1114" t="s">
        <v>2684</v>
      </c>
      <c r="B1114">
        <v>500</v>
      </c>
      <c r="D1114" t="s">
        <v>151</v>
      </c>
      <c r="E1114" t="s">
        <v>151</v>
      </c>
      <c r="F1114">
        <v>1</v>
      </c>
      <c r="G1114">
        <f t="shared" si="123"/>
        <v>0.83333333333333337</v>
      </c>
      <c r="H1114">
        <f t="shared" si="124"/>
        <v>0</v>
      </c>
      <c r="I1114">
        <f t="shared" si="125"/>
        <v>0.83333333333333337</v>
      </c>
      <c r="J1114" cm="1">
        <f t="array" ref="J1114">INT(G1114)+IF(100-SUM(INT(G$1101:G$1121))&gt;=RANK(I1114,I$1101:I$1121)+COUNTIF(I$1101:I1114,I1114)-1,1,0)</f>
        <v>1</v>
      </c>
      <c r="K1114" t="str">
        <f>_xlfn.XLOOKUP(B1114,BugList!A:A,BugList!H:H)</f>
        <v>*</v>
      </c>
      <c r="L1114" t="str">
        <f>IF(K1114 = "","",_xlfn.XLOOKUP(B1114, BugList!A:A,BugList!B:B,""))</f>
        <v>Ephemeroptera</v>
      </c>
      <c r="M1114">
        <f>_xlfn.XLOOKUP(D1114,BugList!C:C,BugList!N:N)</f>
        <v>1</v>
      </c>
      <c r="N1114">
        <f>_xlfn.XLOOKUP(B1114,BugList!A:A,BugList!R:R)</f>
        <v>1</v>
      </c>
      <c r="O1114" t="b">
        <f>_xlfn.XLOOKUP(B1114,BugList!A:A,BugList!L:L)</f>
        <v>1</v>
      </c>
      <c r="P1114" t="b">
        <f t="shared" si="120"/>
        <v>1</v>
      </c>
      <c r="R1114" t="b">
        <f>SUMPRODUCT(COUNTIF(_xlfn.XLOOKUP(B1114,BugList!A:A,BugList!P:P), "*SC*"))&gt;0</f>
        <v>1</v>
      </c>
      <c r="S1114" t="str">
        <f>_xlfn.XLOOKUP(B1114,BugList!A:A,BugList!W:W)</f>
        <v/>
      </c>
      <c r="T1114">
        <f t="shared" si="121"/>
        <v>1</v>
      </c>
      <c r="U1114">
        <f t="shared" si="122"/>
        <v>1</v>
      </c>
    </row>
    <row r="1115" spans="1:21">
      <c r="A1115" t="s">
        <v>2684</v>
      </c>
      <c r="B1115">
        <v>513</v>
      </c>
      <c r="D1115" t="s">
        <v>111</v>
      </c>
      <c r="E1115" t="s">
        <v>111</v>
      </c>
      <c r="F1115">
        <v>2</v>
      </c>
      <c r="G1115">
        <f t="shared" si="123"/>
        <v>1.6666666666666667</v>
      </c>
      <c r="H1115">
        <f t="shared" si="124"/>
        <v>1</v>
      </c>
      <c r="I1115">
        <f t="shared" si="125"/>
        <v>0.66666666666666674</v>
      </c>
      <c r="J1115" cm="1">
        <f t="array" ref="J1115">INT(G1115)+IF(100-SUM(INT(G$1101:G$1121))&gt;=RANK(I1115,I$1101:I$1121)+COUNTIF(I$1101:I1115,I1115)-1,1,0)</f>
        <v>1</v>
      </c>
      <c r="K1115" t="str">
        <f>_xlfn.XLOOKUP(B1115,BugList!A:A,BugList!H:H)</f>
        <v>*</v>
      </c>
      <c r="L1115" t="str">
        <f>IF(K1115 = "","",_xlfn.XLOOKUP(B1115, BugList!A:A,BugList!B:B,""))</f>
        <v>Ephemeroptera</v>
      </c>
      <c r="M1115">
        <f>_xlfn.XLOOKUP(D1115,BugList!C:C,BugList!N:N)</f>
        <v>4</v>
      </c>
      <c r="N1115">
        <f>_xlfn.XLOOKUP(B1115,BugList!A:A,BugList!R:R)</f>
        <v>4</v>
      </c>
      <c r="O1115" t="b">
        <f>_xlfn.XLOOKUP(B1115,BugList!A:A,BugList!L:L)</f>
        <v>1</v>
      </c>
      <c r="P1115" t="b">
        <f t="shared" si="120"/>
        <v>1</v>
      </c>
      <c r="R1115" t="b">
        <f>SUMPRODUCT(COUNTIF(_xlfn.XLOOKUP(B1115,BugList!A:A,BugList!P:P), "*SC*"))&gt;0</f>
        <v>1</v>
      </c>
      <c r="S1115" t="str">
        <f>_xlfn.XLOOKUP(B1115,BugList!A:A,BugList!W:W)</f>
        <v/>
      </c>
      <c r="T1115">
        <f t="shared" si="121"/>
        <v>4</v>
      </c>
      <c r="U1115">
        <f t="shared" si="122"/>
        <v>4</v>
      </c>
    </row>
    <row r="1116" spans="1:21">
      <c r="A1116" t="s">
        <v>2684</v>
      </c>
      <c r="B1116">
        <v>602</v>
      </c>
      <c r="D1116" t="s">
        <v>97</v>
      </c>
      <c r="E1116" t="s">
        <v>97</v>
      </c>
      <c r="F1116">
        <v>5</v>
      </c>
      <c r="G1116">
        <f t="shared" si="123"/>
        <v>4.1666666666666661</v>
      </c>
      <c r="H1116">
        <f t="shared" si="124"/>
        <v>4</v>
      </c>
      <c r="I1116">
        <f t="shared" si="125"/>
        <v>0.16666666666666607</v>
      </c>
      <c r="J1116" cm="1">
        <f t="array" ref="J1116">INT(G1116)+IF(100-SUM(INT(G$1101:G$1121))&gt;=RANK(I1116,I$1101:I$1121)+COUNTIF(I$1101:I1116,I1116)-1,1,0)</f>
        <v>4</v>
      </c>
      <c r="K1116" t="str">
        <f>_xlfn.XLOOKUP(B1116,BugList!A:A,BugList!H:H)</f>
        <v/>
      </c>
      <c r="L1116" t="str">
        <f>IF(K1116 = "","",_xlfn.XLOOKUP(B1116, BugList!A:A,BugList!B:B,""))</f>
        <v/>
      </c>
      <c r="M1116">
        <f>_xlfn.XLOOKUP(D1116,BugList!C:C,BugList!N:N)</f>
        <v>9</v>
      </c>
      <c r="N1116">
        <f>_xlfn.XLOOKUP(B1116,BugList!A:A,BugList!R:R)</f>
        <v>9</v>
      </c>
      <c r="O1116" t="b">
        <f>_xlfn.XLOOKUP(B1116,BugList!A:A,BugList!L:L)</f>
        <v>1</v>
      </c>
      <c r="P1116" t="b">
        <f t="shared" si="120"/>
        <v>0</v>
      </c>
      <c r="R1116" t="b">
        <f>SUMPRODUCT(COUNTIF(_xlfn.XLOOKUP(B1116,BugList!A:A,BugList!P:P), "*SC*"))&gt;0</f>
        <v>0</v>
      </c>
      <c r="S1116" t="str">
        <f>_xlfn.XLOOKUP(B1116,BugList!A:A,BugList!W:W)</f>
        <v/>
      </c>
      <c r="T1116">
        <f t="shared" si="121"/>
        <v>36</v>
      </c>
      <c r="U1116">
        <f t="shared" si="122"/>
        <v>36</v>
      </c>
    </row>
    <row r="1117" spans="1:21">
      <c r="A1117" t="s">
        <v>2684</v>
      </c>
      <c r="B1117">
        <v>794</v>
      </c>
      <c r="D1117" t="s">
        <v>89</v>
      </c>
      <c r="E1117" t="s">
        <v>89</v>
      </c>
      <c r="F1117">
        <v>1</v>
      </c>
      <c r="G1117">
        <f t="shared" si="123"/>
        <v>0.83333333333333337</v>
      </c>
      <c r="H1117">
        <f t="shared" si="124"/>
        <v>0</v>
      </c>
      <c r="I1117">
        <f t="shared" si="125"/>
        <v>0.83333333333333337</v>
      </c>
      <c r="J1117" cm="1">
        <f t="array" ref="J1117">INT(G1117)+IF(100-SUM(INT(G$1101:G$1121))&gt;=RANK(I1117,I$1101:I$1121)+COUNTIF(I$1101:I1117,I1117)-1,1,0)</f>
        <v>1</v>
      </c>
      <c r="K1117" t="str">
        <f>_xlfn.XLOOKUP(B1117,BugList!A:A,BugList!H:H)</f>
        <v>*</v>
      </c>
      <c r="L1117" t="str">
        <f>IF(K1117 = "","",_xlfn.XLOOKUP(B1117, BugList!A:A,BugList!B:B,""))</f>
        <v>Trichoptera</v>
      </c>
      <c r="M1117">
        <f>_xlfn.XLOOKUP(D1117,BugList!C:C,BugList!N:N)</f>
        <v>4</v>
      </c>
      <c r="N1117">
        <f>_xlfn.XLOOKUP(B1117,BugList!A:A,BugList!R:R)</f>
        <v>4</v>
      </c>
      <c r="O1117" t="b">
        <f>_xlfn.XLOOKUP(B1117,BugList!A:A,BugList!L:L)</f>
        <v>1</v>
      </c>
      <c r="P1117" t="b">
        <f t="shared" si="120"/>
        <v>0</v>
      </c>
      <c r="R1117" t="b">
        <f>SUMPRODUCT(COUNTIF(_xlfn.XLOOKUP(B1117,BugList!A:A,BugList!P:P), "*SC*"))&gt;0</f>
        <v>0</v>
      </c>
      <c r="S1117" t="str">
        <f>_xlfn.XLOOKUP(B1117,BugList!A:A,BugList!W:W)</f>
        <v/>
      </c>
      <c r="T1117">
        <f t="shared" si="121"/>
        <v>4</v>
      </c>
      <c r="U1117">
        <f t="shared" si="122"/>
        <v>4</v>
      </c>
    </row>
    <row r="1118" spans="1:21">
      <c r="A1118" t="s">
        <v>2684</v>
      </c>
      <c r="B1118">
        <v>837</v>
      </c>
      <c r="D1118" t="s">
        <v>107</v>
      </c>
      <c r="E1118" t="s">
        <v>107</v>
      </c>
      <c r="F1118">
        <v>1</v>
      </c>
      <c r="G1118">
        <f t="shared" si="123"/>
        <v>0.83333333333333337</v>
      </c>
      <c r="H1118">
        <f t="shared" si="124"/>
        <v>0</v>
      </c>
      <c r="I1118">
        <f t="shared" si="125"/>
        <v>0.83333333333333337</v>
      </c>
      <c r="J1118" cm="1">
        <f t="array" ref="J1118">INT(G1118)+IF(100-SUM(INT(G$1101:G$1121))&gt;=RANK(I1118,I$1101:I$1121)+COUNTIF(I$1101:I1118,I1118)-1,1,0)</f>
        <v>1</v>
      </c>
      <c r="K1118" t="str">
        <f>_xlfn.XLOOKUP(B1118,BugList!A:A,BugList!H:H)</f>
        <v>*</v>
      </c>
      <c r="L1118" t="str">
        <f>IF(K1118 = "","",_xlfn.XLOOKUP(B1118, BugList!A:A,BugList!B:B,""))</f>
        <v>Trichoptera</v>
      </c>
      <c r="M1118">
        <f>_xlfn.XLOOKUP(D1118,BugList!C:C,BugList!N:N)</f>
        <v>3</v>
      </c>
      <c r="N1118">
        <f>_xlfn.XLOOKUP(B1118,BugList!A:A,BugList!R:R)</f>
        <v>3</v>
      </c>
      <c r="O1118" t="b">
        <f>_xlfn.XLOOKUP(B1118,BugList!A:A,BugList!L:L)</f>
        <v>1</v>
      </c>
      <c r="P1118" t="b">
        <f t="shared" si="120"/>
        <v>1</v>
      </c>
      <c r="R1118" t="b">
        <f>SUMPRODUCT(COUNTIF(_xlfn.XLOOKUP(B1118,BugList!A:A,BugList!P:P), "*SC*"))&gt;0</f>
        <v>0</v>
      </c>
      <c r="S1118" t="str">
        <f>_xlfn.XLOOKUP(B1118,BugList!A:A,BugList!W:W)</f>
        <v/>
      </c>
      <c r="T1118">
        <f t="shared" si="121"/>
        <v>3</v>
      </c>
      <c r="U1118">
        <f t="shared" si="122"/>
        <v>3</v>
      </c>
    </row>
    <row r="1119" spans="1:21">
      <c r="A1119" t="s">
        <v>2684</v>
      </c>
      <c r="B1119">
        <v>935</v>
      </c>
      <c r="D1119" t="s">
        <v>98</v>
      </c>
      <c r="E1119" t="s">
        <v>98</v>
      </c>
      <c r="F1119">
        <v>3</v>
      </c>
      <c r="G1119">
        <f t="shared" si="123"/>
        <v>2.5</v>
      </c>
      <c r="H1119">
        <f t="shared" si="124"/>
        <v>2</v>
      </c>
      <c r="I1119">
        <f t="shared" si="125"/>
        <v>0.5</v>
      </c>
      <c r="J1119" cm="1">
        <f t="array" ref="J1119">INT(G1119)+IF(100-SUM(INT(G$1101:G$1121))&gt;=RANK(I1119,I$1101:I$1121)+COUNTIF(I$1101:I1119,I1119)-1,1,0)</f>
        <v>2</v>
      </c>
      <c r="K1119" t="str">
        <f>_xlfn.XLOOKUP(B1119,BugList!A:A,BugList!H:H)</f>
        <v/>
      </c>
      <c r="L1119" t="str">
        <f>IF(K1119 = "","",_xlfn.XLOOKUP(B1119, BugList!A:A,BugList!B:B,""))</f>
        <v/>
      </c>
      <c r="M1119">
        <f>_xlfn.XLOOKUP(D1119,BugList!C:C,BugList!N:N)</f>
        <v>4</v>
      </c>
      <c r="N1119">
        <f>_xlfn.XLOOKUP(B1119,BugList!A:A,BugList!R:R)</f>
        <v>4</v>
      </c>
      <c r="O1119" t="b">
        <f>_xlfn.XLOOKUP(B1119,BugList!A:A,BugList!L:L)</f>
        <v>1</v>
      </c>
      <c r="P1119" t="b">
        <f t="shared" si="120"/>
        <v>0</v>
      </c>
      <c r="R1119" t="b">
        <f>SUMPRODUCT(COUNTIF(_xlfn.XLOOKUP(B1119,BugList!A:A,BugList!P:P), "*SC*"))&gt;0</f>
        <v>1</v>
      </c>
      <c r="S1119" t="str">
        <f>_xlfn.XLOOKUP(B1119,BugList!A:A,BugList!W:W)</f>
        <v/>
      </c>
      <c r="T1119">
        <f t="shared" si="121"/>
        <v>8</v>
      </c>
      <c r="U1119">
        <f t="shared" si="122"/>
        <v>8</v>
      </c>
    </row>
    <row r="1120" spans="1:21">
      <c r="A1120" t="s">
        <v>2684</v>
      </c>
      <c r="B1120">
        <v>1002</v>
      </c>
      <c r="D1120" t="s">
        <v>100</v>
      </c>
      <c r="E1120" t="s">
        <v>100</v>
      </c>
      <c r="F1120">
        <v>12</v>
      </c>
      <c r="G1120">
        <f t="shared" si="123"/>
        <v>10</v>
      </c>
      <c r="H1120">
        <f t="shared" si="124"/>
        <v>10</v>
      </c>
      <c r="I1120">
        <f t="shared" si="125"/>
        <v>0</v>
      </c>
      <c r="J1120" cm="1">
        <f t="array" ref="J1120">INT(G1120)+IF(100-SUM(INT(G$1101:G$1121))&gt;=RANK(I1120,I$1101:I$1121)+COUNTIF(I$1101:I1120,I1120)-1,1,0)</f>
        <v>10</v>
      </c>
      <c r="K1120" t="str">
        <f>_xlfn.XLOOKUP(B1120,BugList!A:A,BugList!H:H)</f>
        <v/>
      </c>
      <c r="L1120" t="str">
        <f>IF(K1120 = "","",_xlfn.XLOOKUP(B1120, BugList!A:A,BugList!B:B,""))</f>
        <v/>
      </c>
      <c r="M1120">
        <f>_xlfn.XLOOKUP(D1120,BugList!C:C,BugList!N:N)</f>
        <v>4</v>
      </c>
      <c r="N1120">
        <f>_xlfn.XLOOKUP(B1120,BugList!A:A,BugList!R:R)</f>
        <v>4</v>
      </c>
      <c r="O1120" t="b">
        <f>_xlfn.XLOOKUP(B1120,BugList!A:A,BugList!L:L)</f>
        <v>1</v>
      </c>
      <c r="P1120" t="b">
        <f t="shared" si="120"/>
        <v>0</v>
      </c>
      <c r="R1120" t="b">
        <f>SUMPRODUCT(COUNTIF(_xlfn.XLOOKUP(B1120,BugList!A:A,BugList!P:P), "*SC*"))&gt;0</f>
        <v>1</v>
      </c>
      <c r="S1120" t="str">
        <f>_xlfn.XLOOKUP(B1120,BugList!A:A,BugList!W:W)</f>
        <v/>
      </c>
      <c r="T1120">
        <f t="shared" si="121"/>
        <v>40</v>
      </c>
      <c r="U1120">
        <f t="shared" si="122"/>
        <v>40</v>
      </c>
    </row>
    <row r="1121" spans="1:21">
      <c r="A1121" t="s">
        <v>2684</v>
      </c>
      <c r="B1121">
        <v>1088</v>
      </c>
      <c r="D1121" t="s">
        <v>90</v>
      </c>
      <c r="E1121" t="s">
        <v>90</v>
      </c>
      <c r="F1121">
        <v>7</v>
      </c>
      <c r="G1121">
        <f t="shared" si="123"/>
        <v>5.833333333333333</v>
      </c>
      <c r="H1121">
        <f t="shared" si="124"/>
        <v>5</v>
      </c>
      <c r="I1121">
        <f t="shared" si="125"/>
        <v>0.83333333333333304</v>
      </c>
      <c r="J1121" cm="1">
        <f t="array" ref="J1121">INT(G1121)+IF(100-SUM(INT(G$1101:G$1121))&gt;=RANK(I1121,I$1101:I$1121)+COUNTIF(I$1101:I1121,I1121)-1,1,0)</f>
        <v>5</v>
      </c>
      <c r="K1121" t="str">
        <f>_xlfn.XLOOKUP(B1121,BugList!A:A,BugList!H:H)</f>
        <v/>
      </c>
      <c r="L1121" t="str">
        <f>IF(K1121 = "","",_xlfn.XLOOKUP(B1121, BugList!A:A,BugList!B:B,""))</f>
        <v/>
      </c>
      <c r="M1121">
        <f>_xlfn.XLOOKUP(D1121,BugList!C:C,BugList!N:N)</f>
        <v>6</v>
      </c>
      <c r="N1121">
        <f>_xlfn.XLOOKUP(B1121,BugList!A:A,BugList!R:R)</f>
        <v>6</v>
      </c>
      <c r="O1121" t="b">
        <f>_xlfn.XLOOKUP(B1121,BugList!A:A,BugList!L:L)</f>
        <v>1</v>
      </c>
      <c r="P1121" t="b">
        <f t="shared" si="120"/>
        <v>0</v>
      </c>
      <c r="R1121" t="b">
        <f>SUMPRODUCT(COUNTIF(_xlfn.XLOOKUP(B1121,BugList!A:A,BugList!P:P), "*SC*"))&gt;0</f>
        <v>0</v>
      </c>
      <c r="S1121" t="str">
        <f>_xlfn.XLOOKUP(B1121,BugList!A:A,BugList!W:W)</f>
        <v/>
      </c>
      <c r="T1121">
        <f t="shared" si="121"/>
        <v>30</v>
      </c>
      <c r="U1121">
        <f t="shared" si="122"/>
        <v>30</v>
      </c>
    </row>
    <row r="1122" spans="1:21">
      <c r="A1122" t="s">
        <v>2685</v>
      </c>
      <c r="B1122">
        <v>88</v>
      </c>
      <c r="D1122" t="s">
        <v>85</v>
      </c>
      <c r="E1122" t="s">
        <v>85</v>
      </c>
      <c r="F1122">
        <v>3</v>
      </c>
      <c r="G1122">
        <f t="shared" si="123"/>
        <v>2.9702970297029703</v>
      </c>
      <c r="H1122">
        <f t="shared" si="124"/>
        <v>2</v>
      </c>
      <c r="I1122">
        <f t="shared" si="125"/>
        <v>0.97029702970297027</v>
      </c>
      <c r="J1122" cm="1">
        <f t="array" ref="J1122">INT(G1122)+IF(100-SUM(INT(G$1122:G$1140))&gt;=RANK(I1122,I$1122:I$1140)+COUNTIF(I$1122:I1122,I1122)-1,1,0)</f>
        <v>3</v>
      </c>
      <c r="K1122" t="str">
        <f>_xlfn.XLOOKUP(B1122,BugList!A:A,BugList!H:H)</f>
        <v/>
      </c>
      <c r="L1122" t="str">
        <f>IF(K1122 = "","",_xlfn.XLOOKUP(B1122, BugList!A:A,BugList!B:B,""))</f>
        <v/>
      </c>
      <c r="M1122">
        <f>_xlfn.XLOOKUP(D1122,BugList!C:C,BugList!N:N)</f>
        <v>4</v>
      </c>
      <c r="N1122">
        <f>_xlfn.XLOOKUP(B1122,BugList!A:A,BugList!R:R)</f>
        <v>4</v>
      </c>
      <c r="O1122" t="b">
        <f>_xlfn.XLOOKUP(B1122,BugList!A:A,BugList!L:L)</f>
        <v>0</v>
      </c>
      <c r="P1122" t="b">
        <f t="shared" si="120"/>
        <v>0</v>
      </c>
      <c r="R1122" t="b">
        <f>SUMPRODUCT(COUNTIF(_xlfn.XLOOKUP(B1122,BugList!A:A,BugList!P:P), "*SC*"))&gt;0</f>
        <v>0</v>
      </c>
      <c r="S1122" t="str">
        <f>_xlfn.XLOOKUP(B1122,BugList!A:A,BugList!W:W)</f>
        <v/>
      </c>
      <c r="T1122">
        <f t="shared" si="121"/>
        <v>12</v>
      </c>
      <c r="U1122">
        <f t="shared" si="122"/>
        <v>12</v>
      </c>
    </row>
    <row r="1123" spans="1:21">
      <c r="A1123" t="s">
        <v>2685</v>
      </c>
      <c r="B1123">
        <v>247</v>
      </c>
      <c r="D1123" t="s">
        <v>87</v>
      </c>
      <c r="E1123" t="s">
        <v>87</v>
      </c>
      <c r="F1123">
        <v>1</v>
      </c>
      <c r="G1123">
        <f t="shared" si="123"/>
        <v>0.99009900990099009</v>
      </c>
      <c r="H1123">
        <f t="shared" si="124"/>
        <v>0</v>
      </c>
      <c r="I1123">
        <f t="shared" si="125"/>
        <v>0.99009900990099009</v>
      </c>
      <c r="J1123" cm="1">
        <f t="array" ref="J1123">INT(G1123)+IF(100-SUM(INT(G$1122:G$1140))&gt;=RANK(I1123,I$1122:I$1140)+COUNTIF(I$1122:I1123,I1123)-1,1,0)</f>
        <v>1</v>
      </c>
      <c r="K1123" t="str">
        <f>_xlfn.XLOOKUP(B1123,BugList!A:A,BugList!H:H)</f>
        <v/>
      </c>
      <c r="L1123" t="str">
        <f>IF(K1123 = "","",_xlfn.XLOOKUP(B1123, BugList!A:A,BugList!B:B,""))</f>
        <v/>
      </c>
      <c r="M1123">
        <f>_xlfn.XLOOKUP(D1123,BugList!C:C,BugList!N:N)</f>
        <v>4</v>
      </c>
      <c r="N1123">
        <f>_xlfn.XLOOKUP(B1123,BugList!A:A,BugList!R:R)</f>
        <v>4</v>
      </c>
      <c r="O1123" t="b">
        <f>_xlfn.XLOOKUP(B1123,BugList!A:A,BugList!L:L)</f>
        <v>0</v>
      </c>
      <c r="P1123" t="b">
        <f t="shared" si="120"/>
        <v>0</v>
      </c>
      <c r="R1123" t="b">
        <f>SUMPRODUCT(COUNTIF(_xlfn.XLOOKUP(B1123,BugList!A:A,BugList!P:P), "*SC*"))&gt;0</f>
        <v>0</v>
      </c>
      <c r="S1123" t="str">
        <f>_xlfn.XLOOKUP(B1123,BugList!A:A,BugList!W:W)</f>
        <v/>
      </c>
      <c r="T1123">
        <f t="shared" si="121"/>
        <v>4</v>
      </c>
      <c r="U1123">
        <f t="shared" si="122"/>
        <v>4</v>
      </c>
    </row>
    <row r="1124" spans="1:21">
      <c r="A1124" t="s">
        <v>2685</v>
      </c>
      <c r="B1124">
        <v>372</v>
      </c>
      <c r="D1124" t="s">
        <v>88</v>
      </c>
      <c r="E1124" t="s">
        <v>88</v>
      </c>
      <c r="F1124">
        <v>4</v>
      </c>
      <c r="G1124">
        <f t="shared" si="123"/>
        <v>3.9603960396039604</v>
      </c>
      <c r="H1124">
        <f t="shared" si="124"/>
        <v>3</v>
      </c>
      <c r="I1124">
        <f t="shared" si="125"/>
        <v>0.96039603960396036</v>
      </c>
      <c r="J1124" cm="1">
        <f t="array" ref="J1124">INT(G1124)+IF(100-SUM(INT(G$1122:G$1140))&gt;=RANK(I1124,I$1122:I$1140)+COUNTIF(I$1122:I1124,I1124)-1,1,0)</f>
        <v>4</v>
      </c>
      <c r="K1124" t="str">
        <f>_xlfn.XLOOKUP(B1124,BugList!A:A,BugList!H:H)</f>
        <v/>
      </c>
      <c r="L1124" t="str">
        <f>IF(K1124 = "","",_xlfn.XLOOKUP(B1124, BugList!A:A,BugList!B:B,""))</f>
        <v/>
      </c>
      <c r="M1124">
        <f>_xlfn.XLOOKUP(D1124,BugList!C:C,BugList!N:N)</f>
        <v>8</v>
      </c>
      <c r="N1124">
        <f>_xlfn.XLOOKUP(B1124,BugList!A:A,BugList!R:R)</f>
        <v>8</v>
      </c>
      <c r="O1124" t="b">
        <f>_xlfn.XLOOKUP(B1124,BugList!A:A,BugList!L:L)</f>
        <v>0</v>
      </c>
      <c r="P1124" t="b">
        <f t="shared" si="120"/>
        <v>0</v>
      </c>
      <c r="R1124" t="b">
        <f>SUMPRODUCT(COUNTIF(_xlfn.XLOOKUP(B1124,BugList!A:A,BugList!P:P), "*SC*"))&gt;0</f>
        <v>0</v>
      </c>
      <c r="S1124" t="str">
        <f>_xlfn.XLOOKUP(B1124,BugList!A:A,BugList!W:W)</f>
        <v/>
      </c>
      <c r="T1124">
        <f t="shared" si="121"/>
        <v>32</v>
      </c>
      <c r="U1124">
        <f t="shared" si="122"/>
        <v>32</v>
      </c>
    </row>
    <row r="1125" spans="1:21">
      <c r="A1125" t="s">
        <v>2685</v>
      </c>
      <c r="B1125">
        <v>425</v>
      </c>
      <c r="D1125" t="s">
        <v>153</v>
      </c>
      <c r="E1125" t="s">
        <v>153</v>
      </c>
      <c r="F1125">
        <v>1</v>
      </c>
      <c r="G1125">
        <f t="shared" si="123"/>
        <v>0.99009900990099009</v>
      </c>
      <c r="H1125">
        <f t="shared" si="124"/>
        <v>0</v>
      </c>
      <c r="I1125">
        <f t="shared" si="125"/>
        <v>0.99009900990099009</v>
      </c>
      <c r="J1125" cm="1">
        <f t="array" ref="J1125">INT(G1125)+IF(100-SUM(INT(G$1122:G$1140))&gt;=RANK(I1125,I$1122:I$1140)+COUNTIF(I$1122:I1125,I1125)-1,1,0)</f>
        <v>1</v>
      </c>
      <c r="K1125" t="str">
        <f>_xlfn.XLOOKUP(B1125,BugList!A:A,BugList!H:H)</f>
        <v>*</v>
      </c>
      <c r="L1125" t="str">
        <f>IF(K1125 = "","",_xlfn.XLOOKUP(B1125, BugList!A:A,BugList!B:B,""))</f>
        <v>Plecoptera</v>
      </c>
      <c r="M1125">
        <f>_xlfn.XLOOKUP(D1125,BugList!C:C,BugList!N:N)</f>
        <v>2</v>
      </c>
      <c r="N1125">
        <f>_xlfn.XLOOKUP(B1125,BugList!A:A,BugList!R:R)</f>
        <v>2</v>
      </c>
      <c r="O1125" t="b">
        <f>_xlfn.XLOOKUP(B1125,BugList!A:A,BugList!L:L)</f>
        <v>1</v>
      </c>
      <c r="P1125" t="b">
        <f t="shared" si="120"/>
        <v>1</v>
      </c>
      <c r="R1125" t="b">
        <f>SUMPRODUCT(COUNTIF(_xlfn.XLOOKUP(B1125,BugList!A:A,BugList!P:P), "*SC*"))&gt;0</f>
        <v>0</v>
      </c>
      <c r="S1125" t="str">
        <f>_xlfn.XLOOKUP(B1125,BugList!A:A,BugList!W:W)</f>
        <v>2</v>
      </c>
      <c r="T1125">
        <f t="shared" si="121"/>
        <v>2</v>
      </c>
      <c r="U1125">
        <f t="shared" si="122"/>
        <v>2</v>
      </c>
    </row>
    <row r="1126" spans="1:21">
      <c r="A1126" t="s">
        <v>2685</v>
      </c>
      <c r="B1126">
        <v>500</v>
      </c>
      <c r="D1126" t="s">
        <v>151</v>
      </c>
      <c r="E1126" t="s">
        <v>151</v>
      </c>
      <c r="F1126">
        <v>1</v>
      </c>
      <c r="G1126">
        <f t="shared" si="123"/>
        <v>0.99009900990099009</v>
      </c>
      <c r="H1126">
        <f t="shared" si="124"/>
        <v>0</v>
      </c>
      <c r="I1126">
        <f t="shared" si="125"/>
        <v>0.99009900990099009</v>
      </c>
      <c r="J1126" cm="1">
        <f t="array" ref="J1126">INT(G1126)+IF(100-SUM(INT(G$1122:G$1140))&gt;=RANK(I1126,I$1122:I$1140)+COUNTIF(I$1122:I1126,I1126)-1,1,0)</f>
        <v>1</v>
      </c>
      <c r="K1126" t="str">
        <f>_xlfn.XLOOKUP(B1126,BugList!A:A,BugList!H:H)</f>
        <v>*</v>
      </c>
      <c r="L1126" t="str">
        <f>IF(K1126 = "","",_xlfn.XLOOKUP(B1126, BugList!A:A,BugList!B:B,""))</f>
        <v>Ephemeroptera</v>
      </c>
      <c r="M1126">
        <f>_xlfn.XLOOKUP(D1126,BugList!C:C,BugList!N:N)</f>
        <v>1</v>
      </c>
      <c r="N1126">
        <f>_xlfn.XLOOKUP(B1126,BugList!A:A,BugList!R:R)</f>
        <v>1</v>
      </c>
      <c r="O1126" t="b">
        <f>_xlfn.XLOOKUP(B1126,BugList!A:A,BugList!L:L)</f>
        <v>1</v>
      </c>
      <c r="P1126" t="b">
        <f t="shared" si="120"/>
        <v>1</v>
      </c>
      <c r="R1126" t="b">
        <f>SUMPRODUCT(COUNTIF(_xlfn.XLOOKUP(B1126,BugList!A:A,BugList!P:P), "*SC*"))&gt;0</f>
        <v>1</v>
      </c>
      <c r="S1126" t="str">
        <f>_xlfn.XLOOKUP(B1126,BugList!A:A,BugList!W:W)</f>
        <v/>
      </c>
      <c r="T1126">
        <f t="shared" si="121"/>
        <v>1</v>
      </c>
      <c r="U1126">
        <f t="shared" si="122"/>
        <v>1</v>
      </c>
    </row>
    <row r="1127" spans="1:21">
      <c r="A1127" t="s">
        <v>2685</v>
      </c>
      <c r="B1127">
        <v>513</v>
      </c>
      <c r="D1127" t="s">
        <v>111</v>
      </c>
      <c r="E1127" t="s">
        <v>111</v>
      </c>
      <c r="F1127">
        <v>1</v>
      </c>
      <c r="G1127">
        <f t="shared" si="123"/>
        <v>0.99009900990099009</v>
      </c>
      <c r="H1127">
        <f t="shared" si="124"/>
        <v>0</v>
      </c>
      <c r="I1127">
        <f t="shared" si="125"/>
        <v>0.99009900990099009</v>
      </c>
      <c r="J1127" cm="1">
        <f t="array" ref="J1127">INT(G1127)+IF(100-SUM(INT(G$1122:G$1140))&gt;=RANK(I1127,I$1122:I$1140)+COUNTIF(I$1122:I1127,I1127)-1,1,0)</f>
        <v>1</v>
      </c>
      <c r="K1127" t="str">
        <f>_xlfn.XLOOKUP(B1127,BugList!A:A,BugList!H:H)</f>
        <v>*</v>
      </c>
      <c r="L1127" t="str">
        <f>IF(K1127 = "","",_xlfn.XLOOKUP(B1127, BugList!A:A,BugList!B:B,""))</f>
        <v>Ephemeroptera</v>
      </c>
      <c r="M1127">
        <f>_xlfn.XLOOKUP(D1127,BugList!C:C,BugList!N:N)</f>
        <v>4</v>
      </c>
      <c r="N1127">
        <f>_xlfn.XLOOKUP(B1127,BugList!A:A,BugList!R:R)</f>
        <v>4</v>
      </c>
      <c r="O1127" t="b">
        <f>_xlfn.XLOOKUP(B1127,BugList!A:A,BugList!L:L)</f>
        <v>1</v>
      </c>
      <c r="P1127" t="b">
        <f t="shared" si="120"/>
        <v>1</v>
      </c>
      <c r="R1127" t="b">
        <f>SUMPRODUCT(COUNTIF(_xlfn.XLOOKUP(B1127,BugList!A:A,BugList!P:P), "*SC*"))&gt;0</f>
        <v>1</v>
      </c>
      <c r="S1127" t="str">
        <f>_xlfn.XLOOKUP(B1127,BugList!A:A,BugList!W:W)</f>
        <v/>
      </c>
      <c r="T1127">
        <f t="shared" si="121"/>
        <v>4</v>
      </c>
      <c r="U1127">
        <f t="shared" si="122"/>
        <v>4</v>
      </c>
    </row>
    <row r="1128" spans="1:21">
      <c r="A1128" t="s">
        <v>2685</v>
      </c>
      <c r="B1128">
        <v>578</v>
      </c>
      <c r="D1128" t="s">
        <v>1004</v>
      </c>
      <c r="E1128" t="s">
        <v>1004</v>
      </c>
      <c r="F1128">
        <v>2</v>
      </c>
      <c r="G1128">
        <f t="shared" si="123"/>
        <v>1.9801980198019802</v>
      </c>
      <c r="H1128">
        <f t="shared" si="124"/>
        <v>1</v>
      </c>
      <c r="I1128">
        <f t="shared" si="125"/>
        <v>0.98019801980198018</v>
      </c>
      <c r="J1128" cm="1">
        <f t="array" ref="J1128">INT(G1128)+IF(100-SUM(INT(G$1122:G$1140))&gt;=RANK(I1128,I$1122:I$1140)+COUNTIF(I$1122:I1128,I1128)-1,1,0)</f>
        <v>2</v>
      </c>
      <c r="K1128" t="str">
        <f>_xlfn.XLOOKUP(B1128,BugList!A:A,BugList!H:H)</f>
        <v>*</v>
      </c>
      <c r="L1128" t="str">
        <f>IF(K1128 = "","",_xlfn.XLOOKUP(B1128, BugList!A:A,BugList!B:B,""))</f>
        <v>Ephemeroptera</v>
      </c>
      <c r="M1128">
        <f>_xlfn.XLOOKUP(D1128,BugList!C:C,BugList!N:N)</f>
        <v>4</v>
      </c>
      <c r="N1128">
        <f>_xlfn.XLOOKUP(B1128,BugList!A:A,BugList!R:R)</f>
        <v>4</v>
      </c>
      <c r="O1128" t="b">
        <f>_xlfn.XLOOKUP(B1128,BugList!A:A,BugList!L:L)</f>
        <v>1</v>
      </c>
      <c r="P1128" t="b">
        <f t="shared" si="120"/>
        <v>1</v>
      </c>
      <c r="R1128" t="b">
        <f>SUMPRODUCT(COUNTIF(_xlfn.XLOOKUP(B1128,BugList!A:A,BugList!P:P), "*SC*"))&gt;0</f>
        <v>0</v>
      </c>
      <c r="S1128" t="str">
        <f>_xlfn.XLOOKUP(B1128,BugList!A:A,BugList!W:W)</f>
        <v/>
      </c>
      <c r="T1128">
        <f t="shared" si="121"/>
        <v>8</v>
      </c>
      <c r="U1128">
        <f t="shared" si="122"/>
        <v>8</v>
      </c>
    </row>
    <row r="1129" spans="1:21">
      <c r="A1129" t="s">
        <v>2685</v>
      </c>
      <c r="B1129">
        <v>602</v>
      </c>
      <c r="D1129" t="s">
        <v>97</v>
      </c>
      <c r="E1129" t="s">
        <v>97</v>
      </c>
      <c r="F1129">
        <v>1</v>
      </c>
      <c r="G1129">
        <f t="shared" si="123"/>
        <v>0.99009900990099009</v>
      </c>
      <c r="H1129">
        <f t="shared" si="124"/>
        <v>0</v>
      </c>
      <c r="I1129">
        <f t="shared" si="125"/>
        <v>0.99009900990099009</v>
      </c>
      <c r="J1129" cm="1">
        <f t="array" ref="J1129">INT(G1129)+IF(100-SUM(INT(G$1122:G$1140))&gt;=RANK(I1129,I$1122:I$1140)+COUNTIF(I$1122:I1129,I1129)-1,1,0)</f>
        <v>1</v>
      </c>
      <c r="K1129" t="str">
        <f>_xlfn.XLOOKUP(B1129,BugList!A:A,BugList!H:H)</f>
        <v/>
      </c>
      <c r="L1129" t="str">
        <f>IF(K1129 = "","",_xlfn.XLOOKUP(B1129, BugList!A:A,BugList!B:B,""))</f>
        <v/>
      </c>
      <c r="M1129">
        <f>_xlfn.XLOOKUP(D1129,BugList!C:C,BugList!N:N)</f>
        <v>9</v>
      </c>
      <c r="N1129">
        <f>_xlfn.XLOOKUP(B1129,BugList!A:A,BugList!R:R)</f>
        <v>9</v>
      </c>
      <c r="O1129" t="b">
        <f>_xlfn.XLOOKUP(B1129,BugList!A:A,BugList!L:L)</f>
        <v>1</v>
      </c>
      <c r="P1129" t="b">
        <f t="shared" si="120"/>
        <v>0</v>
      </c>
      <c r="R1129" t="b">
        <f>SUMPRODUCT(COUNTIF(_xlfn.XLOOKUP(B1129,BugList!A:A,BugList!P:P), "*SC*"))&gt;0</f>
        <v>0</v>
      </c>
      <c r="S1129" t="str">
        <f>_xlfn.XLOOKUP(B1129,BugList!A:A,BugList!W:W)</f>
        <v/>
      </c>
      <c r="T1129">
        <f t="shared" si="121"/>
        <v>9</v>
      </c>
      <c r="U1129">
        <f t="shared" si="122"/>
        <v>9</v>
      </c>
    </row>
    <row r="1130" spans="1:21">
      <c r="A1130" t="s">
        <v>2685</v>
      </c>
      <c r="B1130">
        <v>620</v>
      </c>
      <c r="D1130" t="s">
        <v>113</v>
      </c>
      <c r="E1130" t="s">
        <v>113</v>
      </c>
      <c r="F1130">
        <v>2</v>
      </c>
      <c r="G1130">
        <f t="shared" si="123"/>
        <v>1.9801980198019802</v>
      </c>
      <c r="H1130">
        <f t="shared" si="124"/>
        <v>1</v>
      </c>
      <c r="I1130">
        <f t="shared" si="125"/>
        <v>0.98019801980198018</v>
      </c>
      <c r="J1130" cm="1">
        <f t="array" ref="J1130">INT(G1130)+IF(100-SUM(INT(G$1122:G$1140))&gt;=RANK(I1130,I$1122:I$1140)+COUNTIF(I$1122:I1130,I1130)-1,1,0)</f>
        <v>2</v>
      </c>
      <c r="K1130" t="str">
        <f>_xlfn.XLOOKUP(B1130,BugList!A:A,BugList!H:H)</f>
        <v/>
      </c>
      <c r="L1130" t="str">
        <f>IF(K1130 = "","",_xlfn.XLOOKUP(B1130, BugList!A:A,BugList!B:B,""))</f>
        <v/>
      </c>
      <c r="M1130">
        <f>_xlfn.XLOOKUP(D1130,BugList!C:C,BugList!N:N)</f>
        <v>1</v>
      </c>
      <c r="N1130">
        <f>_xlfn.XLOOKUP(B1130,BugList!A:A,BugList!R:R)</f>
        <v>1</v>
      </c>
      <c r="O1130" t="b">
        <f>_xlfn.XLOOKUP(B1130,BugList!A:A,BugList!L:L)</f>
        <v>1</v>
      </c>
      <c r="P1130" t="b">
        <f t="shared" si="120"/>
        <v>0</v>
      </c>
      <c r="R1130" t="b">
        <f>SUMPRODUCT(COUNTIF(_xlfn.XLOOKUP(B1130,BugList!A:A,BugList!P:P), "*SC*"))&gt;0</f>
        <v>0</v>
      </c>
      <c r="S1130" t="str">
        <f>_xlfn.XLOOKUP(B1130,BugList!A:A,BugList!W:W)</f>
        <v>3</v>
      </c>
      <c r="T1130">
        <f t="shared" si="121"/>
        <v>2</v>
      </c>
      <c r="U1130">
        <f t="shared" si="122"/>
        <v>2</v>
      </c>
    </row>
    <row r="1131" spans="1:21">
      <c r="A1131" t="s">
        <v>2685</v>
      </c>
      <c r="B1131">
        <v>794</v>
      </c>
      <c r="D1131" t="s">
        <v>89</v>
      </c>
      <c r="E1131" t="s">
        <v>89</v>
      </c>
      <c r="F1131">
        <v>3</v>
      </c>
      <c r="G1131">
        <f t="shared" si="123"/>
        <v>2.9702970297029703</v>
      </c>
      <c r="H1131">
        <f t="shared" si="124"/>
        <v>2</v>
      </c>
      <c r="I1131">
        <f t="shared" si="125"/>
        <v>0.97029702970297027</v>
      </c>
      <c r="J1131" cm="1">
        <f t="array" ref="J1131">INT(G1131)+IF(100-SUM(INT(G$1122:G$1140))&gt;=RANK(I1131,I$1122:I$1140)+COUNTIF(I$1122:I1131,I1131)-1,1,0)</f>
        <v>3</v>
      </c>
      <c r="K1131" t="str">
        <f>_xlfn.XLOOKUP(B1131,BugList!A:A,BugList!H:H)</f>
        <v>*</v>
      </c>
      <c r="L1131" t="str">
        <f>IF(K1131 = "","",_xlfn.XLOOKUP(B1131, BugList!A:A,BugList!B:B,""))</f>
        <v>Trichoptera</v>
      </c>
      <c r="M1131">
        <f>_xlfn.XLOOKUP(D1131,BugList!C:C,BugList!N:N)</f>
        <v>4</v>
      </c>
      <c r="N1131">
        <f>_xlfn.XLOOKUP(B1131,BugList!A:A,BugList!R:R)</f>
        <v>4</v>
      </c>
      <c r="O1131" t="b">
        <f>_xlfn.XLOOKUP(B1131,BugList!A:A,BugList!L:L)</f>
        <v>1</v>
      </c>
      <c r="P1131" t="b">
        <f t="shared" si="120"/>
        <v>0</v>
      </c>
      <c r="R1131" t="b">
        <f>SUMPRODUCT(COUNTIF(_xlfn.XLOOKUP(B1131,BugList!A:A,BugList!P:P), "*SC*"))&gt;0</f>
        <v>0</v>
      </c>
      <c r="S1131" t="str">
        <f>_xlfn.XLOOKUP(B1131,BugList!A:A,BugList!W:W)</f>
        <v/>
      </c>
      <c r="T1131">
        <f t="shared" si="121"/>
        <v>12</v>
      </c>
      <c r="U1131">
        <f t="shared" si="122"/>
        <v>12</v>
      </c>
    </row>
    <row r="1132" spans="1:21">
      <c r="A1132" t="s">
        <v>2685</v>
      </c>
      <c r="B1132">
        <v>837</v>
      </c>
      <c r="D1132" t="s">
        <v>107</v>
      </c>
      <c r="E1132" t="s">
        <v>107</v>
      </c>
      <c r="F1132">
        <v>1</v>
      </c>
      <c r="G1132">
        <f t="shared" si="123"/>
        <v>0.99009900990099009</v>
      </c>
      <c r="H1132">
        <f t="shared" si="124"/>
        <v>0</v>
      </c>
      <c r="I1132">
        <f t="shared" si="125"/>
        <v>0.99009900990099009</v>
      </c>
      <c r="J1132" cm="1">
        <f t="array" ref="J1132">INT(G1132)+IF(100-SUM(INT(G$1122:G$1140))&gt;=RANK(I1132,I$1122:I$1140)+COUNTIF(I$1122:I1132,I1132)-1,1,0)</f>
        <v>1</v>
      </c>
      <c r="K1132" t="str">
        <f>_xlfn.XLOOKUP(B1132,BugList!A:A,BugList!H:H)</f>
        <v>*</v>
      </c>
      <c r="L1132" t="str">
        <f>IF(K1132 = "","",_xlfn.XLOOKUP(B1132, BugList!A:A,BugList!B:B,""))</f>
        <v>Trichoptera</v>
      </c>
      <c r="M1132">
        <f>_xlfn.XLOOKUP(D1132,BugList!C:C,BugList!N:N)</f>
        <v>3</v>
      </c>
      <c r="N1132">
        <f>_xlfn.XLOOKUP(B1132,BugList!A:A,BugList!R:R)</f>
        <v>3</v>
      </c>
      <c r="O1132" t="b">
        <f>_xlfn.XLOOKUP(B1132,BugList!A:A,BugList!L:L)</f>
        <v>1</v>
      </c>
      <c r="P1132" t="b">
        <f t="shared" si="120"/>
        <v>1</v>
      </c>
      <c r="R1132" t="b">
        <f>SUMPRODUCT(COUNTIF(_xlfn.XLOOKUP(B1132,BugList!A:A,BugList!P:P), "*SC*"))&gt;0</f>
        <v>0</v>
      </c>
      <c r="S1132" t="str">
        <f>_xlfn.XLOOKUP(B1132,BugList!A:A,BugList!W:W)</f>
        <v/>
      </c>
      <c r="T1132">
        <f t="shared" si="121"/>
        <v>3</v>
      </c>
      <c r="U1132">
        <f t="shared" si="122"/>
        <v>3</v>
      </c>
    </row>
    <row r="1133" spans="1:21">
      <c r="A1133" t="s">
        <v>2685</v>
      </c>
      <c r="B1133">
        <v>1002</v>
      </c>
      <c r="D1133" t="s">
        <v>100</v>
      </c>
      <c r="E1133" t="s">
        <v>100</v>
      </c>
      <c r="F1133">
        <v>19</v>
      </c>
      <c r="G1133">
        <f t="shared" si="123"/>
        <v>18.811881188118811</v>
      </c>
      <c r="H1133">
        <f t="shared" si="124"/>
        <v>18</v>
      </c>
      <c r="I1133">
        <f t="shared" si="125"/>
        <v>0.81188118811881083</v>
      </c>
      <c r="J1133" cm="1">
        <f t="array" ref="J1133">INT(G1133)+IF(100-SUM(INT(G$1122:G$1140))&gt;=RANK(I1133,I$1122:I$1140)+COUNTIF(I$1122:I1133,I1133)-1,1,0)</f>
        <v>19</v>
      </c>
      <c r="K1133" t="str">
        <f>_xlfn.XLOOKUP(B1133,BugList!A:A,BugList!H:H)</f>
        <v/>
      </c>
      <c r="L1133" t="str">
        <f>IF(K1133 = "","",_xlfn.XLOOKUP(B1133, BugList!A:A,BugList!B:B,""))</f>
        <v/>
      </c>
      <c r="M1133">
        <f>_xlfn.XLOOKUP(D1133,BugList!C:C,BugList!N:N)</f>
        <v>4</v>
      </c>
      <c r="N1133">
        <f>_xlfn.XLOOKUP(B1133,BugList!A:A,BugList!R:R)</f>
        <v>4</v>
      </c>
      <c r="O1133" t="b">
        <f>_xlfn.XLOOKUP(B1133,BugList!A:A,BugList!L:L)</f>
        <v>1</v>
      </c>
      <c r="P1133" t="b">
        <f t="shared" ref="P1133:P1196" si="126">IF(K1133="*",IF(D1133="Hydropsychidae", IF(E1133="Diplectrona",TRUE,FALSE),TRUE),FALSE)</f>
        <v>0</v>
      </c>
      <c r="R1133" t="b">
        <f>SUMPRODUCT(COUNTIF(_xlfn.XLOOKUP(B1133,BugList!A:A,BugList!P:P), "*SC*"))&gt;0</f>
        <v>1</v>
      </c>
      <c r="S1133" t="str">
        <f>_xlfn.XLOOKUP(B1133,BugList!A:A,BugList!W:W)</f>
        <v/>
      </c>
      <c r="T1133">
        <f t="shared" si="121"/>
        <v>76</v>
      </c>
      <c r="U1133">
        <f t="shared" si="122"/>
        <v>76</v>
      </c>
    </row>
    <row r="1134" spans="1:21">
      <c r="A1134" t="s">
        <v>2685</v>
      </c>
      <c r="B1134">
        <v>1088</v>
      </c>
      <c r="D1134" t="s">
        <v>90</v>
      </c>
      <c r="E1134" t="s">
        <v>90</v>
      </c>
      <c r="F1134">
        <v>30</v>
      </c>
      <c r="G1134">
        <f t="shared" si="123"/>
        <v>29.702970297029701</v>
      </c>
      <c r="H1134">
        <f t="shared" si="124"/>
        <v>29</v>
      </c>
      <c r="I1134">
        <f t="shared" si="125"/>
        <v>0.70297029702970093</v>
      </c>
      <c r="J1134" cm="1">
        <f t="array" ref="J1134">INT(G1134)+IF(100-SUM(INT(G$1122:G$1140))&gt;=RANK(I1134,I$1122:I$1140)+COUNTIF(I$1122:I1134,I1134)-1,1,0)</f>
        <v>29</v>
      </c>
      <c r="K1134" t="str">
        <f>_xlfn.XLOOKUP(B1134,BugList!A:A,BugList!H:H)</f>
        <v/>
      </c>
      <c r="L1134" t="str">
        <f>IF(K1134 = "","",_xlfn.XLOOKUP(B1134, BugList!A:A,BugList!B:B,""))</f>
        <v/>
      </c>
      <c r="M1134">
        <f>_xlfn.XLOOKUP(D1134,BugList!C:C,BugList!N:N)</f>
        <v>6</v>
      </c>
      <c r="N1134">
        <f>_xlfn.XLOOKUP(B1134,BugList!A:A,BugList!R:R)</f>
        <v>6</v>
      </c>
      <c r="O1134" t="b">
        <f>_xlfn.XLOOKUP(B1134,BugList!A:A,BugList!L:L)</f>
        <v>1</v>
      </c>
      <c r="P1134" t="b">
        <f t="shared" si="126"/>
        <v>0</v>
      </c>
      <c r="R1134" t="b">
        <f>SUMPRODUCT(COUNTIF(_xlfn.XLOOKUP(B1134,BugList!A:A,BugList!P:P), "*SC*"))&gt;0</f>
        <v>0</v>
      </c>
      <c r="S1134" t="str">
        <f>_xlfn.XLOOKUP(B1134,BugList!A:A,BugList!W:W)</f>
        <v/>
      </c>
      <c r="T1134">
        <f t="shared" si="121"/>
        <v>174</v>
      </c>
      <c r="U1134">
        <f t="shared" si="122"/>
        <v>174</v>
      </c>
    </row>
    <row r="1135" spans="1:21">
      <c r="A1135" t="s">
        <v>2685</v>
      </c>
      <c r="B1135">
        <v>1436</v>
      </c>
      <c r="D1135" t="s">
        <v>101</v>
      </c>
      <c r="E1135" t="s">
        <v>101</v>
      </c>
      <c r="F1135">
        <v>9</v>
      </c>
      <c r="G1135">
        <f t="shared" si="123"/>
        <v>8.9108910891089099</v>
      </c>
      <c r="H1135">
        <f t="shared" si="124"/>
        <v>8</v>
      </c>
      <c r="I1135">
        <f t="shared" si="125"/>
        <v>0.91089108910890992</v>
      </c>
      <c r="J1135" cm="1">
        <f t="array" ref="J1135">INT(G1135)+IF(100-SUM(INT(G$1122:G$1140))&gt;=RANK(I1135,I$1122:I$1140)+COUNTIF(I$1122:I1135,I1135)-1,1,0)</f>
        <v>9</v>
      </c>
      <c r="K1135" t="str">
        <f>_xlfn.XLOOKUP(B1135,BugList!A:A,BugList!H:H)</f>
        <v/>
      </c>
      <c r="L1135" t="str">
        <f>IF(K1135 = "","",_xlfn.XLOOKUP(B1135, BugList!A:A,BugList!B:B,""))</f>
        <v/>
      </c>
      <c r="M1135">
        <f>_xlfn.XLOOKUP(D1135,BugList!C:C,BugList!N:N)</f>
        <v>6</v>
      </c>
      <c r="N1135">
        <f>_xlfn.XLOOKUP(B1135,BugList!A:A,BugList!R:R)</f>
        <v>6</v>
      </c>
      <c r="O1135" t="b">
        <f>_xlfn.XLOOKUP(B1135,BugList!A:A,BugList!L:L)</f>
        <v>1</v>
      </c>
      <c r="P1135" t="b">
        <f t="shared" si="126"/>
        <v>0</v>
      </c>
      <c r="R1135" t="b">
        <f>SUMPRODUCT(COUNTIF(_xlfn.XLOOKUP(B1135,BugList!A:A,BugList!P:P), "*SC*"))&gt;0</f>
        <v>0</v>
      </c>
      <c r="S1135" t="str">
        <f>_xlfn.XLOOKUP(B1135,BugList!A:A,BugList!W:W)</f>
        <v/>
      </c>
      <c r="T1135">
        <f t="shared" si="121"/>
        <v>54</v>
      </c>
      <c r="U1135">
        <f t="shared" si="122"/>
        <v>54</v>
      </c>
    </row>
    <row r="1136" spans="1:21">
      <c r="A1136" t="s">
        <v>2685</v>
      </c>
      <c r="B1136">
        <v>1497</v>
      </c>
      <c r="D1136" t="s">
        <v>108</v>
      </c>
      <c r="E1136" t="s">
        <v>108</v>
      </c>
      <c r="F1136">
        <v>2</v>
      </c>
      <c r="G1136">
        <f t="shared" si="123"/>
        <v>1.9801980198019802</v>
      </c>
      <c r="H1136">
        <f t="shared" si="124"/>
        <v>1</v>
      </c>
      <c r="I1136">
        <f t="shared" si="125"/>
        <v>0.98019801980198018</v>
      </c>
      <c r="J1136" cm="1">
        <f t="array" ref="J1136">INT(G1136)+IF(100-SUM(INT(G$1122:G$1140))&gt;=RANK(I1136,I$1122:I$1140)+COUNTIF(I$1122:I1136,I1136)-1,1,0)</f>
        <v>2</v>
      </c>
      <c r="K1136" t="str">
        <f>_xlfn.XLOOKUP(B1136,BugList!A:A,BugList!H:H)</f>
        <v/>
      </c>
      <c r="L1136" t="str">
        <f>IF(K1136 = "","",_xlfn.XLOOKUP(B1136, BugList!A:A,BugList!B:B,""))</f>
        <v/>
      </c>
      <c r="M1136">
        <f>_xlfn.XLOOKUP(D1136,BugList!C:C,BugList!N:N)</f>
        <v>3</v>
      </c>
      <c r="N1136">
        <f>_xlfn.XLOOKUP(B1136,BugList!A:A,BugList!R:R)</f>
        <v>3</v>
      </c>
      <c r="O1136" t="b">
        <f>_xlfn.XLOOKUP(B1136,BugList!A:A,BugList!L:L)</f>
        <v>1</v>
      </c>
      <c r="P1136" t="b">
        <f t="shared" si="126"/>
        <v>0</v>
      </c>
      <c r="R1136" t="b">
        <f>SUMPRODUCT(COUNTIF(_xlfn.XLOOKUP(B1136,BugList!A:A,BugList!P:P), "*SC*"))&gt;0</f>
        <v>0</v>
      </c>
      <c r="S1136" t="str">
        <f>_xlfn.XLOOKUP(B1136,BugList!A:A,BugList!W:W)</f>
        <v/>
      </c>
      <c r="T1136">
        <f t="shared" si="121"/>
        <v>6</v>
      </c>
      <c r="U1136">
        <f t="shared" si="122"/>
        <v>6</v>
      </c>
    </row>
    <row r="1137" spans="1:21">
      <c r="A1137" t="s">
        <v>2685</v>
      </c>
      <c r="B1137">
        <v>1555</v>
      </c>
      <c r="D1137" t="s">
        <v>120</v>
      </c>
      <c r="E1137" t="s">
        <v>120</v>
      </c>
      <c r="F1137">
        <v>1</v>
      </c>
      <c r="G1137">
        <f t="shared" si="123"/>
        <v>0.99009900990099009</v>
      </c>
      <c r="H1137">
        <f t="shared" si="124"/>
        <v>0</v>
      </c>
      <c r="I1137">
        <f t="shared" si="125"/>
        <v>0.99009900990099009</v>
      </c>
      <c r="J1137" cm="1">
        <f t="array" ref="J1137">INT(G1137)+IF(100-SUM(INT(G$1122:G$1140))&gt;=RANK(I1137,I$1122:I$1140)+COUNTIF(I$1122:I1137,I1137)-1,1,0)</f>
        <v>1</v>
      </c>
      <c r="K1137" t="str">
        <f>_xlfn.XLOOKUP(B1137,BugList!A:A,BugList!H:H)</f>
        <v/>
      </c>
      <c r="L1137" t="str">
        <f>IF(K1137 = "","",_xlfn.XLOOKUP(B1137, BugList!A:A,BugList!B:B,""))</f>
        <v/>
      </c>
      <c r="M1137">
        <f>_xlfn.XLOOKUP(D1137,BugList!C:C,BugList!N:N)</f>
        <v>8</v>
      </c>
      <c r="N1137">
        <f>_xlfn.XLOOKUP(B1137,BugList!A:A,BugList!R:R)</f>
        <v>8</v>
      </c>
      <c r="O1137" t="b">
        <f>_xlfn.XLOOKUP(B1137,BugList!A:A,BugList!L:L)</f>
        <v>0</v>
      </c>
      <c r="P1137" t="b">
        <f t="shared" si="126"/>
        <v>0</v>
      </c>
      <c r="R1137" t="b">
        <f>SUMPRODUCT(COUNTIF(_xlfn.XLOOKUP(B1137,BugList!A:A,BugList!P:P), "*SC*"))&gt;0</f>
        <v>1</v>
      </c>
      <c r="S1137" t="str">
        <f>_xlfn.XLOOKUP(B1137,BugList!A:A,BugList!W:W)</f>
        <v/>
      </c>
      <c r="T1137">
        <f t="shared" si="121"/>
        <v>8</v>
      </c>
      <c r="U1137">
        <f t="shared" si="122"/>
        <v>8</v>
      </c>
    </row>
    <row r="1138" spans="1:21">
      <c r="A1138" t="s">
        <v>2685</v>
      </c>
      <c r="B1138">
        <v>1582</v>
      </c>
      <c r="D1138" t="s">
        <v>121</v>
      </c>
      <c r="E1138" t="s">
        <v>121</v>
      </c>
      <c r="F1138">
        <v>2</v>
      </c>
      <c r="G1138">
        <f t="shared" si="123"/>
        <v>1.9801980198019802</v>
      </c>
      <c r="H1138">
        <f t="shared" si="124"/>
        <v>1</v>
      </c>
      <c r="I1138">
        <f t="shared" si="125"/>
        <v>0.98019801980198018</v>
      </c>
      <c r="J1138" cm="1">
        <f t="array" ref="J1138">INT(G1138)+IF(100-SUM(INT(G$1122:G$1140))&gt;=RANK(I1138,I$1122:I$1140)+COUNTIF(I$1122:I1138,I1138)-1,1,0)</f>
        <v>2</v>
      </c>
      <c r="K1138" t="str">
        <f>_xlfn.XLOOKUP(B1138,BugList!A:A,BugList!H:H)</f>
        <v/>
      </c>
      <c r="L1138" t="str">
        <f>IF(K1138 = "","",_xlfn.XLOOKUP(B1138, BugList!A:A,BugList!B:B,""))</f>
        <v/>
      </c>
      <c r="M1138">
        <f>_xlfn.XLOOKUP(D1138,BugList!C:C,BugList!N:N)</f>
        <v>6</v>
      </c>
      <c r="N1138">
        <f>_xlfn.XLOOKUP(B1138,BugList!A:A,BugList!R:R)</f>
        <v>6</v>
      </c>
      <c r="O1138" t="b">
        <f>_xlfn.XLOOKUP(B1138,BugList!A:A,BugList!L:L)</f>
        <v>0</v>
      </c>
      <c r="P1138" t="b">
        <f t="shared" si="126"/>
        <v>0</v>
      </c>
      <c r="R1138" t="b">
        <f>SUMPRODUCT(COUNTIF(_xlfn.XLOOKUP(B1138,BugList!A:A,BugList!P:P), "*SC*"))&gt;0</f>
        <v>1</v>
      </c>
      <c r="S1138" t="str">
        <f>_xlfn.XLOOKUP(B1138,BugList!A:A,BugList!W:W)</f>
        <v/>
      </c>
      <c r="T1138">
        <f t="shared" si="121"/>
        <v>12</v>
      </c>
      <c r="U1138">
        <f t="shared" si="122"/>
        <v>12</v>
      </c>
    </row>
    <row r="1139" spans="1:21">
      <c r="A1139" t="s">
        <v>2685</v>
      </c>
      <c r="B1139">
        <v>1614</v>
      </c>
      <c r="D1139" t="s">
        <v>92</v>
      </c>
      <c r="E1139" t="s">
        <v>92</v>
      </c>
      <c r="F1139">
        <v>17</v>
      </c>
      <c r="G1139">
        <f t="shared" si="123"/>
        <v>16.831683168316832</v>
      </c>
      <c r="H1139">
        <f t="shared" si="124"/>
        <v>16</v>
      </c>
      <c r="I1139">
        <f t="shared" si="125"/>
        <v>0.83168316831683242</v>
      </c>
      <c r="J1139" cm="1">
        <f t="array" ref="J1139">INT(G1139)+IF(100-SUM(INT(G$1122:G$1140))&gt;=RANK(I1139,I$1122:I$1140)+COUNTIF(I$1122:I1139,I1139)-1,1,0)</f>
        <v>17</v>
      </c>
      <c r="K1139" t="str">
        <f>_xlfn.XLOOKUP(B1139,BugList!A:A,BugList!H:H)</f>
        <v/>
      </c>
      <c r="L1139" t="str">
        <f>IF(K1139 = "","",_xlfn.XLOOKUP(B1139, BugList!A:A,BugList!B:B,""))</f>
        <v/>
      </c>
      <c r="M1139">
        <f>_xlfn.XLOOKUP(D1139,BugList!C:C,BugList!N:N)</f>
        <v>8</v>
      </c>
      <c r="N1139">
        <f>_xlfn.XLOOKUP(B1139,BugList!A:A,BugList!R:R)</f>
        <v>8</v>
      </c>
      <c r="O1139" t="b">
        <f>_xlfn.XLOOKUP(B1139,BugList!A:A,BugList!L:L)</f>
        <v>0</v>
      </c>
      <c r="P1139" t="b">
        <f t="shared" si="126"/>
        <v>0</v>
      </c>
      <c r="R1139" t="b">
        <f>SUMPRODUCT(COUNTIF(_xlfn.XLOOKUP(B1139,BugList!A:A,BugList!P:P), "*SC*"))&gt;0</f>
        <v>0</v>
      </c>
      <c r="S1139" t="str">
        <f>_xlfn.XLOOKUP(B1139,BugList!A:A,BugList!W:W)</f>
        <v/>
      </c>
      <c r="T1139">
        <f t="shared" si="121"/>
        <v>136</v>
      </c>
      <c r="U1139">
        <f t="shared" si="122"/>
        <v>136</v>
      </c>
    </row>
    <row r="1140" spans="1:21">
      <c r="A1140" t="s">
        <v>2685</v>
      </c>
      <c r="B1140">
        <v>1696</v>
      </c>
      <c r="D1140" t="s">
        <v>94</v>
      </c>
      <c r="E1140" t="s">
        <v>94</v>
      </c>
      <c r="F1140">
        <v>1</v>
      </c>
      <c r="G1140">
        <f t="shared" si="123"/>
        <v>0.99009900990099009</v>
      </c>
      <c r="H1140">
        <f t="shared" si="124"/>
        <v>0</v>
      </c>
      <c r="I1140">
        <f t="shared" si="125"/>
        <v>0.99009900990099009</v>
      </c>
      <c r="J1140" cm="1">
        <f t="array" ref="J1140">INT(G1140)+IF(100-SUM(INT(G$1122:G$1140))&gt;=RANK(I1140,I$1122:I$1140)+COUNTIF(I$1122:I1140,I1140)-1,1,0)</f>
        <v>1</v>
      </c>
      <c r="K1140" t="str">
        <f>_xlfn.XLOOKUP(B1140,BugList!A:A,BugList!H:H)</f>
        <v/>
      </c>
      <c r="L1140" t="str">
        <f>IF(K1140 = "","",_xlfn.XLOOKUP(B1140, BugList!A:A,BugList!B:B,""))</f>
        <v/>
      </c>
      <c r="M1140">
        <f>_xlfn.XLOOKUP(D1140,BugList!C:C,BugList!N:N)</f>
        <v>8</v>
      </c>
      <c r="N1140">
        <f>_xlfn.XLOOKUP(B1140,BugList!A:A,BugList!R:R)</f>
        <v>8</v>
      </c>
      <c r="O1140" t="b">
        <f>_xlfn.XLOOKUP(B1140,BugList!A:A,BugList!L:L)</f>
        <v>0</v>
      </c>
      <c r="P1140" t="b">
        <f t="shared" si="126"/>
        <v>0</v>
      </c>
      <c r="R1140" t="b">
        <f>SUMPRODUCT(COUNTIF(_xlfn.XLOOKUP(B1140,BugList!A:A,BugList!P:P), "*SC*"))&gt;0</f>
        <v>0</v>
      </c>
      <c r="S1140" t="str">
        <f>_xlfn.XLOOKUP(B1140,BugList!A:A,BugList!W:W)</f>
        <v/>
      </c>
      <c r="T1140">
        <f t="shared" si="121"/>
        <v>8</v>
      </c>
      <c r="U1140">
        <f t="shared" si="122"/>
        <v>8</v>
      </c>
    </row>
    <row r="1141" spans="1:21">
      <c r="A1141" t="s">
        <v>2686</v>
      </c>
      <c r="B1141">
        <v>63</v>
      </c>
      <c r="D1141" t="s">
        <v>84</v>
      </c>
      <c r="E1141" t="s">
        <v>84</v>
      </c>
      <c r="F1141">
        <v>3</v>
      </c>
      <c r="G1141">
        <f t="shared" si="123"/>
        <v>2.9411764705882351</v>
      </c>
      <c r="H1141">
        <f t="shared" si="124"/>
        <v>2</v>
      </c>
      <c r="I1141">
        <f t="shared" si="125"/>
        <v>0.94117647058823506</v>
      </c>
      <c r="J1141" cm="1">
        <f t="array" ref="J1141">INT(G1141)+IF(100-SUM(INT(G$1141:G$1154))&gt;=RANK(I1141,I$1141:I$1154)+COUNTIF(I$1141:I1141,I1141)-1,1,0)</f>
        <v>3</v>
      </c>
      <c r="K1141" t="str">
        <f>_xlfn.XLOOKUP(B1141,BugList!A:A,BugList!H:H)</f>
        <v/>
      </c>
      <c r="L1141" t="str">
        <f>IF(K1141 = "","",_xlfn.XLOOKUP(B1141, BugList!A:A,BugList!B:B,""))</f>
        <v/>
      </c>
      <c r="M1141">
        <f>_xlfn.XLOOKUP(D1141,BugList!C:C,BugList!N:N)</f>
        <v>8</v>
      </c>
      <c r="N1141">
        <f>_xlfn.XLOOKUP(B1141,BugList!A:A,BugList!R:R)</f>
        <v>8</v>
      </c>
      <c r="O1141" t="b">
        <f>_xlfn.XLOOKUP(B1141,BugList!A:A,BugList!L:L)</f>
        <v>0</v>
      </c>
      <c r="P1141" t="b">
        <f t="shared" si="126"/>
        <v>0</v>
      </c>
      <c r="R1141" t="b">
        <f>SUMPRODUCT(COUNTIF(_xlfn.XLOOKUP(B1141,BugList!A:A,BugList!P:P), "*SC*"))&gt;0</f>
        <v>0</v>
      </c>
      <c r="S1141" t="str">
        <f>_xlfn.XLOOKUP(B1141,BugList!A:A,BugList!W:W)</f>
        <v/>
      </c>
      <c r="T1141">
        <f t="shared" si="121"/>
        <v>24</v>
      </c>
      <c r="U1141">
        <f t="shared" si="122"/>
        <v>24</v>
      </c>
    </row>
    <row r="1142" spans="1:21">
      <c r="A1142" t="s">
        <v>2686</v>
      </c>
      <c r="B1142">
        <v>88</v>
      </c>
      <c r="D1142" t="s">
        <v>85</v>
      </c>
      <c r="E1142" t="s">
        <v>85</v>
      </c>
      <c r="F1142">
        <v>5</v>
      </c>
      <c r="G1142">
        <f t="shared" si="123"/>
        <v>4.9019607843137258</v>
      </c>
      <c r="H1142">
        <f t="shared" si="124"/>
        <v>4</v>
      </c>
      <c r="I1142">
        <f t="shared" si="125"/>
        <v>0.90196078431372584</v>
      </c>
      <c r="J1142" cm="1">
        <f t="array" ref="J1142">INT(G1142)+IF(100-SUM(INT(G$1141:G$1154))&gt;=RANK(I1142,I$1141:I$1154)+COUNTIF(I$1141:I1142,I1142)-1,1,0)</f>
        <v>5</v>
      </c>
      <c r="K1142" t="str">
        <f>_xlfn.XLOOKUP(B1142,BugList!A:A,BugList!H:H)</f>
        <v/>
      </c>
      <c r="L1142" t="str">
        <f>IF(K1142 = "","",_xlfn.XLOOKUP(B1142, BugList!A:A,BugList!B:B,""))</f>
        <v/>
      </c>
      <c r="M1142">
        <f>_xlfn.XLOOKUP(D1142,BugList!C:C,BugList!N:N)</f>
        <v>4</v>
      </c>
      <c r="N1142">
        <f>_xlfn.XLOOKUP(B1142,BugList!A:A,BugList!R:R)</f>
        <v>4</v>
      </c>
      <c r="O1142" t="b">
        <f>_xlfn.XLOOKUP(B1142,BugList!A:A,BugList!L:L)</f>
        <v>0</v>
      </c>
      <c r="P1142" t="b">
        <f t="shared" si="126"/>
        <v>0</v>
      </c>
      <c r="R1142" t="b">
        <f>SUMPRODUCT(COUNTIF(_xlfn.XLOOKUP(B1142,BugList!A:A,BugList!P:P), "*SC*"))&gt;0</f>
        <v>0</v>
      </c>
      <c r="S1142" t="str">
        <f>_xlfn.XLOOKUP(B1142,BugList!A:A,BugList!W:W)</f>
        <v/>
      </c>
      <c r="T1142">
        <f t="shared" si="121"/>
        <v>20</v>
      </c>
      <c r="U1142">
        <f t="shared" si="122"/>
        <v>20</v>
      </c>
    </row>
    <row r="1143" spans="1:21">
      <c r="A1143" t="s">
        <v>2686</v>
      </c>
      <c r="B1143">
        <v>513</v>
      </c>
      <c r="D1143" t="s">
        <v>111</v>
      </c>
      <c r="E1143" t="s">
        <v>111</v>
      </c>
      <c r="F1143">
        <v>25</v>
      </c>
      <c r="G1143">
        <f t="shared" si="123"/>
        <v>24.509803921568626</v>
      </c>
      <c r="H1143">
        <f t="shared" si="124"/>
        <v>24</v>
      </c>
      <c r="I1143">
        <f t="shared" si="125"/>
        <v>0.50980392156862564</v>
      </c>
      <c r="J1143" cm="1">
        <f t="array" ref="J1143">INT(G1143)+IF(100-SUM(INT(G$1141:G$1154))&gt;=RANK(I1143,I$1141:I$1154)+COUNTIF(I$1141:I1143,I1143)-1,1,0)</f>
        <v>24</v>
      </c>
      <c r="K1143" t="str">
        <f>_xlfn.XLOOKUP(B1143,BugList!A:A,BugList!H:H)</f>
        <v>*</v>
      </c>
      <c r="L1143" t="str">
        <f>IF(K1143 = "","",_xlfn.XLOOKUP(B1143, BugList!A:A,BugList!B:B,""))</f>
        <v>Ephemeroptera</v>
      </c>
      <c r="M1143">
        <f>_xlfn.XLOOKUP(D1143,BugList!C:C,BugList!N:N)</f>
        <v>4</v>
      </c>
      <c r="N1143">
        <f>_xlfn.XLOOKUP(B1143,BugList!A:A,BugList!R:R)</f>
        <v>4</v>
      </c>
      <c r="O1143" t="b">
        <f>_xlfn.XLOOKUP(B1143,BugList!A:A,BugList!L:L)</f>
        <v>1</v>
      </c>
      <c r="P1143" t="b">
        <f t="shared" si="126"/>
        <v>1</v>
      </c>
      <c r="R1143" t="b">
        <f>SUMPRODUCT(COUNTIF(_xlfn.XLOOKUP(B1143,BugList!A:A,BugList!P:P), "*SC*"))&gt;0</f>
        <v>1</v>
      </c>
      <c r="S1143" t="str">
        <f>_xlfn.XLOOKUP(B1143,BugList!A:A,BugList!W:W)</f>
        <v/>
      </c>
      <c r="T1143">
        <f t="shared" si="121"/>
        <v>96</v>
      </c>
      <c r="U1143">
        <f t="shared" si="122"/>
        <v>96</v>
      </c>
    </row>
    <row r="1144" spans="1:21">
      <c r="A1144" t="s">
        <v>2686</v>
      </c>
      <c r="B1144">
        <v>602</v>
      </c>
      <c r="D1144" t="s">
        <v>97</v>
      </c>
      <c r="E1144" t="s">
        <v>97</v>
      </c>
      <c r="F1144">
        <v>3</v>
      </c>
      <c r="G1144">
        <f t="shared" si="123"/>
        <v>2.9411764705882351</v>
      </c>
      <c r="H1144">
        <f t="shared" si="124"/>
        <v>2</v>
      </c>
      <c r="I1144">
        <f t="shared" si="125"/>
        <v>0.94117647058823506</v>
      </c>
      <c r="J1144" cm="1">
        <f t="array" ref="J1144">INT(G1144)+IF(100-SUM(INT(G$1141:G$1154))&gt;=RANK(I1144,I$1141:I$1154)+COUNTIF(I$1141:I1144,I1144)-1,1,0)</f>
        <v>3</v>
      </c>
      <c r="K1144" t="str">
        <f>_xlfn.XLOOKUP(B1144,BugList!A:A,BugList!H:H)</f>
        <v/>
      </c>
      <c r="L1144" t="str">
        <f>IF(K1144 = "","",_xlfn.XLOOKUP(B1144, BugList!A:A,BugList!B:B,""))</f>
        <v/>
      </c>
      <c r="M1144">
        <f>_xlfn.XLOOKUP(D1144,BugList!C:C,BugList!N:N)</f>
        <v>9</v>
      </c>
      <c r="N1144">
        <f>_xlfn.XLOOKUP(B1144,BugList!A:A,BugList!R:R)</f>
        <v>9</v>
      </c>
      <c r="O1144" t="b">
        <f>_xlfn.XLOOKUP(B1144,BugList!A:A,BugList!L:L)</f>
        <v>1</v>
      </c>
      <c r="P1144" t="b">
        <f t="shared" si="126"/>
        <v>0</v>
      </c>
      <c r="R1144" t="b">
        <f>SUMPRODUCT(COUNTIF(_xlfn.XLOOKUP(B1144,BugList!A:A,BugList!P:P), "*SC*"))&gt;0</f>
        <v>0</v>
      </c>
      <c r="S1144" t="str">
        <f>_xlfn.XLOOKUP(B1144,BugList!A:A,BugList!W:W)</f>
        <v/>
      </c>
      <c r="T1144">
        <f t="shared" si="121"/>
        <v>27</v>
      </c>
      <c r="U1144">
        <f t="shared" si="122"/>
        <v>27</v>
      </c>
    </row>
    <row r="1145" spans="1:21">
      <c r="A1145" t="s">
        <v>2686</v>
      </c>
      <c r="B1145">
        <v>794</v>
      </c>
      <c r="D1145" t="s">
        <v>89</v>
      </c>
      <c r="E1145" t="s">
        <v>89</v>
      </c>
      <c r="F1145">
        <v>3</v>
      </c>
      <c r="G1145">
        <f t="shared" si="123"/>
        <v>2.9411764705882351</v>
      </c>
      <c r="H1145">
        <f t="shared" si="124"/>
        <v>2</v>
      </c>
      <c r="I1145">
        <f t="shared" si="125"/>
        <v>0.94117647058823506</v>
      </c>
      <c r="J1145" cm="1">
        <f t="array" ref="J1145">INT(G1145)+IF(100-SUM(INT(G$1141:G$1154))&gt;=RANK(I1145,I$1141:I$1154)+COUNTIF(I$1141:I1145,I1145)-1,1,0)</f>
        <v>3</v>
      </c>
      <c r="K1145" t="str">
        <f>_xlfn.XLOOKUP(B1145,BugList!A:A,BugList!H:H)</f>
        <v>*</v>
      </c>
      <c r="L1145" t="str">
        <f>IF(K1145 = "","",_xlfn.XLOOKUP(B1145, BugList!A:A,BugList!B:B,""))</f>
        <v>Trichoptera</v>
      </c>
      <c r="M1145">
        <f>_xlfn.XLOOKUP(D1145,BugList!C:C,BugList!N:N)</f>
        <v>4</v>
      </c>
      <c r="N1145">
        <f>_xlfn.XLOOKUP(B1145,BugList!A:A,BugList!R:R)</f>
        <v>4</v>
      </c>
      <c r="O1145" t="b">
        <f>_xlfn.XLOOKUP(B1145,BugList!A:A,BugList!L:L)</f>
        <v>1</v>
      </c>
      <c r="P1145" t="b">
        <f t="shared" si="126"/>
        <v>0</v>
      </c>
      <c r="R1145" t="b">
        <f>SUMPRODUCT(COUNTIF(_xlfn.XLOOKUP(B1145,BugList!A:A,BugList!P:P), "*SC*"))&gt;0</f>
        <v>0</v>
      </c>
      <c r="S1145" t="str">
        <f>_xlfn.XLOOKUP(B1145,BugList!A:A,BugList!W:W)</f>
        <v/>
      </c>
      <c r="T1145">
        <f t="shared" si="121"/>
        <v>12</v>
      </c>
      <c r="U1145">
        <f t="shared" si="122"/>
        <v>12</v>
      </c>
    </row>
    <row r="1146" spans="1:21">
      <c r="A1146" t="s">
        <v>2686</v>
      </c>
      <c r="B1146">
        <v>935</v>
      </c>
      <c r="D1146" t="s">
        <v>98</v>
      </c>
      <c r="E1146" t="s">
        <v>98</v>
      </c>
      <c r="F1146">
        <v>1</v>
      </c>
      <c r="G1146">
        <f t="shared" si="123"/>
        <v>0.98039215686274506</v>
      </c>
      <c r="H1146">
        <f t="shared" si="124"/>
        <v>0</v>
      </c>
      <c r="I1146">
        <f t="shared" si="125"/>
        <v>0.98039215686274506</v>
      </c>
      <c r="J1146" cm="1">
        <f t="array" ref="J1146">INT(G1146)+IF(100-SUM(INT(G$1141:G$1154))&gt;=RANK(I1146,I$1141:I$1154)+COUNTIF(I$1141:I1146,I1146)-1,1,0)</f>
        <v>1</v>
      </c>
      <c r="K1146" t="str">
        <f>_xlfn.XLOOKUP(B1146,BugList!A:A,BugList!H:H)</f>
        <v/>
      </c>
      <c r="L1146" t="str">
        <f>IF(K1146 = "","",_xlfn.XLOOKUP(B1146, BugList!A:A,BugList!B:B,""))</f>
        <v/>
      </c>
      <c r="M1146">
        <f>_xlfn.XLOOKUP(D1146,BugList!C:C,BugList!N:N)</f>
        <v>4</v>
      </c>
      <c r="N1146">
        <f>_xlfn.XLOOKUP(B1146,BugList!A:A,BugList!R:R)</f>
        <v>4</v>
      </c>
      <c r="O1146" t="b">
        <f>_xlfn.XLOOKUP(B1146,BugList!A:A,BugList!L:L)</f>
        <v>1</v>
      </c>
      <c r="P1146" t="b">
        <f t="shared" si="126"/>
        <v>0</v>
      </c>
      <c r="R1146" t="b">
        <f>SUMPRODUCT(COUNTIF(_xlfn.XLOOKUP(B1146,BugList!A:A,BugList!P:P), "*SC*"))&gt;0</f>
        <v>1</v>
      </c>
      <c r="S1146" t="str">
        <f>_xlfn.XLOOKUP(B1146,BugList!A:A,BugList!W:W)</f>
        <v/>
      </c>
      <c r="T1146">
        <f t="shared" si="121"/>
        <v>4</v>
      </c>
      <c r="U1146">
        <f t="shared" si="122"/>
        <v>4</v>
      </c>
    </row>
    <row r="1147" spans="1:21">
      <c r="A1147" t="s">
        <v>2686</v>
      </c>
      <c r="B1147">
        <v>1002</v>
      </c>
      <c r="D1147" t="s">
        <v>100</v>
      </c>
      <c r="E1147" t="s">
        <v>100</v>
      </c>
      <c r="F1147">
        <v>36</v>
      </c>
      <c r="G1147">
        <f t="shared" si="123"/>
        <v>35.294117647058826</v>
      </c>
      <c r="H1147">
        <f t="shared" si="124"/>
        <v>35</v>
      </c>
      <c r="I1147">
        <f t="shared" si="125"/>
        <v>0.29411764705882604</v>
      </c>
      <c r="J1147" cm="1">
        <f t="array" ref="J1147">INT(G1147)+IF(100-SUM(INT(G$1141:G$1154))&gt;=RANK(I1147,I$1141:I$1154)+COUNTIF(I$1141:I1147,I1147)-1,1,0)</f>
        <v>35</v>
      </c>
      <c r="K1147" t="str">
        <f>_xlfn.XLOOKUP(B1147,BugList!A:A,BugList!H:H)</f>
        <v/>
      </c>
      <c r="L1147" t="str">
        <f>IF(K1147 = "","",_xlfn.XLOOKUP(B1147, BugList!A:A,BugList!B:B,""))</f>
        <v/>
      </c>
      <c r="M1147">
        <f>_xlfn.XLOOKUP(D1147,BugList!C:C,BugList!N:N)</f>
        <v>4</v>
      </c>
      <c r="N1147">
        <f>_xlfn.XLOOKUP(B1147,BugList!A:A,BugList!R:R)</f>
        <v>4</v>
      </c>
      <c r="O1147" t="b">
        <f>_xlfn.XLOOKUP(B1147,BugList!A:A,BugList!L:L)</f>
        <v>1</v>
      </c>
      <c r="P1147" t="b">
        <f t="shared" si="126"/>
        <v>0</v>
      </c>
      <c r="R1147" t="b">
        <f>SUMPRODUCT(COUNTIF(_xlfn.XLOOKUP(B1147,BugList!A:A,BugList!P:P), "*SC*"))&gt;0</f>
        <v>1</v>
      </c>
      <c r="S1147" t="str">
        <f>_xlfn.XLOOKUP(B1147,BugList!A:A,BugList!W:W)</f>
        <v/>
      </c>
      <c r="T1147">
        <f t="shared" si="121"/>
        <v>140</v>
      </c>
      <c r="U1147">
        <f t="shared" si="122"/>
        <v>140</v>
      </c>
    </row>
    <row r="1148" spans="1:21">
      <c r="A1148" t="s">
        <v>2686</v>
      </c>
      <c r="B1148">
        <v>1088</v>
      </c>
      <c r="D1148" t="s">
        <v>90</v>
      </c>
      <c r="E1148" t="s">
        <v>90</v>
      </c>
      <c r="F1148">
        <v>1</v>
      </c>
      <c r="G1148">
        <f t="shared" si="123"/>
        <v>0.98039215686274506</v>
      </c>
      <c r="H1148">
        <f t="shared" si="124"/>
        <v>0</v>
      </c>
      <c r="I1148">
        <f t="shared" si="125"/>
        <v>0.98039215686274506</v>
      </c>
      <c r="J1148" cm="1">
        <f t="array" ref="J1148">INT(G1148)+IF(100-SUM(INT(G$1141:G$1154))&gt;=RANK(I1148,I$1141:I$1154)+COUNTIF(I$1141:I1148,I1148)-1,1,0)</f>
        <v>1</v>
      </c>
      <c r="K1148" t="str">
        <f>_xlfn.XLOOKUP(B1148,BugList!A:A,BugList!H:H)</f>
        <v/>
      </c>
      <c r="L1148" t="str">
        <f>IF(K1148 = "","",_xlfn.XLOOKUP(B1148, BugList!A:A,BugList!B:B,""))</f>
        <v/>
      </c>
      <c r="M1148">
        <f>_xlfn.XLOOKUP(D1148,BugList!C:C,BugList!N:N)</f>
        <v>6</v>
      </c>
      <c r="N1148">
        <f>_xlfn.XLOOKUP(B1148,BugList!A:A,BugList!R:R)</f>
        <v>6</v>
      </c>
      <c r="O1148" t="b">
        <f>_xlfn.XLOOKUP(B1148,BugList!A:A,BugList!L:L)</f>
        <v>1</v>
      </c>
      <c r="P1148" t="b">
        <f t="shared" si="126"/>
        <v>0</v>
      </c>
      <c r="R1148" t="b">
        <f>SUMPRODUCT(COUNTIF(_xlfn.XLOOKUP(B1148,BugList!A:A,BugList!P:P), "*SC*"))&gt;0</f>
        <v>0</v>
      </c>
      <c r="S1148" t="str">
        <f>_xlfn.XLOOKUP(B1148,BugList!A:A,BugList!W:W)</f>
        <v/>
      </c>
      <c r="T1148">
        <f t="shared" si="121"/>
        <v>6</v>
      </c>
      <c r="U1148">
        <f t="shared" si="122"/>
        <v>6</v>
      </c>
    </row>
    <row r="1149" spans="1:21">
      <c r="A1149" t="s">
        <v>2686</v>
      </c>
      <c r="B1149">
        <v>1089</v>
      </c>
      <c r="D1149" t="s">
        <v>126</v>
      </c>
      <c r="E1149" t="s">
        <v>127</v>
      </c>
      <c r="F1149">
        <v>1</v>
      </c>
      <c r="G1149">
        <f t="shared" si="123"/>
        <v>0.98039215686274506</v>
      </c>
      <c r="H1149">
        <f t="shared" si="124"/>
        <v>0</v>
      </c>
      <c r="I1149">
        <f t="shared" si="125"/>
        <v>0.98039215686274506</v>
      </c>
      <c r="J1149" cm="1">
        <f t="array" ref="J1149">INT(G1149)+IF(100-SUM(INT(G$1141:G$1154))&gt;=RANK(I1149,I$1141:I$1154)+COUNTIF(I$1141:I1149,I1149)-1,1,0)</f>
        <v>1</v>
      </c>
      <c r="K1149" t="str">
        <f>_xlfn.XLOOKUP(B1149,BugList!A:A,BugList!H:H)</f>
        <v/>
      </c>
      <c r="L1149" t="str">
        <f>IF(K1149 = "","",_xlfn.XLOOKUP(B1149, BugList!A:A,BugList!B:B,""))</f>
        <v/>
      </c>
      <c r="M1149">
        <f>_xlfn.XLOOKUP(D1149,BugList!C:C,BugList!N:N)</f>
        <v>8</v>
      </c>
      <c r="N1149">
        <f>_xlfn.XLOOKUP(B1149,BugList!A:A,BugList!R:R)</f>
        <v>10</v>
      </c>
      <c r="O1149" t="b">
        <f>_xlfn.XLOOKUP(B1149,BugList!A:A,BugList!L:L)</f>
        <v>1</v>
      </c>
      <c r="P1149" t="b">
        <f t="shared" si="126"/>
        <v>0</v>
      </c>
      <c r="R1149" t="b">
        <f>SUMPRODUCT(COUNTIF(_xlfn.XLOOKUP(B1149,BugList!A:A,BugList!P:P), "*SC*"))&gt;0</f>
        <v>0</v>
      </c>
      <c r="S1149" t="str">
        <f>_xlfn.XLOOKUP(B1149,BugList!A:A,BugList!W:W)</f>
        <v/>
      </c>
      <c r="T1149">
        <f t="shared" si="121"/>
        <v>8</v>
      </c>
      <c r="U1149">
        <f t="shared" si="122"/>
        <v>10</v>
      </c>
    </row>
    <row r="1150" spans="1:21">
      <c r="A1150" t="s">
        <v>2686</v>
      </c>
      <c r="B1150">
        <v>1471</v>
      </c>
      <c r="D1150" t="s">
        <v>1758</v>
      </c>
      <c r="E1150" t="s">
        <v>1758</v>
      </c>
      <c r="F1150">
        <v>1</v>
      </c>
      <c r="G1150">
        <f t="shared" si="123"/>
        <v>0.98039215686274506</v>
      </c>
      <c r="H1150">
        <f t="shared" si="124"/>
        <v>0</v>
      </c>
      <c r="I1150">
        <f t="shared" si="125"/>
        <v>0.98039215686274506</v>
      </c>
      <c r="J1150" cm="1">
        <f t="array" ref="J1150">INT(G1150)+IF(100-SUM(INT(G$1141:G$1154))&gt;=RANK(I1150,I$1141:I$1154)+COUNTIF(I$1141:I1150,I1150)-1,1,0)</f>
        <v>1</v>
      </c>
      <c r="K1150" t="str">
        <f>_xlfn.XLOOKUP(B1150,BugList!A:A,BugList!H:H)</f>
        <v/>
      </c>
      <c r="L1150" t="str">
        <f>IF(K1150 = "","",_xlfn.XLOOKUP(B1150, BugList!A:A,BugList!B:B,""))</f>
        <v/>
      </c>
      <c r="M1150">
        <f>_xlfn.XLOOKUP(D1150,BugList!C:C,BugList!N:N)</f>
        <v>6</v>
      </c>
      <c r="N1150">
        <f>_xlfn.XLOOKUP(B1150,BugList!A:A,BugList!R:R)</f>
        <v>6</v>
      </c>
      <c r="O1150" t="b">
        <f>_xlfn.XLOOKUP(B1150,BugList!A:A,BugList!L:L)</f>
        <v>1</v>
      </c>
      <c r="P1150" t="b">
        <f t="shared" si="126"/>
        <v>0</v>
      </c>
      <c r="R1150" t="b">
        <f>SUMPRODUCT(COUNTIF(_xlfn.XLOOKUP(B1150,BugList!A:A,BugList!P:P), "*SC*"))&gt;0</f>
        <v>0</v>
      </c>
      <c r="S1150" t="str">
        <f>_xlfn.XLOOKUP(B1150,BugList!A:A,BugList!W:W)</f>
        <v/>
      </c>
      <c r="T1150">
        <f t="shared" si="121"/>
        <v>6</v>
      </c>
      <c r="U1150">
        <f t="shared" si="122"/>
        <v>6</v>
      </c>
    </row>
    <row r="1151" spans="1:21">
      <c r="A1151" t="s">
        <v>2686</v>
      </c>
      <c r="B1151">
        <v>1614</v>
      </c>
      <c r="D1151" t="s">
        <v>92</v>
      </c>
      <c r="E1151" t="s">
        <v>92</v>
      </c>
      <c r="F1151">
        <v>2</v>
      </c>
      <c r="G1151">
        <f t="shared" si="123"/>
        <v>1.9607843137254901</v>
      </c>
      <c r="H1151">
        <f t="shared" si="124"/>
        <v>1</v>
      </c>
      <c r="I1151">
        <f t="shared" si="125"/>
        <v>0.96078431372549011</v>
      </c>
      <c r="J1151" cm="1">
        <f t="array" ref="J1151">INT(G1151)+IF(100-SUM(INT(G$1141:G$1154))&gt;=RANK(I1151,I$1141:I$1154)+COUNTIF(I$1141:I1151,I1151)-1,1,0)</f>
        <v>2</v>
      </c>
      <c r="K1151" t="str">
        <f>_xlfn.XLOOKUP(B1151,BugList!A:A,BugList!H:H)</f>
        <v/>
      </c>
      <c r="L1151" t="str">
        <f>IF(K1151 = "","",_xlfn.XLOOKUP(B1151, BugList!A:A,BugList!B:B,""))</f>
        <v/>
      </c>
      <c r="M1151">
        <f>_xlfn.XLOOKUP(D1151,BugList!C:C,BugList!N:N)</f>
        <v>8</v>
      </c>
      <c r="N1151">
        <f>_xlfn.XLOOKUP(B1151,BugList!A:A,BugList!R:R)</f>
        <v>8</v>
      </c>
      <c r="O1151" t="b">
        <f>_xlfn.XLOOKUP(B1151,BugList!A:A,BugList!L:L)</f>
        <v>0</v>
      </c>
      <c r="P1151" t="b">
        <f t="shared" si="126"/>
        <v>0</v>
      </c>
      <c r="R1151" t="b">
        <f>SUMPRODUCT(COUNTIF(_xlfn.XLOOKUP(B1151,BugList!A:A,BugList!P:P), "*SC*"))&gt;0</f>
        <v>0</v>
      </c>
      <c r="S1151" t="str">
        <f>_xlfn.XLOOKUP(B1151,BugList!A:A,BugList!W:W)</f>
        <v/>
      </c>
      <c r="T1151">
        <f t="shared" si="121"/>
        <v>16</v>
      </c>
      <c r="U1151">
        <f t="shared" si="122"/>
        <v>16</v>
      </c>
    </row>
    <row r="1152" spans="1:21">
      <c r="A1152" t="s">
        <v>2686</v>
      </c>
      <c r="B1152">
        <v>1629</v>
      </c>
      <c r="D1152" t="s">
        <v>93</v>
      </c>
      <c r="E1152" t="s">
        <v>93</v>
      </c>
      <c r="F1152">
        <v>1</v>
      </c>
      <c r="G1152">
        <f t="shared" si="123"/>
        <v>0.98039215686274506</v>
      </c>
      <c r="H1152">
        <f t="shared" si="124"/>
        <v>0</v>
      </c>
      <c r="I1152">
        <f t="shared" si="125"/>
        <v>0.98039215686274506</v>
      </c>
      <c r="J1152" cm="1">
        <f t="array" ref="J1152">INT(G1152)+IF(100-SUM(INT(G$1141:G$1154))&gt;=RANK(I1152,I$1141:I$1154)+COUNTIF(I$1141:I1152,I1152)-1,1,0)</f>
        <v>1</v>
      </c>
      <c r="K1152" t="str">
        <f>_xlfn.XLOOKUP(B1152,BugList!A:A,BugList!H:H)</f>
        <v/>
      </c>
      <c r="L1152" t="str">
        <f>IF(K1152 = "","",_xlfn.XLOOKUP(B1152, BugList!A:A,BugList!B:B,""))</f>
        <v/>
      </c>
      <c r="M1152">
        <f>_xlfn.XLOOKUP(D1152,BugList!C:C,BugList!N:N)</f>
        <v>8</v>
      </c>
      <c r="N1152">
        <f>_xlfn.XLOOKUP(B1152,BugList!A:A,BugList!R:R)</f>
        <v>8</v>
      </c>
      <c r="O1152" t="b">
        <f>_xlfn.XLOOKUP(B1152,BugList!A:A,BugList!L:L)</f>
        <v>0</v>
      </c>
      <c r="P1152" t="b">
        <f t="shared" si="126"/>
        <v>0</v>
      </c>
      <c r="R1152" t="b">
        <f>SUMPRODUCT(COUNTIF(_xlfn.XLOOKUP(B1152,BugList!A:A,BugList!P:P), "*SC*"))&gt;0</f>
        <v>0</v>
      </c>
      <c r="S1152" t="str">
        <f>_xlfn.XLOOKUP(B1152,BugList!A:A,BugList!W:W)</f>
        <v/>
      </c>
      <c r="T1152">
        <f t="shared" si="121"/>
        <v>8</v>
      </c>
      <c r="U1152">
        <f t="shared" si="122"/>
        <v>8</v>
      </c>
    </row>
    <row r="1153" spans="1:21">
      <c r="A1153" t="s">
        <v>2686</v>
      </c>
      <c r="B1153">
        <v>1696</v>
      </c>
      <c r="D1153" t="s">
        <v>94</v>
      </c>
      <c r="E1153" t="s">
        <v>94</v>
      </c>
      <c r="F1153">
        <v>5</v>
      </c>
      <c r="G1153">
        <f t="shared" si="123"/>
        <v>4.9019607843137258</v>
      </c>
      <c r="H1153">
        <f t="shared" si="124"/>
        <v>4</v>
      </c>
      <c r="I1153">
        <f t="shared" si="125"/>
        <v>0.90196078431372584</v>
      </c>
      <c r="J1153" cm="1">
        <f t="array" ref="J1153">INT(G1153)+IF(100-SUM(INT(G$1141:G$1154))&gt;=RANK(I1153,I$1141:I$1154)+COUNTIF(I$1141:I1153,I1153)-1,1,0)</f>
        <v>5</v>
      </c>
      <c r="K1153" t="str">
        <f>_xlfn.XLOOKUP(B1153,BugList!A:A,BugList!H:H)</f>
        <v/>
      </c>
      <c r="L1153" t="str">
        <f>IF(K1153 = "","",_xlfn.XLOOKUP(B1153, BugList!A:A,BugList!B:B,""))</f>
        <v/>
      </c>
      <c r="M1153">
        <f>_xlfn.XLOOKUP(D1153,BugList!C:C,BugList!N:N)</f>
        <v>8</v>
      </c>
      <c r="N1153">
        <f>_xlfn.XLOOKUP(B1153,BugList!A:A,BugList!R:R)</f>
        <v>8</v>
      </c>
      <c r="O1153" t="b">
        <f>_xlfn.XLOOKUP(B1153,BugList!A:A,BugList!L:L)</f>
        <v>0</v>
      </c>
      <c r="P1153" t="b">
        <f t="shared" si="126"/>
        <v>0</v>
      </c>
      <c r="R1153" t="b">
        <f>SUMPRODUCT(COUNTIF(_xlfn.XLOOKUP(B1153,BugList!A:A,BugList!P:P), "*SC*"))&gt;0</f>
        <v>0</v>
      </c>
      <c r="S1153" t="str">
        <f>_xlfn.XLOOKUP(B1153,BugList!A:A,BugList!W:W)</f>
        <v/>
      </c>
      <c r="T1153">
        <f t="shared" si="121"/>
        <v>40</v>
      </c>
      <c r="U1153">
        <f t="shared" si="122"/>
        <v>40</v>
      </c>
    </row>
    <row r="1154" spans="1:21">
      <c r="A1154" t="s">
        <v>2686</v>
      </c>
      <c r="B1154">
        <v>2781</v>
      </c>
      <c r="D1154" t="s">
        <v>109</v>
      </c>
      <c r="E1154" t="s">
        <v>109</v>
      </c>
      <c r="F1154">
        <v>15</v>
      </c>
      <c r="G1154">
        <f t="shared" si="123"/>
        <v>14.705882352941178</v>
      </c>
      <c r="H1154">
        <f t="shared" si="124"/>
        <v>14</v>
      </c>
      <c r="I1154">
        <f t="shared" si="125"/>
        <v>0.70588235294117752</v>
      </c>
      <c r="J1154" cm="1">
        <f t="array" ref="J1154">INT(G1154)+IF(100-SUM(INT(G$1141:G$1154))&gt;=RANK(I1154,I$1141:I$1154)+COUNTIF(I$1141:I1154,I1154)-1,1,0)</f>
        <v>15</v>
      </c>
      <c r="K1154" t="str">
        <f>_xlfn.XLOOKUP(B1154,BugList!A:A,BugList!H:H)</f>
        <v/>
      </c>
      <c r="L1154" t="str">
        <f>IF(K1154 = "","",_xlfn.XLOOKUP(B1154, BugList!A:A,BugList!B:B,""))</f>
        <v/>
      </c>
      <c r="M1154">
        <f>_xlfn.XLOOKUP(D1154,BugList!C:C,BugList!N:N)</f>
        <v>6</v>
      </c>
      <c r="N1154">
        <f>_xlfn.XLOOKUP(B1154,BugList!A:A,BugList!R:R)</f>
        <v>4</v>
      </c>
      <c r="O1154" t="b">
        <f>_xlfn.XLOOKUP(B1154,BugList!A:A,BugList!L:L)</f>
        <v>0</v>
      </c>
      <c r="P1154" t="b">
        <f t="shared" si="126"/>
        <v>0</v>
      </c>
      <c r="R1154" t="b">
        <f>SUMPRODUCT(COUNTIF(_xlfn.XLOOKUP(B1154,BugList!A:A,BugList!P:P), "*SC*"))&gt;0</f>
        <v>0</v>
      </c>
      <c r="S1154" t="str">
        <f>_xlfn.XLOOKUP(B1154,BugList!A:A,BugList!W:W)</f>
        <v/>
      </c>
      <c r="T1154">
        <f t="shared" ref="T1154:T1217" si="127">J1154*M1154</f>
        <v>90</v>
      </c>
      <c r="U1154">
        <f t="shared" ref="U1154:U1217" si="128">J1154*N1154</f>
        <v>60</v>
      </c>
    </row>
    <row r="1155" spans="1:21">
      <c r="A1155" t="s">
        <v>2687</v>
      </c>
      <c r="B1155">
        <v>63</v>
      </c>
      <c r="D1155" t="s">
        <v>84</v>
      </c>
      <c r="E1155" t="s">
        <v>84</v>
      </c>
      <c r="F1155">
        <v>8</v>
      </c>
      <c r="G1155">
        <f t="shared" si="123"/>
        <v>4.2328042328042326</v>
      </c>
      <c r="H1155">
        <f t="shared" si="124"/>
        <v>4</v>
      </c>
      <c r="I1155">
        <f t="shared" si="125"/>
        <v>0.23280423280423257</v>
      </c>
      <c r="J1155" cm="1">
        <f t="array" ref="J1155">INT(G1155)+IF(100-SUM(INT(G$1155:G$1172))&gt;=RANK(I1155,I$1155:I$1172)+COUNTIF(I$1155:I1155,I1155)-1,1,0)</f>
        <v>4</v>
      </c>
      <c r="K1155" t="str">
        <f>_xlfn.XLOOKUP(B1155,BugList!A:A,BugList!H:H)</f>
        <v/>
      </c>
      <c r="L1155" t="str">
        <f>IF(K1155 = "","",_xlfn.XLOOKUP(B1155, BugList!A:A,BugList!B:B,""))</f>
        <v/>
      </c>
      <c r="M1155">
        <f>_xlfn.XLOOKUP(D1155,BugList!C:C,BugList!N:N)</f>
        <v>8</v>
      </c>
      <c r="N1155">
        <f>_xlfn.XLOOKUP(B1155,BugList!A:A,BugList!R:R)</f>
        <v>8</v>
      </c>
      <c r="O1155" t="b">
        <f>_xlfn.XLOOKUP(B1155,BugList!A:A,BugList!L:L)</f>
        <v>0</v>
      </c>
      <c r="P1155" t="b">
        <f t="shared" si="126"/>
        <v>0</v>
      </c>
      <c r="R1155" t="b">
        <f>SUMPRODUCT(COUNTIF(_xlfn.XLOOKUP(B1155,BugList!A:A,BugList!P:P), "*SC*"))&gt;0</f>
        <v>0</v>
      </c>
      <c r="S1155" t="str">
        <f>_xlfn.XLOOKUP(B1155,BugList!A:A,BugList!W:W)</f>
        <v/>
      </c>
      <c r="T1155">
        <f t="shared" si="127"/>
        <v>32</v>
      </c>
      <c r="U1155">
        <f t="shared" si="128"/>
        <v>32</v>
      </c>
    </row>
    <row r="1156" spans="1:21">
      <c r="A1156" t="s">
        <v>2687</v>
      </c>
      <c r="B1156">
        <v>88</v>
      </c>
      <c r="D1156" t="s">
        <v>85</v>
      </c>
      <c r="E1156" t="s">
        <v>85</v>
      </c>
      <c r="F1156">
        <v>8</v>
      </c>
      <c r="G1156">
        <f t="shared" si="123"/>
        <v>4.2328042328042326</v>
      </c>
      <c r="H1156">
        <f t="shared" si="124"/>
        <v>4</v>
      </c>
      <c r="I1156">
        <f t="shared" si="125"/>
        <v>0.23280423280423257</v>
      </c>
      <c r="J1156" cm="1">
        <f t="array" ref="J1156">INT(G1156)+IF(100-SUM(INT(G$1155:G$1172))&gt;=RANK(I1156,I$1155:I$1172)+COUNTIF(I$1155:I1156,I1156)-1,1,0)</f>
        <v>4</v>
      </c>
      <c r="K1156" t="str">
        <f>_xlfn.XLOOKUP(B1156,BugList!A:A,BugList!H:H)</f>
        <v/>
      </c>
      <c r="L1156" t="str">
        <f>IF(K1156 = "","",_xlfn.XLOOKUP(B1156, BugList!A:A,BugList!B:B,""))</f>
        <v/>
      </c>
      <c r="M1156">
        <f>_xlfn.XLOOKUP(D1156,BugList!C:C,BugList!N:N)</f>
        <v>4</v>
      </c>
      <c r="N1156">
        <f>_xlfn.XLOOKUP(B1156,BugList!A:A,BugList!R:R)</f>
        <v>4</v>
      </c>
      <c r="O1156" t="b">
        <f>_xlfn.XLOOKUP(B1156,BugList!A:A,BugList!L:L)</f>
        <v>0</v>
      </c>
      <c r="P1156" t="b">
        <f t="shared" si="126"/>
        <v>0</v>
      </c>
      <c r="R1156" t="b">
        <f>SUMPRODUCT(COUNTIF(_xlfn.XLOOKUP(B1156,BugList!A:A,BugList!P:P), "*SC*"))&gt;0</f>
        <v>0</v>
      </c>
      <c r="S1156" t="str">
        <f>_xlfn.XLOOKUP(B1156,BugList!A:A,BugList!W:W)</f>
        <v/>
      </c>
      <c r="T1156">
        <f t="shared" si="127"/>
        <v>16</v>
      </c>
      <c r="U1156">
        <f t="shared" si="128"/>
        <v>16</v>
      </c>
    </row>
    <row r="1157" spans="1:21">
      <c r="A1157" t="s">
        <v>2687</v>
      </c>
      <c r="B1157">
        <v>421</v>
      </c>
      <c r="D1157" t="s">
        <v>105</v>
      </c>
      <c r="E1157" t="s">
        <v>105</v>
      </c>
      <c r="F1157">
        <v>3</v>
      </c>
      <c r="G1157">
        <f t="shared" si="123"/>
        <v>1.5873015873015872</v>
      </c>
      <c r="H1157">
        <f t="shared" si="124"/>
        <v>1</v>
      </c>
      <c r="I1157">
        <f t="shared" si="125"/>
        <v>0.58730158730158721</v>
      </c>
      <c r="J1157" cm="1">
        <f t="array" ref="J1157">INT(G1157)+IF(100-SUM(INT(G$1155:G$1172))&gt;=RANK(I1157,I$1155:I$1172)+COUNTIF(I$1155:I1157,I1157)-1,1,0)</f>
        <v>2</v>
      </c>
      <c r="K1157" t="str">
        <f>_xlfn.XLOOKUP(B1157,BugList!A:A,BugList!H:H)</f>
        <v>*</v>
      </c>
      <c r="L1157" t="str">
        <f>IF(K1157 = "","",_xlfn.XLOOKUP(B1157, BugList!A:A,BugList!B:B,""))</f>
        <v>Plecoptera</v>
      </c>
      <c r="M1157">
        <f>_xlfn.XLOOKUP(D1157,BugList!C:C,BugList!N:N)</f>
        <v>1</v>
      </c>
      <c r="N1157">
        <f>_xlfn.XLOOKUP(B1157,BugList!A:A,BugList!R:R)</f>
        <v>1</v>
      </c>
      <c r="O1157" t="b">
        <f>_xlfn.XLOOKUP(B1157,BugList!A:A,BugList!L:L)</f>
        <v>1</v>
      </c>
      <c r="P1157" t="b">
        <f t="shared" si="126"/>
        <v>1</v>
      </c>
      <c r="R1157" t="b">
        <f>SUMPRODUCT(COUNTIF(_xlfn.XLOOKUP(B1157,BugList!A:A,BugList!P:P), "*SC*"))&gt;0</f>
        <v>0</v>
      </c>
      <c r="S1157" t="str">
        <f>_xlfn.XLOOKUP(B1157,BugList!A:A,BugList!W:W)</f>
        <v/>
      </c>
      <c r="T1157">
        <f t="shared" si="127"/>
        <v>2</v>
      </c>
      <c r="U1157">
        <f t="shared" si="128"/>
        <v>2</v>
      </c>
    </row>
    <row r="1158" spans="1:21">
      <c r="A1158" t="s">
        <v>2687</v>
      </c>
      <c r="B1158">
        <v>436</v>
      </c>
      <c r="D1158" t="s">
        <v>106</v>
      </c>
      <c r="E1158" t="s">
        <v>106</v>
      </c>
      <c r="F1158">
        <v>1</v>
      </c>
      <c r="G1158">
        <f t="shared" si="123"/>
        <v>0.52910052910052907</v>
      </c>
      <c r="H1158">
        <f t="shared" si="124"/>
        <v>0</v>
      </c>
      <c r="I1158">
        <f t="shared" si="125"/>
        <v>0.52910052910052907</v>
      </c>
      <c r="J1158" cm="1">
        <f t="array" ref="J1158">INT(G1158)+IF(100-SUM(INT(G$1155:G$1172))&gt;=RANK(I1158,I$1155:I$1172)+COUNTIF(I$1155:I1158,I1158)-1,1,0)</f>
        <v>1</v>
      </c>
      <c r="K1158" t="str">
        <f>_xlfn.XLOOKUP(B1158,BugList!A:A,BugList!H:H)</f>
        <v>*</v>
      </c>
      <c r="L1158" t="str">
        <f>IF(K1158 = "","",_xlfn.XLOOKUP(B1158, BugList!A:A,BugList!B:B,""))</f>
        <v>Plecoptera</v>
      </c>
      <c r="M1158">
        <f>_xlfn.XLOOKUP(D1158,BugList!C:C,BugList!N:N)</f>
        <v>2</v>
      </c>
      <c r="N1158">
        <f>_xlfn.XLOOKUP(B1158,BugList!A:A,BugList!R:R)</f>
        <v>2</v>
      </c>
      <c r="O1158" t="b">
        <f>_xlfn.XLOOKUP(B1158,BugList!A:A,BugList!L:L)</f>
        <v>1</v>
      </c>
      <c r="P1158" t="b">
        <f t="shared" si="126"/>
        <v>1</v>
      </c>
      <c r="R1158" t="b">
        <f>SUMPRODUCT(COUNTIF(_xlfn.XLOOKUP(B1158,BugList!A:A,BugList!P:P), "*SC*"))&gt;0</f>
        <v>0</v>
      </c>
      <c r="S1158" t="str">
        <f>_xlfn.XLOOKUP(B1158,BugList!A:A,BugList!W:W)</f>
        <v/>
      </c>
      <c r="T1158">
        <f t="shared" si="127"/>
        <v>2</v>
      </c>
      <c r="U1158">
        <f t="shared" si="128"/>
        <v>2</v>
      </c>
    </row>
    <row r="1159" spans="1:21">
      <c r="A1159" t="s">
        <v>2687</v>
      </c>
      <c r="B1159">
        <v>513</v>
      </c>
      <c r="D1159" t="s">
        <v>111</v>
      </c>
      <c r="E1159" t="s">
        <v>111</v>
      </c>
      <c r="F1159">
        <v>21</v>
      </c>
      <c r="G1159">
        <f t="shared" si="123"/>
        <v>11.111111111111111</v>
      </c>
      <c r="H1159">
        <f t="shared" si="124"/>
        <v>11</v>
      </c>
      <c r="I1159">
        <f t="shared" si="125"/>
        <v>0.11111111111111072</v>
      </c>
      <c r="J1159" cm="1">
        <f t="array" ref="J1159">INT(G1159)+IF(100-SUM(INT(G$1155:G$1172))&gt;=RANK(I1159,I$1155:I$1172)+COUNTIF(I$1155:I1159,I1159)-1,1,0)</f>
        <v>11</v>
      </c>
      <c r="K1159" t="str">
        <f>_xlfn.XLOOKUP(B1159,BugList!A:A,BugList!H:H)</f>
        <v>*</v>
      </c>
      <c r="L1159" t="str">
        <f>IF(K1159 = "","",_xlfn.XLOOKUP(B1159, BugList!A:A,BugList!B:B,""))</f>
        <v>Ephemeroptera</v>
      </c>
      <c r="M1159">
        <f>_xlfn.XLOOKUP(D1159,BugList!C:C,BugList!N:N)</f>
        <v>4</v>
      </c>
      <c r="N1159">
        <f>_xlfn.XLOOKUP(B1159,BugList!A:A,BugList!R:R)</f>
        <v>4</v>
      </c>
      <c r="O1159" t="b">
        <f>_xlfn.XLOOKUP(B1159,BugList!A:A,BugList!L:L)</f>
        <v>1</v>
      </c>
      <c r="P1159" t="b">
        <f t="shared" si="126"/>
        <v>1</v>
      </c>
      <c r="R1159" t="b">
        <f>SUMPRODUCT(COUNTIF(_xlfn.XLOOKUP(B1159,BugList!A:A,BugList!P:P), "*SC*"))&gt;0</f>
        <v>1</v>
      </c>
      <c r="S1159" t="str">
        <f>_xlfn.XLOOKUP(B1159,BugList!A:A,BugList!W:W)</f>
        <v/>
      </c>
      <c r="T1159">
        <f t="shared" si="127"/>
        <v>44</v>
      </c>
      <c r="U1159">
        <f t="shared" si="128"/>
        <v>44</v>
      </c>
    </row>
    <row r="1160" spans="1:21">
      <c r="A1160" t="s">
        <v>2687</v>
      </c>
      <c r="B1160">
        <v>719</v>
      </c>
      <c r="D1160" t="s">
        <v>1226</v>
      </c>
      <c r="E1160" t="s">
        <v>1226</v>
      </c>
      <c r="F1160">
        <v>1</v>
      </c>
      <c r="G1160">
        <f t="shared" si="123"/>
        <v>0.52910052910052907</v>
      </c>
      <c r="H1160">
        <f t="shared" si="124"/>
        <v>0</v>
      </c>
      <c r="I1160">
        <f t="shared" si="125"/>
        <v>0.52910052910052907</v>
      </c>
      <c r="J1160" cm="1">
        <f t="array" ref="J1160">INT(G1160)+IF(100-SUM(INT(G$1155:G$1172))&gt;=RANK(I1160,I$1155:I$1172)+COUNTIF(I$1155:I1160,I1160)-1,1,0)</f>
        <v>1</v>
      </c>
      <c r="K1160" t="str">
        <f>_xlfn.XLOOKUP(B1160,BugList!A:A,BugList!H:H)</f>
        <v/>
      </c>
      <c r="L1160" t="str">
        <f>IF(K1160 = "","",_xlfn.XLOOKUP(B1160, BugList!A:A,BugList!B:B,""))</f>
        <v/>
      </c>
      <c r="M1160">
        <f>_xlfn.XLOOKUP(D1160,BugList!C:C,BugList!N:N)</f>
        <v>0</v>
      </c>
      <c r="N1160">
        <f>_xlfn.XLOOKUP(B1160,BugList!A:A,BugList!R:R)</f>
        <v>0</v>
      </c>
      <c r="O1160" t="b">
        <f>_xlfn.XLOOKUP(B1160,BugList!A:A,BugList!L:L)</f>
        <v>1</v>
      </c>
      <c r="P1160" t="b">
        <f t="shared" si="126"/>
        <v>0</v>
      </c>
      <c r="R1160" t="b">
        <f>SUMPRODUCT(COUNTIF(_xlfn.XLOOKUP(B1160,BugList!A:A,BugList!P:P), "*SC*"))&gt;0</f>
        <v>0</v>
      </c>
      <c r="S1160" t="str">
        <f>_xlfn.XLOOKUP(B1160,BugList!A:A,BugList!W:W)</f>
        <v/>
      </c>
      <c r="T1160">
        <f t="shared" si="127"/>
        <v>0</v>
      </c>
      <c r="U1160">
        <f t="shared" si="128"/>
        <v>0</v>
      </c>
    </row>
    <row r="1161" spans="1:21">
      <c r="A1161" t="s">
        <v>2687</v>
      </c>
      <c r="B1161">
        <v>794</v>
      </c>
      <c r="D1161" t="s">
        <v>89</v>
      </c>
      <c r="E1161" t="s">
        <v>89</v>
      </c>
      <c r="F1161">
        <v>3</v>
      </c>
      <c r="G1161">
        <f t="shared" si="123"/>
        <v>1.5873015873015872</v>
      </c>
      <c r="H1161">
        <f t="shared" si="124"/>
        <v>1</v>
      </c>
      <c r="I1161">
        <f t="shared" si="125"/>
        <v>0.58730158730158721</v>
      </c>
      <c r="J1161" cm="1">
        <f t="array" ref="J1161">INT(G1161)+IF(100-SUM(INT(G$1155:G$1172))&gt;=RANK(I1161,I$1155:I$1172)+COUNTIF(I$1155:I1161,I1161)-1,1,0)</f>
        <v>2</v>
      </c>
      <c r="K1161" t="str">
        <f>_xlfn.XLOOKUP(B1161,BugList!A:A,BugList!H:H)</f>
        <v>*</v>
      </c>
      <c r="L1161" t="str">
        <f>IF(K1161 = "","",_xlfn.XLOOKUP(B1161, BugList!A:A,BugList!B:B,""))</f>
        <v>Trichoptera</v>
      </c>
      <c r="M1161">
        <f>_xlfn.XLOOKUP(D1161,BugList!C:C,BugList!N:N)</f>
        <v>4</v>
      </c>
      <c r="N1161">
        <f>_xlfn.XLOOKUP(B1161,BugList!A:A,BugList!R:R)</f>
        <v>4</v>
      </c>
      <c r="O1161" t="b">
        <f>_xlfn.XLOOKUP(B1161,BugList!A:A,BugList!L:L)</f>
        <v>1</v>
      </c>
      <c r="P1161" t="b">
        <f t="shared" si="126"/>
        <v>0</v>
      </c>
      <c r="R1161" t="b">
        <f>SUMPRODUCT(COUNTIF(_xlfn.XLOOKUP(B1161,BugList!A:A,BugList!P:P), "*SC*"))&gt;0</f>
        <v>0</v>
      </c>
      <c r="S1161" t="str">
        <f>_xlfn.XLOOKUP(B1161,BugList!A:A,BugList!W:W)</f>
        <v/>
      </c>
      <c r="T1161">
        <f t="shared" si="127"/>
        <v>8</v>
      </c>
      <c r="U1161">
        <f t="shared" si="128"/>
        <v>8</v>
      </c>
    </row>
    <row r="1162" spans="1:21">
      <c r="A1162" t="s">
        <v>2687</v>
      </c>
      <c r="B1162">
        <v>829</v>
      </c>
      <c r="D1162" t="s">
        <v>1411</v>
      </c>
      <c r="E1162" t="s">
        <v>1411</v>
      </c>
      <c r="F1162">
        <v>1</v>
      </c>
      <c r="G1162">
        <f t="shared" si="123"/>
        <v>0.52910052910052907</v>
      </c>
      <c r="H1162">
        <f t="shared" si="124"/>
        <v>0</v>
      </c>
      <c r="I1162">
        <f t="shared" si="125"/>
        <v>0.52910052910052907</v>
      </c>
      <c r="J1162" cm="1">
        <f t="array" ref="J1162">INT(G1162)+IF(100-SUM(INT(G$1155:G$1172))&gt;=RANK(I1162,I$1155:I$1172)+COUNTIF(I$1155:I1162,I1162)-1,1,0)</f>
        <v>1</v>
      </c>
      <c r="K1162" t="str">
        <f>_xlfn.XLOOKUP(B1162,BugList!A:A,BugList!H:H)</f>
        <v>*</v>
      </c>
      <c r="L1162" t="str">
        <f>IF(K1162 = "","",_xlfn.XLOOKUP(B1162, BugList!A:A,BugList!B:B,""))</f>
        <v>Trichoptera</v>
      </c>
      <c r="M1162">
        <f>_xlfn.XLOOKUP(D1162,BugList!C:C,BugList!N:N)</f>
        <v>0</v>
      </c>
      <c r="N1162">
        <f>_xlfn.XLOOKUP(B1162,BugList!A:A,BugList!R:R)</f>
        <v>0</v>
      </c>
      <c r="O1162" t="b">
        <f>_xlfn.XLOOKUP(B1162,BugList!A:A,BugList!L:L)</f>
        <v>1</v>
      </c>
      <c r="P1162" t="b">
        <f t="shared" si="126"/>
        <v>1</v>
      </c>
      <c r="R1162" t="b">
        <f>SUMPRODUCT(COUNTIF(_xlfn.XLOOKUP(B1162,BugList!A:A,BugList!P:P), "*SC*"))&gt;0</f>
        <v>1</v>
      </c>
      <c r="S1162" t="str">
        <f>_xlfn.XLOOKUP(B1162,BugList!A:A,BugList!W:W)</f>
        <v/>
      </c>
      <c r="T1162">
        <f t="shared" si="127"/>
        <v>0</v>
      </c>
      <c r="U1162">
        <f t="shared" si="128"/>
        <v>0</v>
      </c>
    </row>
    <row r="1163" spans="1:21">
      <c r="A1163" t="s">
        <v>2687</v>
      </c>
      <c r="B1163">
        <v>837</v>
      </c>
      <c r="D1163" t="s">
        <v>107</v>
      </c>
      <c r="E1163" t="s">
        <v>107</v>
      </c>
      <c r="F1163">
        <v>1</v>
      </c>
      <c r="G1163">
        <f t="shared" si="123"/>
        <v>0.52910052910052907</v>
      </c>
      <c r="H1163">
        <f t="shared" si="124"/>
        <v>0</v>
      </c>
      <c r="I1163">
        <f t="shared" si="125"/>
        <v>0.52910052910052907</v>
      </c>
      <c r="J1163" cm="1">
        <f t="array" ref="J1163">INT(G1163)+IF(100-SUM(INT(G$1155:G$1172))&gt;=RANK(I1163,I$1155:I$1172)+COUNTIF(I$1155:I1163,I1163)-1,1,0)</f>
        <v>0</v>
      </c>
      <c r="K1163" t="str">
        <f>_xlfn.XLOOKUP(B1163,BugList!A:A,BugList!H:H)</f>
        <v>*</v>
      </c>
      <c r="L1163" t="str">
        <f>IF(K1163 = "","",_xlfn.XLOOKUP(B1163, BugList!A:A,BugList!B:B,""))</f>
        <v>Trichoptera</v>
      </c>
      <c r="M1163">
        <f>_xlfn.XLOOKUP(D1163,BugList!C:C,BugList!N:N)</f>
        <v>3</v>
      </c>
      <c r="N1163">
        <f>_xlfn.XLOOKUP(B1163,BugList!A:A,BugList!R:R)</f>
        <v>3</v>
      </c>
      <c r="O1163" t="b">
        <f>_xlfn.XLOOKUP(B1163,BugList!A:A,BugList!L:L)</f>
        <v>1</v>
      </c>
      <c r="P1163" t="b">
        <f t="shared" si="126"/>
        <v>1</v>
      </c>
      <c r="R1163" t="b">
        <f>SUMPRODUCT(COUNTIF(_xlfn.XLOOKUP(B1163,BugList!A:A,BugList!P:P), "*SC*"))&gt;0</f>
        <v>0</v>
      </c>
      <c r="S1163" t="str">
        <f>_xlfn.XLOOKUP(B1163,BugList!A:A,BugList!W:W)</f>
        <v/>
      </c>
      <c r="T1163">
        <f t="shared" si="127"/>
        <v>0</v>
      </c>
      <c r="U1163">
        <f t="shared" si="128"/>
        <v>0</v>
      </c>
    </row>
    <row r="1164" spans="1:21">
      <c r="A1164" t="s">
        <v>2687</v>
      </c>
      <c r="B1164">
        <v>935</v>
      </c>
      <c r="D1164" t="s">
        <v>98</v>
      </c>
      <c r="E1164" t="s">
        <v>98</v>
      </c>
      <c r="F1164">
        <v>4</v>
      </c>
      <c r="G1164">
        <f t="shared" si="123"/>
        <v>2.1164021164021163</v>
      </c>
      <c r="H1164">
        <f t="shared" si="124"/>
        <v>2</v>
      </c>
      <c r="I1164">
        <f t="shared" si="125"/>
        <v>0.11640211640211628</v>
      </c>
      <c r="J1164" cm="1">
        <f t="array" ref="J1164">INT(G1164)+IF(100-SUM(INT(G$1155:G$1172))&gt;=RANK(I1164,I$1155:I$1172)+COUNTIF(I$1155:I1164,I1164)-1,1,0)</f>
        <v>2</v>
      </c>
      <c r="K1164" t="str">
        <f>_xlfn.XLOOKUP(B1164,BugList!A:A,BugList!H:H)</f>
        <v/>
      </c>
      <c r="L1164" t="str">
        <f>IF(K1164 = "","",_xlfn.XLOOKUP(B1164, BugList!A:A,BugList!B:B,""))</f>
        <v/>
      </c>
      <c r="M1164">
        <f>_xlfn.XLOOKUP(D1164,BugList!C:C,BugList!N:N)</f>
        <v>4</v>
      </c>
      <c r="N1164">
        <f>_xlfn.XLOOKUP(B1164,BugList!A:A,BugList!R:R)</f>
        <v>4</v>
      </c>
      <c r="O1164" t="b">
        <f>_xlfn.XLOOKUP(B1164,BugList!A:A,BugList!L:L)</f>
        <v>1</v>
      </c>
      <c r="P1164" t="b">
        <f t="shared" si="126"/>
        <v>0</v>
      </c>
      <c r="R1164" t="b">
        <f>SUMPRODUCT(COUNTIF(_xlfn.XLOOKUP(B1164,BugList!A:A,BugList!P:P), "*SC*"))&gt;0</f>
        <v>1</v>
      </c>
      <c r="S1164" t="str">
        <f>_xlfn.XLOOKUP(B1164,BugList!A:A,BugList!W:W)</f>
        <v/>
      </c>
      <c r="T1164">
        <f t="shared" si="127"/>
        <v>8</v>
      </c>
      <c r="U1164">
        <f t="shared" si="128"/>
        <v>8</v>
      </c>
    </row>
    <row r="1165" spans="1:21">
      <c r="A1165" t="s">
        <v>2687</v>
      </c>
      <c r="B1165">
        <v>1002</v>
      </c>
      <c r="D1165" t="s">
        <v>100</v>
      </c>
      <c r="E1165" t="s">
        <v>100</v>
      </c>
      <c r="F1165">
        <v>20</v>
      </c>
      <c r="G1165">
        <f t="shared" si="123"/>
        <v>10.582010582010582</v>
      </c>
      <c r="H1165">
        <f t="shared" si="124"/>
        <v>10</v>
      </c>
      <c r="I1165">
        <f t="shared" si="125"/>
        <v>0.58201058201058231</v>
      </c>
      <c r="J1165" cm="1">
        <f t="array" ref="J1165">INT(G1165)+IF(100-SUM(INT(G$1155:G$1172))&gt;=RANK(I1165,I$1155:I$1172)+COUNTIF(I$1155:I1165,I1165)-1,1,0)</f>
        <v>11</v>
      </c>
      <c r="K1165" t="str">
        <f>_xlfn.XLOOKUP(B1165,BugList!A:A,BugList!H:H)</f>
        <v/>
      </c>
      <c r="L1165" t="str">
        <f>IF(K1165 = "","",_xlfn.XLOOKUP(B1165, BugList!A:A,BugList!B:B,""))</f>
        <v/>
      </c>
      <c r="M1165">
        <f>_xlfn.XLOOKUP(D1165,BugList!C:C,BugList!N:N)</f>
        <v>4</v>
      </c>
      <c r="N1165">
        <f>_xlfn.XLOOKUP(B1165,BugList!A:A,BugList!R:R)</f>
        <v>4</v>
      </c>
      <c r="O1165" t="b">
        <f>_xlfn.XLOOKUP(B1165,BugList!A:A,BugList!L:L)</f>
        <v>1</v>
      </c>
      <c r="P1165" t="b">
        <f t="shared" si="126"/>
        <v>0</v>
      </c>
      <c r="R1165" t="b">
        <f>SUMPRODUCT(COUNTIF(_xlfn.XLOOKUP(B1165,BugList!A:A,BugList!P:P), "*SC*"))&gt;0</f>
        <v>1</v>
      </c>
      <c r="S1165" t="str">
        <f>_xlfn.XLOOKUP(B1165,BugList!A:A,BugList!W:W)</f>
        <v/>
      </c>
      <c r="T1165">
        <f t="shared" si="127"/>
        <v>44</v>
      </c>
      <c r="U1165">
        <f t="shared" si="128"/>
        <v>44</v>
      </c>
    </row>
    <row r="1166" spans="1:21">
      <c r="A1166" t="s">
        <v>2687</v>
      </c>
      <c r="B1166">
        <v>1088</v>
      </c>
      <c r="D1166" t="s">
        <v>90</v>
      </c>
      <c r="E1166" t="s">
        <v>90</v>
      </c>
      <c r="F1166">
        <v>39</v>
      </c>
      <c r="G1166">
        <f t="shared" si="123"/>
        <v>20.634920634920633</v>
      </c>
      <c r="H1166">
        <f t="shared" si="124"/>
        <v>20</v>
      </c>
      <c r="I1166">
        <f t="shared" si="125"/>
        <v>0.63492063492063266</v>
      </c>
      <c r="J1166" cm="1">
        <f t="array" ref="J1166">INT(G1166)+IF(100-SUM(INT(G$1155:G$1172))&gt;=RANK(I1166,I$1155:I$1172)+COUNTIF(I$1155:I1166,I1166)-1,1,0)</f>
        <v>21</v>
      </c>
      <c r="K1166" t="str">
        <f>_xlfn.XLOOKUP(B1166,BugList!A:A,BugList!H:H)</f>
        <v/>
      </c>
      <c r="L1166" t="str">
        <f>IF(K1166 = "","",_xlfn.XLOOKUP(B1166, BugList!A:A,BugList!B:B,""))</f>
        <v/>
      </c>
      <c r="M1166">
        <f>_xlfn.XLOOKUP(D1166,BugList!C:C,BugList!N:N)</f>
        <v>6</v>
      </c>
      <c r="N1166">
        <f>_xlfn.XLOOKUP(B1166,BugList!A:A,BugList!R:R)</f>
        <v>6</v>
      </c>
      <c r="O1166" t="b">
        <f>_xlfn.XLOOKUP(B1166,BugList!A:A,BugList!L:L)</f>
        <v>1</v>
      </c>
      <c r="P1166" t="b">
        <f t="shared" si="126"/>
        <v>0</v>
      </c>
      <c r="R1166" t="b">
        <f>SUMPRODUCT(COUNTIF(_xlfn.XLOOKUP(B1166,BugList!A:A,BugList!P:P), "*SC*"))&gt;0</f>
        <v>0</v>
      </c>
      <c r="S1166" t="str">
        <f>_xlfn.XLOOKUP(B1166,BugList!A:A,BugList!W:W)</f>
        <v/>
      </c>
      <c r="T1166">
        <f t="shared" si="127"/>
        <v>126</v>
      </c>
      <c r="U1166">
        <f t="shared" si="128"/>
        <v>126</v>
      </c>
    </row>
    <row r="1167" spans="1:21">
      <c r="A1167" t="s">
        <v>2687</v>
      </c>
      <c r="B1167">
        <v>1089</v>
      </c>
      <c r="D1167" t="s">
        <v>126</v>
      </c>
      <c r="E1167" t="s">
        <v>127</v>
      </c>
      <c r="F1167">
        <v>2</v>
      </c>
      <c r="G1167">
        <f t="shared" si="123"/>
        <v>1.0582010582010581</v>
      </c>
      <c r="H1167">
        <f t="shared" si="124"/>
        <v>1</v>
      </c>
      <c r="I1167">
        <f t="shared" si="125"/>
        <v>5.8201058201058142E-2</v>
      </c>
      <c r="J1167" cm="1">
        <f t="array" ref="J1167">INT(G1167)+IF(100-SUM(INT(G$1155:G$1172))&gt;=RANK(I1167,I$1155:I$1172)+COUNTIF(I$1155:I1167,I1167)-1,1,0)</f>
        <v>1</v>
      </c>
      <c r="K1167" t="str">
        <f>_xlfn.XLOOKUP(B1167,BugList!A:A,BugList!H:H)</f>
        <v/>
      </c>
      <c r="L1167" t="str">
        <f>IF(K1167 = "","",_xlfn.XLOOKUP(B1167, BugList!A:A,BugList!B:B,""))</f>
        <v/>
      </c>
      <c r="M1167">
        <f>_xlfn.XLOOKUP(D1167,BugList!C:C,BugList!N:N)</f>
        <v>8</v>
      </c>
      <c r="N1167">
        <f>_xlfn.XLOOKUP(B1167,BugList!A:A,BugList!R:R)</f>
        <v>10</v>
      </c>
      <c r="O1167" t="b">
        <f>_xlfn.XLOOKUP(B1167,BugList!A:A,BugList!L:L)</f>
        <v>1</v>
      </c>
      <c r="P1167" t="b">
        <f t="shared" si="126"/>
        <v>0</v>
      </c>
      <c r="R1167" t="b">
        <f>SUMPRODUCT(COUNTIF(_xlfn.XLOOKUP(B1167,BugList!A:A,BugList!P:P), "*SC*"))&gt;0</f>
        <v>0</v>
      </c>
      <c r="S1167" t="str">
        <f>_xlfn.XLOOKUP(B1167,BugList!A:A,BugList!W:W)</f>
        <v/>
      </c>
      <c r="T1167">
        <f t="shared" si="127"/>
        <v>8</v>
      </c>
      <c r="U1167">
        <f t="shared" si="128"/>
        <v>10</v>
      </c>
    </row>
    <row r="1168" spans="1:21">
      <c r="A1168" t="s">
        <v>2687</v>
      </c>
      <c r="B1168">
        <v>1199</v>
      </c>
      <c r="D1168" t="s">
        <v>131</v>
      </c>
      <c r="E1168" t="s">
        <v>131</v>
      </c>
      <c r="F1168">
        <v>1</v>
      </c>
      <c r="G1168">
        <f t="shared" ref="G1168:G1231" si="129">(F1168/(SUMIFS(F:F,A:A,A1168))*100)</f>
        <v>0.52910052910052907</v>
      </c>
      <c r="H1168">
        <f t="shared" ref="H1168:H1231" si="130">INT(G1168)</f>
        <v>0</v>
      </c>
      <c r="I1168">
        <f t="shared" ref="I1168:I1231" si="131">G1168-H1168</f>
        <v>0.52910052910052907</v>
      </c>
      <c r="J1168" cm="1">
        <f t="array" ref="J1168">INT(G1168)+IF(100-SUM(INT(G$1155:G$1172))&gt;=RANK(I1168,I$1155:I$1172)+COUNTIF(I$1155:I1168,I1168)-1,1,0)</f>
        <v>0</v>
      </c>
      <c r="K1168" t="str">
        <f>_xlfn.XLOOKUP(B1168,BugList!A:A,BugList!H:H)</f>
        <v/>
      </c>
      <c r="L1168" t="str">
        <f>IF(K1168 = "","",_xlfn.XLOOKUP(B1168, BugList!A:A,BugList!B:B,""))</f>
        <v/>
      </c>
      <c r="M1168">
        <f>_xlfn.XLOOKUP(D1168,BugList!C:C,BugList!N:N)</f>
        <v>6</v>
      </c>
      <c r="N1168">
        <f>_xlfn.XLOOKUP(B1168,BugList!A:A,BugList!R:R)</f>
        <v>6</v>
      </c>
      <c r="O1168" t="b">
        <f>_xlfn.XLOOKUP(B1168,BugList!A:A,BugList!L:L)</f>
        <v>1</v>
      </c>
      <c r="P1168" t="b">
        <f t="shared" si="126"/>
        <v>0</v>
      </c>
      <c r="R1168" t="b">
        <f>SUMPRODUCT(COUNTIF(_xlfn.XLOOKUP(B1168,BugList!A:A,BugList!P:P), "*SC*"))&gt;0</f>
        <v>0</v>
      </c>
      <c r="S1168" t="str">
        <f>_xlfn.XLOOKUP(B1168,BugList!A:A,BugList!W:W)</f>
        <v/>
      </c>
      <c r="T1168">
        <f t="shared" si="127"/>
        <v>0</v>
      </c>
      <c r="U1168">
        <f t="shared" si="128"/>
        <v>0</v>
      </c>
    </row>
    <row r="1169" spans="1:21">
      <c r="A1169" t="s">
        <v>2687</v>
      </c>
      <c r="B1169">
        <v>1416</v>
      </c>
      <c r="D1169" t="s">
        <v>1994</v>
      </c>
      <c r="E1169" t="s">
        <v>1994</v>
      </c>
      <c r="F1169">
        <v>1</v>
      </c>
      <c r="G1169">
        <f t="shared" si="129"/>
        <v>0.52910052910052907</v>
      </c>
      <c r="H1169">
        <f t="shared" si="130"/>
        <v>0</v>
      </c>
      <c r="I1169">
        <f t="shared" si="131"/>
        <v>0.52910052910052907</v>
      </c>
      <c r="J1169" cm="1">
        <f t="array" ref="J1169">INT(G1169)+IF(100-SUM(INT(G$1155:G$1172))&gt;=RANK(I1169,I$1155:I$1172)+COUNTIF(I$1155:I1169,I1169)-1,1,0)</f>
        <v>0</v>
      </c>
      <c r="K1169" t="str">
        <f>_xlfn.XLOOKUP(B1169,BugList!A:A,BugList!H:H)</f>
        <v/>
      </c>
      <c r="L1169" t="str">
        <f>IF(K1169 = "","",_xlfn.XLOOKUP(B1169, BugList!A:A,BugList!B:B,""))</f>
        <v/>
      </c>
      <c r="M1169">
        <f>_xlfn.XLOOKUP(D1169,BugList!C:C,BugList!N:N)</f>
        <v>10</v>
      </c>
      <c r="N1169">
        <f>_xlfn.XLOOKUP(B1169,BugList!A:A,BugList!R:R)</f>
        <v>10</v>
      </c>
      <c r="O1169" t="b">
        <f>_xlfn.XLOOKUP(B1169,BugList!A:A,BugList!L:L)</f>
        <v>1</v>
      </c>
      <c r="P1169" t="b">
        <f t="shared" si="126"/>
        <v>0</v>
      </c>
      <c r="R1169" t="b">
        <f>SUMPRODUCT(COUNTIF(_xlfn.XLOOKUP(B1169,BugList!A:A,BugList!P:P), "*SC*"))&gt;0</f>
        <v>0</v>
      </c>
      <c r="S1169" t="str">
        <f>_xlfn.XLOOKUP(B1169,BugList!A:A,BugList!W:W)</f>
        <v/>
      </c>
      <c r="T1169">
        <f t="shared" si="127"/>
        <v>0</v>
      </c>
      <c r="U1169">
        <f t="shared" si="128"/>
        <v>0</v>
      </c>
    </row>
    <row r="1170" spans="1:21">
      <c r="A1170" t="s">
        <v>2687</v>
      </c>
      <c r="B1170">
        <v>1436</v>
      </c>
      <c r="D1170" t="s">
        <v>101</v>
      </c>
      <c r="E1170" t="s">
        <v>101</v>
      </c>
      <c r="F1170">
        <v>57</v>
      </c>
      <c r="G1170">
        <f t="shared" si="129"/>
        <v>30.158730158730158</v>
      </c>
      <c r="H1170">
        <f t="shared" si="130"/>
        <v>30</v>
      </c>
      <c r="I1170">
        <f t="shared" si="131"/>
        <v>0.15873015873015817</v>
      </c>
      <c r="J1170" cm="1">
        <f t="array" ref="J1170">INT(G1170)+IF(100-SUM(INT(G$1155:G$1172))&gt;=RANK(I1170,I$1155:I$1172)+COUNTIF(I$1155:I1170,I1170)-1,1,0)</f>
        <v>30</v>
      </c>
      <c r="K1170" t="str">
        <f>_xlfn.XLOOKUP(B1170,BugList!A:A,BugList!H:H)</f>
        <v/>
      </c>
      <c r="L1170" t="str">
        <f>IF(K1170 = "","",_xlfn.XLOOKUP(B1170, BugList!A:A,BugList!B:B,""))</f>
        <v/>
      </c>
      <c r="M1170">
        <f>_xlfn.XLOOKUP(D1170,BugList!C:C,BugList!N:N)</f>
        <v>6</v>
      </c>
      <c r="N1170">
        <f>_xlfn.XLOOKUP(B1170,BugList!A:A,BugList!R:R)</f>
        <v>6</v>
      </c>
      <c r="O1170" t="b">
        <f>_xlfn.XLOOKUP(B1170,BugList!A:A,BugList!L:L)</f>
        <v>1</v>
      </c>
      <c r="P1170" t="b">
        <f t="shared" si="126"/>
        <v>0</v>
      </c>
      <c r="R1170" t="b">
        <f>SUMPRODUCT(COUNTIF(_xlfn.XLOOKUP(B1170,BugList!A:A,BugList!P:P), "*SC*"))&gt;0</f>
        <v>0</v>
      </c>
      <c r="S1170" t="str">
        <f>_xlfn.XLOOKUP(B1170,BugList!A:A,BugList!W:W)</f>
        <v/>
      </c>
      <c r="T1170">
        <f t="shared" si="127"/>
        <v>180</v>
      </c>
      <c r="U1170">
        <f t="shared" si="128"/>
        <v>180</v>
      </c>
    </row>
    <row r="1171" spans="1:21">
      <c r="A1171" t="s">
        <v>2687</v>
      </c>
      <c r="B1171">
        <v>1497</v>
      </c>
      <c r="D1171" t="s">
        <v>108</v>
      </c>
      <c r="E1171" t="s">
        <v>108</v>
      </c>
      <c r="F1171">
        <v>1</v>
      </c>
      <c r="G1171">
        <f t="shared" si="129"/>
        <v>0.52910052910052907</v>
      </c>
      <c r="H1171">
        <f t="shared" si="130"/>
        <v>0</v>
      </c>
      <c r="I1171">
        <f t="shared" si="131"/>
        <v>0.52910052910052907</v>
      </c>
      <c r="J1171" cm="1">
        <f t="array" ref="J1171">INT(G1171)+IF(100-SUM(INT(G$1155:G$1172))&gt;=RANK(I1171,I$1155:I$1172)+COUNTIF(I$1155:I1171,I1171)-1,1,0)</f>
        <v>0</v>
      </c>
      <c r="K1171" t="str">
        <f>_xlfn.XLOOKUP(B1171,BugList!A:A,BugList!H:H)</f>
        <v/>
      </c>
      <c r="L1171" t="str">
        <f>IF(K1171 = "","",_xlfn.XLOOKUP(B1171, BugList!A:A,BugList!B:B,""))</f>
        <v/>
      </c>
      <c r="M1171">
        <f>_xlfn.XLOOKUP(D1171,BugList!C:C,BugList!N:N)</f>
        <v>3</v>
      </c>
      <c r="N1171">
        <f>_xlfn.XLOOKUP(B1171,BugList!A:A,BugList!R:R)</f>
        <v>3</v>
      </c>
      <c r="O1171" t="b">
        <f>_xlfn.XLOOKUP(B1171,BugList!A:A,BugList!L:L)</f>
        <v>1</v>
      </c>
      <c r="P1171" t="b">
        <f t="shared" si="126"/>
        <v>0</v>
      </c>
      <c r="R1171" t="b">
        <f>SUMPRODUCT(COUNTIF(_xlfn.XLOOKUP(B1171,BugList!A:A,BugList!P:P), "*SC*"))&gt;0</f>
        <v>0</v>
      </c>
      <c r="S1171" t="str">
        <f>_xlfn.XLOOKUP(B1171,BugList!A:A,BugList!W:W)</f>
        <v/>
      </c>
      <c r="T1171">
        <f t="shared" si="127"/>
        <v>0</v>
      </c>
      <c r="U1171">
        <f t="shared" si="128"/>
        <v>0</v>
      </c>
    </row>
    <row r="1172" spans="1:21">
      <c r="A1172" t="s">
        <v>2687</v>
      </c>
      <c r="B1172">
        <v>2781</v>
      </c>
      <c r="D1172" t="s">
        <v>109</v>
      </c>
      <c r="E1172" t="s">
        <v>109</v>
      </c>
      <c r="F1172">
        <v>17</v>
      </c>
      <c r="G1172">
        <f t="shared" si="129"/>
        <v>8.9947089947089935</v>
      </c>
      <c r="H1172">
        <f t="shared" si="130"/>
        <v>8</v>
      </c>
      <c r="I1172">
        <f t="shared" si="131"/>
        <v>0.99470899470899354</v>
      </c>
      <c r="J1172" cm="1">
        <f t="array" ref="J1172">INT(G1172)+IF(100-SUM(INT(G$1155:G$1172))&gt;=RANK(I1172,I$1155:I$1172)+COUNTIF(I$1155:I1172,I1172)-1,1,0)</f>
        <v>9</v>
      </c>
      <c r="K1172" t="str">
        <f>_xlfn.XLOOKUP(B1172,BugList!A:A,BugList!H:H)</f>
        <v/>
      </c>
      <c r="L1172" t="str">
        <f>IF(K1172 = "","",_xlfn.XLOOKUP(B1172, BugList!A:A,BugList!B:B,""))</f>
        <v/>
      </c>
      <c r="M1172">
        <f>_xlfn.XLOOKUP(D1172,BugList!C:C,BugList!N:N)</f>
        <v>6</v>
      </c>
      <c r="N1172">
        <f>_xlfn.XLOOKUP(B1172,BugList!A:A,BugList!R:R)</f>
        <v>4</v>
      </c>
      <c r="O1172" t="b">
        <f>_xlfn.XLOOKUP(B1172,BugList!A:A,BugList!L:L)</f>
        <v>0</v>
      </c>
      <c r="P1172" t="b">
        <f t="shared" si="126"/>
        <v>0</v>
      </c>
      <c r="R1172" t="b">
        <f>SUMPRODUCT(COUNTIF(_xlfn.XLOOKUP(B1172,BugList!A:A,BugList!P:P), "*SC*"))&gt;0</f>
        <v>0</v>
      </c>
      <c r="S1172" t="str">
        <f>_xlfn.XLOOKUP(B1172,BugList!A:A,BugList!W:W)</f>
        <v/>
      </c>
      <c r="T1172">
        <f t="shared" si="127"/>
        <v>54</v>
      </c>
      <c r="U1172">
        <f t="shared" si="128"/>
        <v>36</v>
      </c>
    </row>
    <row r="1173" spans="1:21">
      <c r="A1173" t="s">
        <v>2688</v>
      </c>
      <c r="B1173">
        <v>88</v>
      </c>
      <c r="D1173" t="s">
        <v>85</v>
      </c>
      <c r="E1173" t="s">
        <v>85</v>
      </c>
      <c r="F1173">
        <v>1</v>
      </c>
      <c r="G1173">
        <f t="shared" si="129"/>
        <v>0.99009900990099009</v>
      </c>
      <c r="H1173">
        <f t="shared" si="130"/>
        <v>0</v>
      </c>
      <c r="I1173">
        <f t="shared" si="131"/>
        <v>0.99009900990099009</v>
      </c>
      <c r="J1173" cm="1">
        <f t="array" ref="J1173">INT(G1173)+IF(100-SUM(INT(G$1173:G$1186))&gt;=RANK(I1173,I$1173:I$1186)+COUNTIF(I$1173:I1173,I1173)-1,1,0)</f>
        <v>1</v>
      </c>
      <c r="K1173" t="str">
        <f>_xlfn.XLOOKUP(B1173,BugList!A:A,BugList!H:H)</f>
        <v/>
      </c>
      <c r="L1173" t="str">
        <f>IF(K1173 = "","",_xlfn.XLOOKUP(B1173, BugList!A:A,BugList!B:B,""))</f>
        <v/>
      </c>
      <c r="M1173">
        <f>_xlfn.XLOOKUP(D1173,BugList!C:C,BugList!N:N)</f>
        <v>4</v>
      </c>
      <c r="N1173">
        <f>_xlfn.XLOOKUP(B1173,BugList!A:A,BugList!R:R)</f>
        <v>4</v>
      </c>
      <c r="O1173" t="b">
        <f>_xlfn.XLOOKUP(B1173,BugList!A:A,BugList!L:L)</f>
        <v>0</v>
      </c>
      <c r="P1173" t="b">
        <f t="shared" si="126"/>
        <v>0</v>
      </c>
      <c r="R1173" t="b">
        <f>SUMPRODUCT(COUNTIF(_xlfn.XLOOKUP(B1173,BugList!A:A,BugList!P:P), "*SC*"))&gt;0</f>
        <v>0</v>
      </c>
      <c r="S1173" t="str">
        <f>_xlfn.XLOOKUP(B1173,BugList!A:A,BugList!W:W)</f>
        <v/>
      </c>
      <c r="T1173">
        <f t="shared" si="127"/>
        <v>4</v>
      </c>
      <c r="U1173">
        <f t="shared" si="128"/>
        <v>4</v>
      </c>
    </row>
    <row r="1174" spans="1:21">
      <c r="A1174" t="s">
        <v>2688</v>
      </c>
      <c r="B1174">
        <v>372</v>
      </c>
      <c r="D1174" t="s">
        <v>88</v>
      </c>
      <c r="E1174" t="s">
        <v>88</v>
      </c>
      <c r="F1174">
        <v>5</v>
      </c>
      <c r="G1174">
        <f t="shared" si="129"/>
        <v>4.9504950495049505</v>
      </c>
      <c r="H1174">
        <f t="shared" si="130"/>
        <v>4</v>
      </c>
      <c r="I1174">
        <f t="shared" si="131"/>
        <v>0.95049504950495045</v>
      </c>
      <c r="J1174" cm="1">
        <f t="array" ref="J1174">INT(G1174)+IF(100-SUM(INT(G$1173:G$1186))&gt;=RANK(I1174,I$1173:I$1186)+COUNTIF(I$1173:I1174,I1174)-1,1,0)</f>
        <v>5</v>
      </c>
      <c r="K1174" t="str">
        <f>_xlfn.XLOOKUP(B1174,BugList!A:A,BugList!H:H)</f>
        <v/>
      </c>
      <c r="L1174" t="str">
        <f>IF(K1174 = "","",_xlfn.XLOOKUP(B1174, BugList!A:A,BugList!B:B,""))</f>
        <v/>
      </c>
      <c r="M1174">
        <f>_xlfn.XLOOKUP(D1174,BugList!C:C,BugList!N:N)</f>
        <v>8</v>
      </c>
      <c r="N1174">
        <f>_xlfn.XLOOKUP(B1174,BugList!A:A,BugList!R:R)</f>
        <v>8</v>
      </c>
      <c r="O1174" t="b">
        <f>_xlfn.XLOOKUP(B1174,BugList!A:A,BugList!L:L)</f>
        <v>0</v>
      </c>
      <c r="P1174" t="b">
        <f t="shared" si="126"/>
        <v>0</v>
      </c>
      <c r="R1174" t="b">
        <f>SUMPRODUCT(COUNTIF(_xlfn.XLOOKUP(B1174,BugList!A:A,BugList!P:P), "*SC*"))&gt;0</f>
        <v>0</v>
      </c>
      <c r="S1174" t="str">
        <f>_xlfn.XLOOKUP(B1174,BugList!A:A,BugList!W:W)</f>
        <v/>
      </c>
      <c r="T1174">
        <f t="shared" si="127"/>
        <v>40</v>
      </c>
      <c r="U1174">
        <f t="shared" si="128"/>
        <v>40</v>
      </c>
    </row>
    <row r="1175" spans="1:21">
      <c r="A1175" t="s">
        <v>2688</v>
      </c>
      <c r="B1175">
        <v>513</v>
      </c>
      <c r="D1175" t="s">
        <v>111</v>
      </c>
      <c r="E1175" t="s">
        <v>111</v>
      </c>
      <c r="F1175">
        <v>9</v>
      </c>
      <c r="G1175">
        <f t="shared" si="129"/>
        <v>8.9108910891089099</v>
      </c>
      <c r="H1175">
        <f t="shared" si="130"/>
        <v>8</v>
      </c>
      <c r="I1175">
        <f t="shared" si="131"/>
        <v>0.91089108910890992</v>
      </c>
      <c r="J1175" cm="1">
        <f t="array" ref="J1175">INT(G1175)+IF(100-SUM(INT(G$1173:G$1186))&gt;=RANK(I1175,I$1173:I$1186)+COUNTIF(I$1173:I1175,I1175)-1,1,0)</f>
        <v>9</v>
      </c>
      <c r="K1175" t="str">
        <f>_xlfn.XLOOKUP(B1175,BugList!A:A,BugList!H:H)</f>
        <v>*</v>
      </c>
      <c r="L1175" t="str">
        <f>IF(K1175 = "","",_xlfn.XLOOKUP(B1175, BugList!A:A,BugList!B:B,""))</f>
        <v>Ephemeroptera</v>
      </c>
      <c r="M1175">
        <f>_xlfn.XLOOKUP(D1175,BugList!C:C,BugList!N:N)</f>
        <v>4</v>
      </c>
      <c r="N1175">
        <f>_xlfn.XLOOKUP(B1175,BugList!A:A,BugList!R:R)</f>
        <v>4</v>
      </c>
      <c r="O1175" t="b">
        <f>_xlfn.XLOOKUP(B1175,BugList!A:A,BugList!L:L)</f>
        <v>1</v>
      </c>
      <c r="P1175" t="b">
        <f t="shared" si="126"/>
        <v>1</v>
      </c>
      <c r="R1175" t="b">
        <f>SUMPRODUCT(COUNTIF(_xlfn.XLOOKUP(B1175,BugList!A:A,BugList!P:P), "*SC*"))&gt;0</f>
        <v>1</v>
      </c>
      <c r="S1175" t="str">
        <f>_xlfn.XLOOKUP(B1175,BugList!A:A,BugList!W:W)</f>
        <v/>
      </c>
      <c r="T1175">
        <f t="shared" si="127"/>
        <v>36</v>
      </c>
      <c r="U1175">
        <f t="shared" si="128"/>
        <v>36</v>
      </c>
    </row>
    <row r="1176" spans="1:21">
      <c r="A1176" t="s">
        <v>2688</v>
      </c>
      <c r="B1176">
        <v>602</v>
      </c>
      <c r="D1176" t="s">
        <v>97</v>
      </c>
      <c r="E1176" t="s">
        <v>97</v>
      </c>
      <c r="F1176">
        <v>4</v>
      </c>
      <c r="G1176">
        <f t="shared" si="129"/>
        <v>3.9603960396039604</v>
      </c>
      <c r="H1176">
        <f t="shared" si="130"/>
        <v>3</v>
      </c>
      <c r="I1176">
        <f t="shared" si="131"/>
        <v>0.96039603960396036</v>
      </c>
      <c r="J1176" cm="1">
        <f t="array" ref="J1176">INT(G1176)+IF(100-SUM(INT(G$1173:G$1186))&gt;=RANK(I1176,I$1173:I$1186)+COUNTIF(I$1173:I1176,I1176)-1,1,0)</f>
        <v>4</v>
      </c>
      <c r="K1176" t="str">
        <f>_xlfn.XLOOKUP(B1176,BugList!A:A,BugList!H:H)</f>
        <v/>
      </c>
      <c r="L1176" t="str">
        <f>IF(K1176 = "","",_xlfn.XLOOKUP(B1176, BugList!A:A,BugList!B:B,""))</f>
        <v/>
      </c>
      <c r="M1176">
        <f>_xlfn.XLOOKUP(D1176,BugList!C:C,BugList!N:N)</f>
        <v>9</v>
      </c>
      <c r="N1176">
        <f>_xlfn.XLOOKUP(B1176,BugList!A:A,BugList!R:R)</f>
        <v>9</v>
      </c>
      <c r="O1176" t="b">
        <f>_xlfn.XLOOKUP(B1176,BugList!A:A,BugList!L:L)</f>
        <v>1</v>
      </c>
      <c r="P1176" t="b">
        <f t="shared" si="126"/>
        <v>0</v>
      </c>
      <c r="R1176" t="b">
        <f>SUMPRODUCT(COUNTIF(_xlfn.XLOOKUP(B1176,BugList!A:A,BugList!P:P), "*SC*"))&gt;0</f>
        <v>0</v>
      </c>
      <c r="S1176" t="str">
        <f>_xlfn.XLOOKUP(B1176,BugList!A:A,BugList!W:W)</f>
        <v/>
      </c>
      <c r="T1176">
        <f t="shared" si="127"/>
        <v>36</v>
      </c>
      <c r="U1176">
        <f t="shared" si="128"/>
        <v>36</v>
      </c>
    </row>
    <row r="1177" spans="1:21">
      <c r="A1177" t="s">
        <v>2688</v>
      </c>
      <c r="B1177">
        <v>794</v>
      </c>
      <c r="D1177" t="s">
        <v>89</v>
      </c>
      <c r="E1177" t="s">
        <v>89</v>
      </c>
      <c r="F1177">
        <v>1</v>
      </c>
      <c r="G1177">
        <f t="shared" si="129"/>
        <v>0.99009900990099009</v>
      </c>
      <c r="H1177">
        <f t="shared" si="130"/>
        <v>0</v>
      </c>
      <c r="I1177">
        <f t="shared" si="131"/>
        <v>0.99009900990099009</v>
      </c>
      <c r="J1177" cm="1">
        <f t="array" ref="J1177">INT(G1177)+IF(100-SUM(INT(G$1173:G$1186))&gt;=RANK(I1177,I$1173:I$1186)+COUNTIF(I$1173:I1177,I1177)-1,1,0)</f>
        <v>1</v>
      </c>
      <c r="K1177" t="str">
        <f>_xlfn.XLOOKUP(B1177,BugList!A:A,BugList!H:H)</f>
        <v>*</v>
      </c>
      <c r="L1177" t="str">
        <f>IF(K1177 = "","",_xlfn.XLOOKUP(B1177, BugList!A:A,BugList!B:B,""))</f>
        <v>Trichoptera</v>
      </c>
      <c r="M1177">
        <f>_xlfn.XLOOKUP(D1177,BugList!C:C,BugList!N:N)</f>
        <v>4</v>
      </c>
      <c r="N1177">
        <f>_xlfn.XLOOKUP(B1177,BugList!A:A,BugList!R:R)</f>
        <v>4</v>
      </c>
      <c r="O1177" t="b">
        <f>_xlfn.XLOOKUP(B1177,BugList!A:A,BugList!L:L)</f>
        <v>1</v>
      </c>
      <c r="P1177" t="b">
        <f t="shared" si="126"/>
        <v>0</v>
      </c>
      <c r="R1177" t="b">
        <f>SUMPRODUCT(COUNTIF(_xlfn.XLOOKUP(B1177,BugList!A:A,BugList!P:P), "*SC*"))&gt;0</f>
        <v>0</v>
      </c>
      <c r="S1177" t="str">
        <f>_xlfn.XLOOKUP(B1177,BugList!A:A,BugList!W:W)</f>
        <v/>
      </c>
      <c r="T1177">
        <f t="shared" si="127"/>
        <v>4</v>
      </c>
      <c r="U1177">
        <f t="shared" si="128"/>
        <v>4</v>
      </c>
    </row>
    <row r="1178" spans="1:21">
      <c r="A1178" t="s">
        <v>2688</v>
      </c>
      <c r="B1178">
        <v>837</v>
      </c>
      <c r="D1178" t="s">
        <v>107</v>
      </c>
      <c r="E1178" t="s">
        <v>107</v>
      </c>
      <c r="F1178">
        <v>8</v>
      </c>
      <c r="G1178">
        <f t="shared" si="129"/>
        <v>7.9207920792079207</v>
      </c>
      <c r="H1178">
        <f t="shared" si="130"/>
        <v>7</v>
      </c>
      <c r="I1178">
        <f t="shared" si="131"/>
        <v>0.92079207920792072</v>
      </c>
      <c r="J1178" cm="1">
        <f t="array" ref="J1178">INT(G1178)+IF(100-SUM(INT(G$1173:G$1186))&gt;=RANK(I1178,I$1173:I$1186)+COUNTIF(I$1173:I1178,I1178)-1,1,0)</f>
        <v>8</v>
      </c>
      <c r="K1178" t="str">
        <f>_xlfn.XLOOKUP(B1178,BugList!A:A,BugList!H:H)</f>
        <v>*</v>
      </c>
      <c r="L1178" t="str">
        <f>IF(K1178 = "","",_xlfn.XLOOKUP(B1178, BugList!A:A,BugList!B:B,""))</f>
        <v>Trichoptera</v>
      </c>
      <c r="M1178">
        <f>_xlfn.XLOOKUP(D1178,BugList!C:C,BugList!N:N)</f>
        <v>3</v>
      </c>
      <c r="N1178">
        <f>_xlfn.XLOOKUP(B1178,BugList!A:A,BugList!R:R)</f>
        <v>3</v>
      </c>
      <c r="O1178" t="b">
        <f>_xlfn.XLOOKUP(B1178,BugList!A:A,BugList!L:L)</f>
        <v>1</v>
      </c>
      <c r="P1178" t="b">
        <f t="shared" si="126"/>
        <v>1</v>
      </c>
      <c r="R1178" t="b">
        <f>SUMPRODUCT(COUNTIF(_xlfn.XLOOKUP(B1178,BugList!A:A,BugList!P:P), "*SC*"))&gt;0</f>
        <v>0</v>
      </c>
      <c r="S1178" t="str">
        <f>_xlfn.XLOOKUP(B1178,BugList!A:A,BugList!W:W)</f>
        <v/>
      </c>
      <c r="T1178">
        <f t="shared" si="127"/>
        <v>24</v>
      </c>
      <c r="U1178">
        <f t="shared" si="128"/>
        <v>24</v>
      </c>
    </row>
    <row r="1179" spans="1:21">
      <c r="A1179" t="s">
        <v>2688</v>
      </c>
      <c r="B1179">
        <v>935</v>
      </c>
      <c r="D1179" t="s">
        <v>98</v>
      </c>
      <c r="E1179" t="s">
        <v>98</v>
      </c>
      <c r="F1179">
        <v>9</v>
      </c>
      <c r="G1179">
        <f t="shared" si="129"/>
        <v>8.9108910891089099</v>
      </c>
      <c r="H1179">
        <f t="shared" si="130"/>
        <v>8</v>
      </c>
      <c r="I1179">
        <f t="shared" si="131"/>
        <v>0.91089108910890992</v>
      </c>
      <c r="J1179" cm="1">
        <f t="array" ref="J1179">INT(G1179)+IF(100-SUM(INT(G$1173:G$1186))&gt;=RANK(I1179,I$1173:I$1186)+COUNTIF(I$1173:I1179,I1179)-1,1,0)</f>
        <v>9</v>
      </c>
      <c r="K1179" t="str">
        <f>_xlfn.XLOOKUP(B1179,BugList!A:A,BugList!H:H)</f>
        <v/>
      </c>
      <c r="L1179" t="str">
        <f>IF(K1179 = "","",_xlfn.XLOOKUP(B1179, BugList!A:A,BugList!B:B,""))</f>
        <v/>
      </c>
      <c r="M1179">
        <f>_xlfn.XLOOKUP(D1179,BugList!C:C,BugList!N:N)</f>
        <v>4</v>
      </c>
      <c r="N1179">
        <f>_xlfn.XLOOKUP(B1179,BugList!A:A,BugList!R:R)</f>
        <v>4</v>
      </c>
      <c r="O1179" t="b">
        <f>_xlfn.XLOOKUP(B1179,BugList!A:A,BugList!L:L)</f>
        <v>1</v>
      </c>
      <c r="P1179" t="b">
        <f t="shared" si="126"/>
        <v>0</v>
      </c>
      <c r="R1179" t="b">
        <f>SUMPRODUCT(COUNTIF(_xlfn.XLOOKUP(B1179,BugList!A:A,BugList!P:P), "*SC*"))&gt;0</f>
        <v>1</v>
      </c>
      <c r="S1179" t="str">
        <f>_xlfn.XLOOKUP(B1179,BugList!A:A,BugList!W:W)</f>
        <v/>
      </c>
      <c r="T1179">
        <f t="shared" si="127"/>
        <v>36</v>
      </c>
      <c r="U1179">
        <f t="shared" si="128"/>
        <v>36</v>
      </c>
    </row>
    <row r="1180" spans="1:21">
      <c r="A1180" t="s">
        <v>2688</v>
      </c>
      <c r="B1180">
        <v>1002</v>
      </c>
      <c r="D1180" t="s">
        <v>100</v>
      </c>
      <c r="E1180" t="s">
        <v>100</v>
      </c>
      <c r="F1180">
        <v>15</v>
      </c>
      <c r="G1180">
        <f t="shared" si="129"/>
        <v>14.85148514851485</v>
      </c>
      <c r="H1180">
        <f t="shared" si="130"/>
        <v>14</v>
      </c>
      <c r="I1180">
        <f t="shared" si="131"/>
        <v>0.85148514851485047</v>
      </c>
      <c r="J1180" cm="1">
        <f t="array" ref="J1180">INT(G1180)+IF(100-SUM(INT(G$1173:G$1186))&gt;=RANK(I1180,I$1173:I$1186)+COUNTIF(I$1173:I1180,I1180)-1,1,0)</f>
        <v>15</v>
      </c>
      <c r="K1180" t="str">
        <f>_xlfn.XLOOKUP(B1180,BugList!A:A,BugList!H:H)</f>
        <v/>
      </c>
      <c r="L1180" t="str">
        <f>IF(K1180 = "","",_xlfn.XLOOKUP(B1180, BugList!A:A,BugList!B:B,""))</f>
        <v/>
      </c>
      <c r="M1180">
        <f>_xlfn.XLOOKUP(D1180,BugList!C:C,BugList!N:N)</f>
        <v>4</v>
      </c>
      <c r="N1180">
        <f>_xlfn.XLOOKUP(B1180,BugList!A:A,BugList!R:R)</f>
        <v>4</v>
      </c>
      <c r="O1180" t="b">
        <f>_xlfn.XLOOKUP(B1180,BugList!A:A,BugList!L:L)</f>
        <v>1</v>
      </c>
      <c r="P1180" t="b">
        <f t="shared" si="126"/>
        <v>0</v>
      </c>
      <c r="R1180" t="b">
        <f>SUMPRODUCT(COUNTIF(_xlfn.XLOOKUP(B1180,BugList!A:A,BugList!P:P), "*SC*"))&gt;0</f>
        <v>1</v>
      </c>
      <c r="S1180" t="str">
        <f>_xlfn.XLOOKUP(B1180,BugList!A:A,BugList!W:W)</f>
        <v/>
      </c>
      <c r="T1180">
        <f t="shared" si="127"/>
        <v>60</v>
      </c>
      <c r="U1180">
        <f t="shared" si="128"/>
        <v>60</v>
      </c>
    </row>
    <row r="1181" spans="1:21">
      <c r="A1181" t="s">
        <v>2688</v>
      </c>
      <c r="B1181">
        <v>1199</v>
      </c>
      <c r="D1181" t="s">
        <v>131</v>
      </c>
      <c r="E1181" t="s">
        <v>131</v>
      </c>
      <c r="F1181">
        <v>24</v>
      </c>
      <c r="G1181">
        <f t="shared" si="129"/>
        <v>23.762376237623762</v>
      </c>
      <c r="H1181">
        <f t="shared" si="130"/>
        <v>23</v>
      </c>
      <c r="I1181">
        <f t="shared" si="131"/>
        <v>0.76237623762376217</v>
      </c>
      <c r="J1181" cm="1">
        <f t="array" ref="J1181">INT(G1181)+IF(100-SUM(INT(G$1173:G$1186))&gt;=RANK(I1181,I$1173:I$1186)+COUNTIF(I$1173:I1181,I1181)-1,1,0)</f>
        <v>23</v>
      </c>
      <c r="K1181" t="str">
        <f>_xlfn.XLOOKUP(B1181,BugList!A:A,BugList!H:H)</f>
        <v/>
      </c>
      <c r="L1181" t="str">
        <f>IF(K1181 = "","",_xlfn.XLOOKUP(B1181, BugList!A:A,BugList!B:B,""))</f>
        <v/>
      </c>
      <c r="M1181">
        <f>_xlfn.XLOOKUP(D1181,BugList!C:C,BugList!N:N)</f>
        <v>6</v>
      </c>
      <c r="N1181">
        <f>_xlfn.XLOOKUP(B1181,BugList!A:A,BugList!R:R)</f>
        <v>6</v>
      </c>
      <c r="O1181" t="b">
        <f>_xlfn.XLOOKUP(B1181,BugList!A:A,BugList!L:L)</f>
        <v>1</v>
      </c>
      <c r="P1181" t="b">
        <f t="shared" si="126"/>
        <v>0</v>
      </c>
      <c r="R1181" t="b">
        <f>SUMPRODUCT(COUNTIF(_xlfn.XLOOKUP(B1181,BugList!A:A,BugList!P:P), "*SC*"))&gt;0</f>
        <v>0</v>
      </c>
      <c r="S1181" t="str">
        <f>_xlfn.XLOOKUP(B1181,BugList!A:A,BugList!W:W)</f>
        <v/>
      </c>
      <c r="T1181">
        <f t="shared" si="127"/>
        <v>138</v>
      </c>
      <c r="U1181">
        <f t="shared" si="128"/>
        <v>138</v>
      </c>
    </row>
    <row r="1182" spans="1:21">
      <c r="A1182" t="s">
        <v>2688</v>
      </c>
      <c r="B1182">
        <v>1436</v>
      </c>
      <c r="D1182" t="s">
        <v>101</v>
      </c>
      <c r="E1182" t="s">
        <v>101</v>
      </c>
      <c r="F1182">
        <v>10</v>
      </c>
      <c r="G1182">
        <f t="shared" si="129"/>
        <v>9.9009900990099009</v>
      </c>
      <c r="H1182">
        <f t="shared" si="130"/>
        <v>9</v>
      </c>
      <c r="I1182">
        <f t="shared" si="131"/>
        <v>0.9009900990099009</v>
      </c>
      <c r="J1182" cm="1">
        <f t="array" ref="J1182">INT(G1182)+IF(100-SUM(INT(G$1173:G$1186))&gt;=RANK(I1182,I$1173:I$1186)+COUNTIF(I$1173:I1182,I1182)-1,1,0)</f>
        <v>10</v>
      </c>
      <c r="K1182" t="str">
        <f>_xlfn.XLOOKUP(B1182,BugList!A:A,BugList!H:H)</f>
        <v/>
      </c>
      <c r="L1182" t="str">
        <f>IF(K1182 = "","",_xlfn.XLOOKUP(B1182, BugList!A:A,BugList!B:B,""))</f>
        <v/>
      </c>
      <c r="M1182">
        <f>_xlfn.XLOOKUP(D1182,BugList!C:C,BugList!N:N)</f>
        <v>6</v>
      </c>
      <c r="N1182">
        <f>_xlfn.XLOOKUP(B1182,BugList!A:A,BugList!R:R)</f>
        <v>6</v>
      </c>
      <c r="O1182" t="b">
        <f>_xlfn.XLOOKUP(B1182,BugList!A:A,BugList!L:L)</f>
        <v>1</v>
      </c>
      <c r="P1182" t="b">
        <f t="shared" si="126"/>
        <v>0</v>
      </c>
      <c r="R1182" t="b">
        <f>SUMPRODUCT(COUNTIF(_xlfn.XLOOKUP(B1182,BugList!A:A,BugList!P:P), "*SC*"))&gt;0</f>
        <v>0</v>
      </c>
      <c r="S1182" t="str">
        <f>_xlfn.XLOOKUP(B1182,BugList!A:A,BugList!W:W)</f>
        <v/>
      </c>
      <c r="T1182">
        <f t="shared" si="127"/>
        <v>60</v>
      </c>
      <c r="U1182">
        <f t="shared" si="128"/>
        <v>60</v>
      </c>
    </row>
    <row r="1183" spans="1:21">
      <c r="A1183" t="s">
        <v>2688</v>
      </c>
      <c r="B1183">
        <v>1614</v>
      </c>
      <c r="D1183" t="s">
        <v>92</v>
      </c>
      <c r="E1183" t="s">
        <v>92</v>
      </c>
      <c r="F1183">
        <v>9</v>
      </c>
      <c r="G1183">
        <f t="shared" si="129"/>
        <v>8.9108910891089099</v>
      </c>
      <c r="H1183">
        <f t="shared" si="130"/>
        <v>8</v>
      </c>
      <c r="I1183">
        <f t="shared" si="131"/>
        <v>0.91089108910890992</v>
      </c>
      <c r="J1183" cm="1">
        <f t="array" ref="J1183">INT(G1183)+IF(100-SUM(INT(G$1173:G$1186))&gt;=RANK(I1183,I$1173:I$1186)+COUNTIF(I$1173:I1183,I1183)-1,1,0)</f>
        <v>9</v>
      </c>
      <c r="K1183" t="str">
        <f>_xlfn.XLOOKUP(B1183,BugList!A:A,BugList!H:H)</f>
        <v/>
      </c>
      <c r="L1183" t="str">
        <f>IF(K1183 = "","",_xlfn.XLOOKUP(B1183, BugList!A:A,BugList!B:B,""))</f>
        <v/>
      </c>
      <c r="M1183">
        <f>_xlfn.XLOOKUP(D1183,BugList!C:C,BugList!N:N)</f>
        <v>8</v>
      </c>
      <c r="N1183">
        <f>_xlfn.XLOOKUP(B1183,BugList!A:A,BugList!R:R)</f>
        <v>8</v>
      </c>
      <c r="O1183" t="b">
        <f>_xlfn.XLOOKUP(B1183,BugList!A:A,BugList!L:L)</f>
        <v>0</v>
      </c>
      <c r="P1183" t="b">
        <f t="shared" si="126"/>
        <v>0</v>
      </c>
      <c r="R1183" t="b">
        <f>SUMPRODUCT(COUNTIF(_xlfn.XLOOKUP(B1183,BugList!A:A,BugList!P:P), "*SC*"))&gt;0</f>
        <v>0</v>
      </c>
      <c r="S1183" t="str">
        <f>_xlfn.XLOOKUP(B1183,BugList!A:A,BugList!W:W)</f>
        <v/>
      </c>
      <c r="T1183">
        <f t="shared" si="127"/>
        <v>72</v>
      </c>
      <c r="U1183">
        <f t="shared" si="128"/>
        <v>72</v>
      </c>
    </row>
    <row r="1184" spans="1:21">
      <c r="A1184" t="s">
        <v>2688</v>
      </c>
      <c r="B1184">
        <v>1678</v>
      </c>
      <c r="D1184" t="s">
        <v>166</v>
      </c>
      <c r="E1184" t="s">
        <v>166</v>
      </c>
      <c r="F1184">
        <v>1</v>
      </c>
      <c r="G1184">
        <f t="shared" si="129"/>
        <v>0.99009900990099009</v>
      </c>
      <c r="H1184">
        <f t="shared" si="130"/>
        <v>0</v>
      </c>
      <c r="I1184">
        <f t="shared" si="131"/>
        <v>0.99009900990099009</v>
      </c>
      <c r="J1184" cm="1">
        <f t="array" ref="J1184">INT(G1184)+IF(100-SUM(INT(G$1173:G$1186))&gt;=RANK(I1184,I$1173:I$1186)+COUNTIF(I$1173:I1184,I1184)-1,1,0)</f>
        <v>1</v>
      </c>
      <c r="K1184" t="str">
        <f>_xlfn.XLOOKUP(B1184,BugList!A:A,BugList!H:H)</f>
        <v/>
      </c>
      <c r="L1184" t="str">
        <f>IF(K1184 = "","",_xlfn.XLOOKUP(B1184, BugList!A:A,BugList!B:B,""))</f>
        <v/>
      </c>
      <c r="M1184">
        <f>_xlfn.XLOOKUP(D1184,BugList!C:C,BugList!N:N)</f>
        <v>6</v>
      </c>
      <c r="N1184">
        <f>_xlfn.XLOOKUP(B1184,BugList!A:A,BugList!R:R)</f>
        <v>6</v>
      </c>
      <c r="O1184" t="b">
        <f>_xlfn.XLOOKUP(B1184,BugList!A:A,BugList!L:L)</f>
        <v>0</v>
      </c>
      <c r="P1184" t="b">
        <f t="shared" si="126"/>
        <v>0</v>
      </c>
      <c r="R1184" t="b">
        <f>SUMPRODUCT(COUNTIF(_xlfn.XLOOKUP(B1184,BugList!A:A,BugList!P:P), "*SC*"))&gt;0</f>
        <v>1</v>
      </c>
      <c r="S1184" t="str">
        <f>_xlfn.XLOOKUP(B1184,BugList!A:A,BugList!W:W)</f>
        <v/>
      </c>
      <c r="T1184">
        <f t="shared" si="127"/>
        <v>6</v>
      </c>
      <c r="U1184">
        <f t="shared" si="128"/>
        <v>6</v>
      </c>
    </row>
    <row r="1185" spans="1:21">
      <c r="A1185" t="s">
        <v>2688</v>
      </c>
      <c r="B1185">
        <v>1696</v>
      </c>
      <c r="D1185" t="s">
        <v>94</v>
      </c>
      <c r="E1185" t="s">
        <v>94</v>
      </c>
      <c r="F1185">
        <v>1</v>
      </c>
      <c r="G1185">
        <f t="shared" si="129"/>
        <v>0.99009900990099009</v>
      </c>
      <c r="H1185">
        <f t="shared" si="130"/>
        <v>0</v>
      </c>
      <c r="I1185">
        <f t="shared" si="131"/>
        <v>0.99009900990099009</v>
      </c>
      <c r="J1185" cm="1">
        <f t="array" ref="J1185">INT(G1185)+IF(100-SUM(INT(G$1173:G$1186))&gt;=RANK(I1185,I$1173:I$1186)+COUNTIF(I$1173:I1185,I1185)-1,1,0)</f>
        <v>1</v>
      </c>
      <c r="K1185" t="str">
        <f>_xlfn.XLOOKUP(B1185,BugList!A:A,BugList!H:H)</f>
        <v/>
      </c>
      <c r="L1185" t="str">
        <f>IF(K1185 = "","",_xlfn.XLOOKUP(B1185, BugList!A:A,BugList!B:B,""))</f>
        <v/>
      </c>
      <c r="M1185">
        <f>_xlfn.XLOOKUP(D1185,BugList!C:C,BugList!N:N)</f>
        <v>8</v>
      </c>
      <c r="N1185">
        <f>_xlfn.XLOOKUP(B1185,BugList!A:A,BugList!R:R)</f>
        <v>8</v>
      </c>
      <c r="O1185" t="b">
        <f>_xlfn.XLOOKUP(B1185,BugList!A:A,BugList!L:L)</f>
        <v>0</v>
      </c>
      <c r="P1185" t="b">
        <f t="shared" si="126"/>
        <v>0</v>
      </c>
      <c r="R1185" t="b">
        <f>SUMPRODUCT(COUNTIF(_xlfn.XLOOKUP(B1185,BugList!A:A,BugList!P:P), "*SC*"))&gt;0</f>
        <v>0</v>
      </c>
      <c r="S1185" t="str">
        <f>_xlfn.XLOOKUP(B1185,BugList!A:A,BugList!W:W)</f>
        <v/>
      </c>
      <c r="T1185">
        <f t="shared" si="127"/>
        <v>8</v>
      </c>
      <c r="U1185">
        <f t="shared" si="128"/>
        <v>8</v>
      </c>
    </row>
    <row r="1186" spans="1:21">
      <c r="A1186" t="s">
        <v>2688</v>
      </c>
      <c r="B1186">
        <v>2781</v>
      </c>
      <c r="D1186" t="s">
        <v>109</v>
      </c>
      <c r="E1186" t="s">
        <v>109</v>
      </c>
      <c r="F1186">
        <v>4</v>
      </c>
      <c r="G1186">
        <f t="shared" si="129"/>
        <v>3.9603960396039604</v>
      </c>
      <c r="H1186">
        <f t="shared" si="130"/>
        <v>3</v>
      </c>
      <c r="I1186">
        <f t="shared" si="131"/>
        <v>0.96039603960396036</v>
      </c>
      <c r="J1186" cm="1">
        <f t="array" ref="J1186">INT(G1186)+IF(100-SUM(INT(G$1173:G$1186))&gt;=RANK(I1186,I$1173:I$1186)+COUNTIF(I$1173:I1186,I1186)-1,1,0)</f>
        <v>4</v>
      </c>
      <c r="K1186" t="str">
        <f>_xlfn.XLOOKUP(B1186,BugList!A:A,BugList!H:H)</f>
        <v/>
      </c>
      <c r="L1186" t="str">
        <f>IF(K1186 = "","",_xlfn.XLOOKUP(B1186, BugList!A:A,BugList!B:B,""))</f>
        <v/>
      </c>
      <c r="M1186">
        <f>_xlfn.XLOOKUP(D1186,BugList!C:C,BugList!N:N)</f>
        <v>6</v>
      </c>
      <c r="N1186">
        <f>_xlfn.XLOOKUP(B1186,BugList!A:A,BugList!R:R)</f>
        <v>4</v>
      </c>
      <c r="O1186" t="b">
        <f>_xlfn.XLOOKUP(B1186,BugList!A:A,BugList!L:L)</f>
        <v>0</v>
      </c>
      <c r="P1186" t="b">
        <f t="shared" si="126"/>
        <v>0</v>
      </c>
      <c r="R1186" t="b">
        <f>SUMPRODUCT(COUNTIF(_xlfn.XLOOKUP(B1186,BugList!A:A,BugList!P:P), "*SC*"))&gt;0</f>
        <v>0</v>
      </c>
      <c r="S1186" t="str">
        <f>_xlfn.XLOOKUP(B1186,BugList!A:A,BugList!W:W)</f>
        <v/>
      </c>
      <c r="T1186">
        <f t="shared" si="127"/>
        <v>24</v>
      </c>
      <c r="U1186">
        <f t="shared" si="128"/>
        <v>16</v>
      </c>
    </row>
    <row r="1187" spans="1:21">
      <c r="A1187" t="s">
        <v>2689</v>
      </c>
      <c r="B1187">
        <v>63</v>
      </c>
      <c r="D1187" t="s">
        <v>84</v>
      </c>
      <c r="E1187" t="s">
        <v>84</v>
      </c>
      <c r="F1187">
        <v>5</v>
      </c>
      <c r="G1187">
        <f t="shared" si="129"/>
        <v>2.5</v>
      </c>
      <c r="H1187">
        <f t="shared" si="130"/>
        <v>2</v>
      </c>
      <c r="I1187">
        <f t="shared" si="131"/>
        <v>0.5</v>
      </c>
      <c r="J1187" cm="1">
        <f t="array" ref="J1187">INT(G1187)+IF(100-SUM(INT(G$1187:G$1209))&gt;=RANK(I1187,I$1187:I$1209)+COUNTIF(I$1187:I1187,I1187)-1,1,0)</f>
        <v>3</v>
      </c>
      <c r="K1187" t="str">
        <f>_xlfn.XLOOKUP(B1187,BugList!A:A,BugList!H:H)</f>
        <v/>
      </c>
      <c r="L1187" t="str">
        <f>IF(K1187 = "","",_xlfn.XLOOKUP(B1187, BugList!A:A,BugList!B:B,""))</f>
        <v/>
      </c>
      <c r="M1187">
        <f>_xlfn.XLOOKUP(D1187,BugList!C:C,BugList!N:N)</f>
        <v>8</v>
      </c>
      <c r="N1187">
        <f>_xlfn.XLOOKUP(B1187,BugList!A:A,BugList!R:R)</f>
        <v>8</v>
      </c>
      <c r="O1187" t="b">
        <f>_xlfn.XLOOKUP(B1187,BugList!A:A,BugList!L:L)</f>
        <v>0</v>
      </c>
      <c r="P1187" t="b">
        <f t="shared" si="126"/>
        <v>0</v>
      </c>
      <c r="R1187" t="b">
        <f>SUMPRODUCT(COUNTIF(_xlfn.XLOOKUP(B1187,BugList!A:A,BugList!P:P), "*SC*"))&gt;0</f>
        <v>0</v>
      </c>
      <c r="S1187" t="str">
        <f>_xlfn.XLOOKUP(B1187,BugList!A:A,BugList!W:W)</f>
        <v/>
      </c>
      <c r="T1187">
        <f t="shared" si="127"/>
        <v>24</v>
      </c>
      <c r="U1187">
        <f t="shared" si="128"/>
        <v>24</v>
      </c>
    </row>
    <row r="1188" spans="1:21">
      <c r="A1188" t="s">
        <v>2689</v>
      </c>
      <c r="B1188">
        <v>88</v>
      </c>
      <c r="D1188" t="s">
        <v>85</v>
      </c>
      <c r="E1188" t="s">
        <v>85</v>
      </c>
      <c r="F1188">
        <v>2</v>
      </c>
      <c r="G1188">
        <f t="shared" si="129"/>
        <v>1</v>
      </c>
      <c r="H1188">
        <f t="shared" si="130"/>
        <v>1</v>
      </c>
      <c r="I1188">
        <f t="shared" si="131"/>
        <v>0</v>
      </c>
      <c r="J1188" cm="1">
        <f t="array" ref="J1188">INT(G1188)+IF(100-SUM(INT(G$1187:G$1209))&gt;=RANK(I1188,I$1187:I$1209)+COUNTIF(I$1187:I1188,I1188)-1,1,0)</f>
        <v>1</v>
      </c>
      <c r="K1188" t="str">
        <f>_xlfn.XLOOKUP(B1188,BugList!A:A,BugList!H:H)</f>
        <v/>
      </c>
      <c r="L1188" t="str">
        <f>IF(K1188 = "","",_xlfn.XLOOKUP(B1188, BugList!A:A,BugList!B:B,""))</f>
        <v/>
      </c>
      <c r="M1188">
        <f>_xlfn.XLOOKUP(D1188,BugList!C:C,BugList!N:N)</f>
        <v>4</v>
      </c>
      <c r="N1188">
        <f>_xlfn.XLOOKUP(B1188,BugList!A:A,BugList!R:R)</f>
        <v>4</v>
      </c>
      <c r="O1188" t="b">
        <f>_xlfn.XLOOKUP(B1188,BugList!A:A,BugList!L:L)</f>
        <v>0</v>
      </c>
      <c r="P1188" t="b">
        <f t="shared" si="126"/>
        <v>0</v>
      </c>
      <c r="R1188" t="b">
        <f>SUMPRODUCT(COUNTIF(_xlfn.XLOOKUP(B1188,BugList!A:A,BugList!P:P), "*SC*"))&gt;0</f>
        <v>0</v>
      </c>
      <c r="S1188" t="str">
        <f>_xlfn.XLOOKUP(B1188,BugList!A:A,BugList!W:W)</f>
        <v/>
      </c>
      <c r="T1188">
        <f t="shared" si="127"/>
        <v>4</v>
      </c>
      <c r="U1188">
        <f t="shared" si="128"/>
        <v>4</v>
      </c>
    </row>
    <row r="1189" spans="1:21">
      <c r="A1189" t="s">
        <v>2689</v>
      </c>
      <c r="B1189">
        <v>99</v>
      </c>
      <c r="D1189" t="s">
        <v>169</v>
      </c>
      <c r="E1189" t="s">
        <v>169</v>
      </c>
      <c r="F1189">
        <v>1</v>
      </c>
      <c r="G1189">
        <f t="shared" si="129"/>
        <v>0.5</v>
      </c>
      <c r="H1189">
        <f t="shared" si="130"/>
        <v>0</v>
      </c>
      <c r="I1189">
        <f t="shared" si="131"/>
        <v>0.5</v>
      </c>
      <c r="J1189" cm="1">
        <f t="array" ref="J1189">INT(G1189)+IF(100-SUM(INT(G$1187:G$1209))&gt;=RANK(I1189,I$1187:I$1209)+COUNTIF(I$1187:I1189,I1189)-1,1,0)</f>
        <v>1</v>
      </c>
      <c r="K1189" t="str">
        <f>_xlfn.XLOOKUP(B1189,BugList!A:A,BugList!H:H)</f>
        <v/>
      </c>
      <c r="L1189" t="str">
        <f>IF(K1189 = "","",_xlfn.XLOOKUP(B1189, BugList!A:A,BugList!B:B,""))</f>
        <v/>
      </c>
      <c r="M1189">
        <f>_xlfn.XLOOKUP(D1189,BugList!C:C,BugList!N:N)</f>
        <v>5</v>
      </c>
      <c r="N1189">
        <f>_xlfn.XLOOKUP(B1189,BugList!A:A,BugList!R:R)</f>
        <v>5</v>
      </c>
      <c r="O1189" t="b">
        <f>_xlfn.XLOOKUP(B1189,BugList!A:A,BugList!L:L)</f>
        <v>0</v>
      </c>
      <c r="P1189" t="b">
        <f t="shared" si="126"/>
        <v>0</v>
      </c>
      <c r="R1189" t="b">
        <f>SUMPRODUCT(COUNTIF(_xlfn.XLOOKUP(B1189,BugList!A:A,BugList!P:P), "*SC*"))&gt;0</f>
        <v>0</v>
      </c>
      <c r="S1189" t="str">
        <f>_xlfn.XLOOKUP(B1189,BugList!A:A,BugList!W:W)</f>
        <v/>
      </c>
      <c r="T1189">
        <f t="shared" si="127"/>
        <v>5</v>
      </c>
      <c r="U1189">
        <f t="shared" si="128"/>
        <v>5</v>
      </c>
    </row>
    <row r="1190" spans="1:21">
      <c r="A1190" t="s">
        <v>2689</v>
      </c>
      <c r="B1190">
        <v>425</v>
      </c>
      <c r="D1190" t="s">
        <v>153</v>
      </c>
      <c r="E1190" t="s">
        <v>153</v>
      </c>
      <c r="F1190">
        <v>1</v>
      </c>
      <c r="G1190">
        <f t="shared" si="129"/>
        <v>0.5</v>
      </c>
      <c r="H1190">
        <f t="shared" si="130"/>
        <v>0</v>
      </c>
      <c r="I1190">
        <f t="shared" si="131"/>
        <v>0.5</v>
      </c>
      <c r="J1190" cm="1">
        <f t="array" ref="J1190">INT(G1190)+IF(100-SUM(INT(G$1187:G$1209))&gt;=RANK(I1190,I$1187:I$1209)+COUNTIF(I$1187:I1190,I1190)-1,1,0)</f>
        <v>1</v>
      </c>
      <c r="K1190" t="str">
        <f>_xlfn.XLOOKUP(B1190,BugList!A:A,BugList!H:H)</f>
        <v>*</v>
      </c>
      <c r="L1190" t="str">
        <f>IF(K1190 = "","",_xlfn.XLOOKUP(B1190, BugList!A:A,BugList!B:B,""))</f>
        <v>Plecoptera</v>
      </c>
      <c r="M1190">
        <f>_xlfn.XLOOKUP(D1190,BugList!C:C,BugList!N:N)</f>
        <v>2</v>
      </c>
      <c r="N1190">
        <f>_xlfn.XLOOKUP(B1190,BugList!A:A,BugList!R:R)</f>
        <v>2</v>
      </c>
      <c r="O1190" t="b">
        <f>_xlfn.XLOOKUP(B1190,BugList!A:A,BugList!L:L)</f>
        <v>1</v>
      </c>
      <c r="P1190" t="b">
        <f t="shared" si="126"/>
        <v>1</v>
      </c>
      <c r="R1190" t="b">
        <f>SUMPRODUCT(COUNTIF(_xlfn.XLOOKUP(B1190,BugList!A:A,BugList!P:P), "*SC*"))&gt;0</f>
        <v>0</v>
      </c>
      <c r="S1190" t="str">
        <f>_xlfn.XLOOKUP(B1190,BugList!A:A,BugList!W:W)</f>
        <v>2</v>
      </c>
      <c r="T1190">
        <f t="shared" si="127"/>
        <v>2</v>
      </c>
      <c r="U1190">
        <f t="shared" si="128"/>
        <v>2</v>
      </c>
    </row>
    <row r="1191" spans="1:21">
      <c r="A1191" t="s">
        <v>2689</v>
      </c>
      <c r="B1191">
        <v>450</v>
      </c>
      <c r="D1191" t="s">
        <v>96</v>
      </c>
      <c r="E1191" t="s">
        <v>96</v>
      </c>
      <c r="F1191">
        <v>2</v>
      </c>
      <c r="G1191">
        <f t="shared" si="129"/>
        <v>1</v>
      </c>
      <c r="H1191">
        <f t="shared" si="130"/>
        <v>1</v>
      </c>
      <c r="I1191">
        <f t="shared" si="131"/>
        <v>0</v>
      </c>
      <c r="J1191" cm="1">
        <f t="array" ref="J1191">INT(G1191)+IF(100-SUM(INT(G$1187:G$1209))&gt;=RANK(I1191,I$1187:I$1209)+COUNTIF(I$1187:I1191,I1191)-1,1,0)</f>
        <v>1</v>
      </c>
      <c r="K1191" t="str">
        <f>_xlfn.XLOOKUP(B1191,BugList!A:A,BugList!H:H)</f>
        <v>*</v>
      </c>
      <c r="L1191" t="str">
        <f>IF(K1191 = "","",_xlfn.XLOOKUP(B1191, BugList!A:A,BugList!B:B,""))</f>
        <v>Ephemeroptera</v>
      </c>
      <c r="M1191">
        <f>_xlfn.XLOOKUP(D1191,BugList!C:C,BugList!N:N)</f>
        <v>4</v>
      </c>
      <c r="N1191">
        <f>_xlfn.XLOOKUP(B1191,BugList!A:A,BugList!R:R)</f>
        <v>4</v>
      </c>
      <c r="O1191" t="b">
        <f>_xlfn.XLOOKUP(B1191,BugList!A:A,BugList!L:L)</f>
        <v>1</v>
      </c>
      <c r="P1191" t="b">
        <f t="shared" si="126"/>
        <v>1</v>
      </c>
      <c r="R1191" t="b">
        <f>SUMPRODUCT(COUNTIF(_xlfn.XLOOKUP(B1191,BugList!A:A,BugList!P:P), "*SC*"))&gt;0</f>
        <v>1</v>
      </c>
      <c r="S1191" t="str">
        <f>_xlfn.XLOOKUP(B1191,BugList!A:A,BugList!W:W)</f>
        <v>3</v>
      </c>
      <c r="T1191">
        <f t="shared" si="127"/>
        <v>4</v>
      </c>
      <c r="U1191">
        <f t="shared" si="128"/>
        <v>4</v>
      </c>
    </row>
    <row r="1192" spans="1:21">
      <c r="A1192" t="s">
        <v>2689</v>
      </c>
      <c r="B1192">
        <v>500</v>
      </c>
      <c r="D1192" t="s">
        <v>151</v>
      </c>
      <c r="E1192" t="s">
        <v>151</v>
      </c>
      <c r="F1192">
        <v>1</v>
      </c>
      <c r="G1192">
        <f t="shared" si="129"/>
        <v>0.5</v>
      </c>
      <c r="H1192">
        <f t="shared" si="130"/>
        <v>0</v>
      </c>
      <c r="I1192">
        <f t="shared" si="131"/>
        <v>0.5</v>
      </c>
      <c r="J1192" cm="1">
        <f t="array" ref="J1192">INT(G1192)+IF(100-SUM(INT(G$1187:G$1209))&gt;=RANK(I1192,I$1187:I$1209)+COUNTIF(I$1187:I1192,I1192)-1,1,0)</f>
        <v>1</v>
      </c>
      <c r="K1192" t="str">
        <f>_xlfn.XLOOKUP(B1192,BugList!A:A,BugList!H:H)</f>
        <v>*</v>
      </c>
      <c r="L1192" t="str">
        <f>IF(K1192 = "","",_xlfn.XLOOKUP(B1192, BugList!A:A,BugList!B:B,""))</f>
        <v>Ephemeroptera</v>
      </c>
      <c r="M1192">
        <f>_xlfn.XLOOKUP(D1192,BugList!C:C,BugList!N:N)</f>
        <v>1</v>
      </c>
      <c r="N1192">
        <f>_xlfn.XLOOKUP(B1192,BugList!A:A,BugList!R:R)</f>
        <v>1</v>
      </c>
      <c r="O1192" t="b">
        <f>_xlfn.XLOOKUP(B1192,BugList!A:A,BugList!L:L)</f>
        <v>1</v>
      </c>
      <c r="P1192" t="b">
        <f t="shared" si="126"/>
        <v>1</v>
      </c>
      <c r="R1192" t="b">
        <f>SUMPRODUCT(COUNTIF(_xlfn.XLOOKUP(B1192,BugList!A:A,BugList!P:P), "*SC*"))&gt;0</f>
        <v>1</v>
      </c>
      <c r="S1192" t="str">
        <f>_xlfn.XLOOKUP(B1192,BugList!A:A,BugList!W:W)</f>
        <v/>
      </c>
      <c r="T1192">
        <f t="shared" si="127"/>
        <v>1</v>
      </c>
      <c r="U1192">
        <f t="shared" si="128"/>
        <v>1</v>
      </c>
    </row>
    <row r="1193" spans="1:21">
      <c r="A1193" t="s">
        <v>2689</v>
      </c>
      <c r="B1193">
        <v>513</v>
      </c>
      <c r="D1193" t="s">
        <v>111</v>
      </c>
      <c r="E1193" t="s">
        <v>111</v>
      </c>
      <c r="F1193">
        <v>1</v>
      </c>
      <c r="G1193">
        <f t="shared" si="129"/>
        <v>0.5</v>
      </c>
      <c r="H1193">
        <f t="shared" si="130"/>
        <v>0</v>
      </c>
      <c r="I1193">
        <f t="shared" si="131"/>
        <v>0.5</v>
      </c>
      <c r="J1193" cm="1">
        <f t="array" ref="J1193">INT(G1193)+IF(100-SUM(INT(G$1187:G$1209))&gt;=RANK(I1193,I$1187:I$1209)+COUNTIF(I$1187:I1193,I1193)-1,1,0)</f>
        <v>1</v>
      </c>
      <c r="K1193" t="str">
        <f>_xlfn.XLOOKUP(B1193,BugList!A:A,BugList!H:H)</f>
        <v>*</v>
      </c>
      <c r="L1193" t="str">
        <f>IF(K1193 = "","",_xlfn.XLOOKUP(B1193, BugList!A:A,BugList!B:B,""))</f>
        <v>Ephemeroptera</v>
      </c>
      <c r="M1193">
        <f>_xlfn.XLOOKUP(D1193,BugList!C:C,BugList!N:N)</f>
        <v>4</v>
      </c>
      <c r="N1193">
        <f>_xlfn.XLOOKUP(B1193,BugList!A:A,BugList!R:R)</f>
        <v>4</v>
      </c>
      <c r="O1193" t="b">
        <f>_xlfn.XLOOKUP(B1193,BugList!A:A,BugList!L:L)</f>
        <v>1</v>
      </c>
      <c r="P1193" t="b">
        <f t="shared" si="126"/>
        <v>1</v>
      </c>
      <c r="R1193" t="b">
        <f>SUMPRODUCT(COUNTIF(_xlfn.XLOOKUP(B1193,BugList!A:A,BugList!P:P), "*SC*"))&gt;0</f>
        <v>1</v>
      </c>
      <c r="S1193" t="str">
        <f>_xlfn.XLOOKUP(B1193,BugList!A:A,BugList!W:W)</f>
        <v/>
      </c>
      <c r="T1193">
        <f t="shared" si="127"/>
        <v>4</v>
      </c>
      <c r="U1193">
        <f t="shared" si="128"/>
        <v>4</v>
      </c>
    </row>
    <row r="1194" spans="1:21">
      <c r="A1194" t="s">
        <v>2689</v>
      </c>
      <c r="B1194">
        <v>530</v>
      </c>
      <c r="D1194" t="s">
        <v>925</v>
      </c>
      <c r="E1194" t="s">
        <v>925</v>
      </c>
      <c r="F1194">
        <v>1</v>
      </c>
      <c r="G1194">
        <f t="shared" si="129"/>
        <v>0.5</v>
      </c>
      <c r="H1194">
        <f t="shared" si="130"/>
        <v>0</v>
      </c>
      <c r="I1194">
        <f t="shared" si="131"/>
        <v>0.5</v>
      </c>
      <c r="J1194" cm="1">
        <f t="array" ref="J1194">INT(G1194)+IF(100-SUM(INT(G$1187:G$1209))&gt;=RANK(I1194,I$1187:I$1209)+COUNTIF(I$1187:I1194,I1194)-1,1,0)</f>
        <v>1</v>
      </c>
      <c r="K1194" t="str">
        <f>_xlfn.XLOOKUP(B1194,BugList!A:A,BugList!H:H)</f>
        <v>*</v>
      </c>
      <c r="L1194" t="str">
        <f>IF(K1194 = "","",_xlfn.XLOOKUP(B1194, BugList!A:A,BugList!B:B,""))</f>
        <v>Ephemeroptera</v>
      </c>
      <c r="M1194">
        <f>_xlfn.XLOOKUP(D1194,BugList!C:C,BugList!N:N)</f>
        <v>2</v>
      </c>
      <c r="N1194">
        <f>_xlfn.XLOOKUP(B1194,BugList!A:A,BugList!R:R)</f>
        <v>2</v>
      </c>
      <c r="O1194" t="b">
        <f>_xlfn.XLOOKUP(B1194,BugList!A:A,BugList!L:L)</f>
        <v>1</v>
      </c>
      <c r="P1194" t="b">
        <f t="shared" si="126"/>
        <v>1</v>
      </c>
      <c r="R1194" t="b">
        <f>SUMPRODUCT(COUNTIF(_xlfn.XLOOKUP(B1194,BugList!A:A,BugList!P:P), "*SC*"))&gt;0</f>
        <v>0</v>
      </c>
      <c r="S1194" t="str">
        <f>_xlfn.XLOOKUP(B1194,BugList!A:A,BugList!W:W)</f>
        <v/>
      </c>
      <c r="T1194">
        <f t="shared" si="127"/>
        <v>2</v>
      </c>
      <c r="U1194">
        <f t="shared" si="128"/>
        <v>2</v>
      </c>
    </row>
    <row r="1195" spans="1:21">
      <c r="A1195" t="s">
        <v>2689</v>
      </c>
      <c r="B1195">
        <v>545</v>
      </c>
      <c r="D1195" t="s">
        <v>969</v>
      </c>
      <c r="E1195" t="s">
        <v>969</v>
      </c>
      <c r="F1195">
        <v>2</v>
      </c>
      <c r="G1195">
        <f t="shared" si="129"/>
        <v>1</v>
      </c>
      <c r="H1195">
        <f t="shared" si="130"/>
        <v>1</v>
      </c>
      <c r="I1195">
        <f t="shared" si="131"/>
        <v>0</v>
      </c>
      <c r="J1195" cm="1">
        <f t="array" ref="J1195">INT(G1195)+IF(100-SUM(INT(G$1187:G$1209))&gt;=RANK(I1195,I$1187:I$1209)+COUNTIF(I$1187:I1195,I1195)-1,1,0)</f>
        <v>1</v>
      </c>
      <c r="K1195" t="str">
        <f>_xlfn.XLOOKUP(B1195,BugList!A:A,BugList!H:H)</f>
        <v>*</v>
      </c>
      <c r="L1195" t="str">
        <f>IF(K1195 = "","",_xlfn.XLOOKUP(B1195, BugList!A:A,BugList!B:B,""))</f>
        <v>Ephemeroptera</v>
      </c>
      <c r="M1195">
        <f>_xlfn.XLOOKUP(D1195,BugList!C:C,BugList!N:N)</f>
        <v>7</v>
      </c>
      <c r="N1195">
        <f>_xlfn.XLOOKUP(B1195,BugList!A:A,BugList!R:R)</f>
        <v>7</v>
      </c>
      <c r="O1195" t="b">
        <f>_xlfn.XLOOKUP(B1195,BugList!A:A,BugList!L:L)</f>
        <v>1</v>
      </c>
      <c r="P1195" t="b">
        <f t="shared" si="126"/>
        <v>1</v>
      </c>
      <c r="R1195" t="b">
        <f>SUMPRODUCT(COUNTIF(_xlfn.XLOOKUP(B1195,BugList!A:A,BugList!P:P), "*SC*"))&gt;0</f>
        <v>0</v>
      </c>
      <c r="S1195" t="str">
        <f>_xlfn.XLOOKUP(B1195,BugList!A:A,BugList!W:W)</f>
        <v/>
      </c>
      <c r="T1195">
        <f t="shared" si="127"/>
        <v>7</v>
      </c>
      <c r="U1195">
        <f t="shared" si="128"/>
        <v>7</v>
      </c>
    </row>
    <row r="1196" spans="1:21">
      <c r="A1196" t="s">
        <v>2689</v>
      </c>
      <c r="B1196">
        <v>602</v>
      </c>
      <c r="D1196" t="s">
        <v>97</v>
      </c>
      <c r="E1196" t="s">
        <v>97</v>
      </c>
      <c r="F1196">
        <v>1</v>
      </c>
      <c r="G1196">
        <f t="shared" si="129"/>
        <v>0.5</v>
      </c>
      <c r="H1196">
        <f t="shared" si="130"/>
        <v>0</v>
      </c>
      <c r="I1196">
        <f t="shared" si="131"/>
        <v>0.5</v>
      </c>
      <c r="J1196" cm="1">
        <f t="array" ref="J1196">INT(G1196)+IF(100-SUM(INT(G$1187:G$1209))&gt;=RANK(I1196,I$1187:I$1209)+COUNTIF(I$1187:I1196,I1196)-1,1,0)</f>
        <v>1</v>
      </c>
      <c r="K1196" t="str">
        <f>_xlfn.XLOOKUP(B1196,BugList!A:A,BugList!H:H)</f>
        <v/>
      </c>
      <c r="L1196" t="str">
        <f>IF(K1196 = "","",_xlfn.XLOOKUP(B1196, BugList!A:A,BugList!B:B,""))</f>
        <v/>
      </c>
      <c r="M1196">
        <f>_xlfn.XLOOKUP(D1196,BugList!C:C,BugList!N:N)</f>
        <v>9</v>
      </c>
      <c r="N1196">
        <f>_xlfn.XLOOKUP(B1196,BugList!A:A,BugList!R:R)</f>
        <v>9</v>
      </c>
      <c r="O1196" t="b">
        <f>_xlfn.XLOOKUP(B1196,BugList!A:A,BugList!L:L)</f>
        <v>1</v>
      </c>
      <c r="P1196" t="b">
        <f t="shared" si="126"/>
        <v>0</v>
      </c>
      <c r="R1196" t="b">
        <f>SUMPRODUCT(COUNTIF(_xlfn.XLOOKUP(B1196,BugList!A:A,BugList!P:P), "*SC*"))&gt;0</f>
        <v>0</v>
      </c>
      <c r="S1196" t="str">
        <f>_xlfn.XLOOKUP(B1196,BugList!A:A,BugList!W:W)</f>
        <v/>
      </c>
      <c r="T1196">
        <f t="shared" si="127"/>
        <v>9</v>
      </c>
      <c r="U1196">
        <f t="shared" si="128"/>
        <v>9</v>
      </c>
    </row>
    <row r="1197" spans="1:21">
      <c r="A1197" t="s">
        <v>2689</v>
      </c>
      <c r="B1197">
        <v>620</v>
      </c>
      <c r="D1197" t="s">
        <v>113</v>
      </c>
      <c r="E1197" t="s">
        <v>113</v>
      </c>
      <c r="F1197">
        <v>1</v>
      </c>
      <c r="G1197">
        <f t="shared" si="129"/>
        <v>0.5</v>
      </c>
      <c r="H1197">
        <f t="shared" si="130"/>
        <v>0</v>
      </c>
      <c r="I1197">
        <f t="shared" si="131"/>
        <v>0.5</v>
      </c>
      <c r="J1197" cm="1">
        <f t="array" ref="J1197">INT(G1197)+IF(100-SUM(INT(G$1187:G$1209))&gt;=RANK(I1197,I$1187:I$1209)+COUNTIF(I$1187:I1197,I1197)-1,1,0)</f>
        <v>1</v>
      </c>
      <c r="K1197" t="str">
        <f>_xlfn.XLOOKUP(B1197,BugList!A:A,BugList!H:H)</f>
        <v/>
      </c>
      <c r="L1197" t="str">
        <f>IF(K1197 = "","",_xlfn.XLOOKUP(B1197, BugList!A:A,BugList!B:B,""))</f>
        <v/>
      </c>
      <c r="M1197">
        <f>_xlfn.XLOOKUP(D1197,BugList!C:C,BugList!N:N)</f>
        <v>1</v>
      </c>
      <c r="N1197">
        <f>_xlfn.XLOOKUP(B1197,BugList!A:A,BugList!R:R)</f>
        <v>1</v>
      </c>
      <c r="O1197" t="b">
        <f>_xlfn.XLOOKUP(B1197,BugList!A:A,BugList!L:L)</f>
        <v>1</v>
      </c>
      <c r="P1197" t="b">
        <f t="shared" ref="P1197:P1260" si="132">IF(K1197="*",IF(D1197="Hydropsychidae", IF(E1197="Diplectrona",TRUE,FALSE),TRUE),FALSE)</f>
        <v>0</v>
      </c>
      <c r="R1197" t="b">
        <f>SUMPRODUCT(COUNTIF(_xlfn.XLOOKUP(B1197,BugList!A:A,BugList!P:P), "*SC*"))&gt;0</f>
        <v>0</v>
      </c>
      <c r="S1197" t="str">
        <f>_xlfn.XLOOKUP(B1197,BugList!A:A,BugList!W:W)</f>
        <v>3</v>
      </c>
      <c r="T1197">
        <f t="shared" si="127"/>
        <v>1</v>
      </c>
      <c r="U1197">
        <f t="shared" si="128"/>
        <v>1</v>
      </c>
    </row>
    <row r="1198" spans="1:21">
      <c r="A1198" t="s">
        <v>2689</v>
      </c>
      <c r="B1198">
        <v>725</v>
      </c>
      <c r="D1198" t="s">
        <v>181</v>
      </c>
      <c r="E1198" t="s">
        <v>181</v>
      </c>
      <c r="F1198">
        <v>2</v>
      </c>
      <c r="G1198">
        <f t="shared" si="129"/>
        <v>1</v>
      </c>
      <c r="H1198">
        <f t="shared" si="130"/>
        <v>1</v>
      </c>
      <c r="I1198">
        <f t="shared" si="131"/>
        <v>0</v>
      </c>
      <c r="J1198" cm="1">
        <f t="array" ref="J1198">INT(G1198)+IF(100-SUM(INT(G$1187:G$1209))&gt;=RANK(I1198,I$1187:I$1209)+COUNTIF(I$1187:I1198,I1198)-1,1,0)</f>
        <v>1</v>
      </c>
      <c r="K1198" t="str">
        <f>_xlfn.XLOOKUP(B1198,BugList!A:A,BugList!H:H)</f>
        <v/>
      </c>
      <c r="L1198" t="str">
        <f>IF(K1198 = "","",_xlfn.XLOOKUP(B1198, BugList!A:A,BugList!B:B,""))</f>
        <v/>
      </c>
      <c r="M1198">
        <f>_xlfn.XLOOKUP(D1198,BugList!C:C,BugList!N:N)</f>
        <v>4</v>
      </c>
      <c r="N1198">
        <f>_xlfn.XLOOKUP(B1198,BugList!A:A,BugList!R:R)</f>
        <v>4</v>
      </c>
      <c r="O1198" t="b">
        <f>_xlfn.XLOOKUP(B1198,BugList!A:A,BugList!L:L)</f>
        <v>1</v>
      </c>
      <c r="P1198" t="b">
        <f t="shared" si="132"/>
        <v>0</v>
      </c>
      <c r="R1198" t="b">
        <f>SUMPRODUCT(COUNTIF(_xlfn.XLOOKUP(B1198,BugList!A:A,BugList!P:P), "*SC*"))&gt;0</f>
        <v>0</v>
      </c>
      <c r="S1198" t="str">
        <f>_xlfn.XLOOKUP(B1198,BugList!A:A,BugList!W:W)</f>
        <v/>
      </c>
      <c r="T1198">
        <f t="shared" si="127"/>
        <v>4</v>
      </c>
      <c r="U1198">
        <f t="shared" si="128"/>
        <v>4</v>
      </c>
    </row>
    <row r="1199" spans="1:21">
      <c r="A1199" t="s">
        <v>2689</v>
      </c>
      <c r="B1199">
        <v>794</v>
      </c>
      <c r="D1199" t="s">
        <v>89</v>
      </c>
      <c r="E1199" t="s">
        <v>89</v>
      </c>
      <c r="F1199">
        <v>67</v>
      </c>
      <c r="G1199">
        <f t="shared" si="129"/>
        <v>33.5</v>
      </c>
      <c r="H1199">
        <f t="shared" si="130"/>
        <v>33</v>
      </c>
      <c r="I1199">
        <f t="shared" si="131"/>
        <v>0.5</v>
      </c>
      <c r="J1199" cm="1">
        <f t="array" ref="J1199">INT(G1199)+IF(100-SUM(INT(G$1187:G$1209))&gt;=RANK(I1199,I$1187:I$1209)+COUNTIF(I$1187:I1199,I1199)-1,1,0)</f>
        <v>33</v>
      </c>
      <c r="K1199" t="str">
        <f>_xlfn.XLOOKUP(B1199,BugList!A:A,BugList!H:H)</f>
        <v>*</v>
      </c>
      <c r="L1199" t="str">
        <f>IF(K1199 = "","",_xlfn.XLOOKUP(B1199, BugList!A:A,BugList!B:B,""))</f>
        <v>Trichoptera</v>
      </c>
      <c r="M1199">
        <f>_xlfn.XLOOKUP(D1199,BugList!C:C,BugList!N:N)</f>
        <v>4</v>
      </c>
      <c r="N1199">
        <f>_xlfn.XLOOKUP(B1199,BugList!A:A,BugList!R:R)</f>
        <v>4</v>
      </c>
      <c r="O1199" t="b">
        <f>_xlfn.XLOOKUP(B1199,BugList!A:A,BugList!L:L)</f>
        <v>1</v>
      </c>
      <c r="P1199" t="b">
        <f t="shared" si="132"/>
        <v>0</v>
      </c>
      <c r="R1199" t="b">
        <f>SUMPRODUCT(COUNTIF(_xlfn.XLOOKUP(B1199,BugList!A:A,BugList!P:P), "*SC*"))&gt;0</f>
        <v>0</v>
      </c>
      <c r="S1199" t="str">
        <f>_xlfn.XLOOKUP(B1199,BugList!A:A,BugList!W:W)</f>
        <v/>
      </c>
      <c r="T1199">
        <f t="shared" si="127"/>
        <v>132</v>
      </c>
      <c r="U1199">
        <f t="shared" si="128"/>
        <v>132</v>
      </c>
    </row>
    <row r="1200" spans="1:21">
      <c r="A1200" t="s">
        <v>2689</v>
      </c>
      <c r="B1200">
        <v>837</v>
      </c>
      <c r="D1200" t="s">
        <v>107</v>
      </c>
      <c r="E1200" t="s">
        <v>107</v>
      </c>
      <c r="F1200">
        <v>11</v>
      </c>
      <c r="G1200">
        <f t="shared" si="129"/>
        <v>5.5</v>
      </c>
      <c r="H1200">
        <f t="shared" si="130"/>
        <v>5</v>
      </c>
      <c r="I1200">
        <f t="shared" si="131"/>
        <v>0.5</v>
      </c>
      <c r="J1200" cm="1">
        <f t="array" ref="J1200">INT(G1200)+IF(100-SUM(INT(G$1187:G$1209))&gt;=RANK(I1200,I$1187:I$1209)+COUNTIF(I$1187:I1200,I1200)-1,1,0)</f>
        <v>5</v>
      </c>
      <c r="K1200" t="str">
        <f>_xlfn.XLOOKUP(B1200,BugList!A:A,BugList!H:H)</f>
        <v>*</v>
      </c>
      <c r="L1200" t="str">
        <f>IF(K1200 = "","",_xlfn.XLOOKUP(B1200, BugList!A:A,BugList!B:B,""))</f>
        <v>Trichoptera</v>
      </c>
      <c r="M1200">
        <f>_xlfn.XLOOKUP(D1200,BugList!C:C,BugList!N:N)</f>
        <v>3</v>
      </c>
      <c r="N1200">
        <f>_xlfn.XLOOKUP(B1200,BugList!A:A,BugList!R:R)</f>
        <v>3</v>
      </c>
      <c r="O1200" t="b">
        <f>_xlfn.XLOOKUP(B1200,BugList!A:A,BugList!L:L)</f>
        <v>1</v>
      </c>
      <c r="P1200" t="b">
        <f t="shared" si="132"/>
        <v>1</v>
      </c>
      <c r="R1200" t="b">
        <f>SUMPRODUCT(COUNTIF(_xlfn.XLOOKUP(B1200,BugList!A:A,BugList!P:P), "*SC*"))&gt;0</f>
        <v>0</v>
      </c>
      <c r="S1200" t="str">
        <f>_xlfn.XLOOKUP(B1200,BugList!A:A,BugList!W:W)</f>
        <v/>
      </c>
      <c r="T1200">
        <f t="shared" si="127"/>
        <v>15</v>
      </c>
      <c r="U1200">
        <f t="shared" si="128"/>
        <v>15</v>
      </c>
    </row>
    <row r="1201" spans="1:21">
      <c r="A1201" t="s">
        <v>2689</v>
      </c>
      <c r="B1201">
        <v>935</v>
      </c>
      <c r="D1201" t="s">
        <v>98</v>
      </c>
      <c r="E1201" t="s">
        <v>98</v>
      </c>
      <c r="F1201">
        <v>25</v>
      </c>
      <c r="G1201">
        <f t="shared" si="129"/>
        <v>12.5</v>
      </c>
      <c r="H1201">
        <f t="shared" si="130"/>
        <v>12</v>
      </c>
      <c r="I1201">
        <f t="shared" si="131"/>
        <v>0.5</v>
      </c>
      <c r="J1201" cm="1">
        <f t="array" ref="J1201">INT(G1201)+IF(100-SUM(INT(G$1187:G$1209))&gt;=RANK(I1201,I$1187:I$1209)+COUNTIF(I$1187:I1201,I1201)-1,1,0)</f>
        <v>12</v>
      </c>
      <c r="K1201" t="str">
        <f>_xlfn.XLOOKUP(B1201,BugList!A:A,BugList!H:H)</f>
        <v/>
      </c>
      <c r="L1201" t="str">
        <f>IF(K1201 = "","",_xlfn.XLOOKUP(B1201, BugList!A:A,BugList!B:B,""))</f>
        <v/>
      </c>
      <c r="M1201">
        <f>_xlfn.XLOOKUP(D1201,BugList!C:C,BugList!N:N)</f>
        <v>4</v>
      </c>
      <c r="N1201">
        <f>_xlfn.XLOOKUP(B1201,BugList!A:A,BugList!R:R)</f>
        <v>4</v>
      </c>
      <c r="O1201" t="b">
        <f>_xlfn.XLOOKUP(B1201,BugList!A:A,BugList!L:L)</f>
        <v>1</v>
      </c>
      <c r="P1201" t="b">
        <f t="shared" si="132"/>
        <v>0</v>
      </c>
      <c r="R1201" t="b">
        <f>SUMPRODUCT(COUNTIF(_xlfn.XLOOKUP(B1201,BugList!A:A,BugList!P:P), "*SC*"))&gt;0</f>
        <v>1</v>
      </c>
      <c r="S1201" t="str">
        <f>_xlfn.XLOOKUP(B1201,BugList!A:A,BugList!W:W)</f>
        <v/>
      </c>
      <c r="T1201">
        <f t="shared" si="127"/>
        <v>48</v>
      </c>
      <c r="U1201">
        <f t="shared" si="128"/>
        <v>48</v>
      </c>
    </row>
    <row r="1202" spans="1:21">
      <c r="A1202" t="s">
        <v>2689</v>
      </c>
      <c r="B1202">
        <v>1002</v>
      </c>
      <c r="D1202" t="s">
        <v>100</v>
      </c>
      <c r="E1202" t="s">
        <v>100</v>
      </c>
      <c r="F1202">
        <v>12</v>
      </c>
      <c r="G1202">
        <f t="shared" si="129"/>
        <v>6</v>
      </c>
      <c r="H1202">
        <f t="shared" si="130"/>
        <v>6</v>
      </c>
      <c r="I1202">
        <f t="shared" si="131"/>
        <v>0</v>
      </c>
      <c r="J1202" cm="1">
        <f t="array" ref="J1202">INT(G1202)+IF(100-SUM(INT(G$1187:G$1209))&gt;=RANK(I1202,I$1187:I$1209)+COUNTIF(I$1187:I1202,I1202)-1,1,0)</f>
        <v>6</v>
      </c>
      <c r="K1202" t="str">
        <f>_xlfn.XLOOKUP(B1202,BugList!A:A,BugList!H:H)</f>
        <v/>
      </c>
      <c r="L1202" t="str">
        <f>IF(K1202 = "","",_xlfn.XLOOKUP(B1202, BugList!A:A,BugList!B:B,""))</f>
        <v/>
      </c>
      <c r="M1202">
        <f>_xlfn.XLOOKUP(D1202,BugList!C:C,BugList!N:N)</f>
        <v>4</v>
      </c>
      <c r="N1202">
        <f>_xlfn.XLOOKUP(B1202,BugList!A:A,BugList!R:R)</f>
        <v>4</v>
      </c>
      <c r="O1202" t="b">
        <f>_xlfn.XLOOKUP(B1202,BugList!A:A,BugList!L:L)</f>
        <v>1</v>
      </c>
      <c r="P1202" t="b">
        <f t="shared" si="132"/>
        <v>0</v>
      </c>
      <c r="R1202" t="b">
        <f>SUMPRODUCT(COUNTIF(_xlfn.XLOOKUP(B1202,BugList!A:A,BugList!P:P), "*SC*"))&gt;0</f>
        <v>1</v>
      </c>
      <c r="S1202" t="str">
        <f>_xlfn.XLOOKUP(B1202,BugList!A:A,BugList!W:W)</f>
        <v/>
      </c>
      <c r="T1202">
        <f t="shared" si="127"/>
        <v>24</v>
      </c>
      <c r="U1202">
        <f t="shared" si="128"/>
        <v>24</v>
      </c>
    </row>
    <row r="1203" spans="1:21">
      <c r="A1203" t="s">
        <v>2689</v>
      </c>
      <c r="B1203">
        <v>1083</v>
      </c>
      <c r="D1203" t="s">
        <v>124</v>
      </c>
      <c r="E1203" t="s">
        <v>124</v>
      </c>
      <c r="F1203">
        <v>1</v>
      </c>
      <c r="G1203">
        <f t="shared" si="129"/>
        <v>0.5</v>
      </c>
      <c r="H1203">
        <f t="shared" si="130"/>
        <v>0</v>
      </c>
      <c r="I1203">
        <f t="shared" si="131"/>
        <v>0.5</v>
      </c>
      <c r="J1203" cm="1">
        <f t="array" ref="J1203">INT(G1203)+IF(100-SUM(INT(G$1187:G$1209))&gt;=RANK(I1203,I$1187:I$1209)+COUNTIF(I$1187:I1203,I1203)-1,1,0)</f>
        <v>0</v>
      </c>
      <c r="K1203" t="str">
        <f>_xlfn.XLOOKUP(B1203,BugList!A:A,BugList!H:H)</f>
        <v/>
      </c>
      <c r="L1203" t="str">
        <f>IF(K1203 = "","",_xlfn.XLOOKUP(B1203, BugList!A:A,BugList!B:B,""))</f>
        <v/>
      </c>
      <c r="M1203">
        <f>_xlfn.XLOOKUP(D1203,BugList!C:C,BugList!N:N)</f>
        <v>6</v>
      </c>
      <c r="N1203">
        <f>_xlfn.XLOOKUP(B1203,BugList!A:A,BugList!R:R)</f>
        <v>6</v>
      </c>
      <c r="O1203" t="b">
        <f>_xlfn.XLOOKUP(B1203,BugList!A:A,BugList!L:L)</f>
        <v>1</v>
      </c>
      <c r="P1203" t="b">
        <f t="shared" si="132"/>
        <v>0</v>
      </c>
      <c r="R1203" t="b">
        <f>SUMPRODUCT(COUNTIF(_xlfn.XLOOKUP(B1203,BugList!A:A,BugList!P:P), "*SC*"))&gt;0</f>
        <v>0</v>
      </c>
      <c r="S1203" t="str">
        <f>_xlfn.XLOOKUP(B1203,BugList!A:A,BugList!W:W)</f>
        <v/>
      </c>
      <c r="T1203">
        <f t="shared" si="127"/>
        <v>0</v>
      </c>
      <c r="U1203">
        <f t="shared" si="128"/>
        <v>0</v>
      </c>
    </row>
    <row r="1204" spans="1:21">
      <c r="A1204" t="s">
        <v>2689</v>
      </c>
      <c r="B1204">
        <v>1088</v>
      </c>
      <c r="D1204" t="s">
        <v>90</v>
      </c>
      <c r="E1204" t="s">
        <v>90</v>
      </c>
      <c r="F1204">
        <v>26</v>
      </c>
      <c r="G1204">
        <f t="shared" si="129"/>
        <v>13</v>
      </c>
      <c r="H1204">
        <f t="shared" si="130"/>
        <v>13</v>
      </c>
      <c r="I1204">
        <f t="shared" si="131"/>
        <v>0</v>
      </c>
      <c r="J1204" cm="1">
        <f t="array" ref="J1204">INT(G1204)+IF(100-SUM(INT(G$1187:G$1209))&gt;=RANK(I1204,I$1187:I$1209)+COUNTIF(I$1187:I1204,I1204)-1,1,0)</f>
        <v>13</v>
      </c>
      <c r="K1204" t="str">
        <f>_xlfn.XLOOKUP(B1204,BugList!A:A,BugList!H:H)</f>
        <v/>
      </c>
      <c r="L1204" t="str">
        <f>IF(K1204 = "","",_xlfn.XLOOKUP(B1204, BugList!A:A,BugList!B:B,""))</f>
        <v/>
      </c>
      <c r="M1204">
        <f>_xlfn.XLOOKUP(D1204,BugList!C:C,BugList!N:N)</f>
        <v>6</v>
      </c>
      <c r="N1204">
        <f>_xlfn.XLOOKUP(B1204,BugList!A:A,BugList!R:R)</f>
        <v>6</v>
      </c>
      <c r="O1204" t="b">
        <f>_xlfn.XLOOKUP(B1204,BugList!A:A,BugList!L:L)</f>
        <v>1</v>
      </c>
      <c r="P1204" t="b">
        <f t="shared" si="132"/>
        <v>0</v>
      </c>
      <c r="R1204" t="b">
        <f>SUMPRODUCT(COUNTIF(_xlfn.XLOOKUP(B1204,BugList!A:A,BugList!P:P), "*SC*"))&gt;0</f>
        <v>0</v>
      </c>
      <c r="S1204" t="str">
        <f>_xlfn.XLOOKUP(B1204,BugList!A:A,BugList!W:W)</f>
        <v/>
      </c>
      <c r="T1204">
        <f t="shared" si="127"/>
        <v>78</v>
      </c>
      <c r="U1204">
        <f t="shared" si="128"/>
        <v>78</v>
      </c>
    </row>
    <row r="1205" spans="1:21">
      <c r="A1205" t="s">
        <v>2689</v>
      </c>
      <c r="B1205">
        <v>1089</v>
      </c>
      <c r="D1205" t="s">
        <v>126</v>
      </c>
      <c r="E1205" t="s">
        <v>127</v>
      </c>
      <c r="F1205">
        <v>18</v>
      </c>
      <c r="G1205">
        <f t="shared" si="129"/>
        <v>9</v>
      </c>
      <c r="H1205">
        <f t="shared" si="130"/>
        <v>9</v>
      </c>
      <c r="I1205">
        <f t="shared" si="131"/>
        <v>0</v>
      </c>
      <c r="J1205" cm="1">
        <f t="array" ref="J1205">INT(G1205)+IF(100-SUM(INT(G$1187:G$1209))&gt;=RANK(I1205,I$1187:I$1209)+COUNTIF(I$1187:I1205,I1205)-1,1,0)</f>
        <v>9</v>
      </c>
      <c r="K1205" t="str">
        <f>_xlfn.XLOOKUP(B1205,BugList!A:A,BugList!H:H)</f>
        <v/>
      </c>
      <c r="L1205" t="str">
        <f>IF(K1205 = "","",_xlfn.XLOOKUP(B1205, BugList!A:A,BugList!B:B,""))</f>
        <v/>
      </c>
      <c r="M1205">
        <f>_xlfn.XLOOKUP(D1205,BugList!C:C,BugList!N:N)</f>
        <v>8</v>
      </c>
      <c r="N1205">
        <f>_xlfn.XLOOKUP(B1205,BugList!A:A,BugList!R:R)</f>
        <v>10</v>
      </c>
      <c r="O1205" t="b">
        <f>_xlfn.XLOOKUP(B1205,BugList!A:A,BugList!L:L)</f>
        <v>1</v>
      </c>
      <c r="P1205" t="b">
        <f t="shared" si="132"/>
        <v>0</v>
      </c>
      <c r="R1205" t="b">
        <f>SUMPRODUCT(COUNTIF(_xlfn.XLOOKUP(B1205,BugList!A:A,BugList!P:P), "*SC*"))&gt;0</f>
        <v>0</v>
      </c>
      <c r="S1205" t="str">
        <f>_xlfn.XLOOKUP(B1205,BugList!A:A,BugList!W:W)</f>
        <v/>
      </c>
      <c r="T1205">
        <f t="shared" si="127"/>
        <v>72</v>
      </c>
      <c r="U1205">
        <f t="shared" si="128"/>
        <v>90</v>
      </c>
    </row>
    <row r="1206" spans="1:21">
      <c r="A1206" t="s">
        <v>2689</v>
      </c>
      <c r="B1206">
        <v>1436</v>
      </c>
      <c r="D1206" t="s">
        <v>101</v>
      </c>
      <c r="E1206" t="s">
        <v>101</v>
      </c>
      <c r="F1206">
        <v>5</v>
      </c>
      <c r="G1206">
        <f t="shared" si="129"/>
        <v>2.5</v>
      </c>
      <c r="H1206">
        <f t="shared" si="130"/>
        <v>2</v>
      </c>
      <c r="I1206">
        <f t="shared" si="131"/>
        <v>0.5</v>
      </c>
      <c r="J1206" cm="1">
        <f t="array" ref="J1206">INT(G1206)+IF(100-SUM(INT(G$1187:G$1209))&gt;=RANK(I1206,I$1187:I$1209)+COUNTIF(I$1187:I1206,I1206)-1,1,0)</f>
        <v>2</v>
      </c>
      <c r="K1206" t="str">
        <f>_xlfn.XLOOKUP(B1206,BugList!A:A,BugList!H:H)</f>
        <v/>
      </c>
      <c r="L1206" t="str">
        <f>IF(K1206 = "","",_xlfn.XLOOKUP(B1206, BugList!A:A,BugList!B:B,""))</f>
        <v/>
      </c>
      <c r="M1206">
        <f>_xlfn.XLOOKUP(D1206,BugList!C:C,BugList!N:N)</f>
        <v>6</v>
      </c>
      <c r="N1206">
        <f>_xlfn.XLOOKUP(B1206,BugList!A:A,BugList!R:R)</f>
        <v>6</v>
      </c>
      <c r="O1206" t="b">
        <f>_xlfn.XLOOKUP(B1206,BugList!A:A,BugList!L:L)</f>
        <v>1</v>
      </c>
      <c r="P1206" t="b">
        <f t="shared" si="132"/>
        <v>0</v>
      </c>
      <c r="R1206" t="b">
        <f>SUMPRODUCT(COUNTIF(_xlfn.XLOOKUP(B1206,BugList!A:A,BugList!P:P), "*SC*"))&gt;0</f>
        <v>0</v>
      </c>
      <c r="S1206" t="str">
        <f>_xlfn.XLOOKUP(B1206,BugList!A:A,BugList!W:W)</f>
        <v/>
      </c>
      <c r="T1206">
        <f t="shared" si="127"/>
        <v>12</v>
      </c>
      <c r="U1206">
        <f t="shared" si="128"/>
        <v>12</v>
      </c>
    </row>
    <row r="1207" spans="1:21">
      <c r="A1207" t="s">
        <v>2689</v>
      </c>
      <c r="B1207">
        <v>1497</v>
      </c>
      <c r="D1207" t="s">
        <v>108</v>
      </c>
      <c r="E1207" t="s">
        <v>108</v>
      </c>
      <c r="F1207">
        <v>1</v>
      </c>
      <c r="G1207">
        <f t="shared" si="129"/>
        <v>0.5</v>
      </c>
      <c r="H1207">
        <f t="shared" si="130"/>
        <v>0</v>
      </c>
      <c r="I1207">
        <f t="shared" si="131"/>
        <v>0.5</v>
      </c>
      <c r="J1207" cm="1">
        <f t="array" ref="J1207">INT(G1207)+IF(100-SUM(INT(G$1187:G$1209))&gt;=RANK(I1207,I$1187:I$1209)+COUNTIF(I$1187:I1207,I1207)-1,1,0)</f>
        <v>0</v>
      </c>
      <c r="K1207" t="str">
        <f>_xlfn.XLOOKUP(B1207,BugList!A:A,BugList!H:H)</f>
        <v/>
      </c>
      <c r="L1207" t="str">
        <f>IF(K1207 = "","",_xlfn.XLOOKUP(B1207, BugList!A:A,BugList!B:B,""))</f>
        <v/>
      </c>
      <c r="M1207">
        <f>_xlfn.XLOOKUP(D1207,BugList!C:C,BugList!N:N)</f>
        <v>3</v>
      </c>
      <c r="N1207">
        <f>_xlfn.XLOOKUP(B1207,BugList!A:A,BugList!R:R)</f>
        <v>3</v>
      </c>
      <c r="O1207" t="b">
        <f>_xlfn.XLOOKUP(B1207,BugList!A:A,BugList!L:L)</f>
        <v>1</v>
      </c>
      <c r="P1207" t="b">
        <f t="shared" si="132"/>
        <v>0</v>
      </c>
      <c r="R1207" t="b">
        <f>SUMPRODUCT(COUNTIF(_xlfn.XLOOKUP(B1207,BugList!A:A,BugList!P:P), "*SC*"))&gt;0</f>
        <v>0</v>
      </c>
      <c r="S1207" t="str">
        <f>_xlfn.XLOOKUP(B1207,BugList!A:A,BugList!W:W)</f>
        <v/>
      </c>
      <c r="T1207">
        <f t="shared" si="127"/>
        <v>0</v>
      </c>
      <c r="U1207">
        <f t="shared" si="128"/>
        <v>0</v>
      </c>
    </row>
    <row r="1208" spans="1:21">
      <c r="A1208" t="s">
        <v>2689</v>
      </c>
      <c r="B1208">
        <v>1696</v>
      </c>
      <c r="D1208" t="s">
        <v>94</v>
      </c>
      <c r="E1208" t="s">
        <v>94</v>
      </c>
      <c r="F1208">
        <v>5</v>
      </c>
      <c r="G1208">
        <f t="shared" si="129"/>
        <v>2.5</v>
      </c>
      <c r="H1208">
        <f t="shared" si="130"/>
        <v>2</v>
      </c>
      <c r="I1208">
        <f t="shared" si="131"/>
        <v>0.5</v>
      </c>
      <c r="J1208" cm="1">
        <f t="array" ref="J1208">INT(G1208)+IF(100-SUM(INT(G$1187:G$1209))&gt;=RANK(I1208,I$1187:I$1209)+COUNTIF(I$1187:I1208,I1208)-1,1,0)</f>
        <v>2</v>
      </c>
      <c r="K1208" t="str">
        <f>_xlfn.XLOOKUP(B1208,BugList!A:A,BugList!H:H)</f>
        <v/>
      </c>
      <c r="L1208" t="str">
        <f>IF(K1208 = "","",_xlfn.XLOOKUP(B1208, BugList!A:A,BugList!B:B,""))</f>
        <v/>
      </c>
      <c r="M1208">
        <f>_xlfn.XLOOKUP(D1208,BugList!C:C,BugList!N:N)</f>
        <v>8</v>
      </c>
      <c r="N1208">
        <f>_xlfn.XLOOKUP(B1208,BugList!A:A,BugList!R:R)</f>
        <v>8</v>
      </c>
      <c r="O1208" t="b">
        <f>_xlfn.XLOOKUP(B1208,BugList!A:A,BugList!L:L)</f>
        <v>0</v>
      </c>
      <c r="P1208" t="b">
        <f t="shared" si="132"/>
        <v>0</v>
      </c>
      <c r="R1208" t="b">
        <f>SUMPRODUCT(COUNTIF(_xlfn.XLOOKUP(B1208,BugList!A:A,BugList!P:P), "*SC*"))&gt;0</f>
        <v>0</v>
      </c>
      <c r="S1208" t="str">
        <f>_xlfn.XLOOKUP(B1208,BugList!A:A,BugList!W:W)</f>
        <v/>
      </c>
      <c r="T1208">
        <f t="shared" si="127"/>
        <v>16</v>
      </c>
      <c r="U1208">
        <f t="shared" si="128"/>
        <v>16</v>
      </c>
    </row>
    <row r="1209" spans="1:21">
      <c r="A1209" t="s">
        <v>2689</v>
      </c>
      <c r="B1209">
        <v>2781</v>
      </c>
      <c r="D1209" t="s">
        <v>109</v>
      </c>
      <c r="E1209" t="s">
        <v>109</v>
      </c>
      <c r="F1209">
        <v>9</v>
      </c>
      <c r="G1209">
        <f t="shared" si="129"/>
        <v>4.5</v>
      </c>
      <c r="H1209">
        <f t="shared" si="130"/>
        <v>4</v>
      </c>
      <c r="I1209">
        <f t="shared" si="131"/>
        <v>0.5</v>
      </c>
      <c r="J1209" cm="1">
        <f t="array" ref="J1209">INT(G1209)+IF(100-SUM(INT(G$1187:G$1209))&gt;=RANK(I1209,I$1187:I$1209)+COUNTIF(I$1187:I1209,I1209)-1,1,0)</f>
        <v>4</v>
      </c>
      <c r="K1209" t="str">
        <f>_xlfn.XLOOKUP(B1209,BugList!A:A,BugList!H:H)</f>
        <v/>
      </c>
      <c r="L1209" t="str">
        <f>IF(K1209 = "","",_xlfn.XLOOKUP(B1209, BugList!A:A,BugList!B:B,""))</f>
        <v/>
      </c>
      <c r="M1209">
        <f>_xlfn.XLOOKUP(D1209,BugList!C:C,BugList!N:N)</f>
        <v>6</v>
      </c>
      <c r="N1209">
        <f>_xlfn.XLOOKUP(B1209,BugList!A:A,BugList!R:R)</f>
        <v>4</v>
      </c>
      <c r="O1209" t="b">
        <f>_xlfn.XLOOKUP(B1209,BugList!A:A,BugList!L:L)</f>
        <v>0</v>
      </c>
      <c r="P1209" t="b">
        <f t="shared" si="132"/>
        <v>0</v>
      </c>
      <c r="R1209" t="b">
        <f>SUMPRODUCT(COUNTIF(_xlfn.XLOOKUP(B1209,BugList!A:A,BugList!P:P), "*SC*"))&gt;0</f>
        <v>0</v>
      </c>
      <c r="S1209" t="str">
        <f>_xlfn.XLOOKUP(B1209,BugList!A:A,BugList!W:W)</f>
        <v/>
      </c>
      <c r="T1209">
        <f t="shared" si="127"/>
        <v>24</v>
      </c>
      <c r="U1209">
        <f t="shared" si="128"/>
        <v>16</v>
      </c>
    </row>
    <row r="1210" spans="1:21">
      <c r="A1210" t="s">
        <v>2690</v>
      </c>
      <c r="B1210">
        <v>63</v>
      </c>
      <c r="D1210" t="s">
        <v>84</v>
      </c>
      <c r="E1210" t="s">
        <v>84</v>
      </c>
      <c r="F1210">
        <v>1</v>
      </c>
      <c r="G1210">
        <f t="shared" si="129"/>
        <v>0.6578947368421052</v>
      </c>
      <c r="H1210">
        <f t="shared" si="130"/>
        <v>0</v>
      </c>
      <c r="I1210">
        <f t="shared" si="131"/>
        <v>0.6578947368421052</v>
      </c>
      <c r="J1210" cm="1">
        <f t="array" ref="J1210">INT(G1210)+IF(100-SUM(INT(G$1210:G$1225))&gt;=RANK(I1210,I$1210:I$1225)+COUNTIF(I$645:I1777,I1210)-1,1,0)</f>
        <v>1</v>
      </c>
      <c r="K1210" t="str">
        <f>_xlfn.XLOOKUP(B1210,BugList!A:A,BugList!H:H)</f>
        <v/>
      </c>
      <c r="L1210" t="str">
        <f>IF(K1210 = "","",_xlfn.XLOOKUP(B1210, BugList!A:A,BugList!B:B,""))</f>
        <v/>
      </c>
      <c r="M1210">
        <f>_xlfn.XLOOKUP(D1210,BugList!C:C,BugList!N:N)</f>
        <v>8</v>
      </c>
      <c r="N1210">
        <f>_xlfn.XLOOKUP(B1210,BugList!A:A,BugList!R:R)</f>
        <v>8</v>
      </c>
      <c r="O1210" t="b">
        <f>_xlfn.XLOOKUP(B1210,BugList!A:A,BugList!L:L)</f>
        <v>0</v>
      </c>
      <c r="P1210" t="b">
        <f t="shared" si="132"/>
        <v>0</v>
      </c>
      <c r="R1210" t="b">
        <f>SUMPRODUCT(COUNTIF(_xlfn.XLOOKUP(B1210,BugList!A:A,BugList!P:P), "*SC*"))&gt;0</f>
        <v>0</v>
      </c>
      <c r="S1210" t="str">
        <f>_xlfn.XLOOKUP(B1210,BugList!A:A,BugList!W:W)</f>
        <v/>
      </c>
      <c r="T1210">
        <f t="shared" si="127"/>
        <v>8</v>
      </c>
      <c r="U1210">
        <f t="shared" si="128"/>
        <v>8</v>
      </c>
    </row>
    <row r="1211" spans="1:21">
      <c r="A1211" t="s">
        <v>2690</v>
      </c>
      <c r="B1211">
        <v>88</v>
      </c>
      <c r="D1211" t="s">
        <v>85</v>
      </c>
      <c r="E1211" t="s">
        <v>85</v>
      </c>
      <c r="F1211">
        <v>80</v>
      </c>
      <c r="G1211">
        <f t="shared" si="129"/>
        <v>52.631578947368418</v>
      </c>
      <c r="H1211">
        <f t="shared" si="130"/>
        <v>52</v>
      </c>
      <c r="I1211">
        <f t="shared" si="131"/>
        <v>0.63157894736841769</v>
      </c>
      <c r="J1211" cm="1">
        <f t="array" ref="J1211">INT(G1211)+IF(100-SUM(INT(G$1210:G$1225))&gt;=RANK(I1211,I$1210:I$1225)+COUNTIF(I$646:I1777,I1211)-1,1,0)</f>
        <v>53</v>
      </c>
      <c r="K1211" t="str">
        <f>_xlfn.XLOOKUP(B1211,BugList!A:A,BugList!H:H)</f>
        <v/>
      </c>
      <c r="L1211" t="str">
        <f>IF(K1211 = "","",_xlfn.XLOOKUP(B1211, BugList!A:A,BugList!B:B,""))</f>
        <v/>
      </c>
      <c r="M1211">
        <f>_xlfn.XLOOKUP(D1211,BugList!C:C,BugList!N:N)</f>
        <v>4</v>
      </c>
      <c r="N1211">
        <f>_xlfn.XLOOKUP(B1211,BugList!A:A,BugList!R:R)</f>
        <v>4</v>
      </c>
      <c r="O1211" t="b">
        <f>_xlfn.XLOOKUP(B1211,BugList!A:A,BugList!L:L)</f>
        <v>0</v>
      </c>
      <c r="P1211" t="b">
        <f t="shared" si="132"/>
        <v>0</v>
      </c>
      <c r="R1211" t="b">
        <f>SUMPRODUCT(COUNTIF(_xlfn.XLOOKUP(B1211,BugList!A:A,BugList!P:P), "*SC*"))&gt;0</f>
        <v>0</v>
      </c>
      <c r="S1211" t="str">
        <f>_xlfn.XLOOKUP(B1211,BugList!A:A,BugList!W:W)</f>
        <v/>
      </c>
      <c r="T1211">
        <f t="shared" si="127"/>
        <v>212</v>
      </c>
      <c r="U1211">
        <f t="shared" si="128"/>
        <v>212</v>
      </c>
    </row>
    <row r="1212" spans="1:21">
      <c r="A1212" t="s">
        <v>2690</v>
      </c>
      <c r="B1212">
        <v>99</v>
      </c>
      <c r="D1212" t="s">
        <v>169</v>
      </c>
      <c r="E1212" t="s">
        <v>169</v>
      </c>
      <c r="F1212">
        <v>3</v>
      </c>
      <c r="G1212">
        <f t="shared" si="129"/>
        <v>1.9736842105263157</v>
      </c>
      <c r="H1212">
        <f t="shared" si="130"/>
        <v>1</v>
      </c>
      <c r="I1212">
        <f t="shared" si="131"/>
        <v>0.97368421052631571</v>
      </c>
      <c r="J1212" cm="1">
        <f t="array" ref="J1212">INT(G1212)+IF(100-SUM(INT(G$1210:G$1225))&gt;=RANK(I1212,I$1210:I$1225)+COUNTIF(I$647:I1777,I1212)-1,1,0)</f>
        <v>2</v>
      </c>
      <c r="K1212" t="str">
        <f>_xlfn.XLOOKUP(B1212,BugList!A:A,BugList!H:H)</f>
        <v/>
      </c>
      <c r="L1212" t="str">
        <f>IF(K1212 = "","",_xlfn.XLOOKUP(B1212, BugList!A:A,BugList!B:B,""))</f>
        <v/>
      </c>
      <c r="M1212">
        <f>_xlfn.XLOOKUP(D1212,BugList!C:C,BugList!N:N)</f>
        <v>5</v>
      </c>
      <c r="N1212">
        <f>_xlfn.XLOOKUP(B1212,BugList!A:A,BugList!R:R)</f>
        <v>5</v>
      </c>
      <c r="O1212" t="b">
        <f>_xlfn.XLOOKUP(B1212,BugList!A:A,BugList!L:L)</f>
        <v>0</v>
      </c>
      <c r="P1212" t="b">
        <f t="shared" si="132"/>
        <v>0</v>
      </c>
      <c r="R1212" t="b">
        <f>SUMPRODUCT(COUNTIF(_xlfn.XLOOKUP(B1212,BugList!A:A,BugList!P:P), "*SC*"))&gt;0</f>
        <v>0</v>
      </c>
      <c r="S1212" t="str">
        <f>_xlfn.XLOOKUP(B1212,BugList!A:A,BugList!W:W)</f>
        <v/>
      </c>
      <c r="T1212">
        <f t="shared" si="127"/>
        <v>10</v>
      </c>
      <c r="U1212">
        <f t="shared" si="128"/>
        <v>10</v>
      </c>
    </row>
    <row r="1213" spans="1:21">
      <c r="A1213" t="s">
        <v>2690</v>
      </c>
      <c r="B1213">
        <v>372</v>
      </c>
      <c r="D1213" t="s">
        <v>88</v>
      </c>
      <c r="E1213" t="s">
        <v>88</v>
      </c>
      <c r="F1213">
        <v>3</v>
      </c>
      <c r="G1213">
        <f t="shared" si="129"/>
        <v>1.9736842105263157</v>
      </c>
      <c r="H1213">
        <f t="shared" si="130"/>
        <v>1</v>
      </c>
      <c r="I1213">
        <f t="shared" si="131"/>
        <v>0.97368421052631571</v>
      </c>
      <c r="J1213" cm="1">
        <f t="array" ref="J1213">INT(G1213)+IF(100-SUM(INT(G$1210:G$1225))&gt;=RANK(I1213,I$1210:I$1225)+COUNTIF(I$648:I1777,I1213)-1,1,0)</f>
        <v>2</v>
      </c>
      <c r="K1213" t="str">
        <f>_xlfn.XLOOKUP(B1213,BugList!A:A,BugList!H:H)</f>
        <v/>
      </c>
      <c r="L1213" t="str">
        <f>IF(K1213 = "","",_xlfn.XLOOKUP(B1213, BugList!A:A,BugList!B:B,""))</f>
        <v/>
      </c>
      <c r="M1213">
        <f>_xlfn.XLOOKUP(D1213,BugList!C:C,BugList!N:N)</f>
        <v>8</v>
      </c>
      <c r="N1213">
        <f>_xlfn.XLOOKUP(B1213,BugList!A:A,BugList!R:R)</f>
        <v>8</v>
      </c>
      <c r="O1213" t="b">
        <f>_xlfn.XLOOKUP(B1213,BugList!A:A,BugList!L:L)</f>
        <v>0</v>
      </c>
      <c r="P1213" t="b">
        <f t="shared" si="132"/>
        <v>0</v>
      </c>
      <c r="R1213" t="b">
        <f>SUMPRODUCT(COUNTIF(_xlfn.XLOOKUP(B1213,BugList!A:A,BugList!P:P), "*SC*"))&gt;0</f>
        <v>0</v>
      </c>
      <c r="S1213" t="str">
        <f>_xlfn.XLOOKUP(B1213,BugList!A:A,BugList!W:W)</f>
        <v/>
      </c>
      <c r="T1213">
        <f t="shared" si="127"/>
        <v>16</v>
      </c>
      <c r="U1213">
        <f t="shared" si="128"/>
        <v>16</v>
      </c>
    </row>
    <row r="1214" spans="1:21">
      <c r="A1214" t="s">
        <v>2690</v>
      </c>
      <c r="B1214">
        <v>513</v>
      </c>
      <c r="D1214" t="s">
        <v>111</v>
      </c>
      <c r="E1214" t="s">
        <v>111</v>
      </c>
      <c r="F1214">
        <v>9</v>
      </c>
      <c r="G1214">
        <f t="shared" si="129"/>
        <v>5.9210526315789469</v>
      </c>
      <c r="H1214">
        <f t="shared" si="130"/>
        <v>5</v>
      </c>
      <c r="I1214">
        <f t="shared" si="131"/>
        <v>0.9210526315789469</v>
      </c>
      <c r="J1214" cm="1">
        <f t="array" ref="J1214">INT(G1214)+IF(100-SUM(INT(G$1210:G$1225))&gt;=RANK(I1214,I$1210:I$1225)+COUNTIF(I$649:I1777,I1214)-1,1,0)</f>
        <v>6</v>
      </c>
      <c r="K1214" t="str">
        <f>_xlfn.XLOOKUP(B1214,BugList!A:A,BugList!H:H)</f>
        <v>*</v>
      </c>
      <c r="L1214" t="str">
        <f>IF(K1214 = "","",_xlfn.XLOOKUP(B1214, BugList!A:A,BugList!B:B,""))</f>
        <v>Ephemeroptera</v>
      </c>
      <c r="M1214">
        <f>_xlfn.XLOOKUP(D1214,BugList!C:C,BugList!N:N)</f>
        <v>4</v>
      </c>
      <c r="N1214">
        <f>_xlfn.XLOOKUP(B1214,BugList!A:A,BugList!R:R)</f>
        <v>4</v>
      </c>
      <c r="O1214" t="b">
        <f>_xlfn.XLOOKUP(B1214,BugList!A:A,BugList!L:L)</f>
        <v>1</v>
      </c>
      <c r="P1214" t="b">
        <f t="shared" si="132"/>
        <v>1</v>
      </c>
      <c r="R1214" t="b">
        <f>SUMPRODUCT(COUNTIF(_xlfn.XLOOKUP(B1214,BugList!A:A,BugList!P:P), "*SC*"))&gt;0</f>
        <v>1</v>
      </c>
      <c r="S1214" t="str">
        <f>_xlfn.XLOOKUP(B1214,BugList!A:A,BugList!W:W)</f>
        <v/>
      </c>
      <c r="T1214">
        <f t="shared" si="127"/>
        <v>24</v>
      </c>
      <c r="U1214">
        <f t="shared" si="128"/>
        <v>24</v>
      </c>
    </row>
    <row r="1215" spans="1:21">
      <c r="A1215" t="s">
        <v>2690</v>
      </c>
      <c r="B1215">
        <v>602</v>
      </c>
      <c r="D1215" t="s">
        <v>97</v>
      </c>
      <c r="E1215" t="s">
        <v>97</v>
      </c>
      <c r="F1215">
        <v>2</v>
      </c>
      <c r="G1215">
        <f t="shared" si="129"/>
        <v>1.3157894736842104</v>
      </c>
      <c r="H1215">
        <f t="shared" si="130"/>
        <v>1</v>
      </c>
      <c r="I1215">
        <f t="shared" si="131"/>
        <v>0.3157894736842104</v>
      </c>
      <c r="J1215" cm="1">
        <f t="array" ref="J1215">INT(G1215)+IF(100-SUM(INT(G$1210:G$1225))&gt;=RANK(I1215,I$1210:I$1225)+COUNTIF(I$650:I1777,I1215)-1,1,0)</f>
        <v>1</v>
      </c>
      <c r="K1215" t="str">
        <f>_xlfn.XLOOKUP(B1215,BugList!A:A,BugList!H:H)</f>
        <v/>
      </c>
      <c r="L1215" t="str">
        <f>IF(K1215 = "","",_xlfn.XLOOKUP(B1215, BugList!A:A,BugList!B:B,""))</f>
        <v/>
      </c>
      <c r="M1215">
        <f>_xlfn.XLOOKUP(D1215,BugList!C:C,BugList!N:N)</f>
        <v>9</v>
      </c>
      <c r="N1215">
        <f>_xlfn.XLOOKUP(B1215,BugList!A:A,BugList!R:R)</f>
        <v>9</v>
      </c>
      <c r="O1215" t="b">
        <f>_xlfn.XLOOKUP(B1215,BugList!A:A,BugList!L:L)</f>
        <v>1</v>
      </c>
      <c r="P1215" t="b">
        <f t="shared" si="132"/>
        <v>0</v>
      </c>
      <c r="R1215" t="b">
        <f>SUMPRODUCT(COUNTIF(_xlfn.XLOOKUP(B1215,BugList!A:A,BugList!P:P), "*SC*"))&gt;0</f>
        <v>0</v>
      </c>
      <c r="S1215" t="str">
        <f>_xlfn.XLOOKUP(B1215,BugList!A:A,BugList!W:W)</f>
        <v/>
      </c>
      <c r="T1215">
        <f t="shared" si="127"/>
        <v>9</v>
      </c>
      <c r="U1215">
        <f t="shared" si="128"/>
        <v>9</v>
      </c>
    </row>
    <row r="1216" spans="1:21">
      <c r="A1216" t="s">
        <v>2690</v>
      </c>
      <c r="B1216">
        <v>675</v>
      </c>
      <c r="D1216" t="s">
        <v>1174</v>
      </c>
      <c r="E1216" t="s">
        <v>1174</v>
      </c>
      <c r="F1216">
        <v>2</v>
      </c>
      <c r="G1216">
        <f t="shared" si="129"/>
        <v>1.3157894736842104</v>
      </c>
      <c r="H1216">
        <f t="shared" si="130"/>
        <v>1</v>
      </c>
      <c r="I1216">
        <f t="shared" si="131"/>
        <v>0.3157894736842104</v>
      </c>
      <c r="J1216" cm="1">
        <f t="array" ref="J1216">INT(G1216)+IF(100-SUM(INT(G$1210:G$1225))&gt;=RANK(I1216,I$1210:I$1225)+COUNTIF(I$651:I1777,I1216)-1,1,0)</f>
        <v>1</v>
      </c>
      <c r="K1216" t="str">
        <f>_xlfn.XLOOKUP(B1216,BugList!A:A,BugList!H:H)</f>
        <v/>
      </c>
      <c r="L1216" t="str">
        <f>IF(K1216 = "","",_xlfn.XLOOKUP(B1216, BugList!A:A,BugList!B:B,""))</f>
        <v/>
      </c>
      <c r="M1216">
        <f>_xlfn.XLOOKUP(D1216,BugList!C:C,BugList!N:N)</f>
        <v>9</v>
      </c>
      <c r="N1216">
        <f>_xlfn.XLOOKUP(B1216,BugList!A:A,BugList!R:R)</f>
        <v>9</v>
      </c>
      <c r="O1216" t="b">
        <f>_xlfn.XLOOKUP(B1216,BugList!A:A,BugList!L:L)</f>
        <v>1</v>
      </c>
      <c r="P1216" t="b">
        <f t="shared" si="132"/>
        <v>0</v>
      </c>
      <c r="R1216" t="b">
        <f>SUMPRODUCT(COUNTIF(_xlfn.XLOOKUP(B1216,BugList!A:A,BugList!P:P), "*SC*"))&gt;0</f>
        <v>0</v>
      </c>
      <c r="S1216" t="str">
        <f>_xlfn.XLOOKUP(B1216,BugList!A:A,BugList!W:W)</f>
        <v/>
      </c>
      <c r="T1216">
        <f t="shared" si="127"/>
        <v>9</v>
      </c>
      <c r="U1216">
        <f t="shared" si="128"/>
        <v>9</v>
      </c>
    </row>
    <row r="1217" spans="1:21">
      <c r="A1217" t="s">
        <v>2690</v>
      </c>
      <c r="B1217">
        <v>794</v>
      </c>
      <c r="D1217" t="s">
        <v>89</v>
      </c>
      <c r="E1217" t="s">
        <v>89</v>
      </c>
      <c r="F1217">
        <v>3</v>
      </c>
      <c r="G1217">
        <f t="shared" si="129"/>
        <v>1.9736842105263157</v>
      </c>
      <c r="H1217">
        <f t="shared" si="130"/>
        <v>1</v>
      </c>
      <c r="I1217">
        <f t="shared" si="131"/>
        <v>0.97368421052631571</v>
      </c>
      <c r="J1217" cm="1">
        <f t="array" ref="J1217">INT(G1217)+IF(100-SUM(INT(G$1210:G$1225))&gt;=RANK(I1217,I$1210:I$1225)+COUNTIF(I$652:I1777,I1217)-1,1,0)</f>
        <v>2</v>
      </c>
      <c r="K1217" t="str">
        <f>_xlfn.XLOOKUP(B1217,BugList!A:A,BugList!H:H)</f>
        <v>*</v>
      </c>
      <c r="L1217" t="str">
        <f>IF(K1217 = "","",_xlfn.XLOOKUP(B1217, BugList!A:A,BugList!B:B,""))</f>
        <v>Trichoptera</v>
      </c>
      <c r="M1217">
        <f>_xlfn.XLOOKUP(D1217,BugList!C:C,BugList!N:N)</f>
        <v>4</v>
      </c>
      <c r="N1217">
        <f>_xlfn.XLOOKUP(B1217,BugList!A:A,BugList!R:R)</f>
        <v>4</v>
      </c>
      <c r="O1217" t="b">
        <f>_xlfn.XLOOKUP(B1217,BugList!A:A,BugList!L:L)</f>
        <v>1</v>
      </c>
      <c r="P1217" t="b">
        <f t="shared" si="132"/>
        <v>0</v>
      </c>
      <c r="R1217" t="b">
        <f>SUMPRODUCT(COUNTIF(_xlfn.XLOOKUP(B1217,BugList!A:A,BugList!P:P), "*SC*"))&gt;0</f>
        <v>0</v>
      </c>
      <c r="S1217" t="str">
        <f>_xlfn.XLOOKUP(B1217,BugList!A:A,BugList!W:W)</f>
        <v/>
      </c>
      <c r="T1217">
        <f t="shared" si="127"/>
        <v>8</v>
      </c>
      <c r="U1217">
        <f t="shared" si="128"/>
        <v>8</v>
      </c>
    </row>
    <row r="1218" spans="1:21">
      <c r="A1218" t="s">
        <v>2690</v>
      </c>
      <c r="B1218">
        <v>837</v>
      </c>
      <c r="D1218" t="s">
        <v>107</v>
      </c>
      <c r="E1218" t="s">
        <v>107</v>
      </c>
      <c r="F1218">
        <v>3</v>
      </c>
      <c r="G1218">
        <f t="shared" si="129"/>
        <v>1.9736842105263157</v>
      </c>
      <c r="H1218">
        <f t="shared" si="130"/>
        <v>1</v>
      </c>
      <c r="I1218">
        <f t="shared" si="131"/>
        <v>0.97368421052631571</v>
      </c>
      <c r="J1218" cm="1">
        <f t="array" ref="J1218">INT(G1218)+IF(100-SUM(INT(G$1210:G$1225))&gt;=RANK(I1218,I$1210:I$1225)+COUNTIF(I$653:I1777,I1218)-1,1,0)</f>
        <v>2</v>
      </c>
      <c r="K1218" t="str">
        <f>_xlfn.XLOOKUP(B1218,BugList!A:A,BugList!H:H)</f>
        <v>*</v>
      </c>
      <c r="L1218" t="str">
        <f>IF(K1218 = "","",_xlfn.XLOOKUP(B1218, BugList!A:A,BugList!B:B,""))</f>
        <v>Trichoptera</v>
      </c>
      <c r="M1218">
        <f>_xlfn.XLOOKUP(D1218,BugList!C:C,BugList!N:N)</f>
        <v>3</v>
      </c>
      <c r="N1218">
        <f>_xlfn.XLOOKUP(B1218,BugList!A:A,BugList!R:R)</f>
        <v>3</v>
      </c>
      <c r="O1218" t="b">
        <f>_xlfn.XLOOKUP(B1218,BugList!A:A,BugList!L:L)</f>
        <v>1</v>
      </c>
      <c r="P1218" t="b">
        <f t="shared" si="132"/>
        <v>1</v>
      </c>
      <c r="R1218" t="b">
        <f>SUMPRODUCT(COUNTIF(_xlfn.XLOOKUP(B1218,BugList!A:A,BugList!P:P), "*SC*"))&gt;0</f>
        <v>0</v>
      </c>
      <c r="S1218" t="str">
        <f>_xlfn.XLOOKUP(B1218,BugList!A:A,BugList!W:W)</f>
        <v/>
      </c>
      <c r="T1218">
        <f t="shared" ref="T1218:T1280" si="133">J1218*M1218</f>
        <v>6</v>
      </c>
      <c r="U1218">
        <f t="shared" ref="U1218:U1280" si="134">J1218*N1218</f>
        <v>6</v>
      </c>
    </row>
    <row r="1219" spans="1:21">
      <c r="A1219" t="s">
        <v>2690</v>
      </c>
      <c r="B1219">
        <v>935</v>
      </c>
      <c r="D1219" t="s">
        <v>98</v>
      </c>
      <c r="E1219" t="s">
        <v>98</v>
      </c>
      <c r="F1219">
        <v>26</v>
      </c>
      <c r="G1219">
        <f t="shared" si="129"/>
        <v>17.105263157894736</v>
      </c>
      <c r="H1219">
        <f t="shared" si="130"/>
        <v>17</v>
      </c>
      <c r="I1219">
        <f t="shared" si="131"/>
        <v>0.10526315789473628</v>
      </c>
      <c r="J1219" cm="1">
        <f t="array" ref="J1219">INT(G1219)+IF(100-SUM(INT(G$1210:G$1225))&gt;=RANK(I1219,I$1210:I$1225)+COUNTIF(I$654:I1777,I1219)-1,1,0)</f>
        <v>17</v>
      </c>
      <c r="K1219" t="str">
        <f>_xlfn.XLOOKUP(B1219,BugList!A:A,BugList!H:H)</f>
        <v/>
      </c>
      <c r="L1219" t="str">
        <f>IF(K1219 = "","",_xlfn.XLOOKUP(B1219, BugList!A:A,BugList!B:B,""))</f>
        <v/>
      </c>
      <c r="M1219">
        <f>_xlfn.XLOOKUP(D1219,BugList!C:C,BugList!N:N)</f>
        <v>4</v>
      </c>
      <c r="N1219">
        <f>_xlfn.XLOOKUP(B1219,BugList!A:A,BugList!R:R)</f>
        <v>4</v>
      </c>
      <c r="O1219" t="b">
        <f>_xlfn.XLOOKUP(B1219,BugList!A:A,BugList!L:L)</f>
        <v>1</v>
      </c>
      <c r="P1219" t="b">
        <f t="shared" si="132"/>
        <v>0</v>
      </c>
      <c r="R1219" t="b">
        <f>SUMPRODUCT(COUNTIF(_xlfn.XLOOKUP(B1219,BugList!A:A,BugList!P:P), "*SC*"))&gt;0</f>
        <v>1</v>
      </c>
      <c r="S1219" t="str">
        <f>_xlfn.XLOOKUP(B1219,BugList!A:A,BugList!W:W)</f>
        <v/>
      </c>
      <c r="T1219">
        <f t="shared" si="133"/>
        <v>68</v>
      </c>
      <c r="U1219">
        <f t="shared" si="134"/>
        <v>68</v>
      </c>
    </row>
    <row r="1220" spans="1:21">
      <c r="A1220" t="s">
        <v>2690</v>
      </c>
      <c r="B1220">
        <v>1002</v>
      </c>
      <c r="D1220" t="s">
        <v>100</v>
      </c>
      <c r="E1220" t="s">
        <v>100</v>
      </c>
      <c r="F1220">
        <v>7</v>
      </c>
      <c r="G1220">
        <f t="shared" si="129"/>
        <v>4.6052631578947363</v>
      </c>
      <c r="H1220">
        <f t="shared" si="130"/>
        <v>4</v>
      </c>
      <c r="I1220">
        <f t="shared" si="131"/>
        <v>0.60526315789473628</v>
      </c>
      <c r="J1220" cm="1">
        <f t="array" ref="J1220">INT(G1220)+IF(100-SUM(INT(G$1210:G$1225))&gt;=RANK(I1220,I$1210:I$1225)+COUNTIF(I$655:I1777,I1220)-1,1,0)</f>
        <v>4</v>
      </c>
      <c r="K1220" t="str">
        <f>_xlfn.XLOOKUP(B1220,BugList!A:A,BugList!H:H)</f>
        <v/>
      </c>
      <c r="L1220" t="str">
        <f>IF(K1220 = "","",_xlfn.XLOOKUP(B1220, BugList!A:A,BugList!B:B,""))</f>
        <v/>
      </c>
      <c r="M1220">
        <f>_xlfn.XLOOKUP(D1220,BugList!C:C,BugList!N:N)</f>
        <v>4</v>
      </c>
      <c r="N1220">
        <f>_xlfn.XLOOKUP(B1220,BugList!A:A,BugList!R:R)</f>
        <v>4</v>
      </c>
      <c r="O1220" t="b">
        <f>_xlfn.XLOOKUP(B1220,BugList!A:A,BugList!L:L)</f>
        <v>1</v>
      </c>
      <c r="P1220" t="b">
        <f t="shared" si="132"/>
        <v>0</v>
      </c>
      <c r="R1220" t="b">
        <f>SUMPRODUCT(COUNTIF(_xlfn.XLOOKUP(B1220,BugList!A:A,BugList!P:P), "*SC*"))&gt;0</f>
        <v>1</v>
      </c>
      <c r="S1220" t="str">
        <f>_xlfn.XLOOKUP(B1220,BugList!A:A,BugList!W:W)</f>
        <v/>
      </c>
      <c r="T1220">
        <f t="shared" si="133"/>
        <v>16</v>
      </c>
      <c r="U1220">
        <f t="shared" si="134"/>
        <v>16</v>
      </c>
    </row>
    <row r="1221" spans="1:21">
      <c r="A1221" t="s">
        <v>2690</v>
      </c>
      <c r="B1221">
        <v>1088</v>
      </c>
      <c r="D1221" t="s">
        <v>90</v>
      </c>
      <c r="E1221" t="s">
        <v>90</v>
      </c>
      <c r="F1221">
        <v>1</v>
      </c>
      <c r="G1221">
        <f t="shared" si="129"/>
        <v>0.6578947368421052</v>
      </c>
      <c r="H1221">
        <f t="shared" si="130"/>
        <v>0</v>
      </c>
      <c r="I1221">
        <f t="shared" si="131"/>
        <v>0.6578947368421052</v>
      </c>
      <c r="J1221" cm="1">
        <f t="array" ref="J1221">INT(G1221)+IF(100-SUM(INT(G$1210:G$1225))&gt;=RANK(I1221,I$1210:I$1225)+COUNTIF(I$656:I1777,I1221)-1,1,0)</f>
        <v>1</v>
      </c>
      <c r="K1221" t="str">
        <f>_xlfn.XLOOKUP(B1221,BugList!A:A,BugList!H:H)</f>
        <v/>
      </c>
      <c r="L1221" t="str">
        <f>IF(K1221 = "","",_xlfn.XLOOKUP(B1221, BugList!A:A,BugList!B:B,""))</f>
        <v/>
      </c>
      <c r="M1221">
        <f>_xlfn.XLOOKUP(D1221,BugList!C:C,BugList!N:N)</f>
        <v>6</v>
      </c>
      <c r="N1221">
        <f>_xlfn.XLOOKUP(B1221,BugList!A:A,BugList!R:R)</f>
        <v>6</v>
      </c>
      <c r="O1221" t="b">
        <f>_xlfn.XLOOKUP(B1221,BugList!A:A,BugList!L:L)</f>
        <v>1</v>
      </c>
      <c r="P1221" t="b">
        <f t="shared" si="132"/>
        <v>0</v>
      </c>
      <c r="R1221" t="b">
        <f>SUMPRODUCT(COUNTIF(_xlfn.XLOOKUP(B1221,BugList!A:A,BugList!P:P), "*SC*"))&gt;0</f>
        <v>0</v>
      </c>
      <c r="S1221" t="str">
        <f>_xlfn.XLOOKUP(B1221,BugList!A:A,BugList!W:W)</f>
        <v/>
      </c>
      <c r="T1221">
        <f t="shared" si="133"/>
        <v>6</v>
      </c>
      <c r="U1221">
        <f t="shared" si="134"/>
        <v>6</v>
      </c>
    </row>
    <row r="1222" spans="1:21">
      <c r="A1222" t="s">
        <v>2690</v>
      </c>
      <c r="B1222">
        <v>1578</v>
      </c>
      <c r="D1222" t="s">
        <v>102</v>
      </c>
      <c r="E1222" t="s">
        <v>102</v>
      </c>
      <c r="F1222">
        <v>5</v>
      </c>
      <c r="G1222">
        <f t="shared" si="129"/>
        <v>3.2894736842105261</v>
      </c>
      <c r="H1222">
        <f t="shared" si="130"/>
        <v>3</v>
      </c>
      <c r="I1222">
        <f t="shared" si="131"/>
        <v>0.28947368421052611</v>
      </c>
      <c r="J1222" cm="1">
        <f t="array" ref="J1222">INT(G1222)+IF(100-SUM(INT(G$1210:G$1225))&gt;=RANK(I1222,I$1210:I$1225)+COUNTIF(I$657:I1777,I1222)-1,1,0)</f>
        <v>3</v>
      </c>
      <c r="K1222" t="str">
        <f>_xlfn.XLOOKUP(B1222,BugList!A:A,BugList!H:H)</f>
        <v/>
      </c>
      <c r="L1222" t="str">
        <f>IF(K1222 = "","",_xlfn.XLOOKUP(B1222, BugList!A:A,BugList!B:B,""))</f>
        <v/>
      </c>
      <c r="M1222">
        <f>_xlfn.XLOOKUP(D1222,BugList!C:C,BugList!N:N)</f>
        <v>7</v>
      </c>
      <c r="N1222">
        <f>_xlfn.XLOOKUP(B1222,BugList!A:A,BugList!R:R)</f>
        <v>7</v>
      </c>
      <c r="O1222" t="b">
        <f>_xlfn.XLOOKUP(B1222,BugList!A:A,BugList!L:L)</f>
        <v>0</v>
      </c>
      <c r="P1222" t="b">
        <f t="shared" si="132"/>
        <v>0</v>
      </c>
      <c r="R1222" t="b">
        <f>SUMPRODUCT(COUNTIF(_xlfn.XLOOKUP(B1222,BugList!A:A,BugList!P:P), "*SC*"))&gt;0</f>
        <v>0</v>
      </c>
      <c r="S1222" t="str">
        <f>_xlfn.XLOOKUP(B1222,BugList!A:A,BugList!W:W)</f>
        <v/>
      </c>
      <c r="T1222">
        <f t="shared" si="133"/>
        <v>21</v>
      </c>
      <c r="U1222">
        <f t="shared" si="134"/>
        <v>21</v>
      </c>
    </row>
    <row r="1223" spans="1:21">
      <c r="A1223" t="s">
        <v>2690</v>
      </c>
      <c r="B1223">
        <v>1582</v>
      </c>
      <c r="D1223" t="s">
        <v>121</v>
      </c>
      <c r="E1223" t="s">
        <v>121</v>
      </c>
      <c r="F1223">
        <v>3</v>
      </c>
      <c r="G1223">
        <f t="shared" si="129"/>
        <v>1.9736842105263157</v>
      </c>
      <c r="H1223">
        <f t="shared" si="130"/>
        <v>1</v>
      </c>
      <c r="I1223">
        <f t="shared" si="131"/>
        <v>0.97368421052631571</v>
      </c>
      <c r="J1223" cm="1">
        <f t="array" ref="J1223">INT(G1223)+IF(100-SUM(INT(G$1210:G$1225))&gt;=RANK(I1223,I$1210:I$1225)+COUNTIF(I$658:I1777,I1223)-1,1,0)</f>
        <v>2</v>
      </c>
      <c r="K1223" t="str">
        <f>_xlfn.XLOOKUP(B1223,BugList!A:A,BugList!H:H)</f>
        <v/>
      </c>
      <c r="L1223" t="str">
        <f>IF(K1223 = "","",_xlfn.XLOOKUP(B1223, BugList!A:A,BugList!B:B,""))</f>
        <v/>
      </c>
      <c r="M1223">
        <f>_xlfn.XLOOKUP(D1223,BugList!C:C,BugList!N:N)</f>
        <v>6</v>
      </c>
      <c r="N1223">
        <f>_xlfn.XLOOKUP(B1223,BugList!A:A,BugList!R:R)</f>
        <v>6</v>
      </c>
      <c r="O1223" t="b">
        <f>_xlfn.XLOOKUP(B1223,BugList!A:A,BugList!L:L)</f>
        <v>0</v>
      </c>
      <c r="P1223" t="b">
        <f t="shared" si="132"/>
        <v>0</v>
      </c>
      <c r="R1223" t="b">
        <f>SUMPRODUCT(COUNTIF(_xlfn.XLOOKUP(B1223,BugList!A:A,BugList!P:P), "*SC*"))&gt;0</f>
        <v>1</v>
      </c>
      <c r="S1223" t="str">
        <f>_xlfn.XLOOKUP(B1223,BugList!A:A,BugList!W:W)</f>
        <v/>
      </c>
      <c r="T1223">
        <f t="shared" si="133"/>
        <v>12</v>
      </c>
      <c r="U1223">
        <f t="shared" si="134"/>
        <v>12</v>
      </c>
    </row>
    <row r="1224" spans="1:21">
      <c r="A1224" t="s">
        <v>2690</v>
      </c>
      <c r="B1224">
        <v>1587</v>
      </c>
      <c r="D1224" t="s">
        <v>91</v>
      </c>
      <c r="E1224" t="s">
        <v>91</v>
      </c>
      <c r="F1224">
        <v>1</v>
      </c>
      <c r="G1224">
        <f t="shared" si="129"/>
        <v>0.6578947368421052</v>
      </c>
      <c r="H1224">
        <f t="shared" si="130"/>
        <v>0</v>
      </c>
      <c r="I1224">
        <f t="shared" si="131"/>
        <v>0.6578947368421052</v>
      </c>
      <c r="J1224" cm="1">
        <f t="array" ref="J1224">INT(G1224)+IF(100-SUM(INT(G$1210:G$1225))&gt;=RANK(I1224,I$1210:I$1225)+COUNTIF(I$659:I1777,I1224)-1,1,0)</f>
        <v>1</v>
      </c>
      <c r="K1224" t="str">
        <f>_xlfn.XLOOKUP(B1224,BugList!A:A,BugList!H:H)</f>
        <v/>
      </c>
      <c r="L1224" t="str">
        <f>IF(K1224 = "","",_xlfn.XLOOKUP(B1224, BugList!A:A,BugList!B:B,""))</f>
        <v/>
      </c>
      <c r="M1224">
        <f>_xlfn.XLOOKUP(D1224,BugList!C:C,BugList!N:N)</f>
        <v>6</v>
      </c>
      <c r="N1224">
        <f>_xlfn.XLOOKUP(B1224,BugList!A:A,BugList!R:R)</f>
        <v>6</v>
      </c>
      <c r="O1224" t="b">
        <f>_xlfn.XLOOKUP(B1224,BugList!A:A,BugList!L:L)</f>
        <v>0</v>
      </c>
      <c r="P1224" t="b">
        <f t="shared" si="132"/>
        <v>0</v>
      </c>
      <c r="R1224" t="b">
        <f>SUMPRODUCT(COUNTIF(_xlfn.XLOOKUP(B1224,BugList!A:A,BugList!P:P), "*SC*"))&gt;0</f>
        <v>0</v>
      </c>
      <c r="S1224" t="str">
        <f>_xlfn.XLOOKUP(B1224,BugList!A:A,BugList!W:W)</f>
        <v/>
      </c>
      <c r="T1224">
        <f t="shared" si="133"/>
        <v>6</v>
      </c>
      <c r="U1224">
        <f t="shared" si="134"/>
        <v>6</v>
      </c>
    </row>
    <row r="1225" spans="1:21">
      <c r="A1225" t="s">
        <v>2690</v>
      </c>
      <c r="B1225">
        <v>1629</v>
      </c>
      <c r="D1225" t="s">
        <v>93</v>
      </c>
      <c r="E1225" t="s">
        <v>93</v>
      </c>
      <c r="F1225">
        <v>3</v>
      </c>
      <c r="G1225">
        <f t="shared" si="129"/>
        <v>1.9736842105263157</v>
      </c>
      <c r="H1225">
        <f t="shared" si="130"/>
        <v>1</v>
      </c>
      <c r="I1225">
        <f t="shared" si="131"/>
        <v>0.97368421052631571</v>
      </c>
      <c r="J1225" cm="1">
        <f t="array" ref="J1225">INT(G1225)+IF(100-SUM(INT(G$1210:G$1225))&gt;=RANK(I1225,I$1210:I$1225)+COUNTIF(I$660:I1777,I1225)-1,1,0)</f>
        <v>2</v>
      </c>
      <c r="K1225" t="str">
        <f>_xlfn.XLOOKUP(B1225,BugList!A:A,BugList!H:H)</f>
        <v/>
      </c>
      <c r="L1225" t="str">
        <f>IF(K1225 = "","",_xlfn.XLOOKUP(B1225, BugList!A:A,BugList!B:B,""))</f>
        <v/>
      </c>
      <c r="M1225">
        <f>_xlfn.XLOOKUP(D1225,BugList!C:C,BugList!N:N)</f>
        <v>8</v>
      </c>
      <c r="N1225">
        <f>_xlfn.XLOOKUP(B1225,BugList!A:A,BugList!R:R)</f>
        <v>8</v>
      </c>
      <c r="O1225" t="b">
        <f>_xlfn.XLOOKUP(B1225,BugList!A:A,BugList!L:L)</f>
        <v>0</v>
      </c>
      <c r="P1225" t="b">
        <f t="shared" si="132"/>
        <v>0</v>
      </c>
      <c r="R1225" t="b">
        <f>SUMPRODUCT(COUNTIF(_xlfn.XLOOKUP(B1225,BugList!A:A,BugList!P:P), "*SC*"))&gt;0</f>
        <v>0</v>
      </c>
      <c r="S1225" t="str">
        <f>_xlfn.XLOOKUP(B1225,BugList!A:A,BugList!W:W)</f>
        <v/>
      </c>
      <c r="T1225">
        <f t="shared" si="133"/>
        <v>16</v>
      </c>
      <c r="U1225">
        <f t="shared" si="134"/>
        <v>16</v>
      </c>
    </row>
    <row r="1226" spans="1:21">
      <c r="A1226" t="s">
        <v>2691</v>
      </c>
      <c r="B1226">
        <v>88</v>
      </c>
      <c r="D1226" t="s">
        <v>85</v>
      </c>
      <c r="E1226" t="s">
        <v>85</v>
      </c>
      <c r="F1226">
        <v>35</v>
      </c>
      <c r="G1226">
        <f t="shared" si="129"/>
        <v>28.455284552845526</v>
      </c>
      <c r="H1226">
        <f t="shared" si="130"/>
        <v>28</v>
      </c>
      <c r="I1226">
        <f t="shared" si="131"/>
        <v>0.45528455284552649</v>
      </c>
      <c r="J1226" cm="1">
        <f t="array" ref="J1226">INT(G1226)+IF(100-SUM(INT(G$1226:G$1242))&gt;=RANK(I1226,I$1226:I$1242)+COUNTIF(I$888:I1566,I1226)-1,1,0)</f>
        <v>28</v>
      </c>
      <c r="K1226" t="str">
        <f>_xlfn.XLOOKUP(B1226,BugList!A:A,BugList!H:H)</f>
        <v/>
      </c>
      <c r="L1226" t="str">
        <f>IF(K1226 = "","",_xlfn.XLOOKUP(B1226, BugList!A:A,BugList!B:B,""))</f>
        <v/>
      </c>
      <c r="M1226">
        <f>_xlfn.XLOOKUP(D1226,BugList!C:C,BugList!N:N)</f>
        <v>4</v>
      </c>
      <c r="N1226">
        <f>_xlfn.XLOOKUP(B1226,BugList!A:A,BugList!R:R)</f>
        <v>4</v>
      </c>
      <c r="O1226" t="b">
        <f>_xlfn.XLOOKUP(B1226,BugList!A:A,BugList!L:L)</f>
        <v>0</v>
      </c>
      <c r="P1226" t="b">
        <f t="shared" si="132"/>
        <v>0</v>
      </c>
      <c r="R1226" t="b">
        <f>SUMPRODUCT(COUNTIF(_xlfn.XLOOKUP(B1226,BugList!A:A,BugList!P:P), "*SC*"))&gt;0</f>
        <v>0</v>
      </c>
      <c r="S1226" t="str">
        <f>_xlfn.XLOOKUP(B1226,BugList!A:A,BugList!W:W)</f>
        <v/>
      </c>
      <c r="T1226">
        <f t="shared" si="133"/>
        <v>112</v>
      </c>
      <c r="U1226">
        <f t="shared" si="134"/>
        <v>112</v>
      </c>
    </row>
    <row r="1227" spans="1:21">
      <c r="A1227" t="s">
        <v>2691</v>
      </c>
      <c r="B1227">
        <v>99</v>
      </c>
      <c r="D1227" t="s">
        <v>169</v>
      </c>
      <c r="E1227" t="s">
        <v>169</v>
      </c>
      <c r="F1227">
        <v>3</v>
      </c>
      <c r="G1227">
        <f t="shared" si="129"/>
        <v>2.4390243902439024</v>
      </c>
      <c r="H1227">
        <f t="shared" si="130"/>
        <v>2</v>
      </c>
      <c r="I1227">
        <f t="shared" si="131"/>
        <v>0.43902439024390238</v>
      </c>
      <c r="J1227" cm="1">
        <f t="array" ref="J1227">INT(G1227)+IF(100-SUM(INT(G$1226:G$1242))&gt;=RANK(I1227,I$1226:I$1242)+COUNTIF(I$889:I1566,I1227)-1,1,0)</f>
        <v>2</v>
      </c>
      <c r="K1227" t="str">
        <f>_xlfn.XLOOKUP(B1227,BugList!A:A,BugList!H:H)</f>
        <v/>
      </c>
      <c r="L1227" t="str">
        <f>IF(K1227 = "","",_xlfn.XLOOKUP(B1227, BugList!A:A,BugList!B:B,""))</f>
        <v/>
      </c>
      <c r="M1227">
        <f>_xlfn.XLOOKUP(D1227,BugList!C:C,BugList!N:N)</f>
        <v>5</v>
      </c>
      <c r="N1227">
        <f>_xlfn.XLOOKUP(B1227,BugList!A:A,BugList!R:R)</f>
        <v>5</v>
      </c>
      <c r="O1227" t="b">
        <f>_xlfn.XLOOKUP(B1227,BugList!A:A,BugList!L:L)</f>
        <v>0</v>
      </c>
      <c r="P1227" t="b">
        <f t="shared" si="132"/>
        <v>0</v>
      </c>
      <c r="R1227" t="b">
        <f>SUMPRODUCT(COUNTIF(_xlfn.XLOOKUP(B1227,BugList!A:A,BugList!P:P), "*SC*"))&gt;0</f>
        <v>0</v>
      </c>
      <c r="S1227" t="str">
        <f>_xlfn.XLOOKUP(B1227,BugList!A:A,BugList!W:W)</f>
        <v/>
      </c>
      <c r="T1227">
        <f t="shared" si="133"/>
        <v>10</v>
      </c>
      <c r="U1227">
        <f t="shared" si="134"/>
        <v>10</v>
      </c>
    </row>
    <row r="1228" spans="1:21">
      <c r="A1228" t="s">
        <v>2691</v>
      </c>
      <c r="B1228">
        <v>372</v>
      </c>
      <c r="D1228" t="s">
        <v>88</v>
      </c>
      <c r="E1228" t="s">
        <v>88</v>
      </c>
      <c r="F1228">
        <v>10</v>
      </c>
      <c r="G1228">
        <f t="shared" si="129"/>
        <v>8.1300813008130071</v>
      </c>
      <c r="H1228">
        <f t="shared" si="130"/>
        <v>8</v>
      </c>
      <c r="I1228">
        <f t="shared" si="131"/>
        <v>0.13008130081300706</v>
      </c>
      <c r="J1228" cm="1">
        <f t="array" ref="J1228">INT(G1228)+IF(100-SUM(INT(G$1226:G$1242))&gt;=RANK(I1228,I$1226:I$1242)+COUNTIF(I$890:I1566,I1228)-1,1,0)</f>
        <v>8</v>
      </c>
      <c r="K1228" t="str">
        <f>_xlfn.XLOOKUP(B1228,BugList!A:A,BugList!H:H)</f>
        <v/>
      </c>
      <c r="L1228" t="str">
        <f>IF(K1228 = "","",_xlfn.XLOOKUP(B1228, BugList!A:A,BugList!B:B,""))</f>
        <v/>
      </c>
      <c r="M1228">
        <f>_xlfn.XLOOKUP(D1228,BugList!C:C,BugList!N:N)</f>
        <v>8</v>
      </c>
      <c r="N1228">
        <f>_xlfn.XLOOKUP(B1228,BugList!A:A,BugList!R:R)</f>
        <v>8</v>
      </c>
      <c r="O1228" t="b">
        <f>_xlfn.XLOOKUP(B1228,BugList!A:A,BugList!L:L)</f>
        <v>0</v>
      </c>
      <c r="P1228" t="b">
        <f t="shared" si="132"/>
        <v>0</v>
      </c>
      <c r="R1228" t="b">
        <f>SUMPRODUCT(COUNTIF(_xlfn.XLOOKUP(B1228,BugList!A:A,BugList!P:P), "*SC*"))&gt;0</f>
        <v>0</v>
      </c>
      <c r="S1228" t="str">
        <f>_xlfn.XLOOKUP(B1228,BugList!A:A,BugList!W:W)</f>
        <v/>
      </c>
      <c r="T1228">
        <f t="shared" si="133"/>
        <v>64</v>
      </c>
      <c r="U1228">
        <f t="shared" si="134"/>
        <v>64</v>
      </c>
    </row>
    <row r="1229" spans="1:21">
      <c r="A1229" t="s">
        <v>2691</v>
      </c>
      <c r="B1229">
        <v>450</v>
      </c>
      <c r="D1229" t="s">
        <v>96</v>
      </c>
      <c r="E1229" t="s">
        <v>96</v>
      </c>
      <c r="F1229">
        <v>1</v>
      </c>
      <c r="G1229">
        <f t="shared" si="129"/>
        <v>0.81300813008130091</v>
      </c>
      <c r="H1229">
        <f t="shared" si="130"/>
        <v>0</v>
      </c>
      <c r="I1229">
        <f t="shared" si="131"/>
        <v>0.81300813008130091</v>
      </c>
      <c r="J1229" cm="1">
        <f t="array" ref="J1229">INT(G1229)+IF(100-SUM(INT(G$1226:G$1242))&gt;=RANK(I1229,I$1226:I$1242)+COUNTIF(I$891:I1566,I1229)-1,1,0)</f>
        <v>1</v>
      </c>
      <c r="K1229" t="str">
        <f>_xlfn.XLOOKUP(B1229,BugList!A:A,BugList!H:H)</f>
        <v>*</v>
      </c>
      <c r="L1229" t="str">
        <f>IF(K1229 = "","",_xlfn.XLOOKUP(B1229, BugList!A:A,BugList!B:B,""))</f>
        <v>Ephemeroptera</v>
      </c>
      <c r="M1229">
        <f>_xlfn.XLOOKUP(D1229,BugList!C:C,BugList!N:N)</f>
        <v>4</v>
      </c>
      <c r="N1229">
        <f>_xlfn.XLOOKUP(B1229,BugList!A:A,BugList!R:R)</f>
        <v>4</v>
      </c>
      <c r="O1229" t="b">
        <f>_xlfn.XLOOKUP(B1229,BugList!A:A,BugList!L:L)</f>
        <v>1</v>
      </c>
      <c r="P1229" t="b">
        <f t="shared" si="132"/>
        <v>1</v>
      </c>
      <c r="R1229" t="b">
        <f>SUMPRODUCT(COUNTIF(_xlfn.XLOOKUP(B1229,BugList!A:A,BugList!P:P), "*SC*"))&gt;0</f>
        <v>1</v>
      </c>
      <c r="S1229" t="str">
        <f>_xlfn.XLOOKUP(B1229,BugList!A:A,BugList!W:W)</f>
        <v>3</v>
      </c>
      <c r="T1229">
        <f t="shared" si="133"/>
        <v>4</v>
      </c>
      <c r="U1229">
        <f t="shared" si="134"/>
        <v>4</v>
      </c>
    </row>
    <row r="1230" spans="1:21">
      <c r="A1230" t="s">
        <v>2691</v>
      </c>
      <c r="B1230">
        <v>513</v>
      </c>
      <c r="D1230" t="s">
        <v>111</v>
      </c>
      <c r="E1230" t="s">
        <v>111</v>
      </c>
      <c r="F1230">
        <v>2</v>
      </c>
      <c r="G1230">
        <f t="shared" si="129"/>
        <v>1.6260162601626018</v>
      </c>
      <c r="H1230">
        <f t="shared" si="130"/>
        <v>1</v>
      </c>
      <c r="I1230">
        <f t="shared" si="131"/>
        <v>0.62601626016260181</v>
      </c>
      <c r="J1230" cm="1">
        <f t="array" ref="J1230">INT(G1230)+IF(100-SUM(INT(G$1226:G$1242))&gt;=RANK(I1230,I$1226:I$1242)+COUNTIF(I$892:I1566,I1230)-1,1,0)</f>
        <v>2</v>
      </c>
      <c r="K1230" t="str">
        <f>_xlfn.XLOOKUP(B1230,BugList!A:A,BugList!H:H)</f>
        <v>*</v>
      </c>
      <c r="L1230" t="str">
        <f>IF(K1230 = "","",_xlfn.XLOOKUP(B1230, BugList!A:A,BugList!B:B,""))</f>
        <v>Ephemeroptera</v>
      </c>
      <c r="M1230">
        <f>_xlfn.XLOOKUP(D1230,BugList!C:C,BugList!N:N)</f>
        <v>4</v>
      </c>
      <c r="N1230">
        <f>_xlfn.XLOOKUP(B1230,BugList!A:A,BugList!R:R)</f>
        <v>4</v>
      </c>
      <c r="O1230" t="b">
        <f>_xlfn.XLOOKUP(B1230,BugList!A:A,BugList!L:L)</f>
        <v>1</v>
      </c>
      <c r="P1230" t="b">
        <f t="shared" si="132"/>
        <v>1</v>
      </c>
      <c r="R1230" t="b">
        <f>SUMPRODUCT(COUNTIF(_xlfn.XLOOKUP(B1230,BugList!A:A,BugList!P:P), "*SC*"))&gt;0</f>
        <v>1</v>
      </c>
      <c r="S1230" t="str">
        <f>_xlfn.XLOOKUP(B1230,BugList!A:A,BugList!W:W)</f>
        <v/>
      </c>
      <c r="T1230">
        <f t="shared" si="133"/>
        <v>8</v>
      </c>
      <c r="U1230">
        <f t="shared" si="134"/>
        <v>8</v>
      </c>
    </row>
    <row r="1231" spans="1:21">
      <c r="A1231" t="s">
        <v>2691</v>
      </c>
      <c r="B1231">
        <v>526</v>
      </c>
      <c r="D1231" t="s">
        <v>963</v>
      </c>
      <c r="E1231" t="s">
        <v>963</v>
      </c>
      <c r="F1231">
        <v>1</v>
      </c>
      <c r="G1231">
        <f t="shared" si="129"/>
        <v>0.81300813008130091</v>
      </c>
      <c r="H1231">
        <f t="shared" si="130"/>
        <v>0</v>
      </c>
      <c r="I1231">
        <f t="shared" si="131"/>
        <v>0.81300813008130091</v>
      </c>
      <c r="J1231" cm="1">
        <f t="array" ref="J1231">INT(G1231)+IF(100-SUM(INT(G$1226:G$1242))&gt;=RANK(I1231,I$1226:I$1242)+COUNTIF(I$893:I1566,I1231)-1,1,0)</f>
        <v>1</v>
      </c>
      <c r="K1231" t="str">
        <f>_xlfn.XLOOKUP(B1231,BugList!A:A,BugList!H:H)</f>
        <v>*</v>
      </c>
      <c r="L1231" t="str">
        <f>IF(K1231 = "","",_xlfn.XLOOKUP(B1231, BugList!A:A,BugList!B:B,""))</f>
        <v>Ephemeroptera</v>
      </c>
      <c r="M1231">
        <f>_xlfn.XLOOKUP(D1231,BugList!C:C,BugList!N:N)</f>
        <v>2</v>
      </c>
      <c r="N1231">
        <f>_xlfn.XLOOKUP(B1231,BugList!A:A,BugList!R:R)</f>
        <v>2</v>
      </c>
      <c r="O1231" t="b">
        <f>_xlfn.XLOOKUP(B1231,BugList!A:A,BugList!L:L)</f>
        <v>1</v>
      </c>
      <c r="P1231" t="b">
        <f t="shared" si="132"/>
        <v>1</v>
      </c>
      <c r="R1231" t="b">
        <f>SUMPRODUCT(COUNTIF(_xlfn.XLOOKUP(B1231,BugList!A:A,BugList!P:P), "*SC*"))&gt;0</f>
        <v>0</v>
      </c>
      <c r="S1231" t="str">
        <f>_xlfn.XLOOKUP(B1231,BugList!A:A,BugList!W:W)</f>
        <v/>
      </c>
      <c r="T1231">
        <f t="shared" si="133"/>
        <v>2</v>
      </c>
      <c r="U1231">
        <f t="shared" si="134"/>
        <v>2</v>
      </c>
    </row>
    <row r="1232" spans="1:21">
      <c r="A1232" t="s">
        <v>2691</v>
      </c>
      <c r="B1232">
        <v>602</v>
      </c>
      <c r="D1232" t="s">
        <v>97</v>
      </c>
      <c r="E1232" t="s">
        <v>97</v>
      </c>
      <c r="F1232">
        <v>1</v>
      </c>
      <c r="G1232">
        <f t="shared" ref="G1232:G1242" si="135">(F1232/(SUMIFS(F:F,A:A,A1232))*100)</f>
        <v>0.81300813008130091</v>
      </c>
      <c r="H1232">
        <f t="shared" ref="H1232:H1242" si="136">INT(G1232)</f>
        <v>0</v>
      </c>
      <c r="I1232">
        <f t="shared" ref="I1232:I1242" si="137">G1232-H1232</f>
        <v>0.81300813008130091</v>
      </c>
      <c r="J1232" cm="1">
        <f t="array" ref="J1232">INT(G1232)+IF(100-SUM(INT(G$1226:G$1242))&gt;=RANK(I1232,I$1226:I$1242)+COUNTIF(I$894:I1566,I1232)-1,1,0)</f>
        <v>1</v>
      </c>
      <c r="K1232" t="str">
        <f>_xlfn.XLOOKUP(B1232,BugList!A:A,BugList!H:H)</f>
        <v/>
      </c>
      <c r="L1232" t="str">
        <f>IF(K1232 = "","",_xlfn.XLOOKUP(B1232, BugList!A:A,BugList!B:B,""))</f>
        <v/>
      </c>
      <c r="M1232">
        <f>_xlfn.XLOOKUP(D1232,BugList!C:C,BugList!N:N)</f>
        <v>9</v>
      </c>
      <c r="N1232">
        <f>_xlfn.XLOOKUP(B1232,BugList!A:A,BugList!R:R)</f>
        <v>9</v>
      </c>
      <c r="O1232" t="b">
        <f>_xlfn.XLOOKUP(B1232,BugList!A:A,BugList!L:L)</f>
        <v>1</v>
      </c>
      <c r="P1232" t="b">
        <f t="shared" si="132"/>
        <v>0</v>
      </c>
      <c r="R1232" t="b">
        <f>SUMPRODUCT(COUNTIF(_xlfn.XLOOKUP(B1232,BugList!A:A,BugList!P:P), "*SC*"))&gt;0</f>
        <v>0</v>
      </c>
      <c r="S1232" t="str">
        <f>_xlfn.XLOOKUP(B1232,BugList!A:A,BugList!W:W)</f>
        <v/>
      </c>
      <c r="T1232">
        <f t="shared" si="133"/>
        <v>9</v>
      </c>
      <c r="U1232">
        <f t="shared" si="134"/>
        <v>9</v>
      </c>
    </row>
    <row r="1233" spans="1:21">
      <c r="A1233" t="s">
        <v>2691</v>
      </c>
      <c r="B1233">
        <v>794</v>
      </c>
      <c r="D1233" t="s">
        <v>89</v>
      </c>
      <c r="E1233" t="s">
        <v>89</v>
      </c>
      <c r="F1233">
        <v>4</v>
      </c>
      <c r="G1233">
        <f t="shared" si="135"/>
        <v>3.2520325203252036</v>
      </c>
      <c r="H1233">
        <f t="shared" si="136"/>
        <v>3</v>
      </c>
      <c r="I1233">
        <f t="shared" si="137"/>
        <v>0.25203252032520362</v>
      </c>
      <c r="J1233" cm="1">
        <f t="array" ref="J1233">INT(G1233)+IF(100-SUM(INT(G$1226:G$1242))&gt;=RANK(I1233,I$1226:I$1242)+COUNTIF(I$895:I1566,I1233)-1,1,0)</f>
        <v>3</v>
      </c>
      <c r="K1233" t="str">
        <f>_xlfn.XLOOKUP(B1233,BugList!A:A,BugList!H:H)</f>
        <v>*</v>
      </c>
      <c r="L1233" t="str">
        <f>IF(K1233 = "","",_xlfn.XLOOKUP(B1233, BugList!A:A,BugList!B:B,""))</f>
        <v>Trichoptera</v>
      </c>
      <c r="M1233">
        <f>_xlfn.XLOOKUP(D1233,BugList!C:C,BugList!N:N)</f>
        <v>4</v>
      </c>
      <c r="N1233">
        <f>_xlfn.XLOOKUP(B1233,BugList!A:A,BugList!R:R)</f>
        <v>4</v>
      </c>
      <c r="O1233" t="b">
        <f>_xlfn.XLOOKUP(B1233,BugList!A:A,BugList!L:L)</f>
        <v>1</v>
      </c>
      <c r="P1233" t="b">
        <f t="shared" si="132"/>
        <v>0</v>
      </c>
      <c r="R1233" t="b">
        <f>SUMPRODUCT(COUNTIF(_xlfn.XLOOKUP(B1233,BugList!A:A,BugList!P:P), "*SC*"))&gt;0</f>
        <v>0</v>
      </c>
      <c r="S1233" t="str">
        <f>_xlfn.XLOOKUP(B1233,BugList!A:A,BugList!W:W)</f>
        <v/>
      </c>
      <c r="T1233">
        <f t="shared" si="133"/>
        <v>12</v>
      </c>
      <c r="U1233">
        <f t="shared" si="134"/>
        <v>12</v>
      </c>
    </row>
    <row r="1234" spans="1:21">
      <c r="A1234" t="s">
        <v>2691</v>
      </c>
      <c r="B1234">
        <v>801</v>
      </c>
      <c r="D1234" t="s">
        <v>146</v>
      </c>
      <c r="E1234" t="s">
        <v>146</v>
      </c>
      <c r="F1234">
        <v>1</v>
      </c>
      <c r="G1234">
        <f t="shared" si="135"/>
        <v>0.81300813008130091</v>
      </c>
      <c r="H1234">
        <f t="shared" si="136"/>
        <v>0</v>
      </c>
      <c r="I1234">
        <f t="shared" si="137"/>
        <v>0.81300813008130091</v>
      </c>
      <c r="J1234" cm="1">
        <f t="array" ref="J1234">INT(G1234)+IF(100-SUM(INT(G$1226:G$1242))&gt;=RANK(I1234,I$1226:I$1242)+COUNTIF(I$896:I1566,I1234)-1,1,0)</f>
        <v>1</v>
      </c>
      <c r="K1234" t="str">
        <f>_xlfn.XLOOKUP(B1234,BugList!A:A,BugList!H:H)</f>
        <v>*</v>
      </c>
      <c r="L1234" t="str">
        <f>IF(K1234 = "","",_xlfn.XLOOKUP(B1234, BugList!A:A,BugList!B:B,""))</f>
        <v>Trichoptera</v>
      </c>
      <c r="M1234">
        <f>_xlfn.XLOOKUP(D1234,BugList!C:C,BugList!N:N)</f>
        <v>4</v>
      </c>
      <c r="N1234">
        <f>_xlfn.XLOOKUP(B1234,BugList!A:A,BugList!R:R)</f>
        <v>4</v>
      </c>
      <c r="O1234" t="b">
        <f>_xlfn.XLOOKUP(B1234,BugList!A:A,BugList!L:L)</f>
        <v>1</v>
      </c>
      <c r="P1234" t="b">
        <f t="shared" si="132"/>
        <v>1</v>
      </c>
      <c r="R1234" t="b">
        <f>SUMPRODUCT(COUNTIF(_xlfn.XLOOKUP(B1234,BugList!A:A,BugList!P:P), "*SC*"))&gt;0</f>
        <v>0</v>
      </c>
      <c r="S1234" t="str">
        <f>_xlfn.XLOOKUP(B1234,BugList!A:A,BugList!W:W)</f>
        <v/>
      </c>
      <c r="T1234">
        <f t="shared" si="133"/>
        <v>4</v>
      </c>
      <c r="U1234">
        <f t="shared" si="134"/>
        <v>4</v>
      </c>
    </row>
    <row r="1235" spans="1:21">
      <c r="A1235" t="s">
        <v>2691</v>
      </c>
      <c r="B1235">
        <v>935</v>
      </c>
      <c r="D1235" t="s">
        <v>98</v>
      </c>
      <c r="E1235" t="s">
        <v>98</v>
      </c>
      <c r="F1235">
        <v>24</v>
      </c>
      <c r="G1235">
        <f t="shared" si="135"/>
        <v>19.512195121951219</v>
      </c>
      <c r="H1235">
        <f t="shared" si="136"/>
        <v>19</v>
      </c>
      <c r="I1235">
        <f t="shared" si="137"/>
        <v>0.51219512195121908</v>
      </c>
      <c r="J1235" cm="1">
        <f t="array" ref="J1235">INT(G1235)+IF(100-SUM(INT(G$1226:G$1242))&gt;=RANK(I1235,I$1226:I$1242)+COUNTIF(I$897:I1566,I1235)-1,1,0)</f>
        <v>20</v>
      </c>
      <c r="K1235" t="str">
        <f>_xlfn.XLOOKUP(B1235,BugList!A:A,BugList!H:H)</f>
        <v/>
      </c>
      <c r="L1235" t="str">
        <f>IF(K1235 = "","",_xlfn.XLOOKUP(B1235, BugList!A:A,BugList!B:B,""))</f>
        <v/>
      </c>
      <c r="M1235">
        <f>_xlfn.XLOOKUP(D1235,BugList!C:C,BugList!N:N)</f>
        <v>4</v>
      </c>
      <c r="N1235">
        <f>_xlfn.XLOOKUP(B1235,BugList!A:A,BugList!R:R)</f>
        <v>4</v>
      </c>
      <c r="O1235" t="b">
        <f>_xlfn.XLOOKUP(B1235,BugList!A:A,BugList!L:L)</f>
        <v>1</v>
      </c>
      <c r="P1235" t="b">
        <f t="shared" si="132"/>
        <v>0</v>
      </c>
      <c r="R1235" t="b">
        <f>SUMPRODUCT(COUNTIF(_xlfn.XLOOKUP(B1235,BugList!A:A,BugList!P:P), "*SC*"))&gt;0</f>
        <v>1</v>
      </c>
      <c r="S1235" t="str">
        <f>_xlfn.XLOOKUP(B1235,BugList!A:A,BugList!W:W)</f>
        <v/>
      </c>
      <c r="T1235">
        <f t="shared" si="133"/>
        <v>80</v>
      </c>
      <c r="U1235">
        <f t="shared" si="134"/>
        <v>80</v>
      </c>
    </row>
    <row r="1236" spans="1:21">
      <c r="A1236" t="s">
        <v>2691</v>
      </c>
      <c r="B1236">
        <v>1002</v>
      </c>
      <c r="D1236" t="s">
        <v>100</v>
      </c>
      <c r="E1236" t="s">
        <v>100</v>
      </c>
      <c r="F1236">
        <v>23</v>
      </c>
      <c r="G1236">
        <f t="shared" si="135"/>
        <v>18.699186991869919</v>
      </c>
      <c r="H1236">
        <f t="shared" si="136"/>
        <v>18</v>
      </c>
      <c r="I1236">
        <f t="shared" si="137"/>
        <v>0.69918699186991873</v>
      </c>
      <c r="J1236" cm="1">
        <f t="array" ref="J1236">INT(G1236)+IF(100-SUM(INT(G$1226:G$1242))&gt;=RANK(I1236,I$1226:I$1242)+COUNTIF(I$898:I1566,I1236)-1,1,0)</f>
        <v>19</v>
      </c>
      <c r="K1236" t="str">
        <f>_xlfn.XLOOKUP(B1236,BugList!A:A,BugList!H:H)</f>
        <v/>
      </c>
      <c r="L1236" t="str">
        <f>IF(K1236 = "","",_xlfn.XLOOKUP(B1236, BugList!A:A,BugList!B:B,""))</f>
        <v/>
      </c>
      <c r="M1236">
        <f>_xlfn.XLOOKUP(D1236,BugList!C:C,BugList!N:N)</f>
        <v>4</v>
      </c>
      <c r="N1236">
        <f>_xlfn.XLOOKUP(B1236,BugList!A:A,BugList!R:R)</f>
        <v>4</v>
      </c>
      <c r="O1236" t="b">
        <f>_xlfn.XLOOKUP(B1236,BugList!A:A,BugList!L:L)</f>
        <v>1</v>
      </c>
      <c r="P1236" t="b">
        <f t="shared" si="132"/>
        <v>0</v>
      </c>
      <c r="R1236" t="b">
        <f>SUMPRODUCT(COUNTIF(_xlfn.XLOOKUP(B1236,BugList!A:A,BugList!P:P), "*SC*"))&gt;0</f>
        <v>1</v>
      </c>
      <c r="S1236" t="str">
        <f>_xlfn.XLOOKUP(B1236,BugList!A:A,BugList!W:W)</f>
        <v/>
      </c>
      <c r="T1236">
        <f t="shared" si="133"/>
        <v>76</v>
      </c>
      <c r="U1236">
        <f t="shared" si="134"/>
        <v>76</v>
      </c>
    </row>
    <row r="1237" spans="1:21">
      <c r="A1237" t="s">
        <v>2691</v>
      </c>
      <c r="B1237">
        <v>1088</v>
      </c>
      <c r="D1237" t="s">
        <v>90</v>
      </c>
      <c r="E1237" t="s">
        <v>90</v>
      </c>
      <c r="F1237">
        <v>1</v>
      </c>
      <c r="G1237">
        <f t="shared" si="135"/>
        <v>0.81300813008130091</v>
      </c>
      <c r="H1237">
        <f t="shared" si="136"/>
        <v>0</v>
      </c>
      <c r="I1237">
        <f t="shared" si="137"/>
        <v>0.81300813008130091</v>
      </c>
      <c r="J1237" cm="1">
        <f t="array" ref="J1237">INT(G1237)+IF(100-SUM(INT(G$1226:G$1242))&gt;=RANK(I1237,I$1226:I$1242)+COUNTIF(I$899:I1566,I1237)-1,1,0)</f>
        <v>1</v>
      </c>
      <c r="K1237" t="str">
        <f>_xlfn.XLOOKUP(B1237,BugList!A:A,BugList!H:H)</f>
        <v/>
      </c>
      <c r="L1237" t="str">
        <f>IF(K1237 = "","",_xlfn.XLOOKUP(B1237, BugList!A:A,BugList!B:B,""))</f>
        <v/>
      </c>
      <c r="M1237">
        <f>_xlfn.XLOOKUP(D1237,BugList!C:C,BugList!N:N)</f>
        <v>6</v>
      </c>
      <c r="N1237">
        <f>_xlfn.XLOOKUP(B1237,BugList!A:A,BugList!R:R)</f>
        <v>6</v>
      </c>
      <c r="O1237" t="b">
        <f>_xlfn.XLOOKUP(B1237,BugList!A:A,BugList!L:L)</f>
        <v>1</v>
      </c>
      <c r="P1237" t="b">
        <f t="shared" si="132"/>
        <v>0</v>
      </c>
      <c r="R1237" t="b">
        <f>SUMPRODUCT(COUNTIF(_xlfn.XLOOKUP(B1237,BugList!A:A,BugList!P:P), "*SC*"))&gt;0</f>
        <v>0</v>
      </c>
      <c r="S1237" t="str">
        <f>_xlfn.XLOOKUP(B1237,BugList!A:A,BugList!W:W)</f>
        <v/>
      </c>
      <c r="T1237">
        <f t="shared" si="133"/>
        <v>6</v>
      </c>
      <c r="U1237">
        <f t="shared" si="134"/>
        <v>6</v>
      </c>
    </row>
    <row r="1238" spans="1:21">
      <c r="A1238" t="s">
        <v>2691</v>
      </c>
      <c r="B1238">
        <v>1578</v>
      </c>
      <c r="D1238" t="s">
        <v>102</v>
      </c>
      <c r="E1238" t="s">
        <v>102</v>
      </c>
      <c r="F1238">
        <v>1</v>
      </c>
      <c r="G1238">
        <f t="shared" si="135"/>
        <v>0.81300813008130091</v>
      </c>
      <c r="H1238">
        <f t="shared" si="136"/>
        <v>0</v>
      </c>
      <c r="I1238">
        <f t="shared" si="137"/>
        <v>0.81300813008130091</v>
      </c>
      <c r="J1238" cm="1">
        <f t="array" ref="J1238">INT(G1238)+IF(100-SUM(INT(G$1226:G$1242))&gt;=RANK(I1238,I$1226:I$1242)+COUNTIF(I$900:I1566,I1238)-1,1,0)</f>
        <v>1</v>
      </c>
      <c r="K1238" t="str">
        <f>_xlfn.XLOOKUP(B1238,BugList!A:A,BugList!H:H)</f>
        <v/>
      </c>
      <c r="L1238" t="str">
        <f>IF(K1238 = "","",_xlfn.XLOOKUP(B1238, BugList!A:A,BugList!B:B,""))</f>
        <v/>
      </c>
      <c r="M1238">
        <f>_xlfn.XLOOKUP(D1238,BugList!C:C,BugList!N:N)</f>
        <v>7</v>
      </c>
      <c r="N1238">
        <f>_xlfn.XLOOKUP(B1238,BugList!A:A,BugList!R:R)</f>
        <v>7</v>
      </c>
      <c r="O1238" t="b">
        <f>_xlfn.XLOOKUP(B1238,BugList!A:A,BugList!L:L)</f>
        <v>0</v>
      </c>
      <c r="P1238" t="b">
        <f t="shared" si="132"/>
        <v>0</v>
      </c>
      <c r="R1238" t="b">
        <f>SUMPRODUCT(COUNTIF(_xlfn.XLOOKUP(B1238,BugList!A:A,BugList!P:P), "*SC*"))&gt;0</f>
        <v>0</v>
      </c>
      <c r="S1238" t="str">
        <f>_xlfn.XLOOKUP(B1238,BugList!A:A,BugList!W:W)</f>
        <v/>
      </c>
      <c r="T1238">
        <f t="shared" si="133"/>
        <v>7</v>
      </c>
      <c r="U1238">
        <f t="shared" si="134"/>
        <v>7</v>
      </c>
    </row>
    <row r="1239" spans="1:21">
      <c r="A1239" t="s">
        <v>2691</v>
      </c>
      <c r="B1239">
        <v>1582</v>
      </c>
      <c r="D1239" t="s">
        <v>121</v>
      </c>
      <c r="E1239" t="s">
        <v>121</v>
      </c>
      <c r="F1239">
        <v>3</v>
      </c>
      <c r="G1239">
        <f t="shared" si="135"/>
        <v>2.4390243902439024</v>
      </c>
      <c r="H1239">
        <f t="shared" si="136"/>
        <v>2</v>
      </c>
      <c r="I1239">
        <f t="shared" si="137"/>
        <v>0.43902439024390238</v>
      </c>
      <c r="J1239" cm="1">
        <f t="array" ref="J1239">INT(G1239)+IF(100-SUM(INT(G$1226:G$1242))&gt;=RANK(I1239,I$1226:I$1242)+COUNTIF(I$901:I1566,I1239)-1,1,0)</f>
        <v>2</v>
      </c>
      <c r="K1239" t="str">
        <f>_xlfn.XLOOKUP(B1239,BugList!A:A,BugList!H:H)</f>
        <v/>
      </c>
      <c r="L1239" t="str">
        <f>IF(K1239 = "","",_xlfn.XLOOKUP(B1239, BugList!A:A,BugList!B:B,""))</f>
        <v/>
      </c>
      <c r="M1239">
        <f>_xlfn.XLOOKUP(D1239,BugList!C:C,BugList!N:N)</f>
        <v>6</v>
      </c>
      <c r="N1239">
        <f>_xlfn.XLOOKUP(B1239,BugList!A:A,BugList!R:R)</f>
        <v>6</v>
      </c>
      <c r="O1239" t="b">
        <f>_xlfn.XLOOKUP(B1239,BugList!A:A,BugList!L:L)</f>
        <v>0</v>
      </c>
      <c r="P1239" t="b">
        <f t="shared" si="132"/>
        <v>0</v>
      </c>
      <c r="R1239" t="b">
        <f>SUMPRODUCT(COUNTIF(_xlfn.XLOOKUP(B1239,BugList!A:A,BugList!P:P), "*SC*"))&gt;0</f>
        <v>1</v>
      </c>
      <c r="S1239" t="str">
        <f>_xlfn.XLOOKUP(B1239,BugList!A:A,BugList!W:W)</f>
        <v/>
      </c>
      <c r="T1239">
        <f t="shared" si="133"/>
        <v>12</v>
      </c>
      <c r="U1239">
        <f t="shared" si="134"/>
        <v>12</v>
      </c>
    </row>
    <row r="1240" spans="1:21">
      <c r="A1240" t="s">
        <v>2691</v>
      </c>
      <c r="B1240">
        <v>1614</v>
      </c>
      <c r="D1240" t="s">
        <v>92</v>
      </c>
      <c r="E1240" t="s">
        <v>92</v>
      </c>
      <c r="F1240">
        <v>3</v>
      </c>
      <c r="G1240">
        <f t="shared" si="135"/>
        <v>2.4390243902439024</v>
      </c>
      <c r="H1240">
        <f t="shared" si="136"/>
        <v>2</v>
      </c>
      <c r="I1240">
        <f t="shared" si="137"/>
        <v>0.43902439024390238</v>
      </c>
      <c r="J1240" cm="1">
        <f t="array" ref="J1240">INT(G1240)+IF(100-SUM(INT(G$1226:G$1242))&gt;=RANK(I1240,I$1226:I$1242)+COUNTIF(I$902:I1566,I1240)-1,1,0)</f>
        <v>2</v>
      </c>
      <c r="K1240" t="str">
        <f>_xlfn.XLOOKUP(B1240,BugList!A:A,BugList!H:H)</f>
        <v/>
      </c>
      <c r="L1240" t="str">
        <f>IF(K1240 = "","",_xlfn.XLOOKUP(B1240, BugList!A:A,BugList!B:B,""))</f>
        <v/>
      </c>
      <c r="M1240">
        <f>_xlfn.XLOOKUP(D1240,BugList!C:C,BugList!N:N)</f>
        <v>8</v>
      </c>
      <c r="N1240">
        <f>_xlfn.XLOOKUP(B1240,BugList!A:A,BugList!R:R)</f>
        <v>8</v>
      </c>
      <c r="O1240" t="b">
        <f>_xlfn.XLOOKUP(B1240,BugList!A:A,BugList!L:L)</f>
        <v>0</v>
      </c>
      <c r="P1240" t="b">
        <f t="shared" si="132"/>
        <v>0</v>
      </c>
      <c r="R1240" t="b">
        <f>SUMPRODUCT(COUNTIF(_xlfn.XLOOKUP(B1240,BugList!A:A,BugList!P:P), "*SC*"))&gt;0</f>
        <v>0</v>
      </c>
      <c r="S1240" t="str">
        <f>_xlfn.XLOOKUP(B1240,BugList!A:A,BugList!W:W)</f>
        <v/>
      </c>
      <c r="T1240">
        <f t="shared" si="133"/>
        <v>16</v>
      </c>
      <c r="U1240">
        <f t="shared" si="134"/>
        <v>16</v>
      </c>
    </row>
    <row r="1241" spans="1:21">
      <c r="A1241" t="s">
        <v>2691</v>
      </c>
      <c r="B1241">
        <v>1629</v>
      </c>
      <c r="D1241" t="s">
        <v>93</v>
      </c>
      <c r="E1241" t="s">
        <v>93</v>
      </c>
      <c r="F1241">
        <v>1</v>
      </c>
      <c r="G1241">
        <f t="shared" si="135"/>
        <v>0.81300813008130091</v>
      </c>
      <c r="H1241">
        <f t="shared" si="136"/>
        <v>0</v>
      </c>
      <c r="I1241">
        <f t="shared" si="137"/>
        <v>0.81300813008130091</v>
      </c>
      <c r="J1241" cm="1">
        <f t="array" ref="J1241">INT(G1241)+IF(100-SUM(INT(G$1226:G$1242))&gt;=RANK(I1241,I$1226:I$1242)+COUNTIF(I$903:I1566,I1241)-1,1,0)</f>
        <v>1</v>
      </c>
      <c r="K1241" t="str">
        <f>_xlfn.XLOOKUP(B1241,BugList!A:A,BugList!H:H)</f>
        <v/>
      </c>
      <c r="L1241" t="str">
        <f>IF(K1241 = "","",_xlfn.XLOOKUP(B1241, BugList!A:A,BugList!B:B,""))</f>
        <v/>
      </c>
      <c r="M1241">
        <f>_xlfn.XLOOKUP(D1241,BugList!C:C,BugList!N:N)</f>
        <v>8</v>
      </c>
      <c r="N1241">
        <f>_xlfn.XLOOKUP(B1241,BugList!A:A,BugList!R:R)</f>
        <v>8</v>
      </c>
      <c r="O1241" t="b">
        <f>_xlfn.XLOOKUP(B1241,BugList!A:A,BugList!L:L)</f>
        <v>0</v>
      </c>
      <c r="P1241" t="b">
        <f t="shared" si="132"/>
        <v>0</v>
      </c>
      <c r="R1241" t="b">
        <f>SUMPRODUCT(COUNTIF(_xlfn.XLOOKUP(B1241,BugList!A:A,BugList!P:P), "*SC*"))&gt;0</f>
        <v>0</v>
      </c>
      <c r="S1241" t="str">
        <f>_xlfn.XLOOKUP(B1241,BugList!A:A,BugList!W:W)</f>
        <v/>
      </c>
      <c r="T1241">
        <f t="shared" si="133"/>
        <v>8</v>
      </c>
      <c r="U1241">
        <f t="shared" si="134"/>
        <v>8</v>
      </c>
    </row>
    <row r="1242" spans="1:21">
      <c r="A1242" t="s">
        <v>2691</v>
      </c>
      <c r="B1242">
        <v>1696</v>
      </c>
      <c r="D1242" t="s">
        <v>94</v>
      </c>
      <c r="E1242" t="s">
        <v>94</v>
      </c>
      <c r="F1242">
        <v>9</v>
      </c>
      <c r="G1242">
        <f t="shared" si="135"/>
        <v>7.3170731707317067</v>
      </c>
      <c r="H1242">
        <f t="shared" si="136"/>
        <v>7</v>
      </c>
      <c r="I1242">
        <f t="shared" si="137"/>
        <v>0.31707317073170671</v>
      </c>
      <c r="J1242" cm="1">
        <f t="array" ref="J1242">INT(G1242)+IF(100-SUM(INT(G$1226:G$1242))&gt;=RANK(I1242,I$1226:I$1242)+COUNTIF(I$904:I1566,I1242)-1,1,0)</f>
        <v>7</v>
      </c>
      <c r="K1242" t="str">
        <f>_xlfn.XLOOKUP(B1242,BugList!A:A,BugList!H:H)</f>
        <v/>
      </c>
      <c r="L1242" t="str">
        <f>IF(K1242 = "","",_xlfn.XLOOKUP(B1242, BugList!A:A,BugList!B:B,""))</f>
        <v/>
      </c>
      <c r="M1242">
        <f>_xlfn.XLOOKUP(D1242,BugList!C:C,BugList!N:N)</f>
        <v>8</v>
      </c>
      <c r="N1242">
        <f>_xlfn.XLOOKUP(B1242,BugList!A:A,BugList!R:R)</f>
        <v>8</v>
      </c>
      <c r="O1242" t="b">
        <f>_xlfn.XLOOKUP(B1242,BugList!A:A,BugList!L:L)</f>
        <v>0</v>
      </c>
      <c r="P1242" t="b">
        <f t="shared" si="132"/>
        <v>0</v>
      </c>
      <c r="R1242" t="b">
        <f>SUMPRODUCT(COUNTIF(_xlfn.XLOOKUP(B1242,BugList!A:A,BugList!P:P), "*SC*"))&gt;0</f>
        <v>0</v>
      </c>
      <c r="S1242" t="str">
        <f>_xlfn.XLOOKUP(B1242,BugList!A:A,BugList!W:W)</f>
        <v/>
      </c>
      <c r="T1242">
        <f t="shared" si="133"/>
        <v>56</v>
      </c>
      <c r="U1242">
        <f t="shared" si="134"/>
        <v>56</v>
      </c>
    </row>
    <row r="1243" spans="1:21">
      <c r="A1243" t="s">
        <v>2692</v>
      </c>
      <c r="B1243">
        <v>88</v>
      </c>
      <c r="D1243" t="s">
        <v>85</v>
      </c>
      <c r="E1243" t="s">
        <v>85</v>
      </c>
      <c r="F1243">
        <v>27</v>
      </c>
      <c r="J1243">
        <v>27</v>
      </c>
      <c r="K1243" t="str">
        <f>_xlfn.XLOOKUP(B1243,BugList!A:A,BugList!H:H)</f>
        <v/>
      </c>
      <c r="L1243" t="str">
        <f>IF(K1243 = "","",_xlfn.XLOOKUP(B1243, BugList!A:A,BugList!B:B,""))</f>
        <v/>
      </c>
      <c r="M1243">
        <f>_xlfn.XLOOKUP(D1243,BugList!C:C,BugList!N:N)</f>
        <v>4</v>
      </c>
      <c r="N1243">
        <f>_xlfn.XLOOKUP(B1243,BugList!A:A,BugList!R:R)</f>
        <v>4</v>
      </c>
      <c r="O1243" t="b">
        <f>_xlfn.XLOOKUP(B1243,BugList!A:A,BugList!L:L)</f>
        <v>0</v>
      </c>
      <c r="P1243" t="b">
        <f t="shared" si="132"/>
        <v>0</v>
      </c>
      <c r="R1243" t="b">
        <f>SUMPRODUCT(COUNTIF(_xlfn.XLOOKUP(B1243,BugList!A:A,BugList!P:P), "*SC*"))&gt;0</f>
        <v>0</v>
      </c>
      <c r="S1243" t="str">
        <f>_xlfn.XLOOKUP(B1243,BugList!A:A,BugList!W:W)</f>
        <v/>
      </c>
      <c r="T1243">
        <f t="shared" si="133"/>
        <v>108</v>
      </c>
      <c r="U1243">
        <f t="shared" si="134"/>
        <v>108</v>
      </c>
    </row>
    <row r="1244" spans="1:21">
      <c r="A1244" t="s">
        <v>2692</v>
      </c>
      <c r="B1244">
        <v>99</v>
      </c>
      <c r="D1244" t="s">
        <v>169</v>
      </c>
      <c r="E1244" t="s">
        <v>169</v>
      </c>
      <c r="F1244">
        <v>4</v>
      </c>
      <c r="J1244">
        <v>4</v>
      </c>
      <c r="K1244" t="str">
        <f>_xlfn.XLOOKUP(B1244,BugList!A:A,BugList!H:H)</f>
        <v/>
      </c>
      <c r="L1244" t="str">
        <f>IF(K1244 = "","",_xlfn.XLOOKUP(B1244, BugList!A:A,BugList!B:B,""))</f>
        <v/>
      </c>
      <c r="M1244">
        <f>_xlfn.XLOOKUP(D1244,BugList!C:C,BugList!N:N)</f>
        <v>5</v>
      </c>
      <c r="N1244">
        <f>_xlfn.XLOOKUP(B1244,BugList!A:A,BugList!R:R)</f>
        <v>5</v>
      </c>
      <c r="O1244" t="b">
        <f>_xlfn.XLOOKUP(B1244,BugList!A:A,BugList!L:L)</f>
        <v>0</v>
      </c>
      <c r="P1244" t="b">
        <f t="shared" si="132"/>
        <v>0</v>
      </c>
      <c r="R1244" t="b">
        <f>SUMPRODUCT(COUNTIF(_xlfn.XLOOKUP(B1244,BugList!A:A,BugList!P:P), "*SC*"))&gt;0</f>
        <v>0</v>
      </c>
      <c r="S1244" t="str">
        <f>_xlfn.XLOOKUP(B1244,BugList!A:A,BugList!W:W)</f>
        <v/>
      </c>
      <c r="T1244">
        <f t="shared" si="133"/>
        <v>20</v>
      </c>
      <c r="U1244">
        <f t="shared" si="134"/>
        <v>20</v>
      </c>
    </row>
    <row r="1245" spans="1:21">
      <c r="A1245" t="s">
        <v>2692</v>
      </c>
      <c r="B1245">
        <v>372</v>
      </c>
      <c r="D1245" t="s">
        <v>88</v>
      </c>
      <c r="E1245" t="s">
        <v>88</v>
      </c>
      <c r="F1245">
        <v>6</v>
      </c>
      <c r="J1245">
        <v>6</v>
      </c>
      <c r="K1245" t="str">
        <f>_xlfn.XLOOKUP(B1245,BugList!A:A,BugList!H:H)</f>
        <v/>
      </c>
      <c r="L1245" t="str">
        <f>IF(K1245 = "","",_xlfn.XLOOKUP(B1245, BugList!A:A,BugList!B:B,""))</f>
        <v/>
      </c>
      <c r="M1245">
        <f>_xlfn.XLOOKUP(D1245,BugList!C:C,BugList!N:N)</f>
        <v>8</v>
      </c>
      <c r="N1245">
        <f>_xlfn.XLOOKUP(B1245,BugList!A:A,BugList!R:R)</f>
        <v>8</v>
      </c>
      <c r="O1245" t="b">
        <f>_xlfn.XLOOKUP(B1245,BugList!A:A,BugList!L:L)</f>
        <v>0</v>
      </c>
      <c r="P1245" t="b">
        <f t="shared" si="132"/>
        <v>0</v>
      </c>
      <c r="R1245" t="b">
        <f>SUMPRODUCT(COUNTIF(_xlfn.XLOOKUP(B1245,BugList!A:A,BugList!P:P), "*SC*"))&gt;0</f>
        <v>0</v>
      </c>
      <c r="S1245" t="str">
        <f>_xlfn.XLOOKUP(B1245,BugList!A:A,BugList!W:W)</f>
        <v/>
      </c>
      <c r="T1245">
        <f t="shared" si="133"/>
        <v>48</v>
      </c>
      <c r="U1245">
        <f t="shared" si="134"/>
        <v>48</v>
      </c>
    </row>
    <row r="1246" spans="1:21">
      <c r="A1246" t="s">
        <v>2692</v>
      </c>
      <c r="B1246">
        <v>1002</v>
      </c>
      <c r="D1246" t="s">
        <v>100</v>
      </c>
      <c r="E1246" t="s">
        <v>100</v>
      </c>
      <c r="F1246">
        <v>2</v>
      </c>
      <c r="J1246">
        <v>2</v>
      </c>
      <c r="K1246" t="str">
        <f>_xlfn.XLOOKUP(B1246,BugList!A:A,BugList!H:H)</f>
        <v/>
      </c>
      <c r="L1246" t="str">
        <f>IF(K1246 = "","",_xlfn.XLOOKUP(B1246, BugList!A:A,BugList!B:B,""))</f>
        <v/>
      </c>
      <c r="M1246">
        <f>_xlfn.XLOOKUP(D1246,BugList!C:C,BugList!N:N)</f>
        <v>4</v>
      </c>
      <c r="N1246">
        <f>_xlfn.XLOOKUP(B1246,BugList!A:A,BugList!R:R)</f>
        <v>4</v>
      </c>
      <c r="O1246" t="b">
        <f>_xlfn.XLOOKUP(B1246,BugList!A:A,BugList!L:L)</f>
        <v>1</v>
      </c>
      <c r="P1246" t="b">
        <f t="shared" si="132"/>
        <v>0</v>
      </c>
      <c r="R1246" t="b">
        <f>SUMPRODUCT(COUNTIF(_xlfn.XLOOKUP(B1246,BugList!A:A,BugList!P:P), "*SC*"))&gt;0</f>
        <v>1</v>
      </c>
      <c r="S1246" t="str">
        <f>_xlfn.XLOOKUP(B1246,BugList!A:A,BugList!W:W)</f>
        <v/>
      </c>
      <c r="T1246">
        <f t="shared" si="133"/>
        <v>8</v>
      </c>
      <c r="U1246">
        <f t="shared" si="134"/>
        <v>8</v>
      </c>
    </row>
    <row r="1247" spans="1:21">
      <c r="A1247" t="s">
        <v>2692</v>
      </c>
      <c r="B1247">
        <v>1088</v>
      </c>
      <c r="D1247" t="s">
        <v>90</v>
      </c>
      <c r="E1247" t="s">
        <v>90</v>
      </c>
      <c r="F1247">
        <v>23</v>
      </c>
      <c r="J1247">
        <v>23</v>
      </c>
      <c r="K1247" t="str">
        <f>_xlfn.XLOOKUP(B1247,BugList!A:A,BugList!H:H)</f>
        <v/>
      </c>
      <c r="L1247" t="str">
        <f>IF(K1247 = "","",_xlfn.XLOOKUP(B1247, BugList!A:A,BugList!B:B,""))</f>
        <v/>
      </c>
      <c r="M1247">
        <f>_xlfn.XLOOKUP(D1247,BugList!C:C,BugList!N:N)</f>
        <v>6</v>
      </c>
      <c r="N1247">
        <f>_xlfn.XLOOKUP(B1247,BugList!A:A,BugList!R:R)</f>
        <v>6</v>
      </c>
      <c r="O1247" t="b">
        <f>_xlfn.XLOOKUP(B1247,BugList!A:A,BugList!L:L)</f>
        <v>1</v>
      </c>
      <c r="P1247" t="b">
        <f t="shared" si="132"/>
        <v>0</v>
      </c>
      <c r="R1247" t="b">
        <f>SUMPRODUCT(COUNTIF(_xlfn.XLOOKUP(B1247,BugList!A:A,BugList!P:P), "*SC*"))&gt;0</f>
        <v>0</v>
      </c>
      <c r="S1247" t="str">
        <f>_xlfn.XLOOKUP(B1247,BugList!A:A,BugList!W:W)</f>
        <v/>
      </c>
      <c r="T1247">
        <f t="shared" si="133"/>
        <v>138</v>
      </c>
      <c r="U1247">
        <f t="shared" si="134"/>
        <v>138</v>
      </c>
    </row>
    <row r="1248" spans="1:21">
      <c r="A1248" t="s">
        <v>2692</v>
      </c>
      <c r="B1248">
        <v>1089</v>
      </c>
      <c r="D1248" t="s">
        <v>126</v>
      </c>
      <c r="E1248" t="s">
        <v>127</v>
      </c>
      <c r="F1248">
        <v>6</v>
      </c>
      <c r="J1248">
        <v>6</v>
      </c>
      <c r="K1248" t="str">
        <f>_xlfn.XLOOKUP(B1248,BugList!A:A,BugList!H:H)</f>
        <v/>
      </c>
      <c r="L1248" t="str">
        <f>IF(K1248 = "","",_xlfn.XLOOKUP(B1248, BugList!A:A,BugList!B:B,""))</f>
        <v/>
      </c>
      <c r="M1248">
        <f>_xlfn.XLOOKUP(D1248,BugList!C:C,BugList!N:N)</f>
        <v>8</v>
      </c>
      <c r="N1248">
        <f>_xlfn.XLOOKUP(B1248,BugList!A:A,BugList!R:R)</f>
        <v>10</v>
      </c>
      <c r="O1248" t="b">
        <f>_xlfn.XLOOKUP(B1248,BugList!A:A,BugList!L:L)</f>
        <v>1</v>
      </c>
      <c r="P1248" t="b">
        <f t="shared" si="132"/>
        <v>0</v>
      </c>
      <c r="R1248" t="b">
        <f>SUMPRODUCT(COUNTIF(_xlfn.XLOOKUP(B1248,BugList!A:A,BugList!P:P), "*SC*"))&gt;0</f>
        <v>0</v>
      </c>
      <c r="S1248" t="str">
        <f>_xlfn.XLOOKUP(B1248,BugList!A:A,BugList!W:W)</f>
        <v/>
      </c>
      <c r="T1248">
        <f t="shared" si="133"/>
        <v>48</v>
      </c>
      <c r="U1248">
        <f t="shared" si="134"/>
        <v>60</v>
      </c>
    </row>
    <row r="1249" spans="1:21">
      <c r="A1249" t="s">
        <v>2692</v>
      </c>
      <c r="B1249">
        <v>1582</v>
      </c>
      <c r="D1249" t="s">
        <v>121</v>
      </c>
      <c r="E1249" t="s">
        <v>121</v>
      </c>
      <c r="F1249">
        <v>4</v>
      </c>
      <c r="J1249">
        <v>4</v>
      </c>
      <c r="K1249" t="str">
        <f>_xlfn.XLOOKUP(B1249,BugList!A:A,BugList!H:H)</f>
        <v/>
      </c>
      <c r="L1249" t="str">
        <f>IF(K1249 = "","",_xlfn.XLOOKUP(B1249, BugList!A:A,BugList!B:B,""))</f>
        <v/>
      </c>
      <c r="M1249">
        <f>_xlfn.XLOOKUP(D1249,BugList!C:C,BugList!N:N)</f>
        <v>6</v>
      </c>
      <c r="N1249">
        <f>_xlfn.XLOOKUP(B1249,BugList!A:A,BugList!R:R)</f>
        <v>6</v>
      </c>
      <c r="O1249" t="b">
        <f>_xlfn.XLOOKUP(B1249,BugList!A:A,BugList!L:L)</f>
        <v>0</v>
      </c>
      <c r="P1249" t="b">
        <f t="shared" si="132"/>
        <v>0</v>
      </c>
      <c r="R1249" t="b">
        <f>SUMPRODUCT(COUNTIF(_xlfn.XLOOKUP(B1249,BugList!A:A,BugList!P:P), "*SC*"))&gt;0</f>
        <v>1</v>
      </c>
      <c r="S1249" t="str">
        <f>_xlfn.XLOOKUP(B1249,BugList!A:A,BugList!W:W)</f>
        <v/>
      </c>
      <c r="T1249">
        <f t="shared" si="133"/>
        <v>24</v>
      </c>
      <c r="U1249">
        <f t="shared" si="134"/>
        <v>24</v>
      </c>
    </row>
    <row r="1250" spans="1:21">
      <c r="A1250" t="s">
        <v>2692</v>
      </c>
      <c r="B1250">
        <v>1614</v>
      </c>
      <c r="D1250" t="s">
        <v>92</v>
      </c>
      <c r="E1250" t="s">
        <v>92</v>
      </c>
      <c r="F1250">
        <v>16</v>
      </c>
      <c r="J1250">
        <v>16</v>
      </c>
      <c r="K1250" t="str">
        <f>_xlfn.XLOOKUP(B1250,BugList!A:A,BugList!H:H)</f>
        <v/>
      </c>
      <c r="L1250" t="str">
        <f>IF(K1250 = "","",_xlfn.XLOOKUP(B1250, BugList!A:A,BugList!B:B,""))</f>
        <v/>
      </c>
      <c r="M1250">
        <f>_xlfn.XLOOKUP(D1250,BugList!C:C,BugList!N:N)</f>
        <v>8</v>
      </c>
      <c r="N1250">
        <f>_xlfn.XLOOKUP(B1250,BugList!A:A,BugList!R:R)</f>
        <v>8</v>
      </c>
      <c r="O1250" t="b">
        <f>_xlfn.XLOOKUP(B1250,BugList!A:A,BugList!L:L)</f>
        <v>0</v>
      </c>
      <c r="P1250" t="b">
        <f t="shared" si="132"/>
        <v>0</v>
      </c>
      <c r="R1250" t="b">
        <f>SUMPRODUCT(COUNTIF(_xlfn.XLOOKUP(B1250,BugList!A:A,BugList!P:P), "*SC*"))&gt;0</f>
        <v>0</v>
      </c>
      <c r="S1250" t="str">
        <f>_xlfn.XLOOKUP(B1250,BugList!A:A,BugList!W:W)</f>
        <v/>
      </c>
      <c r="T1250">
        <f t="shared" si="133"/>
        <v>128</v>
      </c>
      <c r="U1250">
        <f t="shared" si="134"/>
        <v>128</v>
      </c>
    </row>
    <row r="1251" spans="1:21">
      <c r="A1251" t="s">
        <v>2692</v>
      </c>
      <c r="B1251">
        <v>1678</v>
      </c>
      <c r="D1251" t="s">
        <v>166</v>
      </c>
      <c r="E1251" t="s">
        <v>166</v>
      </c>
      <c r="F1251">
        <v>1</v>
      </c>
      <c r="J1251">
        <v>1</v>
      </c>
      <c r="K1251" t="str">
        <f>_xlfn.XLOOKUP(B1251,BugList!A:A,BugList!H:H)</f>
        <v/>
      </c>
      <c r="L1251" t="str">
        <f>IF(K1251 = "","",_xlfn.XLOOKUP(B1251, BugList!A:A,BugList!B:B,""))</f>
        <v/>
      </c>
      <c r="M1251">
        <f>_xlfn.XLOOKUP(D1251,BugList!C:C,BugList!N:N)</f>
        <v>6</v>
      </c>
      <c r="N1251">
        <f>_xlfn.XLOOKUP(B1251,BugList!A:A,BugList!R:R)</f>
        <v>6</v>
      </c>
      <c r="O1251" t="b">
        <f>_xlfn.XLOOKUP(B1251,BugList!A:A,BugList!L:L)</f>
        <v>0</v>
      </c>
      <c r="P1251" t="b">
        <f t="shared" si="132"/>
        <v>0</v>
      </c>
      <c r="R1251" t="b">
        <f>SUMPRODUCT(COUNTIF(_xlfn.XLOOKUP(B1251,BugList!A:A,BugList!P:P), "*SC*"))&gt;0</f>
        <v>1</v>
      </c>
      <c r="S1251" t="str">
        <f>_xlfn.XLOOKUP(B1251,BugList!A:A,BugList!W:W)</f>
        <v/>
      </c>
      <c r="T1251">
        <f t="shared" si="133"/>
        <v>6</v>
      </c>
      <c r="U1251">
        <f t="shared" si="134"/>
        <v>6</v>
      </c>
    </row>
    <row r="1252" spans="1:21">
      <c r="A1252" t="s">
        <v>2692</v>
      </c>
      <c r="B1252">
        <v>1696</v>
      </c>
      <c r="D1252" t="s">
        <v>94</v>
      </c>
      <c r="E1252" t="s">
        <v>94</v>
      </c>
      <c r="F1252">
        <v>6</v>
      </c>
      <c r="J1252">
        <v>6</v>
      </c>
      <c r="K1252" t="str">
        <f>_xlfn.XLOOKUP(B1252,BugList!A:A,BugList!H:H)</f>
        <v/>
      </c>
      <c r="L1252" t="str">
        <f>IF(K1252 = "","",_xlfn.XLOOKUP(B1252, BugList!A:A,BugList!B:B,""))</f>
        <v/>
      </c>
      <c r="M1252">
        <f>_xlfn.XLOOKUP(D1252,BugList!C:C,BugList!N:N)</f>
        <v>8</v>
      </c>
      <c r="N1252">
        <f>_xlfn.XLOOKUP(B1252,BugList!A:A,BugList!R:R)</f>
        <v>8</v>
      </c>
      <c r="O1252" t="b">
        <f>_xlfn.XLOOKUP(B1252,BugList!A:A,BugList!L:L)</f>
        <v>0</v>
      </c>
      <c r="P1252" t="b">
        <f t="shared" si="132"/>
        <v>0</v>
      </c>
      <c r="R1252" t="b">
        <f>SUMPRODUCT(COUNTIF(_xlfn.XLOOKUP(B1252,BugList!A:A,BugList!P:P), "*SC*"))&gt;0</f>
        <v>0</v>
      </c>
      <c r="S1252" t="str">
        <f>_xlfn.XLOOKUP(B1252,BugList!A:A,BugList!W:W)</f>
        <v/>
      </c>
      <c r="T1252">
        <f t="shared" si="133"/>
        <v>48</v>
      </c>
      <c r="U1252">
        <f t="shared" si="134"/>
        <v>48</v>
      </c>
    </row>
    <row r="1253" spans="1:21">
      <c r="A1253" t="s">
        <v>2693</v>
      </c>
      <c r="B1253">
        <v>63</v>
      </c>
      <c r="D1253" t="s">
        <v>84</v>
      </c>
      <c r="E1253" t="s">
        <v>84</v>
      </c>
      <c r="F1253">
        <v>4</v>
      </c>
      <c r="G1253">
        <f t="shared" ref="G1253:G1280" si="138">(F1253/(SUMIFS(F:F,A:A,A1253))*100)</f>
        <v>2.8368794326241136</v>
      </c>
      <c r="H1253">
        <f t="shared" ref="H1253:H1280" si="139">INT(G1253)</f>
        <v>2</v>
      </c>
      <c r="I1253">
        <f t="shared" ref="I1253:I1280" si="140">G1253-H1253</f>
        <v>0.83687943262411357</v>
      </c>
      <c r="J1253" cm="1">
        <f t="array" ref="J1253">INT(G1253)+IF(100-SUM(INT(G$1253:G$1268))&gt;=RANK(I1253,I$1253:I$1268)+COUNTIF(I$1111:I1397,I1253)-1,1,0)</f>
        <v>3</v>
      </c>
      <c r="K1253" t="str">
        <f>_xlfn.XLOOKUP(B1253,BugList!A:A,BugList!H:H)</f>
        <v/>
      </c>
      <c r="L1253" t="str">
        <f>IF(K1253 = "","",_xlfn.XLOOKUP(B1253, BugList!A:A,BugList!B:B,""))</f>
        <v/>
      </c>
      <c r="M1253">
        <f>_xlfn.XLOOKUP(D1253,BugList!C:C,BugList!N:N)</f>
        <v>8</v>
      </c>
      <c r="N1253">
        <f>_xlfn.XLOOKUP(B1253,BugList!A:A,BugList!R:R)</f>
        <v>8</v>
      </c>
      <c r="O1253" t="b">
        <f>_xlfn.XLOOKUP(B1253,BugList!A:A,BugList!L:L)</f>
        <v>0</v>
      </c>
      <c r="P1253" t="b">
        <f t="shared" si="132"/>
        <v>0</v>
      </c>
      <c r="R1253" t="b">
        <f>SUMPRODUCT(COUNTIF(_xlfn.XLOOKUP(B1253,BugList!A:A,BugList!P:P), "*SC*"))&gt;0</f>
        <v>0</v>
      </c>
      <c r="S1253" t="str">
        <f>_xlfn.XLOOKUP(B1253,BugList!A:A,BugList!W:W)</f>
        <v/>
      </c>
      <c r="T1253">
        <f t="shared" si="133"/>
        <v>24</v>
      </c>
      <c r="U1253">
        <f t="shared" si="134"/>
        <v>24</v>
      </c>
    </row>
    <row r="1254" spans="1:21">
      <c r="A1254" t="s">
        <v>2693</v>
      </c>
      <c r="B1254">
        <v>88</v>
      </c>
      <c r="D1254" t="s">
        <v>85</v>
      </c>
      <c r="E1254" t="s">
        <v>85</v>
      </c>
      <c r="F1254">
        <v>45</v>
      </c>
      <c r="G1254">
        <f t="shared" si="138"/>
        <v>31.914893617021278</v>
      </c>
      <c r="H1254">
        <f t="shared" si="139"/>
        <v>31</v>
      </c>
      <c r="I1254">
        <f t="shared" si="140"/>
        <v>0.91489361702127781</v>
      </c>
      <c r="J1254" cm="1">
        <f t="array" ref="J1254">INT(G1254)+IF(100-SUM(INT(G$1253:G$1268))&gt;=RANK(I1254,I$1253:I$1268)+COUNTIF(I$1112:I1397,I1254)-1,1,0)</f>
        <v>32</v>
      </c>
      <c r="K1254" t="str">
        <f>_xlfn.XLOOKUP(B1254,BugList!A:A,BugList!H:H)</f>
        <v/>
      </c>
      <c r="L1254" t="str">
        <f>IF(K1254 = "","",_xlfn.XLOOKUP(B1254, BugList!A:A,BugList!B:B,""))</f>
        <v/>
      </c>
      <c r="M1254">
        <f>_xlfn.XLOOKUP(D1254,BugList!C:C,BugList!N:N)</f>
        <v>4</v>
      </c>
      <c r="N1254">
        <f>_xlfn.XLOOKUP(B1254,BugList!A:A,BugList!R:R)</f>
        <v>4</v>
      </c>
      <c r="O1254" t="b">
        <f>_xlfn.XLOOKUP(B1254,BugList!A:A,BugList!L:L)</f>
        <v>0</v>
      </c>
      <c r="P1254" t="b">
        <f t="shared" si="132"/>
        <v>0</v>
      </c>
      <c r="R1254" t="b">
        <f>SUMPRODUCT(COUNTIF(_xlfn.XLOOKUP(B1254,BugList!A:A,BugList!P:P), "*SC*"))&gt;0</f>
        <v>0</v>
      </c>
      <c r="S1254" t="str">
        <f>_xlfn.XLOOKUP(B1254,BugList!A:A,BugList!W:W)</f>
        <v/>
      </c>
      <c r="T1254">
        <f t="shared" si="133"/>
        <v>128</v>
      </c>
      <c r="U1254">
        <f t="shared" si="134"/>
        <v>128</v>
      </c>
    </row>
    <row r="1255" spans="1:21">
      <c r="A1255" t="s">
        <v>2693</v>
      </c>
      <c r="B1255">
        <v>99</v>
      </c>
      <c r="D1255" t="s">
        <v>169</v>
      </c>
      <c r="E1255" t="s">
        <v>169</v>
      </c>
      <c r="F1255">
        <v>3</v>
      </c>
      <c r="G1255">
        <f t="shared" si="138"/>
        <v>2.1276595744680851</v>
      </c>
      <c r="H1255">
        <f t="shared" si="139"/>
        <v>2</v>
      </c>
      <c r="I1255">
        <f t="shared" si="140"/>
        <v>0.12765957446808507</v>
      </c>
      <c r="J1255" cm="1">
        <f t="array" ref="J1255">INT(G1255)+IF(100-SUM(INT(G$1253:G$1268))&gt;=RANK(I1255,I$1253:I$1268)+COUNTIF(I$1113:I1397,I1255)-1,1,0)</f>
        <v>2</v>
      </c>
      <c r="K1255" t="str">
        <f>_xlfn.XLOOKUP(B1255,BugList!A:A,BugList!H:H)</f>
        <v/>
      </c>
      <c r="L1255" t="str">
        <f>IF(K1255 = "","",_xlfn.XLOOKUP(B1255, BugList!A:A,BugList!B:B,""))</f>
        <v/>
      </c>
      <c r="M1255">
        <f>_xlfn.XLOOKUP(D1255,BugList!C:C,BugList!N:N)</f>
        <v>5</v>
      </c>
      <c r="N1255">
        <f>_xlfn.XLOOKUP(B1255,BugList!A:A,BugList!R:R)</f>
        <v>5</v>
      </c>
      <c r="O1255" t="b">
        <f>_xlfn.XLOOKUP(B1255,BugList!A:A,BugList!L:L)</f>
        <v>0</v>
      </c>
      <c r="P1255" t="b">
        <f t="shared" si="132"/>
        <v>0</v>
      </c>
      <c r="R1255" t="b">
        <f>SUMPRODUCT(COUNTIF(_xlfn.XLOOKUP(B1255,BugList!A:A,BugList!P:P), "*SC*"))&gt;0</f>
        <v>0</v>
      </c>
      <c r="S1255" t="str">
        <f>_xlfn.XLOOKUP(B1255,BugList!A:A,BugList!W:W)</f>
        <v/>
      </c>
      <c r="T1255">
        <f t="shared" si="133"/>
        <v>10</v>
      </c>
      <c r="U1255">
        <f t="shared" si="134"/>
        <v>10</v>
      </c>
    </row>
    <row r="1256" spans="1:21">
      <c r="A1256" t="s">
        <v>2693</v>
      </c>
      <c r="B1256">
        <v>372</v>
      </c>
      <c r="D1256" t="s">
        <v>88</v>
      </c>
      <c r="E1256" t="s">
        <v>88</v>
      </c>
      <c r="F1256">
        <v>3</v>
      </c>
      <c r="G1256">
        <f t="shared" si="138"/>
        <v>2.1276595744680851</v>
      </c>
      <c r="H1256">
        <f t="shared" si="139"/>
        <v>2</v>
      </c>
      <c r="I1256">
        <f t="shared" si="140"/>
        <v>0.12765957446808507</v>
      </c>
      <c r="J1256" cm="1">
        <f t="array" ref="J1256">INT(G1256)+IF(100-SUM(INT(G$1253:G$1268))&gt;=RANK(I1256,I$1253:I$1268)+COUNTIF(I$1114:I1397,I1256)-1,1,0)</f>
        <v>2</v>
      </c>
      <c r="K1256" t="str">
        <f>_xlfn.XLOOKUP(B1256,BugList!A:A,BugList!H:H)</f>
        <v/>
      </c>
      <c r="L1256" t="str">
        <f>IF(K1256 = "","",_xlfn.XLOOKUP(B1256, BugList!A:A,BugList!B:B,""))</f>
        <v/>
      </c>
      <c r="M1256">
        <f>_xlfn.XLOOKUP(D1256,BugList!C:C,BugList!N:N)</f>
        <v>8</v>
      </c>
      <c r="N1256">
        <f>_xlfn.XLOOKUP(B1256,BugList!A:A,BugList!R:R)</f>
        <v>8</v>
      </c>
      <c r="O1256" t="b">
        <f>_xlfn.XLOOKUP(B1256,BugList!A:A,BugList!L:L)</f>
        <v>0</v>
      </c>
      <c r="P1256" t="b">
        <f t="shared" si="132"/>
        <v>0</v>
      </c>
      <c r="R1256" t="b">
        <f>SUMPRODUCT(COUNTIF(_xlfn.XLOOKUP(B1256,BugList!A:A,BugList!P:P), "*SC*"))&gt;0</f>
        <v>0</v>
      </c>
      <c r="S1256" t="str">
        <f>_xlfn.XLOOKUP(B1256,BugList!A:A,BugList!W:W)</f>
        <v/>
      </c>
      <c r="T1256">
        <f t="shared" si="133"/>
        <v>16</v>
      </c>
      <c r="U1256">
        <f t="shared" si="134"/>
        <v>16</v>
      </c>
    </row>
    <row r="1257" spans="1:21">
      <c r="A1257" t="s">
        <v>2693</v>
      </c>
      <c r="B1257">
        <v>425</v>
      </c>
      <c r="D1257" t="s">
        <v>153</v>
      </c>
      <c r="E1257" t="s">
        <v>153</v>
      </c>
      <c r="F1257">
        <v>1</v>
      </c>
      <c r="G1257">
        <f t="shared" si="138"/>
        <v>0.70921985815602839</v>
      </c>
      <c r="H1257">
        <f t="shared" si="139"/>
        <v>0</v>
      </c>
      <c r="I1257">
        <f t="shared" si="140"/>
        <v>0.70921985815602839</v>
      </c>
      <c r="J1257" cm="1">
        <f t="array" ref="J1257">INT(G1257)+IF(100-SUM(INT(G$1253:G$1268))&gt;=RANK(I1257,I$1253:I$1268)+COUNTIF(I$1115:I1397,I1257)-1,1,0)</f>
        <v>1</v>
      </c>
      <c r="K1257" t="str">
        <f>_xlfn.XLOOKUP(B1257,BugList!A:A,BugList!H:H)</f>
        <v>*</v>
      </c>
      <c r="L1257" t="str">
        <f>IF(K1257 = "","",_xlfn.XLOOKUP(B1257, BugList!A:A,BugList!B:B,""))</f>
        <v>Plecoptera</v>
      </c>
      <c r="M1257">
        <f>_xlfn.XLOOKUP(D1257,BugList!C:C,BugList!N:N)</f>
        <v>2</v>
      </c>
      <c r="N1257">
        <f>_xlfn.XLOOKUP(B1257,BugList!A:A,BugList!R:R)</f>
        <v>2</v>
      </c>
      <c r="O1257" t="b">
        <f>_xlfn.XLOOKUP(B1257,BugList!A:A,BugList!L:L)</f>
        <v>1</v>
      </c>
      <c r="P1257" t="b">
        <f t="shared" si="132"/>
        <v>1</v>
      </c>
      <c r="R1257" t="b">
        <f>SUMPRODUCT(COUNTIF(_xlfn.XLOOKUP(B1257,BugList!A:A,BugList!P:P), "*SC*"))&gt;0</f>
        <v>0</v>
      </c>
      <c r="S1257" t="str">
        <f>_xlfn.XLOOKUP(B1257,BugList!A:A,BugList!W:W)</f>
        <v>2</v>
      </c>
      <c r="T1257">
        <f t="shared" si="133"/>
        <v>2</v>
      </c>
      <c r="U1257">
        <f t="shared" si="134"/>
        <v>2</v>
      </c>
    </row>
    <row r="1258" spans="1:21">
      <c r="A1258" t="s">
        <v>2693</v>
      </c>
      <c r="B1258">
        <v>501</v>
      </c>
      <c r="D1258" t="s">
        <v>896</v>
      </c>
      <c r="E1258" t="s">
        <v>896</v>
      </c>
      <c r="F1258">
        <v>1</v>
      </c>
      <c r="G1258">
        <f t="shared" si="138"/>
        <v>0.70921985815602839</v>
      </c>
      <c r="H1258">
        <f t="shared" si="139"/>
        <v>0</v>
      </c>
      <c r="I1258">
        <f t="shared" si="140"/>
        <v>0.70921985815602839</v>
      </c>
      <c r="J1258" cm="1">
        <f t="array" ref="J1258">INT(G1258)+IF(100-SUM(INT(G$1253:G$1268))&gt;=RANK(I1258,I$1253:I$1268)+COUNTIF(I$1116:I1397,I1258)-1,1,0)</f>
        <v>1</v>
      </c>
      <c r="K1258" t="str">
        <f>_xlfn.XLOOKUP(B1258,BugList!A:A,BugList!H:H)</f>
        <v>*</v>
      </c>
      <c r="L1258" t="str">
        <f>IF(K1258 = "","",_xlfn.XLOOKUP(B1258, BugList!A:A,BugList!B:B,""))</f>
        <v>Ephemeroptera</v>
      </c>
      <c r="M1258">
        <f>_xlfn.XLOOKUP(D1258,BugList!C:C,BugList!N:N)</f>
        <v>4</v>
      </c>
      <c r="N1258">
        <f>_xlfn.XLOOKUP(B1258,BugList!A:A,BugList!R:R)</f>
        <v>4</v>
      </c>
      <c r="O1258" t="b">
        <f>_xlfn.XLOOKUP(B1258,BugList!A:A,BugList!L:L)</f>
        <v>1</v>
      </c>
      <c r="P1258" t="b">
        <f t="shared" si="132"/>
        <v>1</v>
      </c>
      <c r="R1258" t="b">
        <f>SUMPRODUCT(COUNTIF(_xlfn.XLOOKUP(B1258,BugList!A:A,BugList!P:P), "*SC*"))&gt;0</f>
        <v>0</v>
      </c>
      <c r="S1258" t="str">
        <f>_xlfn.XLOOKUP(B1258,BugList!A:A,BugList!W:W)</f>
        <v/>
      </c>
      <c r="T1258">
        <f t="shared" si="133"/>
        <v>4</v>
      </c>
      <c r="U1258">
        <f t="shared" si="134"/>
        <v>4</v>
      </c>
    </row>
    <row r="1259" spans="1:21">
      <c r="A1259" t="s">
        <v>2693</v>
      </c>
      <c r="B1259">
        <v>513</v>
      </c>
      <c r="D1259" t="s">
        <v>111</v>
      </c>
      <c r="E1259" t="s">
        <v>111</v>
      </c>
      <c r="F1259">
        <v>5</v>
      </c>
      <c r="G1259">
        <f t="shared" si="138"/>
        <v>3.5460992907801421</v>
      </c>
      <c r="H1259">
        <f t="shared" si="139"/>
        <v>3</v>
      </c>
      <c r="I1259">
        <f t="shared" si="140"/>
        <v>0.54609929078014208</v>
      </c>
      <c r="J1259" cm="1">
        <f t="array" ref="J1259">INT(G1259)+IF(100-SUM(INT(G$1253:G$1268))&gt;=RANK(I1259,I$1253:I$1268)+COUNTIF(I$1117:I1397,I1259)-1,1,0)</f>
        <v>3</v>
      </c>
      <c r="K1259" t="str">
        <f>_xlfn.XLOOKUP(B1259,BugList!A:A,BugList!H:H)</f>
        <v>*</v>
      </c>
      <c r="L1259" t="str">
        <f>IF(K1259 = "","",_xlfn.XLOOKUP(B1259, BugList!A:A,BugList!B:B,""))</f>
        <v>Ephemeroptera</v>
      </c>
      <c r="M1259">
        <f>_xlfn.XLOOKUP(D1259,BugList!C:C,BugList!N:N)</f>
        <v>4</v>
      </c>
      <c r="N1259">
        <f>_xlfn.XLOOKUP(B1259,BugList!A:A,BugList!R:R)</f>
        <v>4</v>
      </c>
      <c r="O1259" t="b">
        <f>_xlfn.XLOOKUP(B1259,BugList!A:A,BugList!L:L)</f>
        <v>1</v>
      </c>
      <c r="P1259" t="b">
        <f t="shared" si="132"/>
        <v>1</v>
      </c>
      <c r="R1259" t="b">
        <f>SUMPRODUCT(COUNTIF(_xlfn.XLOOKUP(B1259,BugList!A:A,BugList!P:P), "*SC*"))&gt;0</f>
        <v>1</v>
      </c>
      <c r="S1259" t="str">
        <f>_xlfn.XLOOKUP(B1259,BugList!A:A,BugList!W:W)</f>
        <v/>
      </c>
      <c r="T1259">
        <f t="shared" si="133"/>
        <v>12</v>
      </c>
      <c r="U1259">
        <f t="shared" si="134"/>
        <v>12</v>
      </c>
    </row>
    <row r="1260" spans="1:21">
      <c r="A1260" t="s">
        <v>2693</v>
      </c>
      <c r="B1260">
        <v>794</v>
      </c>
      <c r="D1260" t="s">
        <v>89</v>
      </c>
      <c r="E1260" t="s">
        <v>89</v>
      </c>
      <c r="F1260">
        <v>28</v>
      </c>
      <c r="G1260">
        <f t="shared" si="138"/>
        <v>19.858156028368796</v>
      </c>
      <c r="H1260">
        <f t="shared" si="139"/>
        <v>19</v>
      </c>
      <c r="I1260">
        <f t="shared" si="140"/>
        <v>0.85815602836879634</v>
      </c>
      <c r="J1260" cm="1">
        <f t="array" ref="J1260">INT(G1260)+IF(100-SUM(INT(G$1253:G$1268))&gt;=RANK(I1260,I$1253:I$1268)+COUNTIF(I$1118:I1397,I1260)-1,1,0)</f>
        <v>20</v>
      </c>
      <c r="K1260" t="str">
        <f>_xlfn.XLOOKUP(B1260,BugList!A:A,BugList!H:H)</f>
        <v>*</v>
      </c>
      <c r="L1260" t="str">
        <f>IF(K1260 = "","",_xlfn.XLOOKUP(B1260, BugList!A:A,BugList!B:B,""))</f>
        <v>Trichoptera</v>
      </c>
      <c r="M1260">
        <f>_xlfn.XLOOKUP(D1260,BugList!C:C,BugList!N:N)</f>
        <v>4</v>
      </c>
      <c r="N1260">
        <f>_xlfn.XLOOKUP(B1260,BugList!A:A,BugList!R:R)</f>
        <v>4</v>
      </c>
      <c r="O1260" t="b">
        <f>_xlfn.XLOOKUP(B1260,BugList!A:A,BugList!L:L)</f>
        <v>1</v>
      </c>
      <c r="P1260" t="b">
        <f t="shared" si="132"/>
        <v>0</v>
      </c>
      <c r="R1260" t="b">
        <f>SUMPRODUCT(COUNTIF(_xlfn.XLOOKUP(B1260,BugList!A:A,BugList!P:P), "*SC*"))&gt;0</f>
        <v>0</v>
      </c>
      <c r="S1260" t="str">
        <f>_xlfn.XLOOKUP(B1260,BugList!A:A,BugList!W:W)</f>
        <v/>
      </c>
      <c r="T1260">
        <f t="shared" si="133"/>
        <v>80</v>
      </c>
      <c r="U1260">
        <f t="shared" si="134"/>
        <v>80</v>
      </c>
    </row>
    <row r="1261" spans="1:21">
      <c r="A1261" t="s">
        <v>2693</v>
      </c>
      <c r="B1261">
        <v>837</v>
      </c>
      <c r="D1261" t="s">
        <v>107</v>
      </c>
      <c r="E1261" t="s">
        <v>107</v>
      </c>
      <c r="F1261">
        <v>2</v>
      </c>
      <c r="G1261">
        <f t="shared" si="138"/>
        <v>1.4184397163120568</v>
      </c>
      <c r="H1261">
        <f t="shared" si="139"/>
        <v>1</v>
      </c>
      <c r="I1261">
        <f t="shared" si="140"/>
        <v>0.41843971631205679</v>
      </c>
      <c r="J1261" cm="1">
        <f t="array" ref="J1261">INT(G1261)+IF(100-SUM(INT(G$1253:G$1268))&gt;=RANK(I1261,I$1253:I$1268)+COUNTIF(I$1119:I1397,I1261)-1,1,0)</f>
        <v>1</v>
      </c>
      <c r="K1261" t="str">
        <f>_xlfn.XLOOKUP(B1261,BugList!A:A,BugList!H:H)</f>
        <v>*</v>
      </c>
      <c r="L1261" t="str">
        <f>IF(K1261 = "","",_xlfn.XLOOKUP(B1261, BugList!A:A,BugList!B:B,""))</f>
        <v>Trichoptera</v>
      </c>
      <c r="M1261">
        <f>_xlfn.XLOOKUP(D1261,BugList!C:C,BugList!N:N)</f>
        <v>3</v>
      </c>
      <c r="N1261">
        <f>_xlfn.XLOOKUP(B1261,BugList!A:A,BugList!R:R)</f>
        <v>3</v>
      </c>
      <c r="O1261" t="b">
        <f>_xlfn.XLOOKUP(B1261,BugList!A:A,BugList!L:L)</f>
        <v>1</v>
      </c>
      <c r="P1261" t="b">
        <f t="shared" ref="P1261:P1280" si="141">IF(K1261="*",IF(D1261="Hydropsychidae", IF(E1261="Diplectrona",TRUE,FALSE),TRUE),FALSE)</f>
        <v>1</v>
      </c>
      <c r="R1261" t="b">
        <f>SUMPRODUCT(COUNTIF(_xlfn.XLOOKUP(B1261,BugList!A:A,BugList!P:P), "*SC*"))&gt;0</f>
        <v>0</v>
      </c>
      <c r="S1261" t="str">
        <f>_xlfn.XLOOKUP(B1261,BugList!A:A,BugList!W:W)</f>
        <v/>
      </c>
      <c r="T1261">
        <f t="shared" si="133"/>
        <v>3</v>
      </c>
      <c r="U1261">
        <f t="shared" si="134"/>
        <v>3</v>
      </c>
    </row>
    <row r="1262" spans="1:21">
      <c r="A1262" t="s">
        <v>2693</v>
      </c>
      <c r="B1262">
        <v>930</v>
      </c>
      <c r="D1262" t="s">
        <v>1503</v>
      </c>
      <c r="E1262" t="s">
        <v>1503</v>
      </c>
      <c r="F1262">
        <v>1</v>
      </c>
      <c r="G1262">
        <f t="shared" si="138"/>
        <v>0.70921985815602839</v>
      </c>
      <c r="H1262">
        <f t="shared" si="139"/>
        <v>0</v>
      </c>
      <c r="I1262">
        <f t="shared" si="140"/>
        <v>0.70921985815602839</v>
      </c>
      <c r="J1262" cm="1">
        <f t="array" ref="J1262">INT(G1262)+IF(100-SUM(INT(G$1253:G$1268))&gt;=RANK(I1262,I$1253:I$1268)+COUNTIF(I$1120:I1397,I1262)-1,1,0)</f>
        <v>1</v>
      </c>
      <c r="K1262" t="str">
        <f>_xlfn.XLOOKUP(B1262,BugList!A:A,BugList!H:H)</f>
        <v/>
      </c>
      <c r="L1262" t="str">
        <f>IF(K1262 = "","",_xlfn.XLOOKUP(B1262, BugList!A:A,BugList!B:B,""))</f>
        <v/>
      </c>
      <c r="M1262">
        <f>_xlfn.XLOOKUP(D1262,BugList!C:C,BugList!N:N)</f>
        <v>5</v>
      </c>
      <c r="N1262">
        <f>_xlfn.XLOOKUP(B1262,BugList!A:A,BugList!R:R)</f>
        <v>5</v>
      </c>
      <c r="O1262" t="b">
        <f>_xlfn.XLOOKUP(B1262,BugList!A:A,BugList!L:L)</f>
        <v>1</v>
      </c>
      <c r="P1262" t="b">
        <f t="shared" si="141"/>
        <v>0</v>
      </c>
      <c r="R1262" t="b">
        <f>SUMPRODUCT(COUNTIF(_xlfn.XLOOKUP(B1262,BugList!A:A,BugList!P:P), "*SC*"))&gt;0</f>
        <v>0</v>
      </c>
      <c r="S1262" t="str">
        <f>_xlfn.XLOOKUP(B1262,BugList!A:A,BugList!W:W)</f>
        <v/>
      </c>
      <c r="T1262">
        <f t="shared" si="133"/>
        <v>5</v>
      </c>
      <c r="U1262">
        <f t="shared" si="134"/>
        <v>5</v>
      </c>
    </row>
    <row r="1263" spans="1:21">
      <c r="A1263" t="s">
        <v>2693</v>
      </c>
      <c r="B1263">
        <v>935</v>
      </c>
      <c r="D1263" t="s">
        <v>98</v>
      </c>
      <c r="E1263" t="s">
        <v>98</v>
      </c>
      <c r="F1263">
        <v>4</v>
      </c>
      <c r="G1263">
        <f t="shared" si="138"/>
        <v>2.8368794326241136</v>
      </c>
      <c r="H1263">
        <f t="shared" si="139"/>
        <v>2</v>
      </c>
      <c r="I1263">
        <f t="shared" si="140"/>
        <v>0.83687943262411357</v>
      </c>
      <c r="J1263" cm="1">
        <f t="array" ref="J1263">INT(G1263)+IF(100-SUM(INT(G$1253:G$1268))&gt;=RANK(I1263,I$1253:I$1268)+COUNTIF(I$1121:I1397,I1263)-1,1,0)</f>
        <v>3</v>
      </c>
      <c r="K1263" t="str">
        <f>_xlfn.XLOOKUP(B1263,BugList!A:A,BugList!H:H)</f>
        <v/>
      </c>
      <c r="L1263" t="str">
        <f>IF(K1263 = "","",_xlfn.XLOOKUP(B1263, BugList!A:A,BugList!B:B,""))</f>
        <v/>
      </c>
      <c r="M1263">
        <f>_xlfn.XLOOKUP(D1263,BugList!C:C,BugList!N:N)</f>
        <v>4</v>
      </c>
      <c r="N1263">
        <f>_xlfn.XLOOKUP(B1263,BugList!A:A,BugList!R:R)</f>
        <v>4</v>
      </c>
      <c r="O1263" t="b">
        <f>_xlfn.XLOOKUP(B1263,BugList!A:A,BugList!L:L)</f>
        <v>1</v>
      </c>
      <c r="P1263" t="b">
        <f t="shared" si="141"/>
        <v>0</v>
      </c>
      <c r="R1263" t="b">
        <f>SUMPRODUCT(COUNTIF(_xlfn.XLOOKUP(B1263,BugList!A:A,BugList!P:P), "*SC*"))&gt;0</f>
        <v>1</v>
      </c>
      <c r="S1263" t="str">
        <f>_xlfn.XLOOKUP(B1263,BugList!A:A,BugList!W:W)</f>
        <v/>
      </c>
      <c r="T1263">
        <f t="shared" si="133"/>
        <v>12</v>
      </c>
      <c r="U1263">
        <f t="shared" si="134"/>
        <v>12</v>
      </c>
    </row>
    <row r="1264" spans="1:21">
      <c r="A1264" t="s">
        <v>2693</v>
      </c>
      <c r="B1264">
        <v>1002</v>
      </c>
      <c r="D1264" t="s">
        <v>100</v>
      </c>
      <c r="E1264" t="s">
        <v>100</v>
      </c>
      <c r="F1264">
        <v>22</v>
      </c>
      <c r="G1264">
        <f t="shared" si="138"/>
        <v>15.602836879432624</v>
      </c>
      <c r="H1264">
        <f t="shared" si="139"/>
        <v>15</v>
      </c>
      <c r="I1264">
        <f t="shared" si="140"/>
        <v>0.60283687943262443</v>
      </c>
      <c r="J1264" cm="1">
        <f t="array" ref="J1264">INT(G1264)+IF(100-SUM(INT(G$1253:G$1268))&gt;=RANK(I1264,I$1253:I$1268)+COUNTIF(I$1122:I1397,I1264)-1,1,0)</f>
        <v>15</v>
      </c>
      <c r="K1264" t="str">
        <f>_xlfn.XLOOKUP(B1264,BugList!A:A,BugList!H:H)</f>
        <v/>
      </c>
      <c r="L1264" t="str">
        <f>IF(K1264 = "","",_xlfn.XLOOKUP(B1264, BugList!A:A,BugList!B:B,""))</f>
        <v/>
      </c>
      <c r="M1264">
        <f>_xlfn.XLOOKUP(D1264,BugList!C:C,BugList!N:N)</f>
        <v>4</v>
      </c>
      <c r="N1264">
        <f>_xlfn.XLOOKUP(B1264,BugList!A:A,BugList!R:R)</f>
        <v>4</v>
      </c>
      <c r="O1264" t="b">
        <f>_xlfn.XLOOKUP(B1264,BugList!A:A,BugList!L:L)</f>
        <v>1</v>
      </c>
      <c r="P1264" t="b">
        <f t="shared" si="141"/>
        <v>0</v>
      </c>
      <c r="R1264" t="b">
        <f>SUMPRODUCT(COUNTIF(_xlfn.XLOOKUP(B1264,BugList!A:A,BugList!P:P), "*SC*"))&gt;0</f>
        <v>1</v>
      </c>
      <c r="S1264" t="str">
        <f>_xlfn.XLOOKUP(B1264,BugList!A:A,BugList!W:W)</f>
        <v/>
      </c>
      <c r="T1264">
        <f t="shared" si="133"/>
        <v>60</v>
      </c>
      <c r="U1264">
        <f t="shared" si="134"/>
        <v>60</v>
      </c>
    </row>
    <row r="1265" spans="1:21">
      <c r="A1265" t="s">
        <v>2693</v>
      </c>
      <c r="B1265">
        <v>1083</v>
      </c>
      <c r="D1265" t="s">
        <v>124</v>
      </c>
      <c r="E1265" t="s">
        <v>124</v>
      </c>
      <c r="F1265">
        <v>1</v>
      </c>
      <c r="G1265">
        <f t="shared" si="138"/>
        <v>0.70921985815602839</v>
      </c>
      <c r="H1265">
        <f t="shared" si="139"/>
        <v>0</v>
      </c>
      <c r="I1265">
        <f t="shared" si="140"/>
        <v>0.70921985815602839</v>
      </c>
      <c r="J1265" cm="1">
        <f t="array" ref="J1265">INT(G1265)+IF(100-SUM(INT(G$1253:G$1268))&gt;=RANK(I1265,I$1253:I$1268)+COUNTIF(I$1123:I1397,I1265)-1,1,0)</f>
        <v>1</v>
      </c>
      <c r="K1265" t="str">
        <f>_xlfn.XLOOKUP(B1265,BugList!A:A,BugList!H:H)</f>
        <v/>
      </c>
      <c r="L1265" t="str">
        <f>IF(K1265 = "","",_xlfn.XLOOKUP(B1265, BugList!A:A,BugList!B:B,""))</f>
        <v/>
      </c>
      <c r="M1265">
        <f>_xlfn.XLOOKUP(D1265,BugList!C:C,BugList!N:N)</f>
        <v>6</v>
      </c>
      <c r="N1265">
        <f>_xlfn.XLOOKUP(B1265,BugList!A:A,BugList!R:R)</f>
        <v>6</v>
      </c>
      <c r="O1265" t="b">
        <f>_xlfn.XLOOKUP(B1265,BugList!A:A,BugList!L:L)</f>
        <v>1</v>
      </c>
      <c r="P1265" t="b">
        <f t="shared" si="141"/>
        <v>0</v>
      </c>
      <c r="R1265" t="b">
        <f>SUMPRODUCT(COUNTIF(_xlfn.XLOOKUP(B1265,BugList!A:A,BugList!P:P), "*SC*"))&gt;0</f>
        <v>0</v>
      </c>
      <c r="S1265" t="str">
        <f>_xlfn.XLOOKUP(B1265,BugList!A:A,BugList!W:W)</f>
        <v/>
      </c>
      <c r="T1265">
        <f t="shared" si="133"/>
        <v>6</v>
      </c>
      <c r="U1265">
        <f t="shared" si="134"/>
        <v>6</v>
      </c>
    </row>
    <row r="1266" spans="1:21">
      <c r="A1266" t="s">
        <v>2693</v>
      </c>
      <c r="B1266">
        <v>1088</v>
      </c>
      <c r="D1266" t="s">
        <v>90</v>
      </c>
      <c r="E1266" t="s">
        <v>90</v>
      </c>
      <c r="F1266">
        <v>4</v>
      </c>
      <c r="G1266">
        <f t="shared" si="138"/>
        <v>2.8368794326241136</v>
      </c>
      <c r="H1266">
        <f t="shared" si="139"/>
        <v>2</v>
      </c>
      <c r="I1266">
        <f t="shared" si="140"/>
        <v>0.83687943262411357</v>
      </c>
      <c r="J1266" cm="1">
        <f t="array" ref="J1266">INT(G1266)+IF(100-SUM(INT(G$1253:G$1268))&gt;=RANK(I1266,I$1253:I$1268)+COUNTIF(I$1124:I1397,I1266)-1,1,0)</f>
        <v>3</v>
      </c>
      <c r="K1266" t="str">
        <f>_xlfn.XLOOKUP(B1266,BugList!A:A,BugList!H:H)</f>
        <v/>
      </c>
      <c r="L1266" t="str">
        <f>IF(K1266 = "","",_xlfn.XLOOKUP(B1266, BugList!A:A,BugList!B:B,""))</f>
        <v/>
      </c>
      <c r="M1266">
        <f>_xlfn.XLOOKUP(D1266,BugList!C:C,BugList!N:N)</f>
        <v>6</v>
      </c>
      <c r="N1266">
        <f>_xlfn.XLOOKUP(B1266,BugList!A:A,BugList!R:R)</f>
        <v>6</v>
      </c>
      <c r="O1266" t="b">
        <f>_xlfn.XLOOKUP(B1266,BugList!A:A,BugList!L:L)</f>
        <v>1</v>
      </c>
      <c r="P1266" t="b">
        <f t="shared" si="141"/>
        <v>0</v>
      </c>
      <c r="R1266" t="b">
        <f>SUMPRODUCT(COUNTIF(_xlfn.XLOOKUP(B1266,BugList!A:A,BugList!P:P), "*SC*"))&gt;0</f>
        <v>0</v>
      </c>
      <c r="S1266" t="str">
        <f>_xlfn.XLOOKUP(B1266,BugList!A:A,BugList!W:W)</f>
        <v/>
      </c>
      <c r="T1266">
        <f t="shared" si="133"/>
        <v>18</v>
      </c>
      <c r="U1266">
        <f t="shared" si="134"/>
        <v>18</v>
      </c>
    </row>
    <row r="1267" spans="1:21">
      <c r="A1267" t="s">
        <v>2693</v>
      </c>
      <c r="B1267">
        <v>1436</v>
      </c>
      <c r="D1267" t="s">
        <v>101</v>
      </c>
      <c r="E1267" t="s">
        <v>101</v>
      </c>
      <c r="F1267">
        <v>1</v>
      </c>
      <c r="G1267">
        <f t="shared" si="138"/>
        <v>0.70921985815602839</v>
      </c>
      <c r="H1267">
        <f t="shared" si="139"/>
        <v>0</v>
      </c>
      <c r="I1267">
        <f t="shared" si="140"/>
        <v>0.70921985815602839</v>
      </c>
      <c r="J1267" cm="1">
        <f t="array" ref="J1267">INT(G1267)+IF(100-SUM(INT(G$1253:G$1268))&gt;=RANK(I1267,I$1253:I$1268)+COUNTIF(I$1125:I1397,I1267)-1,1,0)</f>
        <v>1</v>
      </c>
      <c r="K1267" t="str">
        <f>_xlfn.XLOOKUP(B1267,BugList!A:A,BugList!H:H)</f>
        <v/>
      </c>
      <c r="L1267" t="str">
        <f>IF(K1267 = "","",_xlfn.XLOOKUP(B1267, BugList!A:A,BugList!B:B,""))</f>
        <v/>
      </c>
      <c r="M1267">
        <f>_xlfn.XLOOKUP(D1267,BugList!C:C,BugList!N:N)</f>
        <v>6</v>
      </c>
      <c r="N1267">
        <f>_xlfn.XLOOKUP(B1267,BugList!A:A,BugList!R:R)</f>
        <v>6</v>
      </c>
      <c r="O1267" t="b">
        <f>_xlfn.XLOOKUP(B1267,BugList!A:A,BugList!L:L)</f>
        <v>1</v>
      </c>
      <c r="P1267" t="b">
        <f t="shared" si="141"/>
        <v>0</v>
      </c>
      <c r="R1267" t="b">
        <f>SUMPRODUCT(COUNTIF(_xlfn.XLOOKUP(B1267,BugList!A:A,BugList!P:P), "*SC*"))&gt;0</f>
        <v>0</v>
      </c>
      <c r="S1267" t="str">
        <f>_xlfn.XLOOKUP(B1267,BugList!A:A,BugList!W:W)</f>
        <v/>
      </c>
      <c r="T1267">
        <f t="shared" si="133"/>
        <v>6</v>
      </c>
      <c r="U1267">
        <f t="shared" si="134"/>
        <v>6</v>
      </c>
    </row>
    <row r="1268" spans="1:21">
      <c r="A1268" t="s">
        <v>2693</v>
      </c>
      <c r="B1268">
        <v>2781</v>
      </c>
      <c r="D1268" t="s">
        <v>109</v>
      </c>
      <c r="E1268" t="s">
        <v>109</v>
      </c>
      <c r="F1268">
        <v>16</v>
      </c>
      <c r="G1268">
        <f t="shared" si="138"/>
        <v>11.347517730496454</v>
      </c>
      <c r="H1268">
        <f t="shared" si="139"/>
        <v>11</v>
      </c>
      <c r="I1268">
        <f t="shared" si="140"/>
        <v>0.34751773049645429</v>
      </c>
      <c r="J1268" cm="1">
        <f t="array" ref="J1268">INT(G1268)+IF(100-SUM(INT(G$1253:G$1268))&gt;=RANK(I1268,I$1253:I$1268)+COUNTIF(I$1126:I1397,I1268)-1,1,0)</f>
        <v>11</v>
      </c>
      <c r="K1268" t="str">
        <f>_xlfn.XLOOKUP(B1268,BugList!A:A,BugList!H:H)</f>
        <v/>
      </c>
      <c r="L1268" t="str">
        <f>IF(K1268 = "","",_xlfn.XLOOKUP(B1268, BugList!A:A,BugList!B:B,""))</f>
        <v/>
      </c>
      <c r="M1268">
        <f>_xlfn.XLOOKUP(D1268,BugList!C:C,BugList!N:N)</f>
        <v>6</v>
      </c>
      <c r="N1268">
        <f>_xlfn.XLOOKUP(B1268,BugList!A:A,BugList!R:R)</f>
        <v>4</v>
      </c>
      <c r="O1268" t="b">
        <f>_xlfn.XLOOKUP(B1268,BugList!A:A,BugList!L:L)</f>
        <v>0</v>
      </c>
      <c r="P1268" t="b">
        <f t="shared" si="141"/>
        <v>0</v>
      </c>
      <c r="R1268" t="b">
        <f>SUMPRODUCT(COUNTIF(_xlfn.XLOOKUP(B1268,BugList!A:A,BugList!P:P), "*SC*"))&gt;0</f>
        <v>0</v>
      </c>
      <c r="S1268" t="str">
        <f>_xlfn.XLOOKUP(B1268,BugList!A:A,BugList!W:W)</f>
        <v/>
      </c>
      <c r="T1268">
        <f t="shared" si="133"/>
        <v>66</v>
      </c>
      <c r="U1268">
        <f t="shared" si="134"/>
        <v>44</v>
      </c>
    </row>
    <row r="1269" spans="1:21">
      <c r="A1269" t="s">
        <v>2694</v>
      </c>
      <c r="B1269">
        <v>63</v>
      </c>
      <c r="D1269" t="s">
        <v>84</v>
      </c>
      <c r="E1269" t="s">
        <v>84</v>
      </c>
      <c r="F1269">
        <v>6</v>
      </c>
      <c r="G1269">
        <f t="shared" si="138"/>
        <v>5.3571428571428568</v>
      </c>
      <c r="H1269">
        <f t="shared" si="139"/>
        <v>5</v>
      </c>
      <c r="I1269">
        <f t="shared" si="140"/>
        <v>0.35714285714285676</v>
      </c>
      <c r="J1269" cm="1">
        <f t="array" ref="J1269">INT(G1269)+IF(100-SUM(INT(G$1269:G$1280))&gt;=RANK(I1269,I$1269:I$1280)+COUNTIF(I$1229:I1311,I1269)-1,1,0)</f>
        <v>5</v>
      </c>
      <c r="K1269" t="str">
        <f>_xlfn.XLOOKUP(B1269,BugList!A:A,BugList!H:H)</f>
        <v/>
      </c>
      <c r="L1269" t="str">
        <f>IF(K1269 = "","",_xlfn.XLOOKUP(B1269, BugList!A:A,BugList!B:B,""))</f>
        <v/>
      </c>
      <c r="M1269">
        <f>_xlfn.XLOOKUP(D1269,BugList!C:C,BugList!N:N)</f>
        <v>8</v>
      </c>
      <c r="N1269">
        <f>_xlfn.XLOOKUP(B1269,BugList!A:A,BugList!R:R)</f>
        <v>8</v>
      </c>
      <c r="O1269" t="b">
        <f>_xlfn.XLOOKUP(B1269,BugList!A:A,BugList!L:L)</f>
        <v>0</v>
      </c>
      <c r="P1269" t="b">
        <f t="shared" si="141"/>
        <v>0</v>
      </c>
      <c r="R1269" t="b">
        <f>SUMPRODUCT(COUNTIF(_xlfn.XLOOKUP(B1269,BugList!A:A,BugList!P:P), "*SC*"))&gt;0</f>
        <v>0</v>
      </c>
      <c r="S1269" t="str">
        <f>_xlfn.XLOOKUP(B1269,BugList!A:A,BugList!W:W)</f>
        <v/>
      </c>
      <c r="T1269">
        <f t="shared" si="133"/>
        <v>40</v>
      </c>
      <c r="U1269">
        <f t="shared" si="134"/>
        <v>40</v>
      </c>
    </row>
    <row r="1270" spans="1:21">
      <c r="A1270" t="s">
        <v>2694</v>
      </c>
      <c r="B1270">
        <v>88</v>
      </c>
      <c r="D1270" t="s">
        <v>85</v>
      </c>
      <c r="E1270" t="s">
        <v>85</v>
      </c>
      <c r="F1270">
        <v>50</v>
      </c>
      <c r="G1270">
        <f t="shared" si="138"/>
        <v>44.642857142857146</v>
      </c>
      <c r="H1270">
        <f t="shared" si="139"/>
        <v>44</v>
      </c>
      <c r="I1270">
        <f t="shared" si="140"/>
        <v>0.6428571428571459</v>
      </c>
      <c r="J1270" cm="1">
        <f t="array" ref="J1270">INT(G1270)+IF(100-SUM(INT(G$1269:G$1280))&gt;=RANK(I1270,I$1269:I$1280)+COUNTIF(I$1230:I1311,I1270)-1,1,0)</f>
        <v>45</v>
      </c>
      <c r="K1270" t="str">
        <f>_xlfn.XLOOKUP(B1270,BugList!A:A,BugList!H:H)</f>
        <v/>
      </c>
      <c r="L1270" t="str">
        <f>IF(K1270 = "","",_xlfn.XLOOKUP(B1270, BugList!A:A,BugList!B:B,""))</f>
        <v/>
      </c>
      <c r="M1270">
        <f>_xlfn.XLOOKUP(D1270,BugList!C:C,BugList!N:N)</f>
        <v>4</v>
      </c>
      <c r="N1270">
        <f>_xlfn.XLOOKUP(B1270,BugList!A:A,BugList!R:R)</f>
        <v>4</v>
      </c>
      <c r="O1270" t="b">
        <f>_xlfn.XLOOKUP(B1270,BugList!A:A,BugList!L:L)</f>
        <v>0</v>
      </c>
      <c r="P1270" t="b">
        <f t="shared" si="141"/>
        <v>0</v>
      </c>
      <c r="R1270" t="b">
        <f>SUMPRODUCT(COUNTIF(_xlfn.XLOOKUP(B1270,BugList!A:A,BugList!P:P), "*SC*"))&gt;0</f>
        <v>0</v>
      </c>
      <c r="S1270" t="str">
        <f>_xlfn.XLOOKUP(B1270,BugList!A:A,BugList!W:W)</f>
        <v/>
      </c>
      <c r="T1270">
        <f t="shared" si="133"/>
        <v>180</v>
      </c>
      <c r="U1270">
        <f t="shared" si="134"/>
        <v>180</v>
      </c>
    </row>
    <row r="1271" spans="1:21">
      <c r="A1271" t="s">
        <v>2694</v>
      </c>
      <c r="B1271">
        <v>99</v>
      </c>
      <c r="D1271" t="s">
        <v>169</v>
      </c>
      <c r="E1271" t="s">
        <v>169</v>
      </c>
      <c r="F1271">
        <v>1</v>
      </c>
      <c r="G1271">
        <f t="shared" si="138"/>
        <v>0.89285714285714279</v>
      </c>
      <c r="H1271">
        <f t="shared" si="139"/>
        <v>0</v>
      </c>
      <c r="I1271">
        <f t="shared" si="140"/>
        <v>0.89285714285714279</v>
      </c>
      <c r="J1271" cm="1">
        <f t="array" ref="J1271">INT(G1271)+IF(100-SUM(INT(G$1269:G$1280))&gt;=RANK(I1271,I$1269:I$1280)+COUNTIF(I$1231:I1311,I1271)-1,1,0)</f>
        <v>1</v>
      </c>
      <c r="K1271" t="str">
        <f>_xlfn.XLOOKUP(B1271,BugList!A:A,BugList!H:H)</f>
        <v/>
      </c>
      <c r="L1271" t="str">
        <f>IF(K1271 = "","",_xlfn.XLOOKUP(B1271, BugList!A:A,BugList!B:B,""))</f>
        <v/>
      </c>
      <c r="M1271">
        <f>_xlfn.XLOOKUP(D1271,BugList!C:C,BugList!N:N)</f>
        <v>5</v>
      </c>
      <c r="N1271">
        <f>_xlfn.XLOOKUP(B1271,BugList!A:A,BugList!R:R)</f>
        <v>5</v>
      </c>
      <c r="O1271" t="b">
        <f>_xlfn.XLOOKUP(B1271,BugList!A:A,BugList!L:L)</f>
        <v>0</v>
      </c>
      <c r="P1271" t="b">
        <f t="shared" si="141"/>
        <v>0</v>
      </c>
      <c r="R1271" t="b">
        <f>SUMPRODUCT(COUNTIF(_xlfn.XLOOKUP(B1271,BugList!A:A,BugList!P:P), "*SC*"))&gt;0</f>
        <v>0</v>
      </c>
      <c r="S1271" t="str">
        <f>_xlfn.XLOOKUP(B1271,BugList!A:A,BugList!W:W)</f>
        <v/>
      </c>
      <c r="T1271">
        <f t="shared" si="133"/>
        <v>5</v>
      </c>
      <c r="U1271">
        <f t="shared" si="134"/>
        <v>5</v>
      </c>
    </row>
    <row r="1272" spans="1:21">
      <c r="A1272" t="s">
        <v>2694</v>
      </c>
      <c r="B1272">
        <v>372</v>
      </c>
      <c r="D1272" t="s">
        <v>88</v>
      </c>
      <c r="E1272" t="s">
        <v>88</v>
      </c>
      <c r="F1272">
        <v>1</v>
      </c>
      <c r="G1272">
        <f t="shared" si="138"/>
        <v>0.89285714285714279</v>
      </c>
      <c r="H1272">
        <f t="shared" si="139"/>
        <v>0</v>
      </c>
      <c r="I1272">
        <f t="shared" si="140"/>
        <v>0.89285714285714279</v>
      </c>
      <c r="J1272" cm="1">
        <f t="array" ref="J1272">INT(G1272)+IF(100-SUM(INT(G$1269:G$1280))&gt;=RANK(I1272,I$1269:I$1280)+COUNTIF(I$1232:I1311,I1272)-1,1,0)</f>
        <v>1</v>
      </c>
      <c r="K1272" t="str">
        <f>_xlfn.XLOOKUP(B1272,BugList!A:A,BugList!H:H)</f>
        <v/>
      </c>
      <c r="L1272" t="str">
        <f>IF(K1272 = "","",_xlfn.XLOOKUP(B1272, BugList!A:A,BugList!B:B,""))</f>
        <v/>
      </c>
      <c r="M1272">
        <f>_xlfn.XLOOKUP(D1272,BugList!C:C,BugList!N:N)</f>
        <v>8</v>
      </c>
      <c r="N1272">
        <f>_xlfn.XLOOKUP(B1272,BugList!A:A,BugList!R:R)</f>
        <v>8</v>
      </c>
      <c r="O1272" t="b">
        <f>_xlfn.XLOOKUP(B1272,BugList!A:A,BugList!L:L)</f>
        <v>0</v>
      </c>
      <c r="P1272" t="b">
        <f t="shared" si="141"/>
        <v>0</v>
      </c>
      <c r="R1272" t="b">
        <f>SUMPRODUCT(COUNTIF(_xlfn.XLOOKUP(B1272,BugList!A:A,BugList!P:P), "*SC*"))&gt;0</f>
        <v>0</v>
      </c>
      <c r="S1272" t="str">
        <f>_xlfn.XLOOKUP(B1272,BugList!A:A,BugList!W:W)</f>
        <v/>
      </c>
      <c r="T1272">
        <f t="shared" si="133"/>
        <v>8</v>
      </c>
      <c r="U1272">
        <f t="shared" si="134"/>
        <v>8</v>
      </c>
    </row>
    <row r="1273" spans="1:21">
      <c r="A1273" t="s">
        <v>2694</v>
      </c>
      <c r="B1273">
        <v>513</v>
      </c>
      <c r="D1273" t="s">
        <v>111</v>
      </c>
      <c r="E1273" t="s">
        <v>111</v>
      </c>
      <c r="F1273">
        <v>2</v>
      </c>
      <c r="G1273">
        <f t="shared" si="138"/>
        <v>1.7857142857142856</v>
      </c>
      <c r="H1273">
        <f t="shared" si="139"/>
        <v>1</v>
      </c>
      <c r="I1273">
        <f t="shared" si="140"/>
        <v>0.78571428571428559</v>
      </c>
      <c r="J1273" cm="1">
        <f t="array" ref="J1273">INT(G1273)+IF(100-SUM(INT(G$1269:G$1280))&gt;=RANK(I1273,I$1269:I$1280)+COUNTIF(I$1233:I1311,I1273)-1,1,0)</f>
        <v>2</v>
      </c>
      <c r="K1273" t="str">
        <f>_xlfn.XLOOKUP(B1273,BugList!A:A,BugList!H:H)</f>
        <v>*</v>
      </c>
      <c r="L1273" t="str">
        <f>IF(K1273 = "","",_xlfn.XLOOKUP(B1273, BugList!A:A,BugList!B:B,""))</f>
        <v>Ephemeroptera</v>
      </c>
      <c r="M1273">
        <f>_xlfn.XLOOKUP(D1273,BugList!C:C,BugList!N:N)</f>
        <v>4</v>
      </c>
      <c r="N1273">
        <f>_xlfn.XLOOKUP(B1273,BugList!A:A,BugList!R:R)</f>
        <v>4</v>
      </c>
      <c r="O1273" t="b">
        <f>_xlfn.XLOOKUP(B1273,BugList!A:A,BugList!L:L)</f>
        <v>1</v>
      </c>
      <c r="P1273" t="b">
        <f t="shared" si="141"/>
        <v>1</v>
      </c>
      <c r="R1273" t="b">
        <f>SUMPRODUCT(COUNTIF(_xlfn.XLOOKUP(B1273,BugList!A:A,BugList!P:P), "*SC*"))&gt;0</f>
        <v>1</v>
      </c>
      <c r="S1273" t="str">
        <f>_xlfn.XLOOKUP(B1273,BugList!A:A,BugList!W:W)</f>
        <v/>
      </c>
      <c r="T1273">
        <f t="shared" si="133"/>
        <v>8</v>
      </c>
      <c r="U1273">
        <f t="shared" si="134"/>
        <v>8</v>
      </c>
    </row>
    <row r="1274" spans="1:21">
      <c r="A1274" t="s">
        <v>2694</v>
      </c>
      <c r="B1274">
        <v>583</v>
      </c>
      <c r="D1274" t="s">
        <v>162</v>
      </c>
      <c r="E1274" t="s">
        <v>162</v>
      </c>
      <c r="F1274">
        <v>1</v>
      </c>
      <c r="G1274">
        <f t="shared" si="138"/>
        <v>0.89285714285714279</v>
      </c>
      <c r="H1274">
        <f t="shared" si="139"/>
        <v>0</v>
      </c>
      <c r="I1274">
        <f t="shared" si="140"/>
        <v>0.89285714285714279</v>
      </c>
      <c r="J1274" cm="1">
        <f t="array" ref="J1274">INT(G1274)+IF(100-SUM(INT(G$1269:G$1280))&gt;=RANK(I1274,I$1269:I$1280)+COUNTIF(I$1234:I1311,I1274)-1,1,0)</f>
        <v>1</v>
      </c>
      <c r="K1274" t="str">
        <f>_xlfn.XLOOKUP(B1274,BugList!A:A,BugList!H:H)</f>
        <v/>
      </c>
      <c r="L1274" t="str">
        <f>IF(K1274 = "","",_xlfn.XLOOKUP(B1274, BugList!A:A,BugList!B:B,""))</f>
        <v/>
      </c>
      <c r="M1274">
        <f>_xlfn.XLOOKUP(D1274,BugList!C:C,BugList!N:N)</f>
        <v>3</v>
      </c>
      <c r="N1274">
        <f>_xlfn.XLOOKUP(B1274,BugList!A:A,BugList!R:R)</f>
        <v>3</v>
      </c>
      <c r="O1274" t="b">
        <f>_xlfn.XLOOKUP(B1274,BugList!A:A,BugList!L:L)</f>
        <v>1</v>
      </c>
      <c r="P1274" t="b">
        <f t="shared" si="141"/>
        <v>0</v>
      </c>
      <c r="R1274" t="b">
        <f>SUMPRODUCT(COUNTIF(_xlfn.XLOOKUP(B1274,BugList!A:A,BugList!P:P), "*SC*"))&gt;0</f>
        <v>0</v>
      </c>
      <c r="S1274" t="str">
        <f>_xlfn.XLOOKUP(B1274,BugList!A:A,BugList!W:W)</f>
        <v/>
      </c>
      <c r="T1274">
        <f t="shared" si="133"/>
        <v>3</v>
      </c>
      <c r="U1274">
        <f t="shared" si="134"/>
        <v>3</v>
      </c>
    </row>
    <row r="1275" spans="1:21">
      <c r="A1275" t="s">
        <v>2694</v>
      </c>
      <c r="B1275">
        <v>935</v>
      </c>
      <c r="D1275" t="s">
        <v>98</v>
      </c>
      <c r="E1275" t="s">
        <v>98</v>
      </c>
      <c r="F1275">
        <v>3</v>
      </c>
      <c r="G1275">
        <f t="shared" si="138"/>
        <v>2.6785714285714284</v>
      </c>
      <c r="H1275">
        <f t="shared" si="139"/>
        <v>2</v>
      </c>
      <c r="I1275">
        <f t="shared" si="140"/>
        <v>0.67857142857142838</v>
      </c>
      <c r="J1275" cm="1">
        <f t="array" ref="J1275">INT(G1275)+IF(100-SUM(INT(G$1269:G$1280))&gt;=RANK(I1275,I$1269:I$1280)+COUNTIF(I$1235:I1311,I1275)-1,1,0)</f>
        <v>3</v>
      </c>
      <c r="K1275" t="str">
        <f>_xlfn.XLOOKUP(B1275,BugList!A:A,BugList!H:H)</f>
        <v/>
      </c>
      <c r="L1275" t="str">
        <f>IF(K1275 = "","",_xlfn.XLOOKUP(B1275, BugList!A:A,BugList!B:B,""))</f>
        <v/>
      </c>
      <c r="M1275">
        <f>_xlfn.XLOOKUP(D1275,BugList!C:C,BugList!N:N)</f>
        <v>4</v>
      </c>
      <c r="N1275">
        <f>_xlfn.XLOOKUP(B1275,BugList!A:A,BugList!R:R)</f>
        <v>4</v>
      </c>
      <c r="O1275" t="b">
        <f>_xlfn.XLOOKUP(B1275,BugList!A:A,BugList!L:L)</f>
        <v>1</v>
      </c>
      <c r="P1275" t="b">
        <f t="shared" si="141"/>
        <v>0</v>
      </c>
      <c r="R1275" t="b">
        <f>SUMPRODUCT(COUNTIF(_xlfn.XLOOKUP(B1275,BugList!A:A,BugList!P:P), "*SC*"))&gt;0</f>
        <v>1</v>
      </c>
      <c r="S1275" t="str">
        <f>_xlfn.XLOOKUP(B1275,BugList!A:A,BugList!W:W)</f>
        <v/>
      </c>
      <c r="T1275">
        <f t="shared" si="133"/>
        <v>12</v>
      </c>
      <c r="U1275">
        <f t="shared" si="134"/>
        <v>12</v>
      </c>
    </row>
    <row r="1276" spans="1:21">
      <c r="A1276" t="s">
        <v>2694</v>
      </c>
      <c r="B1276">
        <v>1002</v>
      </c>
      <c r="D1276" t="s">
        <v>100</v>
      </c>
      <c r="E1276" t="s">
        <v>100</v>
      </c>
      <c r="F1276">
        <v>12</v>
      </c>
      <c r="G1276">
        <f t="shared" si="138"/>
        <v>10.714285714285714</v>
      </c>
      <c r="H1276">
        <f t="shared" si="139"/>
        <v>10</v>
      </c>
      <c r="I1276">
        <f t="shared" si="140"/>
        <v>0.71428571428571352</v>
      </c>
      <c r="J1276" cm="1">
        <f t="array" ref="J1276">INT(G1276)+IF(100-SUM(INT(G$1269:G$1280))&gt;=RANK(I1276,I$1269:I$1280)+COUNTIF(I$1236:I1311,I1276)-1,1,0)</f>
        <v>11</v>
      </c>
      <c r="K1276" t="str">
        <f>_xlfn.XLOOKUP(B1276,BugList!A:A,BugList!H:H)</f>
        <v/>
      </c>
      <c r="L1276" t="str">
        <f>IF(K1276 = "","",_xlfn.XLOOKUP(B1276, BugList!A:A,BugList!B:B,""))</f>
        <v/>
      </c>
      <c r="M1276">
        <f>_xlfn.XLOOKUP(D1276,BugList!C:C,BugList!N:N)</f>
        <v>4</v>
      </c>
      <c r="N1276">
        <f>_xlfn.XLOOKUP(B1276,BugList!A:A,BugList!R:R)</f>
        <v>4</v>
      </c>
      <c r="O1276" t="b">
        <f>_xlfn.XLOOKUP(B1276,BugList!A:A,BugList!L:L)</f>
        <v>1</v>
      </c>
      <c r="P1276" t="b">
        <f t="shared" si="141"/>
        <v>0</v>
      </c>
      <c r="R1276" t="b">
        <f>SUMPRODUCT(COUNTIF(_xlfn.XLOOKUP(B1276,BugList!A:A,BugList!P:P), "*SC*"))&gt;0</f>
        <v>1</v>
      </c>
      <c r="S1276" t="str">
        <f>_xlfn.XLOOKUP(B1276,BugList!A:A,BugList!W:W)</f>
        <v/>
      </c>
      <c r="T1276">
        <f t="shared" si="133"/>
        <v>44</v>
      </c>
      <c r="U1276">
        <f t="shared" si="134"/>
        <v>44</v>
      </c>
    </row>
    <row r="1277" spans="1:21">
      <c r="A1277" t="s">
        <v>2694</v>
      </c>
      <c r="B1277">
        <v>1088</v>
      </c>
      <c r="D1277" t="s">
        <v>90</v>
      </c>
      <c r="E1277" t="s">
        <v>90</v>
      </c>
      <c r="F1277">
        <v>5</v>
      </c>
      <c r="G1277">
        <f t="shared" si="138"/>
        <v>4.4642857142857144</v>
      </c>
      <c r="H1277">
        <f t="shared" si="139"/>
        <v>4</v>
      </c>
      <c r="I1277">
        <f t="shared" si="140"/>
        <v>0.46428571428571441</v>
      </c>
      <c r="J1277" cm="1">
        <f t="array" ref="J1277">INT(G1277)+IF(100-SUM(INT(G$1269:G$1280))&gt;=RANK(I1277,I$1269:I$1280)+COUNTIF(I$1237:I1311,I1277)-1,1,0)</f>
        <v>4</v>
      </c>
      <c r="K1277" t="str">
        <f>_xlfn.XLOOKUP(B1277,BugList!A:A,BugList!H:H)</f>
        <v/>
      </c>
      <c r="L1277" t="str">
        <f>IF(K1277 = "","",_xlfn.XLOOKUP(B1277, BugList!A:A,BugList!B:B,""))</f>
        <v/>
      </c>
      <c r="M1277">
        <f>_xlfn.XLOOKUP(D1277,BugList!C:C,BugList!N:N)</f>
        <v>6</v>
      </c>
      <c r="N1277">
        <f>_xlfn.XLOOKUP(B1277,BugList!A:A,BugList!R:R)</f>
        <v>6</v>
      </c>
      <c r="O1277" t="b">
        <f>_xlfn.XLOOKUP(B1277,BugList!A:A,BugList!L:L)</f>
        <v>1</v>
      </c>
      <c r="P1277" t="b">
        <f t="shared" si="141"/>
        <v>0</v>
      </c>
      <c r="R1277" t="b">
        <f>SUMPRODUCT(COUNTIF(_xlfn.XLOOKUP(B1277,BugList!A:A,BugList!P:P), "*SC*"))&gt;0</f>
        <v>0</v>
      </c>
      <c r="S1277" t="str">
        <f>_xlfn.XLOOKUP(B1277,BugList!A:A,BugList!W:W)</f>
        <v/>
      </c>
      <c r="T1277">
        <f t="shared" si="133"/>
        <v>24</v>
      </c>
      <c r="U1277">
        <f t="shared" si="134"/>
        <v>24</v>
      </c>
    </row>
    <row r="1278" spans="1:21">
      <c r="A1278" t="s">
        <v>2694</v>
      </c>
      <c r="B1278">
        <v>1089</v>
      </c>
      <c r="D1278" t="s">
        <v>126</v>
      </c>
      <c r="E1278" t="s">
        <v>127</v>
      </c>
      <c r="F1278">
        <v>16</v>
      </c>
      <c r="G1278">
        <f t="shared" si="138"/>
        <v>14.285714285714285</v>
      </c>
      <c r="H1278">
        <f t="shared" si="139"/>
        <v>14</v>
      </c>
      <c r="I1278">
        <f t="shared" si="140"/>
        <v>0.2857142857142847</v>
      </c>
      <c r="J1278" cm="1">
        <f t="array" ref="J1278">INT(G1278)+IF(100-SUM(INT(G$1269:G$1280))&gt;=RANK(I1278,I$1269:I$1280)+COUNTIF(I$1238:I1311,I1278)-1,1,0)</f>
        <v>14</v>
      </c>
      <c r="K1278" t="str">
        <f>_xlfn.XLOOKUP(B1278,BugList!A:A,BugList!H:H)</f>
        <v/>
      </c>
      <c r="L1278" t="str">
        <f>IF(K1278 = "","",_xlfn.XLOOKUP(B1278, BugList!A:A,BugList!B:B,""))</f>
        <v/>
      </c>
      <c r="M1278">
        <f>_xlfn.XLOOKUP(D1278,BugList!C:C,BugList!N:N)</f>
        <v>8</v>
      </c>
      <c r="N1278">
        <f>_xlfn.XLOOKUP(B1278,BugList!A:A,BugList!R:R)</f>
        <v>10</v>
      </c>
      <c r="O1278" t="b">
        <f>_xlfn.XLOOKUP(B1278,BugList!A:A,BugList!L:L)</f>
        <v>1</v>
      </c>
      <c r="P1278" t="b">
        <f t="shared" si="141"/>
        <v>0</v>
      </c>
      <c r="R1278" t="b">
        <f>SUMPRODUCT(COUNTIF(_xlfn.XLOOKUP(B1278,BugList!A:A,BugList!P:P), "*SC*"))&gt;0</f>
        <v>0</v>
      </c>
      <c r="S1278" t="str">
        <f>_xlfn.XLOOKUP(B1278,BugList!A:A,BugList!W:W)</f>
        <v/>
      </c>
      <c r="T1278">
        <f t="shared" si="133"/>
        <v>112</v>
      </c>
      <c r="U1278">
        <f t="shared" si="134"/>
        <v>140</v>
      </c>
    </row>
    <row r="1279" spans="1:21">
      <c r="A1279" t="s">
        <v>2694</v>
      </c>
      <c r="B1279">
        <v>1578</v>
      </c>
      <c r="D1279" t="s">
        <v>102</v>
      </c>
      <c r="E1279" t="s">
        <v>102</v>
      </c>
      <c r="F1279">
        <v>1</v>
      </c>
      <c r="G1279">
        <f t="shared" si="138"/>
        <v>0.89285714285714279</v>
      </c>
      <c r="H1279">
        <f t="shared" si="139"/>
        <v>0</v>
      </c>
      <c r="I1279">
        <f t="shared" si="140"/>
        <v>0.89285714285714279</v>
      </c>
      <c r="J1279" cm="1">
        <f t="array" ref="J1279">INT(G1279)+IF(100-SUM(INT(G$1269:G$1280))&gt;=RANK(I1279,I$1269:I$1280)+COUNTIF(I$1239:I1311,I1279)-1,1,0)</f>
        <v>1</v>
      </c>
      <c r="K1279" t="str">
        <f>_xlfn.XLOOKUP(B1279,BugList!A:A,BugList!H:H)</f>
        <v/>
      </c>
      <c r="L1279" t="str">
        <f>IF(K1279 = "","",_xlfn.XLOOKUP(B1279, BugList!A:A,BugList!B:B,""))</f>
        <v/>
      </c>
      <c r="M1279">
        <f>_xlfn.XLOOKUP(D1279,BugList!C:C,BugList!N:N)</f>
        <v>7</v>
      </c>
      <c r="N1279">
        <f>_xlfn.XLOOKUP(B1279,BugList!A:A,BugList!R:R)</f>
        <v>7</v>
      </c>
      <c r="O1279" t="b">
        <f>_xlfn.XLOOKUP(B1279,BugList!A:A,BugList!L:L)</f>
        <v>0</v>
      </c>
      <c r="P1279" t="b">
        <f t="shared" si="141"/>
        <v>0</v>
      </c>
      <c r="R1279" t="b">
        <f>SUMPRODUCT(COUNTIF(_xlfn.XLOOKUP(B1279,BugList!A:A,BugList!P:P), "*SC*"))&gt;0</f>
        <v>0</v>
      </c>
      <c r="S1279" t="str">
        <f>_xlfn.XLOOKUP(B1279,BugList!A:A,BugList!W:W)</f>
        <v/>
      </c>
      <c r="T1279">
        <f t="shared" si="133"/>
        <v>7</v>
      </c>
      <c r="U1279">
        <f t="shared" si="134"/>
        <v>7</v>
      </c>
    </row>
    <row r="1280" spans="1:21">
      <c r="A1280" t="s">
        <v>2694</v>
      </c>
      <c r="B1280">
        <v>2781</v>
      </c>
      <c r="D1280" t="s">
        <v>109</v>
      </c>
      <c r="E1280" t="s">
        <v>109</v>
      </c>
      <c r="F1280">
        <v>14</v>
      </c>
      <c r="G1280">
        <f t="shared" si="138"/>
        <v>12.5</v>
      </c>
      <c r="H1280">
        <f t="shared" si="139"/>
        <v>12</v>
      </c>
      <c r="I1280">
        <f t="shared" si="140"/>
        <v>0.5</v>
      </c>
      <c r="J1280" cm="1">
        <f t="array" ref="J1280">INT(G1280)+IF(100-SUM(INT(G$1269:G$1280))&gt;=RANK(I1280,I$1269:I$1280)+COUNTIF(I$1240:I1311,I1280)-1,1,0)</f>
        <v>12</v>
      </c>
      <c r="K1280" t="str">
        <f>_xlfn.XLOOKUP(B1280,BugList!A:A,BugList!H:H)</f>
        <v/>
      </c>
      <c r="L1280" t="str">
        <f>IF(K1280 = "","",_xlfn.XLOOKUP(B1280, BugList!A:A,BugList!B:B,""))</f>
        <v/>
      </c>
      <c r="M1280">
        <f>_xlfn.XLOOKUP(D1280,BugList!C:C,BugList!N:N)</f>
        <v>6</v>
      </c>
      <c r="N1280">
        <f>_xlfn.XLOOKUP(B1280,BugList!A:A,BugList!R:R)</f>
        <v>4</v>
      </c>
      <c r="O1280" t="b">
        <f>_xlfn.XLOOKUP(B1280,BugList!A:A,BugList!L:L)</f>
        <v>0</v>
      </c>
      <c r="P1280" t="b">
        <f t="shared" si="141"/>
        <v>0</v>
      </c>
      <c r="R1280" t="b">
        <f>SUMPRODUCT(COUNTIF(_xlfn.XLOOKUP(B1280,BugList!A:A,BugList!P:P), "*SC*"))&gt;0</f>
        <v>0</v>
      </c>
      <c r="S1280" t="str">
        <f>_xlfn.XLOOKUP(B1280,BugList!A:A,BugList!W:W)</f>
        <v/>
      </c>
      <c r="T1280">
        <f t="shared" si="133"/>
        <v>72</v>
      </c>
      <c r="U1280">
        <f t="shared" si="134"/>
        <v>48</v>
      </c>
    </row>
    <row r="1281" spans="1:19" customFormat="1"/>
    <row r="1282" spans="1:19" customFormat="1"/>
    <row r="1283" spans="1:19">
      <c r="A1283"/>
      <c r="D1283"/>
      <c r="E1283" s="35"/>
      <c r="S1283"/>
    </row>
    <row r="1284" spans="1:19" customFormat="1"/>
    <row r="1285" spans="1:19" customFormat="1"/>
    <row r="1286" spans="1:19" customFormat="1"/>
    <row r="1287" spans="1:19" customFormat="1"/>
    <row r="1288" spans="1:19" customFormat="1"/>
    <row r="1289" spans="1:19" customFormat="1"/>
    <row r="1290" spans="1:19" customFormat="1"/>
    <row r="1291" spans="1:19" customFormat="1"/>
    <row r="1292" spans="1:19" customFormat="1"/>
    <row r="1293" spans="1:19" customFormat="1"/>
    <row r="1294" spans="1:19" customFormat="1"/>
    <row r="1295" spans="1:19" customFormat="1"/>
    <row r="1296" spans="1:19" customFormat="1"/>
    <row r="1297" spans="1:19">
      <c r="A1297"/>
      <c r="D1297"/>
      <c r="E1297"/>
      <c r="S1297"/>
    </row>
    <row r="1298" spans="1:19">
      <c r="A1298"/>
      <c r="D1298"/>
      <c r="E1298"/>
      <c r="S1298"/>
    </row>
    <row r="1299" spans="1:19">
      <c r="A1299"/>
      <c r="D1299"/>
      <c r="E1299"/>
      <c r="S1299"/>
    </row>
    <row r="1300" spans="1:19">
      <c r="A1300"/>
      <c r="D1300"/>
      <c r="S1300"/>
    </row>
    <row r="1301" spans="1:19">
      <c r="A1301"/>
    </row>
    <row r="1302" spans="1:19">
      <c r="A1302"/>
    </row>
    <row r="1303" spans="1:19">
      <c r="A1303"/>
    </row>
    <row r="1304" spans="1:19">
      <c r="A1304"/>
    </row>
    <row r="1305" spans="1:19">
      <c r="A1305"/>
    </row>
    <row r="1306" spans="1:19">
      <c r="A1306"/>
    </row>
    <row r="1307" spans="1:19">
      <c r="A1307"/>
    </row>
    <row r="1308" spans="1:19">
      <c r="A1308"/>
      <c r="D1308"/>
      <c r="E1308" s="35"/>
    </row>
  </sheetData>
  <phoneticPr fontId="28" type="noConversion"/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5FD10-40BB-4E47-9F90-3B5BA9B9734C}">
  <dimension ref="A1:P2360"/>
  <sheetViews>
    <sheetView zoomScale="107" zoomScaleNormal="107" workbookViewId="0">
      <selection activeCell="O710" sqref="O710"/>
    </sheetView>
  </sheetViews>
  <sheetFormatPr baseColWidth="10" defaultColWidth="8.83203125" defaultRowHeight="15"/>
  <cols>
    <col min="1" max="1" width="17.5" customWidth="1"/>
    <col min="2" max="2" width="8" customWidth="1"/>
    <col min="3" max="3" width="15.6640625" customWidth="1"/>
    <col min="4" max="4" width="22.1640625" customWidth="1"/>
    <col min="6" max="8" width="12.6640625" customWidth="1"/>
    <col min="9" max="9" width="11.83203125" customWidth="1"/>
    <col min="11" max="11" width="15.1640625" customWidth="1"/>
    <col min="13" max="13" width="13.33203125" customWidth="1"/>
    <col min="15" max="15" width="11.6640625" customWidth="1"/>
    <col min="16" max="16" width="9.6640625" customWidth="1"/>
  </cols>
  <sheetData>
    <row r="1" spans="1:16">
      <c r="A1" s="2" t="s">
        <v>183</v>
      </c>
      <c r="B1" s="2" t="s">
        <v>2699</v>
      </c>
      <c r="C1" s="2" t="s">
        <v>184</v>
      </c>
      <c r="D1" s="2" t="s">
        <v>185</v>
      </c>
      <c r="E1" s="2" t="s">
        <v>186</v>
      </c>
      <c r="F1" s="2" t="s">
        <v>187</v>
      </c>
      <c r="G1" s="2" t="s">
        <v>188</v>
      </c>
      <c r="H1" s="2" t="s">
        <v>189</v>
      </c>
      <c r="I1" s="2" t="s">
        <v>190</v>
      </c>
      <c r="J1" s="2" t="s">
        <v>73</v>
      </c>
      <c r="K1" s="2" t="s">
        <v>74</v>
      </c>
      <c r="L1" s="2" t="s">
        <v>75</v>
      </c>
      <c r="M1" s="2" t="s">
        <v>191</v>
      </c>
      <c r="N1" s="2" t="s">
        <v>77</v>
      </c>
      <c r="O1" s="1" t="s">
        <v>78</v>
      </c>
      <c r="P1" s="2" t="s">
        <v>192</v>
      </c>
    </row>
    <row r="2" spans="1:16">
      <c r="A2" t="s">
        <v>193</v>
      </c>
      <c r="B2">
        <v>6</v>
      </c>
      <c r="C2" t="s">
        <v>194</v>
      </c>
      <c r="D2" t="s">
        <v>126</v>
      </c>
      <c r="E2">
        <v>2</v>
      </c>
      <c r="F2" s="43">
        <f>(E2/(SUMIFS(E:E,A:A,A2))*100)</f>
        <v>1.9047619047619049</v>
      </c>
      <c r="G2" s="44">
        <f>INT(F2)</f>
        <v>1</v>
      </c>
      <c r="H2" s="44">
        <f t="shared" ref="H2:H66" si="0">F2-G2</f>
        <v>0.90476190476190488</v>
      </c>
      <c r="I2" cm="1">
        <f t="array" ref="I2">INT(F2)+IF(100-SUM(INT(F$2:F$13))&gt;=RANK(H2,H$2:H$13)+COUNTIF(H$2:H2,H2)-1,1,0)</f>
        <v>2</v>
      </c>
      <c r="J2" t="b">
        <f>IF(OR(C2="Ephemeroptera", C2 ="Plecoptera", C2= "Trichoptera"), TRUE, FALSE)</f>
        <v>0</v>
      </c>
      <c r="K2" t="str">
        <f t="shared" ref="K2:K66" si="1">IF(J2=TRUE,C2,"")</f>
        <v/>
      </c>
      <c r="L2">
        <f>_xlfn.XLOOKUP(D2,BugList!C:C,BugList!N:N)</f>
        <v>8</v>
      </c>
      <c r="M2">
        <f>L2*I2</f>
        <v>16</v>
      </c>
      <c r="N2" t="b">
        <f>_xlfn.XLOOKUP(D2,BugList!C:C,BugList!L:L)</f>
        <v>1</v>
      </c>
      <c r="O2" t="b">
        <f>IF(J2=TRUE,IF(D2="Hydropsychidae", FALSE, TRUE), FALSE)</f>
        <v>0</v>
      </c>
      <c r="P2" s="18" t="b">
        <f>SUMPRODUCT(COUNTIF(_xlfn.XLOOKUP(D2,BugList!C:C,BugList!P:P), "*SC*"))&gt;0</f>
        <v>0</v>
      </c>
    </row>
    <row r="3" spans="1:16">
      <c r="A3" t="s">
        <v>193</v>
      </c>
      <c r="B3">
        <v>6</v>
      </c>
      <c r="C3" t="s">
        <v>195</v>
      </c>
      <c r="D3" t="s">
        <v>196</v>
      </c>
      <c r="E3">
        <v>1</v>
      </c>
      <c r="F3" s="43">
        <f t="shared" ref="F3:F33" si="2">(E3/(SUMIFS(E:E,A:A,A3))*100)</f>
        <v>0.95238095238095244</v>
      </c>
      <c r="G3" s="44">
        <f t="shared" ref="G3:G65" si="3">INT(F3)</f>
        <v>0</v>
      </c>
      <c r="H3" s="44">
        <f t="shared" si="0"/>
        <v>0.95238095238095244</v>
      </c>
      <c r="I3" cm="1">
        <f t="array" ref="I3">INT(F3)+IF(100-SUM(INT(F$2:F$13))&gt;=RANK(H3,H$2:H$13)+COUNTIF(H$2:H3,H3)-1,1,0)</f>
        <v>1</v>
      </c>
      <c r="J3" t="b">
        <f t="shared" ref="J3:J66" si="4">IF(OR(C3="Ephemeroptera", C3 ="Plecoptera", C3= "Trichoptera"), TRUE, FALSE)</f>
        <v>0</v>
      </c>
      <c r="K3" t="str">
        <f t="shared" si="1"/>
        <v/>
      </c>
      <c r="L3">
        <f>_xlfn.XLOOKUP(D3,BugList!C:C,BugList!N:N)</f>
        <v>9</v>
      </c>
      <c r="M3">
        <f t="shared" ref="M3:M66" si="5">L3*I3</f>
        <v>9</v>
      </c>
      <c r="N3" t="b">
        <f>_xlfn.XLOOKUP(D3,BugList!C:C,BugList!L:L)</f>
        <v>1</v>
      </c>
      <c r="O3" t="b">
        <f t="shared" ref="O3:O66" si="6">IF(J3=TRUE,IF(D3="Hydropsychidae", FALSE, TRUE), FALSE)</f>
        <v>0</v>
      </c>
      <c r="P3" s="18" t="b">
        <f>SUMPRODUCT(COUNTIF(_xlfn.XLOOKUP(D3,BugList!C:C,BugList!P:P), "*SC*"))&gt;0</f>
        <v>0</v>
      </c>
    </row>
    <row r="4" spans="1:16">
      <c r="A4" t="s">
        <v>193</v>
      </c>
      <c r="B4">
        <v>6</v>
      </c>
      <c r="C4" t="s">
        <v>197</v>
      </c>
      <c r="D4" t="s">
        <v>105</v>
      </c>
      <c r="E4">
        <v>1</v>
      </c>
      <c r="F4" s="43">
        <f t="shared" si="2"/>
        <v>0.95238095238095244</v>
      </c>
      <c r="G4" s="44">
        <f t="shared" si="3"/>
        <v>0</v>
      </c>
      <c r="H4" s="44">
        <f t="shared" si="0"/>
        <v>0.95238095238095244</v>
      </c>
      <c r="I4" cm="1">
        <f t="array" ref="I4">INT(F4)+IF(100-SUM(INT(F$2:F$13))&gt;=RANK(H4,H$2:H$13)+COUNTIF(H$2:H4,H4)-1,1,0)</f>
        <v>1</v>
      </c>
      <c r="J4" t="b">
        <f t="shared" si="4"/>
        <v>1</v>
      </c>
      <c r="K4" t="str">
        <f t="shared" si="1"/>
        <v>Plecoptera</v>
      </c>
      <c r="L4">
        <f>_xlfn.XLOOKUP(D4,BugList!C:C,BugList!N:N)</f>
        <v>1</v>
      </c>
      <c r="M4">
        <f t="shared" si="5"/>
        <v>1</v>
      </c>
      <c r="N4" t="b">
        <f>_xlfn.XLOOKUP(D4,BugList!C:C,BugList!L:L)</f>
        <v>1</v>
      </c>
      <c r="O4" t="b">
        <f t="shared" si="6"/>
        <v>1</v>
      </c>
      <c r="P4" s="18" t="b">
        <f>SUMPRODUCT(COUNTIF(_xlfn.XLOOKUP(D4,BugList!C:C,BugList!P:P), "*SC*"))&gt;0</f>
        <v>0</v>
      </c>
    </row>
    <row r="5" spans="1:16">
      <c r="A5" t="s">
        <v>193</v>
      </c>
      <c r="B5">
        <v>6</v>
      </c>
      <c r="C5" t="s">
        <v>197</v>
      </c>
      <c r="D5" t="s">
        <v>112</v>
      </c>
      <c r="E5">
        <v>1</v>
      </c>
      <c r="F5" s="43">
        <f t="shared" si="2"/>
        <v>0.95238095238095244</v>
      </c>
      <c r="G5" s="44">
        <f t="shared" si="3"/>
        <v>0</v>
      </c>
      <c r="H5" s="44">
        <f t="shared" si="0"/>
        <v>0.95238095238095244</v>
      </c>
      <c r="I5" cm="1">
        <f t="array" ref="I5">INT(F5)+IF(100-SUM(INT(F$2:F$13))&gt;=RANK(H5,H$2:H$13)+COUNTIF(H$2:H5,H5)-1,1,0)</f>
        <v>1</v>
      </c>
      <c r="J5" t="b">
        <f>IF(OR(C5="Ephemeroptera", C5 ="Plecoptera", C5= "Trichoptera"), TRUE, FALSE)</f>
        <v>1</v>
      </c>
      <c r="K5" t="str">
        <f>IF(J5=TRUE,C5,"")</f>
        <v>Plecoptera</v>
      </c>
      <c r="L5">
        <f>_xlfn.XLOOKUP(D5,BugList!C:C,BugList!N:N)</f>
        <v>5</v>
      </c>
      <c r="M5">
        <f t="shared" si="5"/>
        <v>5</v>
      </c>
      <c r="N5" t="b">
        <f>_xlfn.XLOOKUP(D5,BugList!C:C,BugList!L:L)</f>
        <v>1</v>
      </c>
      <c r="O5" t="b">
        <f t="shared" si="6"/>
        <v>1</v>
      </c>
      <c r="P5" s="18" t="b">
        <f>SUMPRODUCT(COUNTIF(_xlfn.XLOOKUP(D5,BugList!C:C,BugList!P:P), "*SC*"))&gt;0</f>
        <v>0</v>
      </c>
    </row>
    <row r="6" spans="1:16">
      <c r="A6" t="s">
        <v>193</v>
      </c>
      <c r="B6">
        <v>6</v>
      </c>
      <c r="C6" t="s">
        <v>198</v>
      </c>
      <c r="D6" t="s">
        <v>89</v>
      </c>
      <c r="E6">
        <v>39</v>
      </c>
      <c r="F6" s="43">
        <f t="shared" si="2"/>
        <v>37.142857142857146</v>
      </c>
      <c r="G6" s="44">
        <f t="shared" si="3"/>
        <v>37</v>
      </c>
      <c r="H6" s="44">
        <f t="shared" si="0"/>
        <v>0.1428571428571459</v>
      </c>
      <c r="I6" cm="1">
        <f t="array" ref="I6">INT(F6)+IF(100-SUM(INT(F$2:F$13))&gt;=RANK(H6,H$2:H$13)+COUNTIF(H$2:H6,H6)-1,1,0)</f>
        <v>37</v>
      </c>
      <c r="J6" t="b">
        <f t="shared" si="4"/>
        <v>1</v>
      </c>
      <c r="K6" t="str">
        <f t="shared" si="1"/>
        <v>Trichoptera</v>
      </c>
      <c r="L6">
        <f>_xlfn.XLOOKUP(D6,BugList!C:C,BugList!N:N)</f>
        <v>4</v>
      </c>
      <c r="M6">
        <f t="shared" si="5"/>
        <v>148</v>
      </c>
      <c r="N6" t="b">
        <f>_xlfn.XLOOKUP(D6,BugList!C:C,BugList!L:L)</f>
        <v>1</v>
      </c>
      <c r="O6" t="b">
        <f t="shared" si="6"/>
        <v>0</v>
      </c>
      <c r="P6" s="18" t="b">
        <f>SUMPRODUCT(COUNTIF(_xlfn.XLOOKUP(D6,BugList!C:C,BugList!P:P), "*SC*"))&gt;0</f>
        <v>0</v>
      </c>
    </row>
    <row r="7" spans="1:16">
      <c r="A7" t="s">
        <v>193</v>
      </c>
      <c r="B7">
        <v>6</v>
      </c>
      <c r="C7" t="s">
        <v>199</v>
      </c>
      <c r="D7" t="s">
        <v>111</v>
      </c>
      <c r="E7">
        <v>2</v>
      </c>
      <c r="F7" s="43">
        <f t="shared" si="2"/>
        <v>1.9047619047619049</v>
      </c>
      <c r="G7" s="44">
        <f t="shared" si="3"/>
        <v>1</v>
      </c>
      <c r="H7" s="44">
        <f t="shared" si="0"/>
        <v>0.90476190476190488</v>
      </c>
      <c r="I7" cm="1">
        <f t="array" ref="I7">INT(F7)+IF(100-SUM(INT(F$2:F$13))&gt;=RANK(H7,H$2:H$13)+COUNTIF(H$2:H7,H7)-1,1,0)</f>
        <v>2</v>
      </c>
      <c r="J7" t="b">
        <f t="shared" si="4"/>
        <v>1</v>
      </c>
      <c r="K7" t="str">
        <f t="shared" si="1"/>
        <v>Ephemeroptera</v>
      </c>
      <c r="L7">
        <f>_xlfn.XLOOKUP(D7,BugList!C:C,BugList!N:N)</f>
        <v>4</v>
      </c>
      <c r="M7">
        <f t="shared" si="5"/>
        <v>8</v>
      </c>
      <c r="N7" t="b">
        <f>_xlfn.XLOOKUP(D7,BugList!C:C,BugList!L:L)</f>
        <v>1</v>
      </c>
      <c r="O7" t="b">
        <f t="shared" si="6"/>
        <v>1</v>
      </c>
      <c r="P7" s="18" t="b">
        <f>SUMPRODUCT(COUNTIF(_xlfn.XLOOKUP(D7,BugList!C:C,BugList!P:P), "*SC*"))&gt;0</f>
        <v>0</v>
      </c>
    </row>
    <row r="8" spans="1:16">
      <c r="A8" t="s">
        <v>193</v>
      </c>
      <c r="B8">
        <v>6</v>
      </c>
      <c r="C8" t="s">
        <v>200</v>
      </c>
      <c r="D8" t="s">
        <v>98</v>
      </c>
      <c r="E8">
        <v>8</v>
      </c>
      <c r="F8" s="43">
        <f t="shared" si="2"/>
        <v>7.6190476190476195</v>
      </c>
      <c r="G8" s="44">
        <f t="shared" si="3"/>
        <v>7</v>
      </c>
      <c r="H8" s="44">
        <f t="shared" si="0"/>
        <v>0.61904761904761951</v>
      </c>
      <c r="I8" cm="1">
        <f t="array" ref="I8">INT(F8)+IF(100-SUM(INT(F$2:F$13))&gt;=RANK(H8,H$2:H$13)+COUNTIF(H$2:H8,H8)-1,1,0)</f>
        <v>7</v>
      </c>
      <c r="J8" t="b">
        <f t="shared" si="4"/>
        <v>0</v>
      </c>
      <c r="K8" t="str">
        <f t="shared" si="1"/>
        <v/>
      </c>
      <c r="L8">
        <f>_xlfn.XLOOKUP(D8,BugList!C:C,BugList!N:N)</f>
        <v>4</v>
      </c>
      <c r="M8">
        <f t="shared" si="5"/>
        <v>28</v>
      </c>
      <c r="N8" t="b">
        <f>_xlfn.XLOOKUP(D8,BugList!C:C,BugList!L:L)</f>
        <v>1</v>
      </c>
      <c r="O8" t="b">
        <f t="shared" si="6"/>
        <v>0</v>
      </c>
      <c r="P8" s="18" t="b">
        <f>SUMPRODUCT(COUNTIF(_xlfn.XLOOKUP(D8,BugList!C:C,BugList!P:P), "*SC*"))&gt;0</f>
        <v>1</v>
      </c>
    </row>
    <row r="9" spans="1:16">
      <c r="A9" t="s">
        <v>193</v>
      </c>
      <c r="B9">
        <v>6</v>
      </c>
      <c r="C9" t="s">
        <v>201</v>
      </c>
      <c r="D9" t="s">
        <v>85</v>
      </c>
      <c r="E9">
        <v>42</v>
      </c>
      <c r="F9" s="43">
        <f t="shared" si="2"/>
        <v>40</v>
      </c>
      <c r="G9" s="44">
        <f t="shared" si="3"/>
        <v>40</v>
      </c>
      <c r="H9" s="44">
        <f t="shared" si="0"/>
        <v>0</v>
      </c>
      <c r="I9" cm="1">
        <f t="array" ref="I9">INT(F9)+IF(100-SUM(INT(F$2:F$13))&gt;=RANK(H9,H$2:H$13)+COUNTIF(H$2:H9,H9)-1,1,0)</f>
        <v>40</v>
      </c>
      <c r="J9" t="b">
        <f t="shared" si="4"/>
        <v>0</v>
      </c>
      <c r="K9" t="str">
        <f t="shared" si="1"/>
        <v/>
      </c>
      <c r="L9">
        <f>_xlfn.XLOOKUP(D9,BugList!C:C,BugList!N:N)</f>
        <v>4</v>
      </c>
      <c r="M9">
        <f t="shared" si="5"/>
        <v>160</v>
      </c>
      <c r="N9" t="b">
        <f>_xlfn.XLOOKUP(D9,BugList!C:C,BugList!L:L)</f>
        <v>0</v>
      </c>
      <c r="O9" t="b">
        <f t="shared" si="6"/>
        <v>0</v>
      </c>
      <c r="P9" s="18" t="b">
        <f>SUMPRODUCT(COUNTIF(_xlfn.XLOOKUP(D9,BugList!C:C,BugList!P:P), "*SC*"))&gt;0</f>
        <v>0</v>
      </c>
    </row>
    <row r="10" spans="1:16">
      <c r="A10" t="s">
        <v>193</v>
      </c>
      <c r="B10">
        <v>6</v>
      </c>
      <c r="C10" t="s">
        <v>202</v>
      </c>
      <c r="D10" t="s">
        <v>203</v>
      </c>
      <c r="E10">
        <v>1</v>
      </c>
      <c r="F10" s="43">
        <f t="shared" si="2"/>
        <v>0.95238095238095244</v>
      </c>
      <c r="G10" s="44">
        <f t="shared" si="3"/>
        <v>0</v>
      </c>
      <c r="H10" s="44">
        <f t="shared" si="0"/>
        <v>0.95238095238095244</v>
      </c>
      <c r="I10" cm="1">
        <f t="array" ref="I10">INT(F10)+IF(100-SUM(INT(F$2:F$13))&gt;=RANK(H10,H$2:H$13)+COUNTIF(H$2:H10,H10)-1,1,0)</f>
        <v>1</v>
      </c>
      <c r="J10" t="b">
        <f t="shared" si="4"/>
        <v>0</v>
      </c>
      <c r="K10" t="str">
        <f t="shared" si="1"/>
        <v/>
      </c>
      <c r="L10" s="71">
        <v>5</v>
      </c>
      <c r="M10">
        <f t="shared" si="5"/>
        <v>5</v>
      </c>
      <c r="N10" s="71" t="b">
        <v>0</v>
      </c>
      <c r="O10" t="b">
        <f>IF(J10=TRUE,IF(D10="Hydropsychidae", FALSE, TRUE), FALSE)</f>
        <v>0</v>
      </c>
      <c r="P10" s="72" t="b">
        <v>0</v>
      </c>
    </row>
    <row r="11" spans="1:16">
      <c r="A11" t="s">
        <v>193</v>
      </c>
      <c r="B11">
        <v>6</v>
      </c>
      <c r="C11" t="s">
        <v>204</v>
      </c>
      <c r="D11" t="s">
        <v>84</v>
      </c>
      <c r="E11">
        <v>2</v>
      </c>
      <c r="F11" s="43">
        <f t="shared" si="2"/>
        <v>1.9047619047619049</v>
      </c>
      <c r="G11" s="44">
        <f t="shared" si="3"/>
        <v>1</v>
      </c>
      <c r="H11" s="44">
        <f t="shared" si="0"/>
        <v>0.90476190476190488</v>
      </c>
      <c r="I11" cm="1">
        <f t="array" ref="I11">INT(F11)+IF(100-SUM(INT(F$2:F$13))&gt;=RANK(H11,H$2:H$13)+COUNTIF(H$2:H11,H11)-1,1,0)</f>
        <v>2</v>
      </c>
      <c r="J11" t="b">
        <f t="shared" si="4"/>
        <v>0</v>
      </c>
      <c r="K11" t="str">
        <f t="shared" si="1"/>
        <v/>
      </c>
      <c r="L11">
        <f>_xlfn.XLOOKUP(D11,BugList!C:C,BugList!N:N)</f>
        <v>8</v>
      </c>
      <c r="M11">
        <f t="shared" si="5"/>
        <v>16</v>
      </c>
      <c r="N11" t="b">
        <f>_xlfn.XLOOKUP(D11,BugList!C:C,BugList!L:L)</f>
        <v>0</v>
      </c>
      <c r="O11" t="b">
        <f t="shared" si="6"/>
        <v>0</v>
      </c>
      <c r="P11" s="18" t="b">
        <f>SUMPRODUCT(COUNTIF(_xlfn.XLOOKUP(D11,BugList!C:C,BugList!P:P), "*SC*"))&gt;0</f>
        <v>0</v>
      </c>
    </row>
    <row r="12" spans="1:16">
      <c r="A12" t="s">
        <v>193</v>
      </c>
      <c r="B12">
        <v>6</v>
      </c>
      <c r="C12" t="s">
        <v>205</v>
      </c>
      <c r="D12" t="s">
        <v>206</v>
      </c>
      <c r="E12">
        <v>5</v>
      </c>
      <c r="F12" s="43">
        <f t="shared" si="2"/>
        <v>4.7619047619047619</v>
      </c>
      <c r="G12" s="44">
        <f t="shared" si="3"/>
        <v>4</v>
      </c>
      <c r="H12" s="44">
        <f t="shared" si="0"/>
        <v>0.76190476190476186</v>
      </c>
      <c r="I12" cm="1">
        <f t="array" ref="I12">INT(F12)+IF(100-SUM(INT(F$2:F$13))&gt;=RANK(H12,H$2:H$13)+COUNTIF(H$2:H12,H12)-1,1,0)</f>
        <v>5</v>
      </c>
      <c r="J12" t="b">
        <f t="shared" si="4"/>
        <v>0</v>
      </c>
      <c r="K12" t="str">
        <f t="shared" si="1"/>
        <v/>
      </c>
      <c r="L12" s="71">
        <v>8</v>
      </c>
      <c r="M12">
        <f t="shared" si="5"/>
        <v>40</v>
      </c>
      <c r="N12" s="71" t="b">
        <v>0</v>
      </c>
      <c r="O12" t="b">
        <f t="shared" si="6"/>
        <v>0</v>
      </c>
      <c r="P12" s="72" t="b">
        <v>0</v>
      </c>
    </row>
    <row r="13" spans="1:16">
      <c r="A13" t="s">
        <v>193</v>
      </c>
      <c r="B13">
        <v>6</v>
      </c>
      <c r="C13" t="s">
        <v>94</v>
      </c>
      <c r="D13" t="s">
        <v>94</v>
      </c>
      <c r="E13">
        <v>1</v>
      </c>
      <c r="F13" s="43">
        <f t="shared" si="2"/>
        <v>0.95238095238095244</v>
      </c>
      <c r="G13" s="44">
        <f t="shared" si="3"/>
        <v>0</v>
      </c>
      <c r="H13" s="44">
        <f t="shared" si="0"/>
        <v>0.95238095238095244</v>
      </c>
      <c r="I13" cm="1">
        <f t="array" ref="I13">INT(F13)+IF(100-SUM(INT(F$2:F$13))&gt;=RANK(H13,H$2:H$13)+COUNTIF(H$2:H13,H13)-1,1,0)</f>
        <v>1</v>
      </c>
      <c r="J13" t="b">
        <f t="shared" si="4"/>
        <v>0</v>
      </c>
      <c r="K13" t="str">
        <f t="shared" si="1"/>
        <v/>
      </c>
      <c r="L13">
        <f>_xlfn.XLOOKUP(D13,BugList!C:C,BugList!N:N)</f>
        <v>8</v>
      </c>
      <c r="M13">
        <f t="shared" si="5"/>
        <v>8</v>
      </c>
      <c r="N13" t="b">
        <f>_xlfn.XLOOKUP(D13,BugList!C:C,BugList!L:L)</f>
        <v>0</v>
      </c>
      <c r="O13" t="b">
        <f t="shared" si="6"/>
        <v>0</v>
      </c>
      <c r="P13" s="18" t="b">
        <f>SUMPRODUCT(COUNTIF(_xlfn.XLOOKUP(D13,BugList!C:C,BugList!P:P), "*SC*"))&gt;0</f>
        <v>0</v>
      </c>
    </row>
    <row r="14" spans="1:16">
      <c r="A14" t="s">
        <v>207</v>
      </c>
      <c r="B14">
        <v>61</v>
      </c>
      <c r="C14" t="s">
        <v>200</v>
      </c>
      <c r="D14" t="s">
        <v>98</v>
      </c>
      <c r="E14">
        <v>3</v>
      </c>
      <c r="F14" s="43">
        <f t="shared" si="2"/>
        <v>3.0303030303030303</v>
      </c>
      <c r="G14" s="44">
        <f t="shared" si="3"/>
        <v>3</v>
      </c>
      <c r="H14" s="44">
        <f t="shared" si="0"/>
        <v>3.0303030303030276E-2</v>
      </c>
      <c r="I14" cm="1">
        <f t="array" ref="I14">INT(F14)+IF(100-SUM(INT(F$14:F$18))&gt;=RANK(H14,H$14:H$18)+COUNTIF(H$14:H14,H14)-1,1,0)</f>
        <v>3</v>
      </c>
      <c r="J14" t="b">
        <f t="shared" si="4"/>
        <v>0</v>
      </c>
      <c r="K14" t="str">
        <f t="shared" si="1"/>
        <v/>
      </c>
      <c r="L14">
        <f>_xlfn.XLOOKUP(D14,BugList!C:C,BugList!N:N)</f>
        <v>4</v>
      </c>
      <c r="M14">
        <f t="shared" si="5"/>
        <v>12</v>
      </c>
      <c r="N14" t="b">
        <f>_xlfn.XLOOKUP(D14,BugList!C:C,BugList!L:L)</f>
        <v>1</v>
      </c>
      <c r="O14" t="b">
        <f t="shared" si="6"/>
        <v>0</v>
      </c>
      <c r="P14" s="18" t="b">
        <f>SUMPRODUCT(COUNTIF(_xlfn.XLOOKUP(D14,BugList!C:C,BugList!P:P), "*SC*"))&gt;0</f>
        <v>1</v>
      </c>
    </row>
    <row r="15" spans="1:16">
      <c r="A15" t="s">
        <v>207</v>
      </c>
      <c r="B15">
        <v>61</v>
      </c>
      <c r="C15" t="s">
        <v>194</v>
      </c>
      <c r="D15" t="s">
        <v>101</v>
      </c>
      <c r="E15">
        <v>1</v>
      </c>
      <c r="F15" s="43">
        <f t="shared" si="2"/>
        <v>1.0101010101010102</v>
      </c>
      <c r="G15" s="44">
        <f t="shared" si="3"/>
        <v>1</v>
      </c>
      <c r="H15" s="44">
        <f t="shared" si="0"/>
        <v>1.0101010101010166E-2</v>
      </c>
      <c r="I15" cm="1">
        <f t="array" ref="I15">INT(F15)+IF(100-SUM(INT(F$14:F$29))&gt;=RANK(H15,H$14:H$29)+COUNTIF(H$14:H15,H15)-1,1,0)</f>
        <v>1</v>
      </c>
      <c r="J15" t="b">
        <f t="shared" si="4"/>
        <v>0</v>
      </c>
      <c r="K15" t="str">
        <f t="shared" si="1"/>
        <v/>
      </c>
      <c r="L15">
        <f>_xlfn.XLOOKUP(D15,BugList!C:C,BugList!N:N)</f>
        <v>6</v>
      </c>
      <c r="M15">
        <f t="shared" si="5"/>
        <v>6</v>
      </c>
      <c r="N15" t="b">
        <f>_xlfn.XLOOKUP(D15,BugList!C:C,BugList!L:L)</f>
        <v>1</v>
      </c>
      <c r="O15" t="b">
        <f t="shared" si="6"/>
        <v>0</v>
      </c>
      <c r="P15" s="18" t="b">
        <f>SUMPRODUCT(COUNTIF(_xlfn.XLOOKUP(D15,BugList!C:C,BugList!P:P), "*SC*"))&gt;0</f>
        <v>0</v>
      </c>
    </row>
    <row r="16" spans="1:16">
      <c r="A16" t="s">
        <v>207</v>
      </c>
      <c r="B16">
        <v>61</v>
      </c>
      <c r="C16" t="s">
        <v>198</v>
      </c>
      <c r="D16" t="s">
        <v>89</v>
      </c>
      <c r="E16">
        <v>59</v>
      </c>
      <c r="F16" s="43">
        <f t="shared" si="2"/>
        <v>59.595959595959592</v>
      </c>
      <c r="G16" s="44">
        <f t="shared" si="3"/>
        <v>59</v>
      </c>
      <c r="H16" s="44">
        <f t="shared" si="0"/>
        <v>0.59595959595959158</v>
      </c>
      <c r="I16" cm="1">
        <f t="array" ref="I16">INT(F16)+IF(100-SUM(INT(F$14:F$29))&gt;=RANK(H16,H$14:H$29)+COUNTIF(H$14:H16,H16)-1,1,0)</f>
        <v>59</v>
      </c>
      <c r="J16" t="b">
        <f t="shared" si="4"/>
        <v>1</v>
      </c>
      <c r="K16" t="str">
        <f t="shared" si="1"/>
        <v>Trichoptera</v>
      </c>
      <c r="L16">
        <f>_xlfn.XLOOKUP(D16,BugList!C:C,BugList!N:N)</f>
        <v>4</v>
      </c>
      <c r="M16">
        <f t="shared" si="5"/>
        <v>236</v>
      </c>
      <c r="N16" t="b">
        <f>_xlfn.XLOOKUP(D16,BugList!C:C,BugList!L:L)</f>
        <v>1</v>
      </c>
      <c r="O16" t="b">
        <f t="shared" si="6"/>
        <v>0</v>
      </c>
      <c r="P16" s="18" t="b">
        <f>SUMPRODUCT(COUNTIF(_xlfn.XLOOKUP(D16,BugList!C:C,BugList!P:P), "*SC*"))&gt;0</f>
        <v>0</v>
      </c>
    </row>
    <row r="17" spans="1:16">
      <c r="A17" t="s">
        <v>207</v>
      </c>
      <c r="B17">
        <v>61</v>
      </c>
      <c r="C17" t="s">
        <v>198</v>
      </c>
      <c r="D17" t="s">
        <v>163</v>
      </c>
      <c r="E17">
        <v>6</v>
      </c>
      <c r="F17" s="43">
        <f t="shared" si="2"/>
        <v>6.0606060606060606</v>
      </c>
      <c r="G17" s="44">
        <f t="shared" si="3"/>
        <v>6</v>
      </c>
      <c r="H17" s="44">
        <f t="shared" si="0"/>
        <v>6.0606060606060552E-2</v>
      </c>
      <c r="I17" cm="1">
        <f t="array" ref="I17">INT(F17)+IF(100-SUM(INT(F$14:F$29))&gt;=RANK(H17,H$14:H$29)+COUNTIF(H$14:H17,H17)-1,1,0)</f>
        <v>6</v>
      </c>
      <c r="J17" t="b">
        <f t="shared" si="4"/>
        <v>1</v>
      </c>
      <c r="K17" t="str">
        <f t="shared" si="1"/>
        <v>Trichoptera</v>
      </c>
      <c r="L17">
        <f>_xlfn.XLOOKUP(D17,BugList!C:C,BugList!N:N)</f>
        <v>6</v>
      </c>
      <c r="M17">
        <f t="shared" si="5"/>
        <v>36</v>
      </c>
      <c r="N17" t="b">
        <f>_xlfn.XLOOKUP(D17,BugList!C:C,BugList!L:L)</f>
        <v>1</v>
      </c>
      <c r="O17" t="b">
        <f t="shared" si="6"/>
        <v>1</v>
      </c>
      <c r="P17" s="18" t="b">
        <f>SUMPRODUCT(COUNTIF(_xlfn.XLOOKUP(D17,BugList!C:C,BugList!P:P), "*SC*"))&gt;0</f>
        <v>0</v>
      </c>
    </row>
    <row r="18" spans="1:16">
      <c r="A18" t="s">
        <v>207</v>
      </c>
      <c r="B18">
        <v>61</v>
      </c>
      <c r="C18" t="s">
        <v>201</v>
      </c>
      <c r="D18" t="s">
        <v>85</v>
      </c>
      <c r="E18">
        <v>30</v>
      </c>
      <c r="F18" s="43">
        <f t="shared" si="2"/>
        <v>30.303030303030305</v>
      </c>
      <c r="G18" s="44">
        <f t="shared" si="3"/>
        <v>30</v>
      </c>
      <c r="H18" s="44">
        <f t="shared" si="0"/>
        <v>0.30303030303030454</v>
      </c>
      <c r="I18" cm="1">
        <f t="array" ref="I18">INT(F18)+IF(100-SUM(INT(F$14:F$29))&gt;=RANK(H18,H$14:H$29)+COUNTIF(H$14:H18,H18)-1,1,0)</f>
        <v>30</v>
      </c>
      <c r="J18" t="b">
        <f t="shared" si="4"/>
        <v>0</v>
      </c>
      <c r="K18" t="str">
        <f t="shared" si="1"/>
        <v/>
      </c>
      <c r="L18">
        <f>_xlfn.XLOOKUP(D18,BugList!C:C,BugList!N:N)</f>
        <v>4</v>
      </c>
      <c r="M18">
        <f t="shared" si="5"/>
        <v>120</v>
      </c>
      <c r="N18" t="b">
        <f>_xlfn.XLOOKUP(D18,BugList!C:C,BugList!L:L)</f>
        <v>0</v>
      </c>
      <c r="O18" t="b">
        <f t="shared" si="6"/>
        <v>0</v>
      </c>
      <c r="P18" s="18" t="b">
        <f>SUMPRODUCT(COUNTIF(_xlfn.XLOOKUP(D18,BugList!C:C,BugList!P:P), "*SC*"))&gt;0</f>
        <v>0</v>
      </c>
    </row>
    <row r="19" spans="1:16">
      <c r="A19" t="s">
        <v>208</v>
      </c>
      <c r="B19">
        <v>87</v>
      </c>
      <c r="C19" t="s">
        <v>200</v>
      </c>
      <c r="D19" t="s">
        <v>98</v>
      </c>
      <c r="E19">
        <v>25</v>
      </c>
      <c r="F19" s="43">
        <f t="shared" si="2"/>
        <v>12.376237623762377</v>
      </c>
      <c r="G19" s="44">
        <f t="shared" si="3"/>
        <v>12</v>
      </c>
      <c r="H19" s="44">
        <f t="shared" si="0"/>
        <v>0.37623762376237657</v>
      </c>
      <c r="I19" cm="1">
        <f t="array" ref="I19">INT(F19)+IF(100-SUM(INT(F$19:F$29))&gt;=RANK(H19,H$19:H$29)+COUNTIF(H$19:H19,H19)-1,1,0)</f>
        <v>12</v>
      </c>
      <c r="J19" t="b">
        <f t="shared" si="4"/>
        <v>0</v>
      </c>
      <c r="K19" t="str">
        <f t="shared" si="1"/>
        <v/>
      </c>
      <c r="L19">
        <f>_xlfn.XLOOKUP(D19,BugList!C:C,BugList!N:N)</f>
        <v>4</v>
      </c>
      <c r="M19">
        <f t="shared" si="5"/>
        <v>48</v>
      </c>
      <c r="N19" t="b">
        <f>_xlfn.XLOOKUP(D19,BugList!C:C,BugList!L:L)</f>
        <v>1</v>
      </c>
      <c r="O19" t="b">
        <f t="shared" si="6"/>
        <v>0</v>
      </c>
      <c r="P19" s="18" t="b">
        <f>SUMPRODUCT(COUNTIF(_xlfn.XLOOKUP(D19,BugList!C:C,BugList!P:P), "*SC*"))&gt;0</f>
        <v>1</v>
      </c>
    </row>
    <row r="20" spans="1:16">
      <c r="A20" t="s">
        <v>208</v>
      </c>
      <c r="B20">
        <v>87</v>
      </c>
      <c r="C20" t="s">
        <v>194</v>
      </c>
      <c r="D20" t="s">
        <v>90</v>
      </c>
      <c r="E20">
        <v>2</v>
      </c>
      <c r="F20" s="43">
        <f t="shared" si="2"/>
        <v>0.99009900990099009</v>
      </c>
      <c r="G20" s="44">
        <f t="shared" si="3"/>
        <v>0</v>
      </c>
      <c r="H20" s="44">
        <f t="shared" si="0"/>
        <v>0.99009900990099009</v>
      </c>
      <c r="I20" cm="1">
        <f t="array" ref="I20">INT(F20)+IF(100-SUM(INT(F$19:F$29))&gt;=RANK(H20,H$19:H$29)+COUNTIF(H$19:H20,H20)-1,1,0)</f>
        <v>1</v>
      </c>
      <c r="J20" t="b">
        <f t="shared" si="4"/>
        <v>0</v>
      </c>
      <c r="K20" t="str">
        <f t="shared" si="1"/>
        <v/>
      </c>
      <c r="L20">
        <f>_xlfn.XLOOKUP(D20,BugList!C:C,BugList!N:N)</f>
        <v>6</v>
      </c>
      <c r="M20">
        <f t="shared" si="5"/>
        <v>6</v>
      </c>
      <c r="N20" t="b">
        <f>_xlfn.XLOOKUP(D20,BugList!C:C,BugList!L:L)</f>
        <v>1</v>
      </c>
      <c r="O20" t="b">
        <f t="shared" si="6"/>
        <v>0</v>
      </c>
      <c r="P20" s="18" t="b">
        <f>SUMPRODUCT(COUNTIF(_xlfn.XLOOKUP(D20,BugList!C:C,BugList!P:P), "*SC*"))&gt;0</f>
        <v>0</v>
      </c>
    </row>
    <row r="21" spans="1:16">
      <c r="A21" t="s">
        <v>208</v>
      </c>
      <c r="B21">
        <v>87</v>
      </c>
      <c r="C21" t="s">
        <v>194</v>
      </c>
      <c r="D21" t="s">
        <v>108</v>
      </c>
      <c r="E21">
        <v>2</v>
      </c>
      <c r="F21" s="43">
        <f t="shared" si="2"/>
        <v>0.99009900990099009</v>
      </c>
      <c r="G21" s="44">
        <f t="shared" si="3"/>
        <v>0</v>
      </c>
      <c r="H21" s="44">
        <f t="shared" si="0"/>
        <v>0.99009900990099009</v>
      </c>
      <c r="I21" cm="1">
        <f t="array" ref="I21">INT(F21)+IF(100-SUM(INT(F$19:F$29))&gt;=RANK(H21,H$19:H$29)+COUNTIF(H$19:H21,H21)-1,1,0)</f>
        <v>1</v>
      </c>
      <c r="J21" t="b">
        <f t="shared" si="4"/>
        <v>0</v>
      </c>
      <c r="K21" t="str">
        <f t="shared" si="1"/>
        <v/>
      </c>
      <c r="L21">
        <f>_xlfn.XLOOKUP(D21,BugList!C:C,BugList!N:N)</f>
        <v>3</v>
      </c>
      <c r="M21">
        <f t="shared" si="5"/>
        <v>3</v>
      </c>
      <c r="N21" t="b">
        <f>_xlfn.XLOOKUP(D21,BugList!C:C,BugList!L:L)</f>
        <v>1</v>
      </c>
      <c r="O21" t="b">
        <f t="shared" si="6"/>
        <v>0</v>
      </c>
      <c r="P21" s="18" t="b">
        <f>SUMPRODUCT(COUNTIF(_xlfn.XLOOKUP(D21,BugList!C:C,BugList!P:P), "*SC*"))&gt;0</f>
        <v>0</v>
      </c>
    </row>
    <row r="22" spans="1:16">
      <c r="A22" t="s">
        <v>208</v>
      </c>
      <c r="B22">
        <v>87</v>
      </c>
      <c r="C22" t="s">
        <v>199</v>
      </c>
      <c r="D22" t="s">
        <v>154</v>
      </c>
      <c r="E22">
        <v>2</v>
      </c>
      <c r="F22" s="43">
        <f t="shared" si="2"/>
        <v>0.99009900990099009</v>
      </c>
      <c r="G22" s="44">
        <f t="shared" si="3"/>
        <v>0</v>
      </c>
      <c r="H22" s="44">
        <f>F22-G22</f>
        <v>0.99009900990099009</v>
      </c>
      <c r="I22" cm="1">
        <f t="array" ref="I22">INT(F22)+IF(100-SUM(INT(F$19:F$29))&gt;=RANK(H22,H$19:H$29)+COUNTIF(H$19:H22,H22)-1,1,0)</f>
        <v>1</v>
      </c>
      <c r="J22" t="b">
        <f t="shared" si="4"/>
        <v>1</v>
      </c>
      <c r="K22" t="str">
        <f t="shared" si="1"/>
        <v>Ephemeroptera</v>
      </c>
      <c r="L22">
        <f>_xlfn.XLOOKUP(D22,BugList!C:C,BugList!N:N)</f>
        <v>7</v>
      </c>
      <c r="M22">
        <f t="shared" si="5"/>
        <v>7</v>
      </c>
      <c r="N22" t="b">
        <f>_xlfn.XLOOKUP(D22,BugList!C:C,BugList!L:L)</f>
        <v>1</v>
      </c>
      <c r="O22" t="b">
        <f t="shared" si="6"/>
        <v>1</v>
      </c>
      <c r="P22" s="18" t="b">
        <f>SUMPRODUCT(COUNTIF(_xlfn.XLOOKUP(D22,BugList!C:C,BugList!P:P), "*SC*"))&gt;0</f>
        <v>0</v>
      </c>
    </row>
    <row r="23" spans="1:16">
      <c r="A23" t="s">
        <v>208</v>
      </c>
      <c r="B23">
        <v>87</v>
      </c>
      <c r="C23" t="s">
        <v>198</v>
      </c>
      <c r="D23" t="s">
        <v>89</v>
      </c>
      <c r="E23">
        <v>87</v>
      </c>
      <c r="F23" s="43">
        <f t="shared" si="2"/>
        <v>43.069306930693067</v>
      </c>
      <c r="G23" s="44">
        <f t="shared" si="3"/>
        <v>43</v>
      </c>
      <c r="H23" s="44">
        <f>F23-G23</f>
        <v>6.9306930693066704E-2</v>
      </c>
      <c r="I23" cm="1">
        <f t="array" ref="I23">INT(F23)+IF(100-SUM(INT(F$19:F$29))&gt;=RANK(H23,H$19:H$29)+COUNTIF(H$19:H23,H23)-1,1,0)</f>
        <v>43</v>
      </c>
      <c r="J23" t="b">
        <f t="shared" si="4"/>
        <v>1</v>
      </c>
      <c r="K23" t="str">
        <f t="shared" si="1"/>
        <v>Trichoptera</v>
      </c>
      <c r="L23">
        <f>_xlfn.XLOOKUP(D23,BugList!C:C,BugList!N:N)</f>
        <v>4</v>
      </c>
      <c r="M23">
        <f t="shared" si="5"/>
        <v>172</v>
      </c>
      <c r="N23" t="b">
        <f>_xlfn.XLOOKUP(D23,BugList!C:C,BugList!L:L)</f>
        <v>1</v>
      </c>
      <c r="O23" t="b">
        <f t="shared" si="6"/>
        <v>0</v>
      </c>
      <c r="P23" s="18" t="b">
        <f>SUMPRODUCT(COUNTIF(_xlfn.XLOOKUP(D23,BugList!C:C,BugList!P:P), "*SC*"))&gt;0</f>
        <v>0</v>
      </c>
    </row>
    <row r="24" spans="1:16">
      <c r="A24" t="s">
        <v>208</v>
      </c>
      <c r="B24">
        <v>87</v>
      </c>
      <c r="C24" t="s">
        <v>198</v>
      </c>
      <c r="D24" t="s">
        <v>107</v>
      </c>
      <c r="E24">
        <v>15</v>
      </c>
      <c r="F24" s="43">
        <f t="shared" si="2"/>
        <v>7.4257425742574252</v>
      </c>
      <c r="G24" s="44">
        <f t="shared" si="3"/>
        <v>7</v>
      </c>
      <c r="H24" s="44">
        <f t="shared" si="0"/>
        <v>0.42574257425742523</v>
      </c>
      <c r="I24" cm="1">
        <f t="array" ref="I24">INT(F24)+IF(100-SUM(INT(F$19:F$29))&gt;=RANK(H24,H$19:H$29)+COUNTIF(H$19:H24,H24)-1,1,0)</f>
        <v>7</v>
      </c>
      <c r="J24" t="b">
        <f t="shared" si="4"/>
        <v>1</v>
      </c>
      <c r="K24" t="str">
        <f t="shared" si="1"/>
        <v>Trichoptera</v>
      </c>
      <c r="L24">
        <f>_xlfn.XLOOKUP(D24,BugList!C:C,BugList!N:N)</f>
        <v>3</v>
      </c>
      <c r="M24">
        <f t="shared" si="5"/>
        <v>21</v>
      </c>
      <c r="N24" t="b">
        <f>_xlfn.XLOOKUP(D24,BugList!C:C,BugList!L:L)</f>
        <v>1</v>
      </c>
      <c r="O24" t="b">
        <f t="shared" si="6"/>
        <v>1</v>
      </c>
      <c r="P24" s="18" t="b">
        <f>SUMPRODUCT(COUNTIF(_xlfn.XLOOKUP(D24,BugList!C:C,BugList!P:P), "*SC*"))&gt;0</f>
        <v>0</v>
      </c>
    </row>
    <row r="25" spans="1:16">
      <c r="A25" t="s">
        <v>208</v>
      </c>
      <c r="B25">
        <v>87</v>
      </c>
      <c r="C25" t="s">
        <v>201</v>
      </c>
      <c r="D25" t="s">
        <v>85</v>
      </c>
      <c r="E25">
        <v>57</v>
      </c>
      <c r="F25" s="43">
        <f t="shared" si="2"/>
        <v>28.217821782178216</v>
      </c>
      <c r="G25" s="44">
        <f t="shared" si="3"/>
        <v>28</v>
      </c>
      <c r="H25" s="44">
        <f t="shared" si="0"/>
        <v>0.21782178217821624</v>
      </c>
      <c r="I25" cm="1">
        <f t="array" ref="I25">INT(F25)+IF(100-SUM(INT(F$19:F$29))&gt;=RANK(H25,H$19:H$29)+COUNTIF(H$19:H25,H25)-1,1,0)</f>
        <v>28</v>
      </c>
      <c r="J25" t="b">
        <f t="shared" si="4"/>
        <v>0</v>
      </c>
      <c r="K25" t="str">
        <f t="shared" si="1"/>
        <v/>
      </c>
      <c r="L25">
        <f>_xlfn.XLOOKUP(D25,BugList!C:C,BugList!N:N)</f>
        <v>4</v>
      </c>
      <c r="M25">
        <f t="shared" si="5"/>
        <v>112</v>
      </c>
      <c r="N25" t="b">
        <f>_xlfn.XLOOKUP(D25,BugList!C:C,BugList!L:L)</f>
        <v>0</v>
      </c>
      <c r="O25" t="b">
        <f t="shared" si="6"/>
        <v>0</v>
      </c>
      <c r="P25" s="18" t="b">
        <f>SUMPRODUCT(COUNTIF(_xlfn.XLOOKUP(D25,BugList!C:C,BugList!P:P), "*SC*"))&gt;0</f>
        <v>0</v>
      </c>
    </row>
    <row r="26" spans="1:16">
      <c r="A26" t="s">
        <v>208</v>
      </c>
      <c r="B26">
        <v>87</v>
      </c>
      <c r="C26" s="74" t="s">
        <v>202</v>
      </c>
      <c r="D26" t="s">
        <v>203</v>
      </c>
      <c r="E26">
        <v>1</v>
      </c>
      <c r="F26" s="43">
        <f t="shared" si="2"/>
        <v>0.49504950495049505</v>
      </c>
      <c r="G26" s="44">
        <f t="shared" si="3"/>
        <v>0</v>
      </c>
      <c r="H26" s="44">
        <f t="shared" si="0"/>
        <v>0.49504950495049505</v>
      </c>
      <c r="I26" cm="1">
        <f t="array" ref="I26">INT(F26)+IF(100-SUM(INT(F$19:F$29))&gt;=RANK(H26,H$19:H$29)+COUNTIF(H$19:H26,H26)-1,1,0)</f>
        <v>1</v>
      </c>
      <c r="J26" t="b">
        <f t="shared" si="4"/>
        <v>0</v>
      </c>
      <c r="K26" t="str">
        <f t="shared" si="1"/>
        <v/>
      </c>
      <c r="L26" s="71">
        <v>5</v>
      </c>
      <c r="M26">
        <f t="shared" si="5"/>
        <v>5</v>
      </c>
      <c r="N26" s="71" t="b">
        <v>0</v>
      </c>
      <c r="O26" t="b">
        <f t="shared" si="6"/>
        <v>0</v>
      </c>
      <c r="P26" s="72" t="b">
        <v>0</v>
      </c>
    </row>
    <row r="27" spans="1:16">
      <c r="A27" t="s">
        <v>208</v>
      </c>
      <c r="B27">
        <v>87</v>
      </c>
      <c r="C27" s="74" t="s">
        <v>210</v>
      </c>
      <c r="D27" t="s">
        <v>210</v>
      </c>
      <c r="E27">
        <v>9</v>
      </c>
      <c r="F27" s="43">
        <f t="shared" si="2"/>
        <v>4.455445544554455</v>
      </c>
      <c r="G27" s="44">
        <f t="shared" si="3"/>
        <v>4</v>
      </c>
      <c r="H27" s="44">
        <f t="shared" si="0"/>
        <v>0.45544554455445496</v>
      </c>
      <c r="I27" cm="1">
        <f t="array" ref="I27">INT(F27)+IF(100-SUM(INT(F$19:F$29))&gt;=RANK(H27,H$19:H$29)+COUNTIF(H$19:H27,H27)-1,1,0)</f>
        <v>4</v>
      </c>
      <c r="J27" t="b">
        <f t="shared" si="4"/>
        <v>0</v>
      </c>
      <c r="K27" t="str">
        <f t="shared" si="1"/>
        <v/>
      </c>
      <c r="L27" s="71">
        <v>8</v>
      </c>
      <c r="M27">
        <f t="shared" si="5"/>
        <v>32</v>
      </c>
      <c r="N27" s="71" t="b">
        <v>0</v>
      </c>
      <c r="O27" t="b">
        <f t="shared" si="6"/>
        <v>0</v>
      </c>
      <c r="P27" s="72" t="b">
        <v>0</v>
      </c>
    </row>
    <row r="28" spans="1:16">
      <c r="A28" t="s">
        <v>208</v>
      </c>
      <c r="B28">
        <v>87</v>
      </c>
      <c r="C28" t="s">
        <v>211</v>
      </c>
      <c r="D28" t="s">
        <v>87</v>
      </c>
      <c r="E28">
        <v>1</v>
      </c>
      <c r="F28" s="43">
        <f t="shared" si="2"/>
        <v>0.49504950495049505</v>
      </c>
      <c r="G28" s="44">
        <f t="shared" si="3"/>
        <v>0</v>
      </c>
      <c r="H28" s="44">
        <f t="shared" si="0"/>
        <v>0.49504950495049505</v>
      </c>
      <c r="I28" cm="1">
        <f t="array" ref="I28">INT(F28)+IF(100-SUM(INT(F$19:F$29))&gt;=RANK(H28,H$19:H$29)+COUNTIF(H$19:H28,H28)-1,1,0)</f>
        <v>1</v>
      </c>
      <c r="J28" t="b">
        <f t="shared" si="4"/>
        <v>0</v>
      </c>
      <c r="K28" t="str">
        <f t="shared" si="1"/>
        <v/>
      </c>
      <c r="L28">
        <f>_xlfn.XLOOKUP(D28,BugList!C:C,BugList!N:N)</f>
        <v>4</v>
      </c>
      <c r="M28">
        <f t="shared" si="5"/>
        <v>4</v>
      </c>
      <c r="N28" t="b">
        <f>_xlfn.XLOOKUP(D28,BugList!C:C,BugList!L:L)</f>
        <v>0</v>
      </c>
      <c r="O28" t="b">
        <f t="shared" si="6"/>
        <v>0</v>
      </c>
      <c r="P28" s="18" t="b">
        <f>SUMPRODUCT(COUNTIF(_xlfn.XLOOKUP(D28,BugList!C:C,BugList!P:P), "*SC*"))&gt;0</f>
        <v>0</v>
      </c>
    </row>
    <row r="29" spans="1:16">
      <c r="A29" t="s">
        <v>208</v>
      </c>
      <c r="B29">
        <v>87</v>
      </c>
      <c r="C29" t="s">
        <v>212</v>
      </c>
      <c r="D29" t="s">
        <v>159</v>
      </c>
      <c r="E29">
        <v>1</v>
      </c>
      <c r="F29" s="43">
        <f t="shared" si="2"/>
        <v>0.49504950495049505</v>
      </c>
      <c r="G29" s="44">
        <f t="shared" si="3"/>
        <v>0</v>
      </c>
      <c r="H29" s="44">
        <f t="shared" si="0"/>
        <v>0.49504950495049505</v>
      </c>
      <c r="I29" cm="1">
        <f t="array" ref="I29">INT(F29)+IF(100-SUM(INT(F$19:F$29))&gt;=RANK(H29,H$19:H$29)+COUNTIF(H$19:H29,H29)-1,1,0)</f>
        <v>1</v>
      </c>
      <c r="J29" t="b">
        <f t="shared" si="4"/>
        <v>0</v>
      </c>
      <c r="K29" t="str">
        <f t="shared" si="1"/>
        <v/>
      </c>
      <c r="L29">
        <f>_xlfn.XLOOKUP(D29,BugList!C:C,BugList!N:N)</f>
        <v>9</v>
      </c>
      <c r="M29">
        <f t="shared" si="5"/>
        <v>9</v>
      </c>
      <c r="N29" t="b">
        <f>_xlfn.XLOOKUP(D29,BugList!C:C,BugList!L:L)</f>
        <v>1</v>
      </c>
      <c r="O29" t="b">
        <f t="shared" si="6"/>
        <v>0</v>
      </c>
      <c r="P29" s="18" t="b">
        <f>SUMPRODUCT(COUNTIF(_xlfn.XLOOKUP(D29,BugList!C:C,BugList!P:P), "*SC*"))&gt;0</f>
        <v>0</v>
      </c>
    </row>
    <row r="30" spans="1:16">
      <c r="A30" t="s">
        <v>2698</v>
      </c>
      <c r="B30">
        <v>94</v>
      </c>
      <c r="C30" t="s">
        <v>200</v>
      </c>
      <c r="D30" t="s">
        <v>98</v>
      </c>
      <c r="E30">
        <v>2</v>
      </c>
      <c r="F30" s="43">
        <f t="shared" si="2"/>
        <v>1.9047619047619049</v>
      </c>
      <c r="G30" s="44">
        <f t="shared" si="3"/>
        <v>1</v>
      </c>
      <c r="H30" s="44">
        <f t="shared" si="0"/>
        <v>0.90476190476190488</v>
      </c>
      <c r="I30" cm="1">
        <f t="array" ref="I30">INT(F30)+IF(100-SUM(INT(F$30:F$39))&gt;=RANK(H30,H$30:H$39)+COUNTIF(H$30:H30,H30)-1,1,0)</f>
        <v>2</v>
      </c>
      <c r="J30" t="b">
        <f t="shared" si="4"/>
        <v>0</v>
      </c>
      <c r="K30" t="str">
        <f t="shared" si="1"/>
        <v/>
      </c>
      <c r="L30">
        <f>_xlfn.XLOOKUP(D30,BugList!C:C,BugList!N:N)</f>
        <v>4</v>
      </c>
      <c r="M30">
        <f t="shared" si="5"/>
        <v>8</v>
      </c>
      <c r="N30" t="b">
        <f>_xlfn.XLOOKUP(D30,BugList!C:C,BugList!L:L)</f>
        <v>1</v>
      </c>
      <c r="O30" t="b">
        <f t="shared" si="6"/>
        <v>0</v>
      </c>
      <c r="P30" s="18" t="b">
        <f>SUMPRODUCT(COUNTIF(_xlfn.XLOOKUP(D30,BugList!C:C,BugList!P:P), "*SC*"))&gt;0</f>
        <v>1</v>
      </c>
    </row>
    <row r="31" spans="1:16">
      <c r="A31" t="s">
        <v>2698</v>
      </c>
      <c r="B31">
        <v>94</v>
      </c>
      <c r="C31" t="s">
        <v>194</v>
      </c>
      <c r="D31" t="s">
        <v>108</v>
      </c>
      <c r="E31">
        <v>2</v>
      </c>
      <c r="F31" s="43">
        <f t="shared" si="2"/>
        <v>1.9047619047619049</v>
      </c>
      <c r="G31" s="44">
        <f t="shared" si="3"/>
        <v>1</v>
      </c>
      <c r="H31" s="44">
        <f t="shared" si="0"/>
        <v>0.90476190476190488</v>
      </c>
      <c r="I31" cm="1">
        <f t="array" ref="I31">INT(F31)+IF(100-SUM(INT(F$30:F$39))&gt;=RANK(H31,H$30:H$39)+COUNTIF(H$30:H31,H31)-1,1,0)</f>
        <v>2</v>
      </c>
      <c r="J31" t="b">
        <f t="shared" si="4"/>
        <v>0</v>
      </c>
      <c r="K31" t="str">
        <f t="shared" si="1"/>
        <v/>
      </c>
      <c r="L31">
        <f>_xlfn.XLOOKUP(D31,BugList!C:C,BugList!N:N)</f>
        <v>3</v>
      </c>
      <c r="M31">
        <f t="shared" si="5"/>
        <v>6</v>
      </c>
      <c r="N31" t="b">
        <f>_xlfn.XLOOKUP(D31,BugList!C:C,BugList!L:L)</f>
        <v>1</v>
      </c>
      <c r="O31" t="b">
        <f t="shared" si="6"/>
        <v>0</v>
      </c>
      <c r="P31" s="18" t="b">
        <f>SUMPRODUCT(COUNTIF(_xlfn.XLOOKUP(D31,BugList!C:C,BugList!P:P), "*SC*"))&gt;0</f>
        <v>0</v>
      </c>
    </row>
    <row r="32" spans="1:16">
      <c r="A32" t="s">
        <v>2698</v>
      </c>
      <c r="B32">
        <v>94</v>
      </c>
      <c r="C32" t="s">
        <v>199</v>
      </c>
      <c r="D32" t="s">
        <v>111</v>
      </c>
      <c r="E32">
        <v>1</v>
      </c>
      <c r="F32" s="43">
        <f t="shared" si="2"/>
        <v>0.95238095238095244</v>
      </c>
      <c r="G32" s="44">
        <f t="shared" si="3"/>
        <v>0</v>
      </c>
      <c r="H32" s="44">
        <f t="shared" si="0"/>
        <v>0.95238095238095244</v>
      </c>
      <c r="I32" cm="1">
        <f t="array" ref="I32">INT(F32)+IF(100-SUM(INT(F$30:F$39))&gt;=RANK(H32,H$30:H$39)+COUNTIF(H$30:H32,H32)-1,1,0)</f>
        <v>1</v>
      </c>
      <c r="J32" t="b">
        <f t="shared" si="4"/>
        <v>1</v>
      </c>
      <c r="K32" t="str">
        <f t="shared" si="1"/>
        <v>Ephemeroptera</v>
      </c>
      <c r="L32">
        <f>_xlfn.XLOOKUP(D32,BugList!C:C,BugList!N:N)</f>
        <v>4</v>
      </c>
      <c r="M32">
        <f t="shared" si="5"/>
        <v>4</v>
      </c>
      <c r="N32" t="b">
        <f>_xlfn.XLOOKUP(D32,BugList!C:C,BugList!L:L)</f>
        <v>1</v>
      </c>
      <c r="O32" t="b">
        <f t="shared" si="6"/>
        <v>1</v>
      </c>
      <c r="P32" s="18" t="b">
        <f>SUMPRODUCT(COUNTIF(_xlfn.XLOOKUP(D32,BugList!C:C,BugList!P:P), "*SC*"))&gt;0</f>
        <v>0</v>
      </c>
    </row>
    <row r="33" spans="1:16">
      <c r="A33" t="s">
        <v>2698</v>
      </c>
      <c r="B33">
        <v>94</v>
      </c>
      <c r="C33" t="s">
        <v>1225</v>
      </c>
      <c r="D33" t="s">
        <v>1226</v>
      </c>
      <c r="E33">
        <v>1</v>
      </c>
      <c r="F33" s="43">
        <f t="shared" si="2"/>
        <v>0.95238095238095244</v>
      </c>
      <c r="G33" s="44">
        <f t="shared" si="3"/>
        <v>0</v>
      </c>
      <c r="H33" s="44">
        <f t="shared" si="0"/>
        <v>0.95238095238095244</v>
      </c>
      <c r="I33" cm="1">
        <f t="array" ref="I33">INT(F33)+IF(100-SUM(INT(F$30:F$39))&gt;=RANK(H33,H$30:H$39)+COUNTIF(H$30:H33,H33)-1,1,0)</f>
        <v>1</v>
      </c>
      <c r="J33" t="b">
        <f t="shared" si="4"/>
        <v>0</v>
      </c>
      <c r="K33" t="str">
        <f t="shared" si="1"/>
        <v/>
      </c>
      <c r="L33">
        <f>_xlfn.XLOOKUP(D33,BugList!C:C,BugList!N:N)</f>
        <v>0</v>
      </c>
      <c r="M33">
        <f t="shared" si="5"/>
        <v>0</v>
      </c>
      <c r="N33" t="b">
        <f>_xlfn.XLOOKUP(D33,BugList!C:C,BugList!L:L)</f>
        <v>1</v>
      </c>
      <c r="O33" t="b">
        <f t="shared" si="6"/>
        <v>0</v>
      </c>
      <c r="P33" s="18" t="b">
        <f>SUMPRODUCT(COUNTIF(_xlfn.XLOOKUP(D33,BugList!C:C,BugList!P:P), "*SC*"))&gt;0</f>
        <v>0</v>
      </c>
    </row>
    <row r="34" spans="1:16">
      <c r="A34" t="s">
        <v>2698</v>
      </c>
      <c r="B34">
        <v>94</v>
      </c>
      <c r="C34" t="s">
        <v>212</v>
      </c>
      <c r="D34" t="s">
        <v>159</v>
      </c>
      <c r="E34">
        <v>1</v>
      </c>
      <c r="F34" s="43">
        <f t="shared" ref="F34:F65" si="7">(E34/(SUMIFS(E:E,A:A,A34))*100)</f>
        <v>0.95238095238095244</v>
      </c>
      <c r="G34" s="44">
        <f t="shared" si="3"/>
        <v>0</v>
      </c>
      <c r="H34" s="44">
        <f t="shared" si="0"/>
        <v>0.95238095238095244</v>
      </c>
      <c r="I34" cm="1">
        <f t="array" ref="I34">INT(F34)+IF(100-SUM(INT(F$30:F$39))&gt;=RANK(H34,H$30:H$39)+COUNTIF(H$30:H34,H34)-1,1,0)</f>
        <v>1</v>
      </c>
      <c r="J34" t="b">
        <f t="shared" si="4"/>
        <v>0</v>
      </c>
      <c r="K34" t="str">
        <f t="shared" si="1"/>
        <v/>
      </c>
      <c r="L34">
        <f>_xlfn.XLOOKUP(D34,BugList!C:C,BugList!N:N)</f>
        <v>9</v>
      </c>
      <c r="M34">
        <f t="shared" si="5"/>
        <v>9</v>
      </c>
      <c r="N34" t="b">
        <f>_xlfn.XLOOKUP(D34,BugList!C:C,BugList!L:L)</f>
        <v>1</v>
      </c>
      <c r="O34" t="b">
        <f t="shared" si="6"/>
        <v>0</v>
      </c>
      <c r="P34" s="18" t="b">
        <f>SUMPRODUCT(COUNTIF(_xlfn.XLOOKUP(D34,BugList!C:C,BugList!P:P), "*SC*"))&gt;0</f>
        <v>0</v>
      </c>
    </row>
    <row r="35" spans="1:16">
      <c r="A35" t="s">
        <v>2698</v>
      </c>
      <c r="B35">
        <v>94</v>
      </c>
      <c r="C35" t="s">
        <v>198</v>
      </c>
      <c r="D35" t="s">
        <v>89</v>
      </c>
      <c r="E35">
        <v>32</v>
      </c>
      <c r="F35" s="43">
        <f t="shared" si="7"/>
        <v>30.476190476190478</v>
      </c>
      <c r="G35" s="44">
        <f t="shared" si="3"/>
        <v>30</v>
      </c>
      <c r="H35" s="44">
        <f t="shared" si="0"/>
        <v>0.47619047619047805</v>
      </c>
      <c r="I35" cm="1">
        <f t="array" ref="I35">INT(F35)+IF(100-SUM(INT(F$30:F$39))&gt;=RANK(H35,H$30:H$39)+COUNTIF(H$30:H35,H35)-1,1,0)</f>
        <v>30</v>
      </c>
      <c r="J35" t="b">
        <f t="shared" si="4"/>
        <v>1</v>
      </c>
      <c r="K35" t="str">
        <f t="shared" si="1"/>
        <v>Trichoptera</v>
      </c>
      <c r="L35">
        <f>_xlfn.XLOOKUP(D35,BugList!C:C,BugList!N:N)</f>
        <v>4</v>
      </c>
      <c r="M35">
        <f t="shared" si="5"/>
        <v>120</v>
      </c>
      <c r="N35" t="b">
        <f>_xlfn.XLOOKUP(D35,BugList!C:C,BugList!L:L)</f>
        <v>1</v>
      </c>
      <c r="O35" t="b">
        <f t="shared" si="6"/>
        <v>0</v>
      </c>
      <c r="P35" s="18" t="b">
        <f>SUMPRODUCT(COUNTIF(_xlfn.XLOOKUP(D35,BugList!C:C,BugList!P:P), "*SC*"))&gt;0</f>
        <v>0</v>
      </c>
    </row>
    <row r="36" spans="1:16">
      <c r="A36" t="s">
        <v>2698</v>
      </c>
      <c r="B36">
        <v>94</v>
      </c>
      <c r="C36" t="s">
        <v>198</v>
      </c>
      <c r="D36" t="s">
        <v>107</v>
      </c>
      <c r="E36">
        <v>5</v>
      </c>
      <c r="F36" s="43">
        <f t="shared" si="7"/>
        <v>4.7619047619047619</v>
      </c>
      <c r="G36" s="44">
        <f t="shared" si="3"/>
        <v>4</v>
      </c>
      <c r="H36" s="44">
        <f t="shared" si="0"/>
        <v>0.76190476190476186</v>
      </c>
      <c r="I36" cm="1">
        <f t="array" ref="I36">INT(F36)+IF(100-SUM(INT(F$30:F$39))&gt;=RANK(H36,H$30:H$39)+COUNTIF(H$30:H36,H36)-1,1,0)</f>
        <v>5</v>
      </c>
      <c r="J36" t="b">
        <f t="shared" si="4"/>
        <v>1</v>
      </c>
      <c r="K36" t="str">
        <f t="shared" si="1"/>
        <v>Trichoptera</v>
      </c>
      <c r="L36">
        <f>_xlfn.XLOOKUP(D36,BugList!C:C,BugList!N:N)</f>
        <v>3</v>
      </c>
      <c r="M36">
        <f t="shared" si="5"/>
        <v>15</v>
      </c>
      <c r="N36" t="b">
        <f>_xlfn.XLOOKUP(D36,BugList!C:C,BugList!L:L)</f>
        <v>1</v>
      </c>
      <c r="O36" t="b">
        <f t="shared" si="6"/>
        <v>1</v>
      </c>
      <c r="P36" s="18" t="b">
        <f>SUMPRODUCT(COUNTIF(_xlfn.XLOOKUP(D36,BugList!C:C,BugList!P:P), "*SC*"))&gt;0</f>
        <v>0</v>
      </c>
    </row>
    <row r="37" spans="1:16">
      <c r="A37" t="s">
        <v>2698</v>
      </c>
      <c r="B37">
        <v>94</v>
      </c>
      <c r="C37" t="s">
        <v>201</v>
      </c>
      <c r="D37" t="s">
        <v>85</v>
      </c>
      <c r="E37">
        <v>54</v>
      </c>
      <c r="F37" s="43">
        <f t="shared" si="7"/>
        <v>51.428571428571423</v>
      </c>
      <c r="G37" s="44">
        <f t="shared" si="3"/>
        <v>51</v>
      </c>
      <c r="H37" s="44">
        <f t="shared" si="0"/>
        <v>0.4285714285714235</v>
      </c>
      <c r="I37" cm="1">
        <f t="array" ref="I37">INT(F37)+IF(100-SUM(INT(F$30:F$39))&gt;=RANK(H37,H$30:H$39)+COUNTIF(H$30:H37,H37)-1,1,0)</f>
        <v>51</v>
      </c>
      <c r="J37" t="b">
        <f t="shared" si="4"/>
        <v>0</v>
      </c>
      <c r="K37" t="str">
        <f t="shared" si="1"/>
        <v/>
      </c>
      <c r="L37">
        <f>_xlfn.XLOOKUP(D37,BugList!C:C,BugList!N:N)</f>
        <v>4</v>
      </c>
      <c r="M37">
        <f t="shared" si="5"/>
        <v>204</v>
      </c>
      <c r="N37" t="b">
        <f>_xlfn.XLOOKUP(D37,BugList!C:C,BugList!L:L)</f>
        <v>0</v>
      </c>
      <c r="O37" t="b">
        <f t="shared" si="6"/>
        <v>0</v>
      </c>
      <c r="P37" s="18" t="b">
        <f>SUMPRODUCT(COUNTIF(_xlfn.XLOOKUP(D37,BugList!C:C,BugList!P:P), "*SC*"))&gt;0</f>
        <v>0</v>
      </c>
    </row>
    <row r="38" spans="1:16">
      <c r="A38" t="s">
        <v>2698</v>
      </c>
      <c r="B38">
        <v>94</v>
      </c>
      <c r="C38" t="s">
        <v>210</v>
      </c>
      <c r="D38" t="s">
        <v>210</v>
      </c>
      <c r="E38">
        <v>6</v>
      </c>
      <c r="F38" s="43">
        <f t="shared" si="7"/>
        <v>5.7142857142857144</v>
      </c>
      <c r="G38" s="44">
        <f t="shared" si="3"/>
        <v>5</v>
      </c>
      <c r="H38" s="44">
        <f t="shared" si="0"/>
        <v>0.71428571428571441</v>
      </c>
      <c r="I38" cm="1">
        <f t="array" ref="I38">INT(F38)+IF(100-SUM(INT(F$30:F$39))&gt;=RANK(H38,H$30:H$39)+COUNTIF(H$30:H38,H38)-1,1,0)</f>
        <v>6</v>
      </c>
      <c r="J38" t="b">
        <f t="shared" si="4"/>
        <v>0</v>
      </c>
      <c r="K38" t="str">
        <f t="shared" si="1"/>
        <v/>
      </c>
      <c r="L38" s="71">
        <v>8</v>
      </c>
      <c r="M38">
        <f t="shared" si="5"/>
        <v>48</v>
      </c>
      <c r="N38" s="71" t="b">
        <v>0</v>
      </c>
      <c r="O38" t="b">
        <f t="shared" si="6"/>
        <v>0</v>
      </c>
      <c r="P38" s="72" t="b">
        <v>0</v>
      </c>
    </row>
    <row r="39" spans="1:16">
      <c r="A39" t="s">
        <v>2698</v>
      </c>
      <c r="B39">
        <v>94</v>
      </c>
      <c r="C39" t="s">
        <v>94</v>
      </c>
      <c r="D39" t="s">
        <v>94</v>
      </c>
      <c r="E39">
        <v>1</v>
      </c>
      <c r="F39" s="43">
        <f t="shared" si="7"/>
        <v>0.95238095238095244</v>
      </c>
      <c r="G39" s="44">
        <f t="shared" si="3"/>
        <v>0</v>
      </c>
      <c r="H39" s="44">
        <f t="shared" si="0"/>
        <v>0.95238095238095244</v>
      </c>
      <c r="I39" cm="1">
        <f t="array" ref="I39">INT(F39)+IF(100-SUM(INT(F$30:F$39))&gt;=RANK(H39,H$30:H$39)+COUNTIF(H$30:H39,H39)-1,1,0)</f>
        <v>1</v>
      </c>
      <c r="J39" t="b">
        <f t="shared" si="4"/>
        <v>0</v>
      </c>
      <c r="K39" t="str">
        <f t="shared" si="1"/>
        <v/>
      </c>
      <c r="L39">
        <f>_xlfn.XLOOKUP(D39,BugList!C:C,BugList!N:N)</f>
        <v>8</v>
      </c>
      <c r="M39">
        <f t="shared" si="5"/>
        <v>8</v>
      </c>
      <c r="N39" t="b">
        <f>_xlfn.XLOOKUP(D39,BugList!C:C,BugList!L:L)</f>
        <v>0</v>
      </c>
      <c r="O39" t="b">
        <f t="shared" si="6"/>
        <v>0</v>
      </c>
      <c r="P39" s="18" t="b">
        <f>SUMPRODUCT(COUNTIF(_xlfn.XLOOKUP(D39,BugList!C:C,BugList!P:P), "*SC*"))&gt;0</f>
        <v>0</v>
      </c>
    </row>
    <row r="40" spans="1:16">
      <c r="A40" t="s">
        <v>2700</v>
      </c>
      <c r="B40">
        <v>100</v>
      </c>
      <c r="C40" t="s">
        <v>200</v>
      </c>
      <c r="D40" t="s">
        <v>100</v>
      </c>
      <c r="E40">
        <v>1</v>
      </c>
      <c r="F40" s="43">
        <f t="shared" si="7"/>
        <v>0.93457943925233633</v>
      </c>
      <c r="G40" s="44">
        <f t="shared" si="3"/>
        <v>0</v>
      </c>
      <c r="H40" s="44">
        <f t="shared" si="0"/>
        <v>0.93457943925233633</v>
      </c>
      <c r="I40" cm="1">
        <f t="array" ref="I40">INT(F40)+IF(100-SUM(INT(F$40:F$45))&gt;=RANK(H40,H$40:H$45)+COUNTIF(H$40:H40,H40)-1,1,0)</f>
        <v>1</v>
      </c>
      <c r="J40" t="b">
        <f t="shared" si="4"/>
        <v>0</v>
      </c>
      <c r="K40" t="str">
        <f t="shared" si="1"/>
        <v/>
      </c>
      <c r="L40">
        <f>_xlfn.XLOOKUP(D40,BugList!C:C,BugList!N:N)</f>
        <v>4</v>
      </c>
      <c r="M40">
        <f t="shared" si="5"/>
        <v>4</v>
      </c>
      <c r="N40" t="b">
        <f>_xlfn.XLOOKUP(D40,BugList!C:C,BugList!L:L)</f>
        <v>1</v>
      </c>
      <c r="O40" t="b">
        <f t="shared" si="6"/>
        <v>0</v>
      </c>
      <c r="P40" s="18" t="b">
        <f>SUMPRODUCT(COUNTIF(_xlfn.XLOOKUP(D40,BugList!C:C,BugList!P:P), "*SC*"))&gt;0</f>
        <v>1</v>
      </c>
    </row>
    <row r="41" spans="1:16">
      <c r="A41" t="s">
        <v>2700</v>
      </c>
      <c r="B41">
        <v>100</v>
      </c>
      <c r="C41" t="s">
        <v>194</v>
      </c>
      <c r="D41" t="s">
        <v>108</v>
      </c>
      <c r="E41">
        <v>1</v>
      </c>
      <c r="F41" s="43">
        <f t="shared" si="7"/>
        <v>0.93457943925233633</v>
      </c>
      <c r="G41" s="44">
        <f t="shared" si="3"/>
        <v>0</v>
      </c>
      <c r="H41" s="44">
        <f t="shared" si="0"/>
        <v>0.93457943925233633</v>
      </c>
      <c r="I41" cm="1">
        <f t="array" ref="I41">INT(F41)+IF(100-SUM(INT(F$40:F$45))&gt;=RANK(H41,H$40:H$45)+COUNTIF(H$40:H41,H41)-1,1,0)</f>
        <v>1</v>
      </c>
      <c r="J41" t="b">
        <f t="shared" si="4"/>
        <v>0</v>
      </c>
      <c r="K41" t="str">
        <f t="shared" si="1"/>
        <v/>
      </c>
      <c r="L41">
        <f>_xlfn.XLOOKUP(D41,BugList!C:C,BugList!N:N)</f>
        <v>3</v>
      </c>
      <c r="M41">
        <f t="shared" si="5"/>
        <v>3</v>
      </c>
      <c r="N41" t="b">
        <f>_xlfn.XLOOKUP(D41,BugList!C:C,BugList!L:L)</f>
        <v>1</v>
      </c>
      <c r="O41" t="b">
        <f t="shared" si="6"/>
        <v>0</v>
      </c>
      <c r="P41" s="18" t="b">
        <f>SUMPRODUCT(COUNTIF(_xlfn.XLOOKUP(D41,BugList!C:C,BugList!P:P), "*SC*"))&gt;0</f>
        <v>0</v>
      </c>
    </row>
    <row r="42" spans="1:16">
      <c r="A42" t="s">
        <v>2700</v>
      </c>
      <c r="B42">
        <v>100</v>
      </c>
      <c r="C42" t="s">
        <v>198</v>
      </c>
      <c r="D42" t="s">
        <v>89</v>
      </c>
      <c r="E42">
        <v>5</v>
      </c>
      <c r="F42" s="43">
        <f t="shared" si="7"/>
        <v>4.6728971962616823</v>
      </c>
      <c r="G42" s="44">
        <f t="shared" si="3"/>
        <v>4</v>
      </c>
      <c r="H42" s="44">
        <f t="shared" si="0"/>
        <v>0.67289719626168232</v>
      </c>
      <c r="I42" cm="1">
        <f t="array" ref="I42">INT(F42)+IF(100-SUM(INT(F$40:F$45))&gt;=RANK(H42,H$40:H$45)+COUNTIF(H$40:H42,H42)-1,1,0)</f>
        <v>5</v>
      </c>
      <c r="J42" t="b">
        <f t="shared" si="4"/>
        <v>1</v>
      </c>
      <c r="K42" t="str">
        <f t="shared" si="1"/>
        <v>Trichoptera</v>
      </c>
      <c r="L42">
        <f>_xlfn.XLOOKUP(D42,BugList!C:C,BugList!N:N)</f>
        <v>4</v>
      </c>
      <c r="M42">
        <f t="shared" si="5"/>
        <v>20</v>
      </c>
      <c r="N42" t="b">
        <f>_xlfn.XLOOKUP(D42,BugList!C:C,BugList!L:L)</f>
        <v>1</v>
      </c>
      <c r="O42" t="b">
        <f t="shared" si="6"/>
        <v>0</v>
      </c>
      <c r="P42" s="18" t="b">
        <f>SUMPRODUCT(COUNTIF(_xlfn.XLOOKUP(D42,BugList!C:C,BugList!P:P), "*SC*"))&gt;0</f>
        <v>0</v>
      </c>
    </row>
    <row r="43" spans="1:16">
      <c r="A43" t="s">
        <v>2700</v>
      </c>
      <c r="B43">
        <v>100</v>
      </c>
      <c r="C43" t="s">
        <v>201</v>
      </c>
      <c r="D43" t="s">
        <v>85</v>
      </c>
      <c r="E43">
        <v>85</v>
      </c>
      <c r="F43" s="43">
        <f t="shared" si="7"/>
        <v>79.43925233644859</v>
      </c>
      <c r="G43" s="44">
        <f t="shared" si="3"/>
        <v>79</v>
      </c>
      <c r="H43" s="44">
        <f t="shared" si="0"/>
        <v>0.43925233644858963</v>
      </c>
      <c r="I43" cm="1">
        <f t="array" ref="I43">INT(F43)+IF(100-SUM(INT(F$40:F$45))&gt;=RANK(H43,H$40:H$45)+COUNTIF(H$40:H43,H43)-1,1,0)</f>
        <v>79</v>
      </c>
      <c r="J43" t="b">
        <f t="shared" si="4"/>
        <v>0</v>
      </c>
      <c r="K43" t="str">
        <f t="shared" si="1"/>
        <v/>
      </c>
      <c r="L43">
        <f>_xlfn.XLOOKUP(D43,BugList!C:C,BugList!N:N)</f>
        <v>4</v>
      </c>
      <c r="M43">
        <f t="shared" si="5"/>
        <v>316</v>
      </c>
      <c r="N43" t="b">
        <f>_xlfn.XLOOKUP(D43,BugList!C:C,BugList!L:L)</f>
        <v>0</v>
      </c>
      <c r="O43" t="b">
        <f t="shared" si="6"/>
        <v>0</v>
      </c>
      <c r="P43" s="18" t="b">
        <f>SUMPRODUCT(COUNTIF(_xlfn.XLOOKUP(D43,BugList!C:C,BugList!P:P), "*SC*"))&gt;0</f>
        <v>0</v>
      </c>
    </row>
    <row r="44" spans="1:16">
      <c r="A44" t="s">
        <v>2700</v>
      </c>
      <c r="B44">
        <v>100</v>
      </c>
      <c r="C44" t="s">
        <v>210</v>
      </c>
      <c r="D44" t="s">
        <v>210</v>
      </c>
      <c r="E44">
        <v>1</v>
      </c>
      <c r="F44" s="43">
        <f t="shared" si="7"/>
        <v>0.93457943925233633</v>
      </c>
      <c r="G44" s="44">
        <f t="shared" si="3"/>
        <v>0</v>
      </c>
      <c r="H44" s="44">
        <f t="shared" si="0"/>
        <v>0.93457943925233633</v>
      </c>
      <c r="I44" cm="1">
        <f t="array" ref="I44">INT(F44)+IF(100-SUM(INT(F$40:F$45))&gt;=RANK(H44,H$40:H$45)+COUNTIF(H$40:H44,H44)-1,1,0)</f>
        <v>1</v>
      </c>
      <c r="J44" t="b">
        <f t="shared" si="4"/>
        <v>0</v>
      </c>
      <c r="K44" t="str">
        <f t="shared" si="1"/>
        <v/>
      </c>
      <c r="L44" s="71">
        <v>8</v>
      </c>
      <c r="M44">
        <f t="shared" si="5"/>
        <v>8</v>
      </c>
      <c r="N44" s="71" t="b">
        <v>0</v>
      </c>
      <c r="O44" t="b">
        <f t="shared" si="6"/>
        <v>0</v>
      </c>
      <c r="P44" s="72" t="b">
        <v>0</v>
      </c>
    </row>
    <row r="45" spans="1:16">
      <c r="A45" t="s">
        <v>2700</v>
      </c>
      <c r="B45">
        <v>100</v>
      </c>
      <c r="C45" t="s">
        <v>94</v>
      </c>
      <c r="D45" s="85" t="s">
        <v>94</v>
      </c>
      <c r="E45">
        <v>14</v>
      </c>
      <c r="F45" s="43">
        <f t="shared" si="7"/>
        <v>13.084112149532709</v>
      </c>
      <c r="G45" s="44">
        <f t="shared" si="3"/>
        <v>13</v>
      </c>
      <c r="H45" s="44">
        <f t="shared" si="0"/>
        <v>8.4112149532709068E-2</v>
      </c>
      <c r="I45" cm="1">
        <f t="array" ref="I45">INT(F45)+IF(100-SUM(INT(F$40:F$45))&gt;=RANK(H45,H$40:H$45)+COUNTIF(H$40:H45,H45)-1,1,0)</f>
        <v>13</v>
      </c>
      <c r="J45" t="b">
        <f t="shared" si="4"/>
        <v>0</v>
      </c>
      <c r="K45" t="str">
        <f t="shared" si="1"/>
        <v/>
      </c>
      <c r="L45">
        <f>_xlfn.XLOOKUP(D45,BugList!C:C,BugList!N:N)</f>
        <v>8</v>
      </c>
      <c r="M45">
        <f t="shared" si="5"/>
        <v>104</v>
      </c>
      <c r="N45" t="b">
        <f>_xlfn.XLOOKUP(D45,BugList!C:C,BugList!L:L)</f>
        <v>0</v>
      </c>
      <c r="O45" t="b">
        <f t="shared" si="6"/>
        <v>0</v>
      </c>
      <c r="P45" s="18" t="b">
        <f>SUMPRODUCT(COUNTIF(_xlfn.XLOOKUP(D45,BugList!C:C,BugList!P:P), "*SC*"))&gt;0</f>
        <v>0</v>
      </c>
    </row>
    <row r="46" spans="1:16">
      <c r="A46" t="s">
        <v>2701</v>
      </c>
      <c r="B46">
        <v>110</v>
      </c>
      <c r="C46" t="s">
        <v>200</v>
      </c>
      <c r="D46" t="s">
        <v>98</v>
      </c>
      <c r="E46">
        <v>8</v>
      </c>
      <c r="F46" s="43">
        <f t="shared" si="7"/>
        <v>7.8431372549019605</v>
      </c>
      <c r="G46" s="44">
        <f t="shared" si="3"/>
        <v>7</v>
      </c>
      <c r="H46" s="44">
        <f t="shared" si="0"/>
        <v>0.84313725490196045</v>
      </c>
      <c r="I46" cm="1">
        <f t="array" ref="I46">INT(F46)+IF(100-SUM(INT(F$46:F$54))&gt;=RANK(H46,H$46:H$54)+COUNTIF(H$46:H46,H46)-1,1,0)</f>
        <v>8</v>
      </c>
      <c r="J46" t="b">
        <f t="shared" si="4"/>
        <v>0</v>
      </c>
      <c r="K46" t="str">
        <f t="shared" si="1"/>
        <v/>
      </c>
      <c r="L46">
        <f>_xlfn.XLOOKUP(D46,BugList!C:C,BugList!N:N)</f>
        <v>4</v>
      </c>
      <c r="M46">
        <f t="shared" si="5"/>
        <v>32</v>
      </c>
      <c r="N46" t="b">
        <f>_xlfn.XLOOKUP(D46,BugList!C:C,BugList!L:L)</f>
        <v>1</v>
      </c>
      <c r="O46" t="b">
        <f t="shared" si="6"/>
        <v>0</v>
      </c>
      <c r="P46" s="18" t="b">
        <f>SUMPRODUCT(COUNTIF(_xlfn.XLOOKUP(D46,BugList!C:C,BugList!P:P), "*SC*"))&gt;0</f>
        <v>1</v>
      </c>
    </row>
    <row r="47" spans="1:16">
      <c r="A47" t="s">
        <v>2701</v>
      </c>
      <c r="B47">
        <v>110</v>
      </c>
      <c r="C47" t="s">
        <v>200</v>
      </c>
      <c r="D47" t="s">
        <v>100</v>
      </c>
      <c r="E47">
        <v>1</v>
      </c>
      <c r="F47" s="43">
        <f t="shared" si="7"/>
        <v>0.98039215686274506</v>
      </c>
      <c r="G47" s="44">
        <f t="shared" si="3"/>
        <v>0</v>
      </c>
      <c r="H47" s="44">
        <f t="shared" si="0"/>
        <v>0.98039215686274506</v>
      </c>
      <c r="I47" cm="1">
        <f t="array" ref="I47">INT(F47)+IF(100-SUM(INT(F$46:F$54))&gt;=RANK(H47,H$46:H$54)+COUNTIF(H$46:H47,H47)-1,1,0)</f>
        <v>1</v>
      </c>
      <c r="J47" t="b">
        <f t="shared" si="4"/>
        <v>0</v>
      </c>
      <c r="K47" t="str">
        <f t="shared" si="1"/>
        <v/>
      </c>
      <c r="L47">
        <f>_xlfn.XLOOKUP(D47,BugList!C:C,BugList!N:N)</f>
        <v>4</v>
      </c>
      <c r="M47">
        <f t="shared" si="5"/>
        <v>4</v>
      </c>
      <c r="N47" t="b">
        <f>_xlfn.XLOOKUP(D47,BugList!C:C,BugList!L:L)</f>
        <v>1</v>
      </c>
      <c r="O47" t="b">
        <f t="shared" si="6"/>
        <v>0</v>
      </c>
      <c r="P47" s="18" t="b">
        <f>SUMPRODUCT(COUNTIF(_xlfn.XLOOKUP(D47,BugList!C:C,BugList!P:P), "*SC*"))&gt;0</f>
        <v>1</v>
      </c>
    </row>
    <row r="48" spans="1:16">
      <c r="A48" t="s">
        <v>2701</v>
      </c>
      <c r="B48">
        <v>110</v>
      </c>
      <c r="C48" t="s">
        <v>194</v>
      </c>
      <c r="D48" t="s">
        <v>108</v>
      </c>
      <c r="E48">
        <v>5</v>
      </c>
      <c r="F48" s="43">
        <f t="shared" si="7"/>
        <v>4.9019607843137258</v>
      </c>
      <c r="G48" s="44">
        <f t="shared" si="3"/>
        <v>4</v>
      </c>
      <c r="H48" s="44">
        <f t="shared" si="0"/>
        <v>0.90196078431372584</v>
      </c>
      <c r="I48" cm="1">
        <f t="array" ref="I48">INT(F48)+IF(100-SUM(INT(F$46:F$54))&gt;=RANK(H48,H$46:H$54)+COUNTIF(H$46:H48,H48)-1,1,0)</f>
        <v>5</v>
      </c>
      <c r="J48" t="b">
        <f t="shared" si="4"/>
        <v>0</v>
      </c>
      <c r="K48" t="str">
        <f t="shared" si="1"/>
        <v/>
      </c>
      <c r="L48">
        <f>_xlfn.XLOOKUP(D48,BugList!C:C,BugList!N:N)</f>
        <v>3</v>
      </c>
      <c r="M48">
        <f t="shared" si="5"/>
        <v>15</v>
      </c>
      <c r="N48" t="b">
        <f>_xlfn.XLOOKUP(D48,BugList!C:C,BugList!L:L)</f>
        <v>1</v>
      </c>
      <c r="O48" t="b">
        <f t="shared" si="6"/>
        <v>0</v>
      </c>
      <c r="P48" s="18" t="b">
        <f>SUMPRODUCT(COUNTIF(_xlfn.XLOOKUP(D48,BugList!C:C,BugList!P:P), "*SC*"))&gt;0</f>
        <v>0</v>
      </c>
    </row>
    <row r="49" spans="1:16">
      <c r="A49" t="s">
        <v>2701</v>
      </c>
      <c r="B49">
        <v>110</v>
      </c>
      <c r="C49" t="s">
        <v>212</v>
      </c>
      <c r="D49" t="s">
        <v>1179</v>
      </c>
      <c r="E49">
        <v>1</v>
      </c>
      <c r="F49" s="43">
        <f t="shared" si="7"/>
        <v>0.98039215686274506</v>
      </c>
      <c r="G49" s="44">
        <f t="shared" si="3"/>
        <v>0</v>
      </c>
      <c r="H49" s="44">
        <f t="shared" si="0"/>
        <v>0.98039215686274506</v>
      </c>
      <c r="I49" cm="1">
        <f t="array" ref="I49">INT(F49)+IF(100-SUM(INT(F$46:F$54))&gt;=RANK(H49,H$46:H$54)+COUNTIF(H$46:H49,H49)-1,1,0)</f>
        <v>1</v>
      </c>
      <c r="J49" t="b">
        <f t="shared" si="4"/>
        <v>0</v>
      </c>
      <c r="K49" t="str">
        <f t="shared" si="1"/>
        <v/>
      </c>
      <c r="L49">
        <f>_xlfn.XLOOKUP(D49,BugList!C:C,BugList!N:N)</f>
        <v>8</v>
      </c>
      <c r="M49">
        <f t="shared" si="5"/>
        <v>8</v>
      </c>
      <c r="N49" t="b">
        <f>_xlfn.XLOOKUP(D49,BugList!C:C,BugList!L:L)</f>
        <v>1</v>
      </c>
      <c r="O49" t="b">
        <f t="shared" si="6"/>
        <v>0</v>
      </c>
      <c r="P49" s="18" t="b">
        <f>SUMPRODUCT(COUNTIF(_xlfn.XLOOKUP(D49,BugList!C:C,BugList!P:P), "*SC*"))&gt;0</f>
        <v>0</v>
      </c>
    </row>
    <row r="50" spans="1:16">
      <c r="A50" t="s">
        <v>2701</v>
      </c>
      <c r="B50">
        <v>110</v>
      </c>
      <c r="C50" t="s">
        <v>198</v>
      </c>
      <c r="D50" t="s">
        <v>163</v>
      </c>
      <c r="E50">
        <v>1</v>
      </c>
      <c r="F50" s="43">
        <f t="shared" si="7"/>
        <v>0.98039215686274506</v>
      </c>
      <c r="G50" s="44">
        <f t="shared" si="3"/>
        <v>0</v>
      </c>
      <c r="H50" s="44">
        <f t="shared" si="0"/>
        <v>0.98039215686274506</v>
      </c>
      <c r="I50" cm="1">
        <f t="array" ref="I50">INT(F50)+IF(100-SUM(INT(F$46:F$54))&gt;=RANK(H50,H$46:H$54)+COUNTIF(H$46:H50,H50)-1,1,0)</f>
        <v>1</v>
      </c>
      <c r="J50" t="b">
        <f t="shared" si="4"/>
        <v>1</v>
      </c>
      <c r="K50" t="str">
        <f t="shared" si="1"/>
        <v>Trichoptera</v>
      </c>
      <c r="L50">
        <f>_xlfn.XLOOKUP(D50,BugList!C:C,BugList!N:N)</f>
        <v>6</v>
      </c>
      <c r="M50">
        <f t="shared" si="5"/>
        <v>6</v>
      </c>
      <c r="N50" t="b">
        <f>_xlfn.XLOOKUP(D50,BugList!C:C,BugList!L:L)</f>
        <v>1</v>
      </c>
      <c r="O50" t="b">
        <f t="shared" si="6"/>
        <v>1</v>
      </c>
      <c r="P50" s="18" t="b">
        <f>SUMPRODUCT(COUNTIF(_xlfn.XLOOKUP(D50,BugList!C:C,BugList!P:P), "*SC*"))&gt;0</f>
        <v>0</v>
      </c>
    </row>
    <row r="51" spans="1:16">
      <c r="A51" t="s">
        <v>2701</v>
      </c>
      <c r="B51">
        <v>110</v>
      </c>
      <c r="C51" t="s">
        <v>201</v>
      </c>
      <c r="D51" t="s">
        <v>85</v>
      </c>
      <c r="E51">
        <v>74</v>
      </c>
      <c r="F51" s="43">
        <f t="shared" si="7"/>
        <v>72.549019607843135</v>
      </c>
      <c r="G51" s="44">
        <f t="shared" si="3"/>
        <v>72</v>
      </c>
      <c r="H51" s="44">
        <f t="shared" si="0"/>
        <v>0.5490196078431353</v>
      </c>
      <c r="I51" cm="1">
        <f t="array" ref="I51">INT(F51)+IF(100-SUM(INT(F$46:F$54))&gt;=RANK(H51,H$46:H$54)+COUNTIF(H$46:H51,H51)-1,1,0)</f>
        <v>72</v>
      </c>
      <c r="J51" t="b">
        <f t="shared" si="4"/>
        <v>0</v>
      </c>
      <c r="K51" t="str">
        <f t="shared" si="1"/>
        <v/>
      </c>
      <c r="L51">
        <f>_xlfn.XLOOKUP(D51,BugList!C:C,BugList!N:N)</f>
        <v>4</v>
      </c>
      <c r="M51">
        <f t="shared" si="5"/>
        <v>288</v>
      </c>
      <c r="N51" t="b">
        <f>_xlfn.XLOOKUP(D51,BugList!C:C,BugList!L:L)</f>
        <v>0</v>
      </c>
      <c r="O51" t="b">
        <f t="shared" si="6"/>
        <v>0</v>
      </c>
      <c r="P51" s="18" t="b">
        <f>SUMPRODUCT(COUNTIF(_xlfn.XLOOKUP(D51,BugList!C:C,BugList!P:P), "*SC*"))&gt;0</f>
        <v>0</v>
      </c>
    </row>
    <row r="52" spans="1:16">
      <c r="A52" t="s">
        <v>2701</v>
      </c>
      <c r="B52">
        <v>110</v>
      </c>
      <c r="C52" t="s">
        <v>202</v>
      </c>
      <c r="D52" t="s">
        <v>203</v>
      </c>
      <c r="E52">
        <v>1</v>
      </c>
      <c r="F52" s="43">
        <f t="shared" si="7"/>
        <v>0.98039215686274506</v>
      </c>
      <c r="G52" s="44">
        <f t="shared" si="3"/>
        <v>0</v>
      </c>
      <c r="H52" s="44">
        <f t="shared" si="0"/>
        <v>0.98039215686274506</v>
      </c>
      <c r="I52" cm="1">
        <f t="array" ref="I52">INT(F52)+IF(100-SUM(INT(F$46:F$54))&gt;=RANK(H52,H$46:H$54)+COUNTIF(H$46:H52,H52)-1,1,0)</f>
        <v>1</v>
      </c>
      <c r="J52" t="b">
        <f t="shared" si="4"/>
        <v>0</v>
      </c>
      <c r="K52" t="str">
        <f t="shared" si="1"/>
        <v/>
      </c>
      <c r="L52" s="71">
        <v>5</v>
      </c>
      <c r="M52">
        <f t="shared" si="5"/>
        <v>5</v>
      </c>
      <c r="N52" s="71" t="b">
        <v>0</v>
      </c>
      <c r="O52" t="b">
        <f t="shared" si="6"/>
        <v>0</v>
      </c>
      <c r="P52" s="72" t="b">
        <v>0</v>
      </c>
    </row>
    <row r="53" spans="1:16">
      <c r="A53" t="s">
        <v>2701</v>
      </c>
      <c r="B53">
        <v>110</v>
      </c>
      <c r="C53" t="s">
        <v>210</v>
      </c>
      <c r="D53" t="s">
        <v>210</v>
      </c>
      <c r="E53">
        <v>10</v>
      </c>
      <c r="F53" s="43">
        <f t="shared" si="7"/>
        <v>9.8039215686274517</v>
      </c>
      <c r="G53" s="44">
        <f t="shared" si="3"/>
        <v>9</v>
      </c>
      <c r="H53" s="44">
        <f t="shared" si="0"/>
        <v>0.80392156862745168</v>
      </c>
      <c r="I53" cm="1">
        <f t="array" ref="I53">INT(F53)+IF(100-SUM(INT(F$46:F$54))&gt;=RANK(H53,H$46:H$54)+COUNTIF(H$46:H53,H53)-1,1,0)</f>
        <v>10</v>
      </c>
      <c r="J53" t="b">
        <f t="shared" si="4"/>
        <v>0</v>
      </c>
      <c r="K53" t="str">
        <f t="shared" si="1"/>
        <v/>
      </c>
      <c r="L53" s="71">
        <v>8</v>
      </c>
      <c r="M53">
        <f t="shared" si="5"/>
        <v>80</v>
      </c>
      <c r="N53" s="71" t="b">
        <v>0</v>
      </c>
      <c r="O53" t="b">
        <f t="shared" si="6"/>
        <v>0</v>
      </c>
      <c r="P53" s="72" t="b">
        <v>0</v>
      </c>
    </row>
    <row r="54" spans="1:16">
      <c r="A54" t="s">
        <v>2701</v>
      </c>
      <c r="B54">
        <v>110</v>
      </c>
      <c r="C54" t="s">
        <v>119</v>
      </c>
      <c r="D54" t="s">
        <v>542</v>
      </c>
      <c r="E54">
        <v>1</v>
      </c>
      <c r="F54" s="43">
        <f t="shared" si="7"/>
        <v>0.98039215686274506</v>
      </c>
      <c r="G54" s="44">
        <f t="shared" si="3"/>
        <v>0</v>
      </c>
      <c r="H54" s="44">
        <f t="shared" si="0"/>
        <v>0.98039215686274506</v>
      </c>
      <c r="I54" cm="1">
        <f t="array" ref="I54">INT(F54)+IF(100-SUM(INT(F$46:F$54))&gt;=RANK(H54,H$46:H$54)+COUNTIF(H$46:H54,H54)-1,1,0)</f>
        <v>1</v>
      </c>
      <c r="J54" t="b">
        <f t="shared" si="4"/>
        <v>0</v>
      </c>
      <c r="K54" t="str">
        <f t="shared" si="1"/>
        <v/>
      </c>
      <c r="L54" s="71">
        <v>4</v>
      </c>
      <c r="M54">
        <f t="shared" si="5"/>
        <v>4</v>
      </c>
      <c r="N54" s="71" t="b">
        <v>0</v>
      </c>
      <c r="O54" t="b">
        <f t="shared" si="6"/>
        <v>0</v>
      </c>
      <c r="P54" s="72" t="b">
        <v>0</v>
      </c>
    </row>
    <row r="55" spans="1:16">
      <c r="A55" t="s">
        <v>2702</v>
      </c>
      <c r="B55">
        <v>124</v>
      </c>
      <c r="C55" t="s">
        <v>200</v>
      </c>
      <c r="D55" t="s">
        <v>98</v>
      </c>
      <c r="E55">
        <v>11</v>
      </c>
      <c r="F55" s="43">
        <f t="shared" si="7"/>
        <v>8.3333333333333321</v>
      </c>
      <c r="G55" s="44">
        <f t="shared" si="3"/>
        <v>8</v>
      </c>
      <c r="H55" s="44">
        <f t="shared" si="0"/>
        <v>0.33333333333333215</v>
      </c>
      <c r="I55" cm="1">
        <f t="array" ref="I55">INT(F55)+IF(100-SUM(INT(F$55:F$62))&gt;=RANK(H55,H$55:H$62)+COUNTIF(H$55:H55,H55)-1,1,0)</f>
        <v>8</v>
      </c>
      <c r="J55" t="b">
        <f t="shared" si="4"/>
        <v>0</v>
      </c>
      <c r="K55" t="str">
        <f t="shared" si="1"/>
        <v/>
      </c>
      <c r="L55">
        <f>_xlfn.XLOOKUP(D55,BugList!C:C,BugList!N:N)</f>
        <v>4</v>
      </c>
      <c r="M55">
        <f t="shared" si="5"/>
        <v>32</v>
      </c>
      <c r="N55" t="b">
        <f>_xlfn.XLOOKUP(D55,BugList!C:C,BugList!L:L)</f>
        <v>1</v>
      </c>
      <c r="O55" t="b">
        <f t="shared" si="6"/>
        <v>0</v>
      </c>
      <c r="P55" s="18" t="b">
        <f>SUMPRODUCT(COUNTIF(_xlfn.XLOOKUP(D55,BugList!C:C,BugList!P:P), "*SC*"))&gt;0</f>
        <v>1</v>
      </c>
    </row>
    <row r="56" spans="1:16">
      <c r="A56" t="s">
        <v>2702</v>
      </c>
      <c r="B56">
        <v>124</v>
      </c>
      <c r="C56" t="s">
        <v>199</v>
      </c>
      <c r="D56" t="s">
        <v>111</v>
      </c>
      <c r="E56">
        <v>2</v>
      </c>
      <c r="F56" s="43">
        <f t="shared" si="7"/>
        <v>1.5151515151515151</v>
      </c>
      <c r="G56" s="44">
        <f t="shared" si="3"/>
        <v>1</v>
      </c>
      <c r="H56" s="44">
        <f t="shared" si="0"/>
        <v>0.51515151515151514</v>
      </c>
      <c r="I56" cm="1">
        <f t="array" ref="I56">INT(F56)+IF(100-SUM(INT(F$55:F$62))&gt;=RANK(H56,H$55:H$62)+COUNTIF(H$55:H56,H56)-1,1,0)</f>
        <v>2</v>
      </c>
      <c r="J56" t="b">
        <f t="shared" si="4"/>
        <v>1</v>
      </c>
      <c r="K56" t="str">
        <f t="shared" si="1"/>
        <v>Ephemeroptera</v>
      </c>
      <c r="L56">
        <f>_xlfn.XLOOKUP(D56,BugList!C:C,BugList!N:N)</f>
        <v>4</v>
      </c>
      <c r="M56">
        <f t="shared" si="5"/>
        <v>8</v>
      </c>
      <c r="N56" t="b">
        <f>_xlfn.XLOOKUP(D56,BugList!C:C,BugList!L:L)</f>
        <v>1</v>
      </c>
      <c r="O56" t="b">
        <f t="shared" si="6"/>
        <v>1</v>
      </c>
      <c r="P56" s="18" t="b">
        <f>SUMPRODUCT(COUNTIF(_xlfn.XLOOKUP(D56,BugList!C:C,BugList!P:P), "*SC*"))&gt;0</f>
        <v>0</v>
      </c>
    </row>
    <row r="57" spans="1:16">
      <c r="A57" t="s">
        <v>2702</v>
      </c>
      <c r="B57">
        <v>124</v>
      </c>
      <c r="C57" t="s">
        <v>198</v>
      </c>
      <c r="D57" t="s">
        <v>89</v>
      </c>
      <c r="E57">
        <v>43</v>
      </c>
      <c r="F57" s="43">
        <f t="shared" si="7"/>
        <v>32.575757575757578</v>
      </c>
      <c r="G57" s="44">
        <f t="shared" si="3"/>
        <v>32</v>
      </c>
      <c r="H57" s="44">
        <f t="shared" si="0"/>
        <v>0.57575757575757791</v>
      </c>
      <c r="I57" cm="1">
        <f t="array" ref="I57">INT(F57)+IF(100-SUM(INT(F$55:F$62))&gt;=RANK(H57,H$55:H$62)+COUNTIF(H$55:H57,H57)-1,1,0)</f>
        <v>33</v>
      </c>
      <c r="J57" t="b">
        <f t="shared" si="4"/>
        <v>1</v>
      </c>
      <c r="K57" t="str">
        <f t="shared" si="1"/>
        <v>Trichoptera</v>
      </c>
      <c r="L57">
        <f>_xlfn.XLOOKUP(D57,BugList!C:C,BugList!N:N)</f>
        <v>4</v>
      </c>
      <c r="M57">
        <f t="shared" si="5"/>
        <v>132</v>
      </c>
      <c r="N57" t="b">
        <f>_xlfn.XLOOKUP(D57,BugList!C:C,BugList!L:L)</f>
        <v>1</v>
      </c>
      <c r="O57" t="b">
        <f t="shared" si="6"/>
        <v>0</v>
      </c>
      <c r="P57" s="18" t="b">
        <f>SUMPRODUCT(COUNTIF(_xlfn.XLOOKUP(D57,BugList!C:C,BugList!P:P), "*SC*"))&gt;0</f>
        <v>0</v>
      </c>
    </row>
    <row r="58" spans="1:16">
      <c r="A58" t="s">
        <v>2702</v>
      </c>
      <c r="B58">
        <v>124</v>
      </c>
      <c r="C58" t="s">
        <v>198</v>
      </c>
      <c r="D58" t="s">
        <v>163</v>
      </c>
      <c r="E58">
        <v>2</v>
      </c>
      <c r="F58" s="43">
        <f t="shared" si="7"/>
        <v>1.5151515151515151</v>
      </c>
      <c r="G58" s="44">
        <f t="shared" si="3"/>
        <v>1</v>
      </c>
      <c r="H58" s="44">
        <f t="shared" si="0"/>
        <v>0.51515151515151514</v>
      </c>
      <c r="I58" cm="1">
        <f t="array" ref="I58">INT(F58)+IF(100-SUM(INT(F$55:F$62))&gt;=RANK(H58,H$55:H$62)+COUNTIF(H$55:H58,H58)-1,1,0)</f>
        <v>1</v>
      </c>
      <c r="J58" t="b">
        <f t="shared" si="4"/>
        <v>1</v>
      </c>
      <c r="K58" t="str">
        <f t="shared" si="1"/>
        <v>Trichoptera</v>
      </c>
      <c r="L58">
        <f>_xlfn.XLOOKUP(D58,BugList!C:C,BugList!N:N)</f>
        <v>6</v>
      </c>
      <c r="M58">
        <f t="shared" si="5"/>
        <v>6</v>
      </c>
      <c r="N58" t="b">
        <f>_xlfn.XLOOKUP(D58,BugList!C:C,BugList!L:L)</f>
        <v>1</v>
      </c>
      <c r="O58" t="b">
        <f t="shared" si="6"/>
        <v>1</v>
      </c>
      <c r="P58" s="18" t="b">
        <f>SUMPRODUCT(COUNTIF(_xlfn.XLOOKUP(D58,BugList!C:C,BugList!P:P), "*SC*"))&gt;0</f>
        <v>0</v>
      </c>
    </row>
    <row r="59" spans="1:16">
      <c r="A59" t="s">
        <v>2702</v>
      </c>
      <c r="B59">
        <v>124</v>
      </c>
      <c r="C59" t="s">
        <v>204</v>
      </c>
      <c r="D59" t="s">
        <v>84</v>
      </c>
      <c r="E59">
        <v>3</v>
      </c>
      <c r="F59" s="43">
        <f t="shared" si="7"/>
        <v>2.2727272727272729</v>
      </c>
      <c r="G59" s="44">
        <f t="shared" si="3"/>
        <v>2</v>
      </c>
      <c r="H59" s="44">
        <f t="shared" si="0"/>
        <v>0.27272727272727293</v>
      </c>
      <c r="I59" cm="1">
        <f t="array" ref="I59">INT(F59)+IF(100-SUM(INT(F$55:F$62))&gt;=RANK(H59,H$55:H$62)+COUNTIF(H$55:H59,H59)-1,1,0)</f>
        <v>2</v>
      </c>
      <c r="J59" t="b">
        <f t="shared" si="4"/>
        <v>0</v>
      </c>
      <c r="K59" t="str">
        <f t="shared" si="1"/>
        <v/>
      </c>
      <c r="L59">
        <f>_xlfn.XLOOKUP(D59,BugList!C:C,BugList!N:N)</f>
        <v>8</v>
      </c>
      <c r="M59">
        <f t="shared" si="5"/>
        <v>16</v>
      </c>
      <c r="N59" t="b">
        <f>_xlfn.XLOOKUP(D59,BugList!C:C,BugList!L:L)</f>
        <v>0</v>
      </c>
      <c r="O59" t="b">
        <f t="shared" si="6"/>
        <v>0</v>
      </c>
      <c r="P59" s="18" t="b">
        <f>SUMPRODUCT(COUNTIF(_xlfn.XLOOKUP(D59,BugList!C:C,BugList!P:P), "*SC*"))&gt;0</f>
        <v>0</v>
      </c>
    </row>
    <row r="60" spans="1:16">
      <c r="A60" t="s">
        <v>2702</v>
      </c>
      <c r="B60">
        <v>124</v>
      </c>
      <c r="C60" t="s">
        <v>201</v>
      </c>
      <c r="D60" t="s">
        <v>85</v>
      </c>
      <c r="E60">
        <v>69</v>
      </c>
      <c r="F60" s="43">
        <f t="shared" si="7"/>
        <v>52.272727272727273</v>
      </c>
      <c r="G60" s="44">
        <f t="shared" si="3"/>
        <v>52</v>
      </c>
      <c r="H60" s="44">
        <f t="shared" si="0"/>
        <v>0.27272727272727337</v>
      </c>
      <c r="I60" cm="1">
        <f t="array" ref="I60">INT(F60)+IF(100-SUM(INT(F$55:F$62))&gt;=RANK(H60,H$55:H$62)+COUNTIF(H$55:H60,H60)-1,1,0)</f>
        <v>52</v>
      </c>
      <c r="J60" t="b">
        <f t="shared" si="4"/>
        <v>0</v>
      </c>
      <c r="K60" t="str">
        <f t="shared" si="1"/>
        <v/>
      </c>
      <c r="L60">
        <f>_xlfn.XLOOKUP(D60,BugList!C:C,BugList!N:N)</f>
        <v>4</v>
      </c>
      <c r="M60">
        <f t="shared" si="5"/>
        <v>208</v>
      </c>
      <c r="N60" t="b">
        <f>_xlfn.XLOOKUP(D60,BugList!C:C,BugList!L:L)</f>
        <v>0</v>
      </c>
      <c r="O60" t="b">
        <f t="shared" si="6"/>
        <v>0</v>
      </c>
      <c r="P60" s="18" t="b">
        <f>SUMPRODUCT(COUNTIF(_xlfn.XLOOKUP(D60,BugList!C:C,BugList!P:P), "*SC*"))&gt;0</f>
        <v>0</v>
      </c>
    </row>
    <row r="61" spans="1:16">
      <c r="A61" t="s">
        <v>2702</v>
      </c>
      <c r="B61">
        <v>124</v>
      </c>
      <c r="C61" t="s">
        <v>205</v>
      </c>
      <c r="D61" t="s">
        <v>206</v>
      </c>
      <c r="E61">
        <v>1</v>
      </c>
      <c r="F61" s="43">
        <f t="shared" si="7"/>
        <v>0.75757575757575757</v>
      </c>
      <c r="G61" s="44">
        <f t="shared" si="3"/>
        <v>0</v>
      </c>
      <c r="H61" s="44">
        <f t="shared" si="0"/>
        <v>0.75757575757575757</v>
      </c>
      <c r="I61" cm="1">
        <f t="array" ref="I61">INT(F61)+IF(100-SUM(INT(F$55:F$62))&gt;=RANK(H61,H$55:H$62)+COUNTIF(H$55:H61,H61)-1,1,0)</f>
        <v>1</v>
      </c>
      <c r="J61" t="b">
        <f t="shared" si="4"/>
        <v>0</v>
      </c>
      <c r="K61" t="str">
        <f t="shared" si="1"/>
        <v/>
      </c>
      <c r="L61" s="71">
        <v>8</v>
      </c>
      <c r="M61">
        <f t="shared" si="5"/>
        <v>8</v>
      </c>
      <c r="N61" s="71" t="b">
        <v>0</v>
      </c>
      <c r="O61" t="b">
        <f t="shared" si="6"/>
        <v>0</v>
      </c>
      <c r="P61" s="72" t="b">
        <v>0</v>
      </c>
    </row>
    <row r="62" spans="1:16">
      <c r="A62" t="s">
        <v>2702</v>
      </c>
      <c r="B62">
        <v>124</v>
      </c>
      <c r="C62" t="s">
        <v>94</v>
      </c>
      <c r="D62" s="85" t="s">
        <v>94</v>
      </c>
      <c r="E62">
        <v>1</v>
      </c>
      <c r="F62" s="43">
        <f t="shared" si="7"/>
        <v>0.75757575757575757</v>
      </c>
      <c r="G62" s="44">
        <f t="shared" si="3"/>
        <v>0</v>
      </c>
      <c r="H62" s="44">
        <f t="shared" si="0"/>
        <v>0.75757575757575757</v>
      </c>
      <c r="I62" cm="1">
        <f t="array" ref="I62">INT(F62)+IF(100-SUM(INT(F$55:F$62))&gt;=RANK(H62,H$55:H$62)+COUNTIF(H$55:H62,H62)-1,1,0)</f>
        <v>1</v>
      </c>
      <c r="J62" t="b">
        <f t="shared" si="4"/>
        <v>0</v>
      </c>
      <c r="K62" t="str">
        <f t="shared" si="1"/>
        <v/>
      </c>
      <c r="L62">
        <f>_xlfn.XLOOKUP(D62,BugList!C:C,BugList!N:N)</f>
        <v>8</v>
      </c>
      <c r="M62">
        <f t="shared" si="5"/>
        <v>8</v>
      </c>
      <c r="N62" t="b">
        <f>_xlfn.XLOOKUP(D62,BugList!C:C,BugList!L:L)</f>
        <v>0</v>
      </c>
      <c r="O62" t="b">
        <f t="shared" si="6"/>
        <v>0</v>
      </c>
      <c r="P62" s="18" t="b">
        <f>SUMPRODUCT(COUNTIF(_xlfn.XLOOKUP(D62,BugList!C:C,BugList!P:P), "*SC*"))&gt;0</f>
        <v>0</v>
      </c>
    </row>
    <row r="63" spans="1:16">
      <c r="A63" t="s">
        <v>2703</v>
      </c>
      <c r="B63">
        <v>140</v>
      </c>
      <c r="C63" t="s">
        <v>194</v>
      </c>
      <c r="D63" t="s">
        <v>108</v>
      </c>
      <c r="E63">
        <v>1</v>
      </c>
      <c r="F63" s="43">
        <f t="shared" si="7"/>
        <v>0.84033613445378152</v>
      </c>
      <c r="G63" s="44">
        <f t="shared" si="3"/>
        <v>0</v>
      </c>
      <c r="H63" s="44">
        <f t="shared" si="0"/>
        <v>0.84033613445378152</v>
      </c>
      <c r="I63" cm="1">
        <f t="array" ref="I63">INT(F63)+IF(100-SUM(INT(F$63:F$67))&gt;=RANK(H63,H$63:H$67)+COUNTIF(H$63:H63,H63)-1,1,0)</f>
        <v>1</v>
      </c>
      <c r="J63" t="b">
        <f t="shared" si="4"/>
        <v>0</v>
      </c>
      <c r="K63" t="str">
        <f t="shared" si="1"/>
        <v/>
      </c>
      <c r="L63">
        <f>_xlfn.XLOOKUP(D63,BugList!C:C,BugList!N:N)</f>
        <v>3</v>
      </c>
      <c r="M63">
        <f t="shared" si="5"/>
        <v>3</v>
      </c>
      <c r="N63" t="b">
        <f>_xlfn.XLOOKUP(D63,BugList!C:C,BugList!L:L)</f>
        <v>1</v>
      </c>
      <c r="O63" t="b">
        <f t="shared" si="6"/>
        <v>0</v>
      </c>
      <c r="P63" s="18" t="b">
        <f>SUMPRODUCT(COUNTIF(_xlfn.XLOOKUP(D63,BugList!C:C,BugList!P:P), "*SC*"))&gt;0</f>
        <v>0</v>
      </c>
    </row>
    <row r="64" spans="1:16">
      <c r="A64" t="s">
        <v>2703</v>
      </c>
      <c r="B64">
        <v>140</v>
      </c>
      <c r="C64" t="s">
        <v>199</v>
      </c>
      <c r="D64" t="s">
        <v>111</v>
      </c>
      <c r="E64">
        <v>1</v>
      </c>
      <c r="F64" s="43">
        <f t="shared" si="7"/>
        <v>0.84033613445378152</v>
      </c>
      <c r="G64" s="44">
        <f t="shared" si="3"/>
        <v>0</v>
      </c>
      <c r="H64" s="44">
        <f t="shared" si="0"/>
        <v>0.84033613445378152</v>
      </c>
      <c r="I64" cm="1">
        <f t="array" ref="I64">INT(F64)+IF(100-SUM(INT(F$63:F$67))&gt;=RANK(H64,H$63:H$67)+COUNTIF(H$63:H64,H64)-1,1,0)</f>
        <v>1</v>
      </c>
      <c r="J64" t="b">
        <f t="shared" si="4"/>
        <v>1</v>
      </c>
      <c r="K64" t="str">
        <f t="shared" si="1"/>
        <v>Ephemeroptera</v>
      </c>
      <c r="L64">
        <f>_xlfn.XLOOKUP(D64,BugList!C:C,BugList!N:N)</f>
        <v>4</v>
      </c>
      <c r="M64">
        <f t="shared" si="5"/>
        <v>4</v>
      </c>
      <c r="N64" t="b">
        <f>_xlfn.XLOOKUP(D64,BugList!C:C,BugList!L:L)</f>
        <v>1</v>
      </c>
      <c r="O64" t="b">
        <f t="shared" si="6"/>
        <v>1</v>
      </c>
      <c r="P64" s="18" t="b">
        <f>SUMPRODUCT(COUNTIF(_xlfn.XLOOKUP(D64,BugList!C:C,BugList!P:P), "*SC*"))&gt;0</f>
        <v>0</v>
      </c>
    </row>
    <row r="65" spans="1:16">
      <c r="A65" t="s">
        <v>2703</v>
      </c>
      <c r="B65">
        <v>140</v>
      </c>
      <c r="C65" t="s">
        <v>198</v>
      </c>
      <c r="D65" t="s">
        <v>89</v>
      </c>
      <c r="E65">
        <v>14</v>
      </c>
      <c r="F65" s="43">
        <f t="shared" si="7"/>
        <v>11.76470588235294</v>
      </c>
      <c r="G65" s="44">
        <f t="shared" si="3"/>
        <v>11</v>
      </c>
      <c r="H65" s="44">
        <f t="shared" si="0"/>
        <v>0.76470588235294024</v>
      </c>
      <c r="I65" cm="1">
        <f t="array" ref="I65">INT(F65)+IF(100-SUM(INT(F$63:F$67))&gt;=RANK(H65,H$63:H$67)+COUNTIF(H$63:H65,H65)-1,1,0)</f>
        <v>12</v>
      </c>
      <c r="J65" t="b">
        <f t="shared" si="4"/>
        <v>1</v>
      </c>
      <c r="K65" t="str">
        <f t="shared" si="1"/>
        <v>Trichoptera</v>
      </c>
      <c r="L65">
        <f>_xlfn.XLOOKUP(D65,BugList!C:C,BugList!N:N)</f>
        <v>4</v>
      </c>
      <c r="M65">
        <f t="shared" si="5"/>
        <v>48</v>
      </c>
      <c r="N65" t="b">
        <f>_xlfn.XLOOKUP(D65,BugList!C:C,BugList!L:L)</f>
        <v>1</v>
      </c>
      <c r="O65" t="b">
        <f t="shared" si="6"/>
        <v>0</v>
      </c>
      <c r="P65" s="18" t="b">
        <f>SUMPRODUCT(COUNTIF(_xlfn.XLOOKUP(D65,BugList!C:C,BugList!P:P), "*SC*"))&gt;0</f>
        <v>0</v>
      </c>
    </row>
    <row r="66" spans="1:16">
      <c r="A66" t="s">
        <v>2703</v>
      </c>
      <c r="B66">
        <v>140</v>
      </c>
      <c r="C66" t="s">
        <v>204</v>
      </c>
      <c r="D66" t="s">
        <v>84</v>
      </c>
      <c r="E66">
        <v>10</v>
      </c>
      <c r="F66" s="43">
        <f t="shared" ref="F66:F97" si="8">(E66/(SUMIFS(E:E,A:A,A66))*100)</f>
        <v>8.4033613445378155</v>
      </c>
      <c r="G66" s="44">
        <f t="shared" ref="G66:G114" si="9">INT(F66)</f>
        <v>8</v>
      </c>
      <c r="H66" s="44">
        <f t="shared" si="0"/>
        <v>0.40336134453781547</v>
      </c>
      <c r="I66" cm="1">
        <f t="array" ref="I66">INT(F66)+IF(100-SUM(INT(F$63:F$67))&gt;=RANK(H66,H$63:H$67)+COUNTIF(H$63:H66,H66)-1,1,0)</f>
        <v>8</v>
      </c>
      <c r="J66" t="b">
        <f t="shared" si="4"/>
        <v>0</v>
      </c>
      <c r="K66" t="str">
        <f t="shared" si="1"/>
        <v/>
      </c>
      <c r="L66">
        <f>_xlfn.XLOOKUP(D66,BugList!C:C,BugList!N:N)</f>
        <v>8</v>
      </c>
      <c r="M66">
        <f t="shared" si="5"/>
        <v>64</v>
      </c>
      <c r="N66" t="b">
        <f>_xlfn.XLOOKUP(D66,BugList!C:C,BugList!L:L)</f>
        <v>0</v>
      </c>
      <c r="O66" t="b">
        <f t="shared" si="6"/>
        <v>0</v>
      </c>
      <c r="P66" s="18" t="b">
        <f>SUMPRODUCT(COUNTIF(_xlfn.XLOOKUP(D66,BugList!C:C,BugList!P:P), "*SC*"))&gt;0</f>
        <v>0</v>
      </c>
    </row>
    <row r="67" spans="1:16">
      <c r="A67" t="s">
        <v>2703</v>
      </c>
      <c r="B67">
        <v>140</v>
      </c>
      <c r="C67" t="s">
        <v>201</v>
      </c>
      <c r="D67" t="s">
        <v>85</v>
      </c>
      <c r="E67">
        <v>93</v>
      </c>
      <c r="F67" s="43">
        <f t="shared" si="8"/>
        <v>78.151260504201687</v>
      </c>
      <c r="G67" s="44">
        <f t="shared" si="9"/>
        <v>78</v>
      </c>
      <c r="H67" s="44">
        <f t="shared" ref="H67:H114" si="10">F67-G67</f>
        <v>0.15126050420168724</v>
      </c>
      <c r="I67" cm="1">
        <f t="array" ref="I67">INT(F67)+IF(100-SUM(INT(F$63:F$67))&gt;=RANK(H67,H$63:H$67)+COUNTIF(H$63:H67,H67)-1,1,0)</f>
        <v>78</v>
      </c>
      <c r="J67" t="b">
        <f t="shared" ref="J67:J114" si="11">IF(OR(C67="Ephemeroptera", C67 ="Plecoptera", C67= "Trichoptera"), TRUE, FALSE)</f>
        <v>0</v>
      </c>
      <c r="K67" t="str">
        <f t="shared" ref="K67:K114" si="12">IF(J67=TRUE,C67,"")</f>
        <v/>
      </c>
      <c r="L67">
        <f>_xlfn.XLOOKUP(D67,BugList!C:C,BugList!N:N)</f>
        <v>4</v>
      </c>
      <c r="M67">
        <f t="shared" ref="M67:M114" si="13">L67*I67</f>
        <v>312</v>
      </c>
      <c r="N67" t="b">
        <f>_xlfn.XLOOKUP(D67,BugList!C:C,BugList!L:L)</f>
        <v>0</v>
      </c>
      <c r="O67" t="b">
        <f t="shared" ref="O67:O114" si="14">IF(J67=TRUE,IF(D67="Hydropsychidae", FALSE, TRUE), FALSE)</f>
        <v>0</v>
      </c>
      <c r="P67" s="18" t="b">
        <f>SUMPRODUCT(COUNTIF(_xlfn.XLOOKUP(D67,BugList!C:C,BugList!P:P), "*SC*"))&gt;0</f>
        <v>0</v>
      </c>
    </row>
    <row r="68" spans="1:16">
      <c r="A68" t="s">
        <v>2704</v>
      </c>
      <c r="B68">
        <v>151</v>
      </c>
      <c r="C68" t="s">
        <v>200</v>
      </c>
      <c r="D68" t="s">
        <v>98</v>
      </c>
      <c r="E68">
        <v>3</v>
      </c>
      <c r="F68" s="43">
        <f t="shared" si="8"/>
        <v>2.2556390977443606</v>
      </c>
      <c r="G68" s="44">
        <f t="shared" si="9"/>
        <v>2</v>
      </c>
      <c r="H68" s="44">
        <f t="shared" si="10"/>
        <v>0.25563909774436055</v>
      </c>
      <c r="I68" cm="1">
        <f t="array" ref="I68">INT(F68)+IF(100-SUM(INT(F$68:F$71))&gt;=RANK(H68,H$67:H$71)+COUNTIF(H$68:H68,H68)-1,1,0)</f>
        <v>2</v>
      </c>
      <c r="J68" t="b">
        <f t="shared" si="11"/>
        <v>0</v>
      </c>
      <c r="K68" t="str">
        <f t="shared" si="12"/>
        <v/>
      </c>
      <c r="L68">
        <f>_xlfn.XLOOKUP(D68,BugList!C:C,BugList!N:N)</f>
        <v>4</v>
      </c>
      <c r="M68">
        <f t="shared" si="13"/>
        <v>8</v>
      </c>
      <c r="N68" t="b">
        <f>_xlfn.XLOOKUP(D68,BugList!C:C,BugList!L:L)</f>
        <v>1</v>
      </c>
      <c r="O68" t="b">
        <f t="shared" si="14"/>
        <v>0</v>
      </c>
      <c r="P68" s="18" t="b">
        <f>SUMPRODUCT(COUNTIF(_xlfn.XLOOKUP(D68,BugList!C:C,BugList!P:P), "*SC*"))&gt;0</f>
        <v>1</v>
      </c>
    </row>
    <row r="69" spans="1:16">
      <c r="A69" t="s">
        <v>2704</v>
      </c>
      <c r="B69">
        <v>151</v>
      </c>
      <c r="C69" t="s">
        <v>194</v>
      </c>
      <c r="D69" t="s">
        <v>124</v>
      </c>
      <c r="E69">
        <v>2</v>
      </c>
      <c r="F69" s="43">
        <f t="shared" si="8"/>
        <v>1.5037593984962405</v>
      </c>
      <c r="G69" s="44">
        <f t="shared" si="9"/>
        <v>1</v>
      </c>
      <c r="H69" s="44">
        <f t="shared" si="10"/>
        <v>0.50375939849624052</v>
      </c>
      <c r="I69" cm="1">
        <f t="array" ref="I69">INT(F69)+IF(100-SUM(INT(F$68:F$71))&gt;=RANK(H69,H$67:H$71)+COUNTIF(H$68:H69,H69)-1,1,0)</f>
        <v>2</v>
      </c>
      <c r="J69" t="b">
        <f t="shared" si="11"/>
        <v>0</v>
      </c>
      <c r="K69" t="str">
        <f t="shared" si="12"/>
        <v/>
      </c>
      <c r="L69">
        <f>_xlfn.XLOOKUP(D69,BugList!C:C,BugList!N:N)</f>
        <v>6</v>
      </c>
      <c r="M69">
        <f t="shared" si="13"/>
        <v>12</v>
      </c>
      <c r="N69" t="b">
        <f>_xlfn.XLOOKUP(D69,BugList!C:C,BugList!L:L)</f>
        <v>1</v>
      </c>
      <c r="O69" t="b">
        <f t="shared" si="14"/>
        <v>0</v>
      </c>
      <c r="P69" s="18" t="b">
        <f>SUMPRODUCT(COUNTIF(_xlfn.XLOOKUP(D69,BugList!C:C,BugList!P:P), "*SC*"))&gt;0</f>
        <v>0</v>
      </c>
    </row>
    <row r="70" spans="1:16">
      <c r="A70" t="s">
        <v>2704</v>
      </c>
      <c r="B70">
        <v>151</v>
      </c>
      <c r="C70" t="s">
        <v>198</v>
      </c>
      <c r="D70" t="s">
        <v>89</v>
      </c>
      <c r="E70">
        <v>93</v>
      </c>
      <c r="F70" s="43">
        <f t="shared" si="8"/>
        <v>69.924812030075188</v>
      </c>
      <c r="G70" s="44">
        <f t="shared" si="9"/>
        <v>69</v>
      </c>
      <c r="H70" s="44">
        <f t="shared" si="10"/>
        <v>0.92481203007518786</v>
      </c>
      <c r="I70" cm="1">
        <f t="array" ref="I70">INT(F70)+IF(100-SUM(INT(F$68:F$71))&gt;=RANK(H70,H$67:H$71)+COUNTIF(H$68:H70,H70)-1,1,0)</f>
        <v>70</v>
      </c>
      <c r="J70" t="b">
        <f t="shared" si="11"/>
        <v>1</v>
      </c>
      <c r="K70" t="str">
        <f t="shared" si="12"/>
        <v>Trichoptera</v>
      </c>
      <c r="L70">
        <f>_xlfn.XLOOKUP(D70,BugList!C:C,BugList!N:N)</f>
        <v>4</v>
      </c>
      <c r="M70">
        <f t="shared" si="13"/>
        <v>280</v>
      </c>
      <c r="N70" t="b">
        <f>_xlfn.XLOOKUP(D70,BugList!C:C,BugList!L:L)</f>
        <v>1</v>
      </c>
      <c r="O70" t="b">
        <f t="shared" si="14"/>
        <v>0</v>
      </c>
      <c r="P70" s="18" t="b">
        <f>SUMPRODUCT(COUNTIF(_xlfn.XLOOKUP(D70,BugList!C:C,BugList!P:P), "*SC*"))&gt;0</f>
        <v>0</v>
      </c>
    </row>
    <row r="71" spans="1:16">
      <c r="A71" t="s">
        <v>2704</v>
      </c>
      <c r="B71">
        <v>151</v>
      </c>
      <c r="C71" t="s">
        <v>201</v>
      </c>
      <c r="D71" t="s">
        <v>85</v>
      </c>
      <c r="E71">
        <v>35</v>
      </c>
      <c r="F71" s="43">
        <f t="shared" si="8"/>
        <v>26.315789473684209</v>
      </c>
      <c r="G71" s="44">
        <f t="shared" si="9"/>
        <v>26</v>
      </c>
      <c r="H71" s="44">
        <f t="shared" si="10"/>
        <v>0.31578947368420884</v>
      </c>
      <c r="I71" cm="1">
        <f t="array" ref="I71">INT(F71)+IF(100-SUM(INT(F$68:F$71))&gt;=RANK(H71,H$67:H$71)+COUNTIF(H$68:H71,H71)-1,1,0)</f>
        <v>26</v>
      </c>
      <c r="J71" t="b">
        <f t="shared" si="11"/>
        <v>0</v>
      </c>
      <c r="K71" t="str">
        <f t="shared" si="12"/>
        <v/>
      </c>
      <c r="L71">
        <f>_xlfn.XLOOKUP(D71,BugList!C:C,BugList!N:N)</f>
        <v>4</v>
      </c>
      <c r="M71">
        <f t="shared" si="13"/>
        <v>104</v>
      </c>
      <c r="N71" t="b">
        <f>_xlfn.XLOOKUP(D71,BugList!C:C,BugList!L:L)</f>
        <v>0</v>
      </c>
      <c r="O71" t="b">
        <f t="shared" si="14"/>
        <v>0</v>
      </c>
      <c r="P71" s="18" t="b">
        <f>SUMPRODUCT(COUNTIF(_xlfn.XLOOKUP(D71,BugList!C:C,BugList!P:P), "*SC*"))&gt;0</f>
        <v>0</v>
      </c>
    </row>
    <row r="72" spans="1:16">
      <c r="A72" t="s">
        <v>2705</v>
      </c>
      <c r="B72">
        <v>160</v>
      </c>
      <c r="C72" t="s">
        <v>194</v>
      </c>
      <c r="D72" t="s">
        <v>108</v>
      </c>
      <c r="E72">
        <v>3</v>
      </c>
      <c r="F72" s="43">
        <f t="shared" si="8"/>
        <v>2.5210084033613445</v>
      </c>
      <c r="G72" s="44">
        <f t="shared" si="9"/>
        <v>2</v>
      </c>
      <c r="H72" s="44">
        <f t="shared" si="10"/>
        <v>0.52100840336134446</v>
      </c>
      <c r="I72" cm="1">
        <f t="array" ref="I72">INT(F72)+IF(100-SUM(INT(F$72:F$75))&gt;=RANK(H72,H$72:H$75)+COUNTIF(H$72:H72,H72)-1,1,0)</f>
        <v>3</v>
      </c>
      <c r="J72" t="b">
        <f t="shared" si="11"/>
        <v>0</v>
      </c>
      <c r="K72" t="str">
        <f t="shared" si="12"/>
        <v/>
      </c>
      <c r="L72">
        <f>_xlfn.XLOOKUP(D72,BugList!C:C,BugList!N:N)</f>
        <v>3</v>
      </c>
      <c r="M72">
        <f t="shared" si="13"/>
        <v>9</v>
      </c>
      <c r="N72" t="b">
        <f>_xlfn.XLOOKUP(D72,BugList!C:C,BugList!L:L)</f>
        <v>1</v>
      </c>
      <c r="O72" t="b">
        <f t="shared" si="14"/>
        <v>0</v>
      </c>
      <c r="P72" s="18" t="b">
        <f>SUMPRODUCT(COUNTIF(_xlfn.XLOOKUP(D72,BugList!C:C,BugList!P:P), "*SC*"))&gt;0</f>
        <v>0</v>
      </c>
    </row>
    <row r="73" spans="1:16">
      <c r="A73" t="s">
        <v>2705</v>
      </c>
      <c r="B73">
        <v>160</v>
      </c>
      <c r="C73" t="s">
        <v>198</v>
      </c>
      <c r="D73" t="s">
        <v>89</v>
      </c>
      <c r="E73">
        <v>45</v>
      </c>
      <c r="F73" s="43">
        <f t="shared" si="8"/>
        <v>37.815126050420169</v>
      </c>
      <c r="G73" s="44">
        <f t="shared" si="9"/>
        <v>37</v>
      </c>
      <c r="H73" s="44">
        <f t="shared" si="10"/>
        <v>0.81512605042016872</v>
      </c>
      <c r="I73" cm="1">
        <f t="array" ref="I73">INT(F73)+IF(100-SUM(INT(F$72:F$75))&gt;=RANK(H73,H$72:H$75)+COUNTIF(H$72:H73,H73)-1,1,0)</f>
        <v>38</v>
      </c>
      <c r="J73" t="b">
        <f t="shared" si="11"/>
        <v>1</v>
      </c>
      <c r="K73" t="str">
        <f t="shared" si="12"/>
        <v>Trichoptera</v>
      </c>
      <c r="L73">
        <f>_xlfn.XLOOKUP(D73,BugList!C:C,BugList!N:N)</f>
        <v>4</v>
      </c>
      <c r="M73">
        <f t="shared" si="13"/>
        <v>152</v>
      </c>
      <c r="N73" t="b">
        <f>_xlfn.XLOOKUP(D73,BugList!C:C,BugList!L:L)</f>
        <v>1</v>
      </c>
      <c r="O73" t="b">
        <f t="shared" si="14"/>
        <v>0</v>
      </c>
      <c r="P73" s="18" t="b">
        <f>SUMPRODUCT(COUNTIF(_xlfn.XLOOKUP(D73,BugList!C:C,BugList!P:P), "*SC*"))&gt;0</f>
        <v>0</v>
      </c>
    </row>
    <row r="74" spans="1:16">
      <c r="A74" t="s">
        <v>2705</v>
      </c>
      <c r="B74">
        <v>160</v>
      </c>
      <c r="C74" t="s">
        <v>201</v>
      </c>
      <c r="D74" t="s">
        <v>85</v>
      </c>
      <c r="E74">
        <v>54</v>
      </c>
      <c r="F74" s="43">
        <f t="shared" si="8"/>
        <v>45.378151260504204</v>
      </c>
      <c r="G74" s="44">
        <f t="shared" si="9"/>
        <v>45</v>
      </c>
      <c r="H74" s="44">
        <f t="shared" si="10"/>
        <v>0.37815126050420389</v>
      </c>
      <c r="I74" cm="1">
        <f t="array" ref="I74">INT(F74)+IF(100-SUM(INT(F$72:F$75))&gt;=RANK(H74,H$72:H$75)+COUNTIF(H$72:H74,H74)-1,1,0)</f>
        <v>45</v>
      </c>
      <c r="J74" t="b">
        <f t="shared" si="11"/>
        <v>0</v>
      </c>
      <c r="K74" t="str">
        <f t="shared" si="12"/>
        <v/>
      </c>
      <c r="L74">
        <f>_xlfn.XLOOKUP(D74,BugList!C:C,BugList!N:N)</f>
        <v>4</v>
      </c>
      <c r="M74">
        <f t="shared" si="13"/>
        <v>180</v>
      </c>
      <c r="N74" t="b">
        <f>_xlfn.XLOOKUP(D74,BugList!C:C,BugList!L:L)</f>
        <v>0</v>
      </c>
      <c r="O74" t="b">
        <f t="shared" si="14"/>
        <v>0</v>
      </c>
      <c r="P74" s="18" t="b">
        <f>SUMPRODUCT(COUNTIF(_xlfn.XLOOKUP(D74,BugList!C:C,BugList!P:P), "*SC*"))&gt;0</f>
        <v>0</v>
      </c>
    </row>
    <row r="75" spans="1:16">
      <c r="A75" t="s">
        <v>2705</v>
      </c>
      <c r="B75">
        <v>160</v>
      </c>
      <c r="C75" t="s">
        <v>210</v>
      </c>
      <c r="D75" t="s">
        <v>210</v>
      </c>
      <c r="E75">
        <v>17</v>
      </c>
      <c r="F75" s="43">
        <f t="shared" si="8"/>
        <v>14.285714285714285</v>
      </c>
      <c r="G75" s="44">
        <f t="shared" si="9"/>
        <v>14</v>
      </c>
      <c r="H75" s="44">
        <f t="shared" si="10"/>
        <v>0.2857142857142847</v>
      </c>
      <c r="I75" cm="1">
        <f t="array" ref="I75">INT(F75)+IF(100-SUM(INT(F$72:F$75))&gt;=RANK(H75,H$72:H$75)+COUNTIF(H$72:H75,H75)-1,1,0)</f>
        <v>14</v>
      </c>
      <c r="J75" t="b">
        <f t="shared" si="11"/>
        <v>0</v>
      </c>
      <c r="K75" t="str">
        <f t="shared" si="12"/>
        <v/>
      </c>
      <c r="L75" s="71">
        <v>8</v>
      </c>
      <c r="M75">
        <f t="shared" si="13"/>
        <v>112</v>
      </c>
      <c r="N75" s="71" t="b">
        <v>0</v>
      </c>
      <c r="O75" t="b">
        <f t="shared" si="14"/>
        <v>0</v>
      </c>
      <c r="P75" s="72" t="b">
        <v>0</v>
      </c>
    </row>
    <row r="76" spans="1:16">
      <c r="A76" t="s">
        <v>2706</v>
      </c>
      <c r="B76">
        <v>185</v>
      </c>
      <c r="C76" t="s">
        <v>200</v>
      </c>
      <c r="D76" t="s">
        <v>98</v>
      </c>
      <c r="E76">
        <v>3</v>
      </c>
      <c r="F76" s="43">
        <f t="shared" si="8"/>
        <v>2.4390243902439024</v>
      </c>
      <c r="G76" s="44">
        <f t="shared" si="9"/>
        <v>2</v>
      </c>
      <c r="H76" s="44">
        <f t="shared" si="10"/>
        <v>0.43902439024390238</v>
      </c>
      <c r="I76" cm="1">
        <f t="array" ref="I76">INT(F76)+IF(100-SUM(INT(F$76:F$84))&gt;=RANK(H76,H$76:H$84)+COUNTIF(H$76:H76,H76)-1,1,0)</f>
        <v>2</v>
      </c>
      <c r="J76" t="b">
        <f t="shared" si="11"/>
        <v>0</v>
      </c>
      <c r="K76" t="str">
        <f t="shared" si="12"/>
        <v/>
      </c>
      <c r="L76">
        <f>_xlfn.XLOOKUP(D76,BugList!C:C,BugList!N:N)</f>
        <v>4</v>
      </c>
      <c r="M76">
        <f t="shared" si="13"/>
        <v>8</v>
      </c>
      <c r="N76" t="b">
        <f>_xlfn.XLOOKUP(D76,BugList!C:C,BugList!L:L)</f>
        <v>1</v>
      </c>
      <c r="O76" t="b">
        <f t="shared" si="14"/>
        <v>0</v>
      </c>
      <c r="P76" s="18" t="b">
        <f>SUMPRODUCT(COUNTIF(_xlfn.XLOOKUP(D76,BugList!C:C,BugList!P:P), "*SC*"))&gt;0</f>
        <v>1</v>
      </c>
    </row>
    <row r="77" spans="1:16">
      <c r="A77" t="s">
        <v>2706</v>
      </c>
      <c r="B77">
        <v>185</v>
      </c>
      <c r="C77" t="s">
        <v>194</v>
      </c>
      <c r="D77" t="s">
        <v>108</v>
      </c>
      <c r="E77">
        <v>5</v>
      </c>
      <c r="F77" s="43">
        <f t="shared" si="8"/>
        <v>4.0650406504065035</v>
      </c>
      <c r="G77" s="44">
        <f t="shared" si="9"/>
        <v>4</v>
      </c>
      <c r="H77" s="44">
        <f t="shared" si="10"/>
        <v>6.5040650406503531E-2</v>
      </c>
      <c r="I77" cm="1">
        <f t="array" ref="I77">INT(F77)+IF(100-SUM(INT(F$76:F$84))&gt;=RANK(H77,H$76:H$84)+COUNTIF(H$76:H77,H77)-1,1,0)</f>
        <v>4</v>
      </c>
      <c r="J77" t="b">
        <f t="shared" si="11"/>
        <v>0</v>
      </c>
      <c r="K77" t="str">
        <f t="shared" si="12"/>
        <v/>
      </c>
      <c r="L77">
        <f>_xlfn.XLOOKUP(D77,BugList!C:C,BugList!N:N)</f>
        <v>3</v>
      </c>
      <c r="M77">
        <f t="shared" si="13"/>
        <v>12</v>
      </c>
      <c r="N77" t="b">
        <f>_xlfn.XLOOKUP(D77,BugList!C:C,BugList!L:L)</f>
        <v>1</v>
      </c>
      <c r="O77" t="b">
        <f t="shared" si="14"/>
        <v>0</v>
      </c>
      <c r="P77" s="18" t="b">
        <f>SUMPRODUCT(COUNTIF(_xlfn.XLOOKUP(D77,BugList!C:C,BugList!P:P), "*SC*"))&gt;0</f>
        <v>0</v>
      </c>
    </row>
    <row r="78" spans="1:16">
      <c r="A78" t="s">
        <v>2706</v>
      </c>
      <c r="B78">
        <v>185</v>
      </c>
      <c r="C78" t="s">
        <v>199</v>
      </c>
      <c r="D78" t="s">
        <v>111</v>
      </c>
      <c r="E78">
        <v>1</v>
      </c>
      <c r="F78" s="43">
        <f t="shared" si="8"/>
        <v>0.81300813008130091</v>
      </c>
      <c r="G78" s="44">
        <f t="shared" si="9"/>
        <v>0</v>
      </c>
      <c r="H78" s="44">
        <f t="shared" si="10"/>
        <v>0.81300813008130091</v>
      </c>
      <c r="I78" cm="1">
        <f t="array" ref="I78">INT(F78)+IF(100-SUM(INT(F$76:F$84))&gt;=RANK(H78,H$76:H$84)+COUNTIF(H$76:H78,H78)-1,1,0)</f>
        <v>1</v>
      </c>
      <c r="J78" t="b">
        <f t="shared" si="11"/>
        <v>1</v>
      </c>
      <c r="K78" t="str">
        <f t="shared" si="12"/>
        <v>Ephemeroptera</v>
      </c>
      <c r="L78">
        <f>_xlfn.XLOOKUP(D78,BugList!C:C,BugList!N:N)</f>
        <v>4</v>
      </c>
      <c r="M78">
        <f t="shared" si="13"/>
        <v>4</v>
      </c>
      <c r="N78" t="b">
        <f>_xlfn.XLOOKUP(D78,BugList!C:C,BugList!L:L)</f>
        <v>1</v>
      </c>
      <c r="O78" t="b">
        <f t="shared" si="14"/>
        <v>1</v>
      </c>
      <c r="P78" s="18" t="b">
        <f>SUMPRODUCT(COUNTIF(_xlfn.XLOOKUP(D78,BugList!C:C,BugList!P:P), "*SC*"))&gt;0</f>
        <v>0</v>
      </c>
    </row>
    <row r="79" spans="1:16">
      <c r="A79" t="s">
        <v>2706</v>
      </c>
      <c r="B79">
        <v>185</v>
      </c>
      <c r="C79" t="s">
        <v>198</v>
      </c>
      <c r="D79" t="s">
        <v>89</v>
      </c>
      <c r="E79">
        <v>52</v>
      </c>
      <c r="F79" s="43">
        <f t="shared" si="8"/>
        <v>42.276422764227647</v>
      </c>
      <c r="G79" s="44">
        <f t="shared" si="9"/>
        <v>42</v>
      </c>
      <c r="H79" s="44">
        <f t="shared" si="10"/>
        <v>0.27642276422764667</v>
      </c>
      <c r="I79" cm="1">
        <f t="array" ref="I79">INT(F79)+IF(100-SUM(INT(F$76:F$84))&gt;=RANK(H79,H$76:H$84)+COUNTIF(H$76:H79,H79)-1,1,0)</f>
        <v>42</v>
      </c>
      <c r="J79" t="b">
        <f t="shared" si="11"/>
        <v>1</v>
      </c>
      <c r="K79" t="str">
        <f t="shared" si="12"/>
        <v>Trichoptera</v>
      </c>
      <c r="L79">
        <f>_xlfn.XLOOKUP(D79,BugList!C:C,BugList!N:N)</f>
        <v>4</v>
      </c>
      <c r="M79">
        <f t="shared" si="13"/>
        <v>168</v>
      </c>
      <c r="N79" t="b">
        <f>_xlfn.XLOOKUP(D79,BugList!C:C,BugList!L:L)</f>
        <v>1</v>
      </c>
      <c r="O79" t="b">
        <f t="shared" si="14"/>
        <v>0</v>
      </c>
      <c r="P79" s="18" t="b">
        <f>SUMPRODUCT(COUNTIF(_xlfn.XLOOKUP(D79,BugList!C:C,BugList!P:P), "*SC*"))&gt;0</f>
        <v>0</v>
      </c>
    </row>
    <row r="80" spans="1:16">
      <c r="A80" t="s">
        <v>2706</v>
      </c>
      <c r="B80">
        <v>185</v>
      </c>
      <c r="C80" t="s">
        <v>198</v>
      </c>
      <c r="D80" t="s">
        <v>107</v>
      </c>
      <c r="E80">
        <v>3</v>
      </c>
      <c r="F80" s="43">
        <f t="shared" si="8"/>
        <v>2.4390243902439024</v>
      </c>
      <c r="G80" s="44">
        <f t="shared" si="9"/>
        <v>2</v>
      </c>
      <c r="H80" s="44">
        <f t="shared" si="10"/>
        <v>0.43902439024390238</v>
      </c>
      <c r="I80" cm="1">
        <f t="array" ref="I80">INT(F80)+IF(100-SUM(INT(F$76:F$84))&gt;=RANK(H80,H$76:H$84)+COUNTIF(H$76:H80,H80)-1,1,0)</f>
        <v>2</v>
      </c>
      <c r="J80" t="b">
        <f t="shared" si="11"/>
        <v>1</v>
      </c>
      <c r="K80" t="str">
        <f t="shared" si="12"/>
        <v>Trichoptera</v>
      </c>
      <c r="L80">
        <f>_xlfn.XLOOKUP(D80,BugList!C:C,BugList!N:N)</f>
        <v>3</v>
      </c>
      <c r="M80">
        <f t="shared" si="13"/>
        <v>6</v>
      </c>
      <c r="N80" t="b">
        <f>_xlfn.XLOOKUP(D80,BugList!C:C,BugList!L:L)</f>
        <v>1</v>
      </c>
      <c r="O80" t="b">
        <f t="shared" si="14"/>
        <v>1</v>
      </c>
      <c r="P80" s="18" t="b">
        <f>SUMPRODUCT(COUNTIF(_xlfn.XLOOKUP(D80,BugList!C:C,BugList!P:P), "*SC*"))&gt;0</f>
        <v>0</v>
      </c>
    </row>
    <row r="81" spans="1:16">
      <c r="A81" t="s">
        <v>2706</v>
      </c>
      <c r="B81">
        <v>185</v>
      </c>
      <c r="C81" t="s">
        <v>201</v>
      </c>
      <c r="D81" t="s">
        <v>85</v>
      </c>
      <c r="E81">
        <v>40</v>
      </c>
      <c r="F81" s="43">
        <f t="shared" si="8"/>
        <v>32.520325203252028</v>
      </c>
      <c r="G81" s="44">
        <f t="shared" si="9"/>
        <v>32</v>
      </c>
      <c r="H81" s="44">
        <f t="shared" si="10"/>
        <v>0.52032520325202825</v>
      </c>
      <c r="I81" cm="1">
        <f t="array" ref="I81">INT(F81)+IF(100-SUM(INT(F$76:F$84))&gt;=RANK(H81,H$76:H$84)+COUNTIF(H$76:H81,H81)-1,1,0)</f>
        <v>33</v>
      </c>
      <c r="J81" t="b">
        <f t="shared" si="11"/>
        <v>0</v>
      </c>
      <c r="K81" t="str">
        <f t="shared" si="12"/>
        <v/>
      </c>
      <c r="L81">
        <f>_xlfn.XLOOKUP(D81,BugList!C:C,BugList!N:N)</f>
        <v>4</v>
      </c>
      <c r="M81">
        <f t="shared" si="13"/>
        <v>132</v>
      </c>
      <c r="N81" t="b">
        <f>_xlfn.XLOOKUP(D81,BugList!C:C,BugList!L:L)</f>
        <v>0</v>
      </c>
      <c r="O81" t="b">
        <f t="shared" si="14"/>
        <v>0</v>
      </c>
      <c r="P81" s="18" t="b">
        <f>SUMPRODUCT(COUNTIF(_xlfn.XLOOKUP(D81,BugList!C:C,BugList!P:P), "*SC*"))&gt;0</f>
        <v>0</v>
      </c>
    </row>
    <row r="82" spans="1:16">
      <c r="A82" t="s">
        <v>2706</v>
      </c>
      <c r="B82">
        <v>185</v>
      </c>
      <c r="C82" t="s">
        <v>202</v>
      </c>
      <c r="D82" t="s">
        <v>203</v>
      </c>
      <c r="E82">
        <v>2</v>
      </c>
      <c r="F82" s="43">
        <f t="shared" si="8"/>
        <v>1.6260162601626018</v>
      </c>
      <c r="G82" s="44">
        <f t="shared" si="9"/>
        <v>1</v>
      </c>
      <c r="H82" s="44">
        <f t="shared" si="10"/>
        <v>0.62601626016260181</v>
      </c>
      <c r="I82" cm="1">
        <f t="array" ref="I82">INT(F82)+IF(100-SUM(INT(F$76:F$84))&gt;=RANK(H82,H$76:H$84)+COUNTIF(H$76:H82,H82)-1,1,0)</f>
        <v>2</v>
      </c>
      <c r="J82" t="b">
        <f t="shared" si="11"/>
        <v>0</v>
      </c>
      <c r="K82" t="str">
        <f t="shared" si="12"/>
        <v/>
      </c>
      <c r="L82" s="71">
        <v>5</v>
      </c>
      <c r="M82">
        <f t="shared" si="13"/>
        <v>10</v>
      </c>
      <c r="N82" s="71" t="b">
        <v>0</v>
      </c>
      <c r="O82" t="b">
        <f t="shared" si="14"/>
        <v>0</v>
      </c>
      <c r="P82" s="72" t="b">
        <v>0</v>
      </c>
    </row>
    <row r="83" spans="1:16">
      <c r="A83" t="s">
        <v>2706</v>
      </c>
      <c r="B83">
        <v>185</v>
      </c>
      <c r="C83" t="s">
        <v>210</v>
      </c>
      <c r="D83" t="s">
        <v>210</v>
      </c>
      <c r="E83">
        <v>16</v>
      </c>
      <c r="F83" s="43">
        <f t="shared" si="8"/>
        <v>13.008130081300814</v>
      </c>
      <c r="G83" s="44">
        <f t="shared" si="9"/>
        <v>13</v>
      </c>
      <c r="H83" s="44">
        <f t="shared" si="10"/>
        <v>8.1300813008144956E-3</v>
      </c>
      <c r="I83" cm="1">
        <f t="array" ref="I83">INT(F83)+IF(100-SUM(INT(F$76:F$84))&gt;=RANK(H83,H$76:H$84)+COUNTIF(H$76:H83,H83)-1,1,0)</f>
        <v>13</v>
      </c>
      <c r="J83" t="b">
        <f t="shared" si="11"/>
        <v>0</v>
      </c>
      <c r="K83" t="str">
        <f t="shared" si="12"/>
        <v/>
      </c>
      <c r="L83" s="71">
        <v>8</v>
      </c>
      <c r="M83">
        <f t="shared" si="13"/>
        <v>104</v>
      </c>
      <c r="N83" s="71" t="b">
        <v>0</v>
      </c>
      <c r="O83" t="b">
        <f t="shared" si="14"/>
        <v>0</v>
      </c>
      <c r="P83" s="72" t="b">
        <v>0</v>
      </c>
    </row>
    <row r="84" spans="1:16">
      <c r="A84" t="s">
        <v>2706</v>
      </c>
      <c r="B84">
        <v>185</v>
      </c>
      <c r="C84" t="s">
        <v>2708</v>
      </c>
      <c r="D84" t="s">
        <v>405</v>
      </c>
      <c r="E84">
        <v>1</v>
      </c>
      <c r="F84" s="43">
        <f t="shared" si="8"/>
        <v>0.81300813008130091</v>
      </c>
      <c r="G84" s="44">
        <f t="shared" si="9"/>
        <v>0</v>
      </c>
      <c r="H84" s="44">
        <f t="shared" si="10"/>
        <v>0.81300813008130091</v>
      </c>
      <c r="I84" cm="1">
        <f t="array" ref="I84">INT(F84)+IF(100-SUM(INT(F$76:F$84))&gt;=RANK(H84,H$76:H$84)+COUNTIF(H$76:H84,H84)-1,1,0)</f>
        <v>1</v>
      </c>
      <c r="J84" t="b">
        <f t="shared" si="11"/>
        <v>0</v>
      </c>
      <c r="K84" t="str">
        <f t="shared" si="12"/>
        <v/>
      </c>
      <c r="L84">
        <f>_xlfn.XLOOKUP(D84,BugList!C:C,BugList!N:N)</f>
        <v>6</v>
      </c>
      <c r="M84">
        <f t="shared" si="13"/>
        <v>6</v>
      </c>
      <c r="N84" t="b">
        <f>_xlfn.XLOOKUP(D84,BugList!C:C,BugList!L:L)</f>
        <v>0</v>
      </c>
      <c r="O84" t="b">
        <f t="shared" si="14"/>
        <v>0</v>
      </c>
      <c r="P84" s="18" t="b">
        <f>SUMPRODUCT(COUNTIF(_xlfn.XLOOKUP(D84,BugList!C:C,BugList!P:P), "*SC*"))&gt;0</f>
        <v>0</v>
      </c>
    </row>
    <row r="85" spans="1:16">
      <c r="A85" t="s">
        <v>2707</v>
      </c>
      <c r="B85">
        <v>195</v>
      </c>
      <c r="C85" t="s">
        <v>200</v>
      </c>
      <c r="D85" t="s">
        <v>98</v>
      </c>
      <c r="E85">
        <v>16</v>
      </c>
      <c r="F85" s="43">
        <f t="shared" si="8"/>
        <v>14.414414414414415</v>
      </c>
      <c r="G85" s="44">
        <f t="shared" si="9"/>
        <v>14</v>
      </c>
      <c r="H85" s="44">
        <f t="shared" si="10"/>
        <v>0.41441441441441462</v>
      </c>
      <c r="I85" cm="1">
        <f t="array" ref="I85">INT(F85)+IF(100-SUM(INT(F$85:F$91))&gt;=RANK(H85,H$85:H$91)+COUNTIF(H$85:H85,H85)-1,1,0)</f>
        <v>14</v>
      </c>
      <c r="J85" t="b">
        <f t="shared" si="11"/>
        <v>0</v>
      </c>
      <c r="K85" t="str">
        <f t="shared" si="12"/>
        <v/>
      </c>
      <c r="L85">
        <f>_xlfn.XLOOKUP(D85,BugList!C:C,BugList!N:N)</f>
        <v>4</v>
      </c>
      <c r="M85">
        <f t="shared" si="13"/>
        <v>56</v>
      </c>
      <c r="N85" t="b">
        <f>_xlfn.XLOOKUP(D85,BugList!C:C,BugList!L:L)</f>
        <v>1</v>
      </c>
      <c r="O85" t="b">
        <f t="shared" si="14"/>
        <v>0</v>
      </c>
      <c r="P85" s="18" t="b">
        <f>SUMPRODUCT(COUNTIF(_xlfn.XLOOKUP(D85,BugList!C:C,BugList!P:P), "*SC*"))&gt;0</f>
        <v>1</v>
      </c>
    </row>
    <row r="86" spans="1:16">
      <c r="A86" t="s">
        <v>2707</v>
      </c>
      <c r="B86">
        <v>195</v>
      </c>
      <c r="C86" t="s">
        <v>194</v>
      </c>
      <c r="D86" t="s">
        <v>90</v>
      </c>
      <c r="E86">
        <v>1</v>
      </c>
      <c r="F86" s="43">
        <f t="shared" si="8"/>
        <v>0.90090090090090091</v>
      </c>
      <c r="G86" s="44">
        <f t="shared" si="9"/>
        <v>0</v>
      </c>
      <c r="H86" s="44">
        <f t="shared" si="10"/>
        <v>0.90090090090090091</v>
      </c>
      <c r="I86" cm="1">
        <f t="array" ref="I86">INT(F86)+IF(100-SUM(INT(F$85:F$91))&gt;=RANK(H86,H$85:H$91)+COUNTIF(H$85:H86,H86)-1,1,0)</f>
        <v>1</v>
      </c>
      <c r="J86" t="b">
        <f t="shared" si="11"/>
        <v>0</v>
      </c>
      <c r="K86" t="str">
        <f t="shared" si="12"/>
        <v/>
      </c>
      <c r="L86">
        <f>_xlfn.XLOOKUP(D86,BugList!C:C,BugList!N:N)</f>
        <v>6</v>
      </c>
      <c r="M86">
        <f t="shared" si="13"/>
        <v>6</v>
      </c>
      <c r="N86" t="b">
        <f>_xlfn.XLOOKUP(D86,BugList!C:C,BugList!L:L)</f>
        <v>1</v>
      </c>
      <c r="O86" t="b">
        <f t="shared" si="14"/>
        <v>0</v>
      </c>
      <c r="P86" s="18" t="b">
        <f>SUMPRODUCT(COUNTIF(_xlfn.XLOOKUP(D86,BugList!C:C,BugList!P:P), "*SC*"))&gt;0</f>
        <v>0</v>
      </c>
    </row>
    <row r="87" spans="1:16">
      <c r="A87" t="s">
        <v>2707</v>
      </c>
      <c r="B87">
        <v>195</v>
      </c>
      <c r="C87" t="s">
        <v>195</v>
      </c>
      <c r="D87" t="s">
        <v>97</v>
      </c>
      <c r="E87">
        <v>5</v>
      </c>
      <c r="F87" s="43">
        <f t="shared" si="8"/>
        <v>4.5045045045045047</v>
      </c>
      <c r="G87" s="44">
        <f t="shared" si="9"/>
        <v>4</v>
      </c>
      <c r="H87" s="44">
        <f t="shared" si="10"/>
        <v>0.50450450450450468</v>
      </c>
      <c r="I87" cm="1">
        <f t="array" ref="I87">INT(F87)+IF(100-SUM(INT(F$85:F$91))&gt;=RANK(H87,H$85:H$91)+COUNTIF(H$85:H87,H87)-1,1,0)</f>
        <v>5</v>
      </c>
      <c r="J87" t="b">
        <f t="shared" si="11"/>
        <v>0</v>
      </c>
      <c r="K87" t="str">
        <f t="shared" si="12"/>
        <v/>
      </c>
      <c r="L87">
        <f>_xlfn.XLOOKUP(D87,BugList!C:C,BugList!N:N)</f>
        <v>9</v>
      </c>
      <c r="M87">
        <f t="shared" si="13"/>
        <v>45</v>
      </c>
      <c r="N87" t="b">
        <f>_xlfn.XLOOKUP(D87,BugList!C:C,BugList!L:L)</f>
        <v>1</v>
      </c>
      <c r="O87" t="b">
        <f t="shared" si="14"/>
        <v>0</v>
      </c>
      <c r="P87" s="18" t="b">
        <f>SUMPRODUCT(COUNTIF(_xlfn.XLOOKUP(D87,BugList!C:C,BugList!P:P), "*SC*"))&gt;0</f>
        <v>0</v>
      </c>
    </row>
    <row r="88" spans="1:16">
      <c r="A88" t="s">
        <v>2707</v>
      </c>
      <c r="B88">
        <v>195</v>
      </c>
      <c r="C88" t="s">
        <v>198</v>
      </c>
      <c r="D88" t="s">
        <v>89</v>
      </c>
      <c r="E88">
        <v>17</v>
      </c>
      <c r="F88" s="43">
        <f t="shared" si="8"/>
        <v>15.315315315315313</v>
      </c>
      <c r="G88" s="44">
        <f t="shared" si="9"/>
        <v>15</v>
      </c>
      <c r="H88" s="44">
        <f t="shared" si="10"/>
        <v>0.31531531531531343</v>
      </c>
      <c r="I88" cm="1">
        <f t="array" ref="I88">INT(F88)+IF(100-SUM(INT(F$85:F$91))&gt;=RANK(H88,H$85:H$91)+COUNTIF(H$85:H88,H88)-1,1,0)</f>
        <v>15</v>
      </c>
      <c r="J88" t="b">
        <f t="shared" si="11"/>
        <v>1</v>
      </c>
      <c r="K88" t="str">
        <f t="shared" si="12"/>
        <v>Trichoptera</v>
      </c>
      <c r="L88">
        <f>_xlfn.XLOOKUP(D88,BugList!C:C,BugList!N:N)</f>
        <v>4</v>
      </c>
      <c r="M88">
        <f t="shared" si="13"/>
        <v>60</v>
      </c>
      <c r="N88" t="b">
        <f>_xlfn.XLOOKUP(D88,BugList!C:C,BugList!L:L)</f>
        <v>1</v>
      </c>
      <c r="O88" t="b">
        <f t="shared" si="14"/>
        <v>0</v>
      </c>
      <c r="P88" s="18" t="b">
        <f>SUMPRODUCT(COUNTIF(_xlfn.XLOOKUP(D88,BugList!C:C,BugList!P:P), "*SC*"))&gt;0</f>
        <v>0</v>
      </c>
    </row>
    <row r="89" spans="1:16">
      <c r="A89" t="s">
        <v>2707</v>
      </c>
      <c r="B89">
        <v>195</v>
      </c>
      <c r="C89" t="s">
        <v>204</v>
      </c>
      <c r="D89" t="s">
        <v>84</v>
      </c>
      <c r="E89">
        <v>13</v>
      </c>
      <c r="F89" s="43">
        <f t="shared" si="8"/>
        <v>11.711711711711711</v>
      </c>
      <c r="G89" s="44">
        <f t="shared" si="9"/>
        <v>11</v>
      </c>
      <c r="H89" s="44">
        <f t="shared" si="10"/>
        <v>0.7117117117117111</v>
      </c>
      <c r="I89" cm="1">
        <f t="array" ref="I89">INT(F89)+IF(100-SUM(INT(F$85:F$91))&gt;=RANK(H89,H$85:H$91)+COUNTIF(H$85:H89,H89)-1,1,0)</f>
        <v>12</v>
      </c>
      <c r="J89" t="b">
        <f t="shared" si="11"/>
        <v>0</v>
      </c>
      <c r="K89" t="str">
        <f t="shared" si="12"/>
        <v/>
      </c>
      <c r="L89">
        <f>_xlfn.XLOOKUP(D89,BugList!C:C,BugList!N:N)</f>
        <v>8</v>
      </c>
      <c r="M89">
        <f t="shared" si="13"/>
        <v>96</v>
      </c>
      <c r="N89" t="b">
        <f>_xlfn.XLOOKUP(D89,BugList!C:C,BugList!L:L)</f>
        <v>0</v>
      </c>
      <c r="O89" t="b">
        <f t="shared" si="14"/>
        <v>0</v>
      </c>
      <c r="P89" s="18" t="b">
        <f>SUMPRODUCT(COUNTIF(_xlfn.XLOOKUP(D89,BugList!C:C,BugList!P:P), "*SC*"))&gt;0</f>
        <v>0</v>
      </c>
    </row>
    <row r="90" spans="1:16">
      <c r="A90" t="s">
        <v>2707</v>
      </c>
      <c r="B90">
        <v>195</v>
      </c>
      <c r="C90" t="s">
        <v>201</v>
      </c>
      <c r="D90" t="s">
        <v>85</v>
      </c>
      <c r="E90">
        <v>58</v>
      </c>
      <c r="F90" s="43">
        <f t="shared" si="8"/>
        <v>52.252252252252248</v>
      </c>
      <c r="G90" s="44">
        <f t="shared" si="9"/>
        <v>52</v>
      </c>
      <c r="H90" s="44">
        <f t="shared" si="10"/>
        <v>0.2522522522522479</v>
      </c>
      <c r="I90" cm="1">
        <f t="array" ref="I90">INT(F90)+IF(100-SUM(INT(F$85:F$91))&gt;=RANK(H90,H$85:H$91)+COUNTIF(H$85:H90,H90)-1,1,0)</f>
        <v>52</v>
      </c>
      <c r="J90" t="b">
        <f t="shared" si="11"/>
        <v>0</v>
      </c>
      <c r="K90" t="str">
        <f t="shared" si="12"/>
        <v/>
      </c>
      <c r="L90">
        <f>_xlfn.XLOOKUP(D90,BugList!C:C,BugList!N:N)</f>
        <v>4</v>
      </c>
      <c r="M90">
        <f t="shared" si="13"/>
        <v>208</v>
      </c>
      <c r="N90" t="b">
        <f>_xlfn.XLOOKUP(D90,BugList!C:C,BugList!L:L)</f>
        <v>0</v>
      </c>
      <c r="O90" t="b">
        <f t="shared" si="14"/>
        <v>0</v>
      </c>
      <c r="P90" s="18" t="b">
        <f>SUMPRODUCT(COUNTIF(_xlfn.XLOOKUP(D90,BugList!C:C,BugList!P:P), "*SC*"))&gt;0</f>
        <v>0</v>
      </c>
    </row>
    <row r="91" spans="1:16">
      <c r="A91" t="s">
        <v>2707</v>
      </c>
      <c r="B91">
        <v>195</v>
      </c>
      <c r="C91" t="s">
        <v>202</v>
      </c>
      <c r="D91" t="s">
        <v>203</v>
      </c>
      <c r="E91">
        <v>1</v>
      </c>
      <c r="F91" s="43">
        <f t="shared" si="8"/>
        <v>0.90090090090090091</v>
      </c>
      <c r="G91" s="44">
        <f t="shared" si="9"/>
        <v>0</v>
      </c>
      <c r="H91" s="44">
        <f t="shared" si="10"/>
        <v>0.90090090090090091</v>
      </c>
      <c r="I91" cm="1">
        <f t="array" ref="I91">INT(F91)+IF(100-SUM(INT(F$85:F$91))&gt;=RANK(H91,H$85:H$91)+COUNTIF(H$85:H91,H91)-1,1,0)</f>
        <v>1</v>
      </c>
      <c r="J91" t="b">
        <f t="shared" si="11"/>
        <v>0</v>
      </c>
      <c r="K91" t="str">
        <f t="shared" si="12"/>
        <v/>
      </c>
      <c r="L91" s="71">
        <v>5</v>
      </c>
      <c r="M91">
        <f t="shared" si="13"/>
        <v>5</v>
      </c>
      <c r="N91" s="71" t="b">
        <v>0</v>
      </c>
      <c r="O91" t="b">
        <f t="shared" si="14"/>
        <v>0</v>
      </c>
      <c r="P91" s="72" t="b">
        <v>0</v>
      </c>
    </row>
    <row r="92" spans="1:16">
      <c r="A92" t="s">
        <v>2709</v>
      </c>
      <c r="B92">
        <v>208</v>
      </c>
      <c r="C92" t="s">
        <v>200</v>
      </c>
      <c r="D92" t="s">
        <v>98</v>
      </c>
      <c r="E92">
        <v>51</v>
      </c>
      <c r="F92" s="43">
        <f t="shared" si="8"/>
        <v>36.95652173913043</v>
      </c>
      <c r="G92" s="44">
        <f t="shared" si="9"/>
        <v>36</v>
      </c>
      <c r="H92" s="44">
        <f t="shared" si="10"/>
        <v>0.95652173913043015</v>
      </c>
      <c r="I92" cm="1">
        <f t="array" ref="I92">INT(F92)+IF(100-SUM(INT(F$92:F$100))&gt;=RANK(H92,H$92:H$100)+COUNTIF(H$92:H92,H92)-1,1,0)</f>
        <v>37</v>
      </c>
      <c r="J92" t="b">
        <f t="shared" si="11"/>
        <v>0</v>
      </c>
      <c r="K92" t="str">
        <f t="shared" si="12"/>
        <v/>
      </c>
      <c r="L92">
        <f>_xlfn.XLOOKUP(D92,BugList!C:C,BugList!N:N)</f>
        <v>4</v>
      </c>
      <c r="M92">
        <f t="shared" si="13"/>
        <v>148</v>
      </c>
      <c r="N92" t="b">
        <f>_xlfn.XLOOKUP(D92,BugList!C:C,BugList!L:L)</f>
        <v>1</v>
      </c>
      <c r="O92" t="b">
        <f t="shared" si="14"/>
        <v>0</v>
      </c>
      <c r="P92" s="18" t="b">
        <f>SUMPRODUCT(COUNTIF(_xlfn.XLOOKUP(D92,BugList!C:C,BugList!P:P), "*SC*"))&gt;0</f>
        <v>1</v>
      </c>
    </row>
    <row r="93" spans="1:16">
      <c r="A93" t="s">
        <v>2709</v>
      </c>
      <c r="B93">
        <v>208</v>
      </c>
      <c r="C93" t="s">
        <v>194</v>
      </c>
      <c r="D93" t="s">
        <v>126</v>
      </c>
      <c r="E93">
        <v>1</v>
      </c>
      <c r="F93" s="43">
        <f t="shared" si="8"/>
        <v>0.72463768115942029</v>
      </c>
      <c r="G93" s="44">
        <f t="shared" si="9"/>
        <v>0</v>
      </c>
      <c r="H93" s="44">
        <f t="shared" si="10"/>
        <v>0.72463768115942029</v>
      </c>
      <c r="I93" cm="1">
        <f t="array" ref="I93">INT(F93)+IF(100-SUM(INT(F$92:F$100))&gt;=RANK(H93,H$92:H$100)+COUNTIF(H$92:H93,H93)-1,1,0)</f>
        <v>1</v>
      </c>
      <c r="J93" t="b">
        <f t="shared" si="11"/>
        <v>0</v>
      </c>
      <c r="K93" t="str">
        <f t="shared" si="12"/>
        <v/>
      </c>
      <c r="L93">
        <f>_xlfn.XLOOKUP(D93,BugList!C:C,BugList!N:N)</f>
        <v>8</v>
      </c>
      <c r="M93">
        <f t="shared" si="13"/>
        <v>8</v>
      </c>
      <c r="N93" t="b">
        <f>_xlfn.XLOOKUP(D93,BugList!C:C,BugList!L:L)</f>
        <v>1</v>
      </c>
      <c r="O93" t="b">
        <f t="shared" si="14"/>
        <v>0</v>
      </c>
      <c r="P93" s="18" t="b">
        <f>SUMPRODUCT(COUNTIF(_xlfn.XLOOKUP(D93,BugList!C:C,BugList!P:P), "*SC*"))&gt;0</f>
        <v>0</v>
      </c>
    </row>
    <row r="94" spans="1:16">
      <c r="A94" t="s">
        <v>2709</v>
      </c>
      <c r="B94">
        <v>208</v>
      </c>
      <c r="C94" t="s">
        <v>194</v>
      </c>
      <c r="D94" t="s">
        <v>90</v>
      </c>
      <c r="E94">
        <v>5</v>
      </c>
      <c r="F94" s="43">
        <f t="shared" si="8"/>
        <v>3.6231884057971016</v>
      </c>
      <c r="G94" s="44">
        <f t="shared" si="9"/>
        <v>3</v>
      </c>
      <c r="H94" s="44">
        <f t="shared" si="10"/>
        <v>0.62318840579710155</v>
      </c>
      <c r="I94" cm="1">
        <f t="array" ref="I94">INT(F94)+IF(100-SUM(INT(F$92:F$100))&gt;=RANK(H94,H$92:H$100)+COUNTIF(H$92:H94,H94)-1,1,0)</f>
        <v>4</v>
      </c>
      <c r="J94" t="b">
        <f t="shared" si="11"/>
        <v>0</v>
      </c>
      <c r="K94" t="str">
        <f t="shared" si="12"/>
        <v/>
      </c>
      <c r="L94">
        <f>_xlfn.XLOOKUP(D94,BugList!C:C,BugList!N:N)</f>
        <v>6</v>
      </c>
      <c r="M94">
        <f t="shared" si="13"/>
        <v>24</v>
      </c>
      <c r="N94" t="b">
        <f>_xlfn.XLOOKUP(D94,BugList!C:C,BugList!L:L)</f>
        <v>1</v>
      </c>
      <c r="O94" t="b">
        <f t="shared" si="14"/>
        <v>0</v>
      </c>
      <c r="P94" s="18" t="b">
        <f>SUMPRODUCT(COUNTIF(_xlfn.XLOOKUP(D94,BugList!C:C,BugList!P:P), "*SC*"))&gt;0</f>
        <v>0</v>
      </c>
    </row>
    <row r="95" spans="1:16">
      <c r="A95" t="s">
        <v>2709</v>
      </c>
      <c r="B95">
        <v>208</v>
      </c>
      <c r="C95" t="s">
        <v>198</v>
      </c>
      <c r="D95" t="s">
        <v>89</v>
      </c>
      <c r="E95">
        <v>17</v>
      </c>
      <c r="F95" s="43">
        <f t="shared" si="8"/>
        <v>12.318840579710146</v>
      </c>
      <c r="G95" s="44">
        <f t="shared" si="9"/>
        <v>12</v>
      </c>
      <c r="H95" s="44">
        <f t="shared" si="10"/>
        <v>0.31884057971014634</v>
      </c>
      <c r="I95" cm="1">
        <f t="array" ref="I95">INT(F95)+IF(100-SUM(INT(F$92:F$100))&gt;=RANK(H95,H$92:H$100)+COUNTIF(H$92:H95,H95)-1,1,0)</f>
        <v>12</v>
      </c>
      <c r="J95" t="b">
        <f t="shared" si="11"/>
        <v>1</v>
      </c>
      <c r="K95" t="str">
        <f t="shared" si="12"/>
        <v>Trichoptera</v>
      </c>
      <c r="L95">
        <f>_xlfn.XLOOKUP(D95,BugList!C:C,BugList!N:N)</f>
        <v>4</v>
      </c>
      <c r="M95">
        <f t="shared" si="13"/>
        <v>48</v>
      </c>
      <c r="N95" t="b">
        <f>_xlfn.XLOOKUP(D95,BugList!C:C,BugList!L:L)</f>
        <v>1</v>
      </c>
      <c r="O95" t="b">
        <f t="shared" si="14"/>
        <v>0</v>
      </c>
      <c r="P95" s="18" t="b">
        <f>SUMPRODUCT(COUNTIF(_xlfn.XLOOKUP(D95,BugList!C:C,BugList!P:P), "*SC*"))&gt;0</f>
        <v>0</v>
      </c>
    </row>
    <row r="96" spans="1:16">
      <c r="A96" t="s">
        <v>2709</v>
      </c>
      <c r="B96">
        <v>208</v>
      </c>
      <c r="C96" t="s">
        <v>204</v>
      </c>
      <c r="D96" t="s">
        <v>84</v>
      </c>
      <c r="E96">
        <v>5</v>
      </c>
      <c r="F96" s="43">
        <f t="shared" si="8"/>
        <v>3.6231884057971016</v>
      </c>
      <c r="G96" s="44">
        <f t="shared" si="9"/>
        <v>3</v>
      </c>
      <c r="H96" s="44">
        <f t="shared" si="10"/>
        <v>0.62318840579710155</v>
      </c>
      <c r="I96" cm="1">
        <f t="array" ref="I96">INT(F96)+IF(100-SUM(INT(F$92:F$100))&gt;=RANK(H96,H$92:H$100)+COUNTIF(H$92:H96,H96)-1,1,0)</f>
        <v>4</v>
      </c>
      <c r="J96" t="b">
        <f t="shared" si="11"/>
        <v>0</v>
      </c>
      <c r="K96" t="str">
        <f t="shared" si="12"/>
        <v/>
      </c>
      <c r="L96">
        <f>_xlfn.XLOOKUP(D96,BugList!C:C,BugList!N:N)</f>
        <v>8</v>
      </c>
      <c r="M96">
        <f t="shared" si="13"/>
        <v>32</v>
      </c>
      <c r="N96" t="b">
        <f>_xlfn.XLOOKUP(D96,BugList!C:C,BugList!L:L)</f>
        <v>0</v>
      </c>
      <c r="O96" t="b">
        <f t="shared" si="14"/>
        <v>0</v>
      </c>
      <c r="P96" s="18" t="b">
        <f>SUMPRODUCT(COUNTIF(_xlfn.XLOOKUP(D96,BugList!C:C,BugList!P:P), "*SC*"))&gt;0</f>
        <v>0</v>
      </c>
    </row>
    <row r="97" spans="1:16">
      <c r="A97" t="s">
        <v>2709</v>
      </c>
      <c r="B97">
        <v>208</v>
      </c>
      <c r="C97" t="s">
        <v>201</v>
      </c>
      <c r="D97" t="s">
        <v>85</v>
      </c>
      <c r="E97">
        <v>49</v>
      </c>
      <c r="F97" s="43">
        <f t="shared" si="8"/>
        <v>35.507246376811594</v>
      </c>
      <c r="G97" s="44">
        <f t="shared" si="9"/>
        <v>35</v>
      </c>
      <c r="H97" s="44">
        <f t="shared" si="10"/>
        <v>0.50724637681159379</v>
      </c>
      <c r="I97" cm="1">
        <f t="array" ref="I97">INT(F97)+IF(100-SUM(INT(F$92:F$100))&gt;=RANK(H97,H$92:H$100)+COUNTIF(H$92:H97,H97)-1,1,0)</f>
        <v>35</v>
      </c>
      <c r="J97" t="b">
        <f t="shared" si="11"/>
        <v>0</v>
      </c>
      <c r="K97" t="str">
        <f t="shared" si="12"/>
        <v/>
      </c>
      <c r="L97">
        <f>_xlfn.XLOOKUP(D97,BugList!C:C,BugList!N:N)</f>
        <v>4</v>
      </c>
      <c r="M97">
        <f t="shared" si="13"/>
        <v>140</v>
      </c>
      <c r="N97" t="b">
        <f>_xlfn.XLOOKUP(D97,BugList!C:C,BugList!L:L)</f>
        <v>0</v>
      </c>
      <c r="O97" t="b">
        <f t="shared" si="14"/>
        <v>0</v>
      </c>
      <c r="P97" s="18" t="b">
        <f>SUMPRODUCT(COUNTIF(_xlfn.XLOOKUP(D97,BugList!C:C,BugList!P:P), "*SC*"))&gt;0</f>
        <v>0</v>
      </c>
    </row>
    <row r="98" spans="1:16">
      <c r="A98" t="s">
        <v>2709</v>
      </c>
      <c r="B98">
        <v>208</v>
      </c>
      <c r="C98" t="s">
        <v>210</v>
      </c>
      <c r="D98" t="s">
        <v>210</v>
      </c>
      <c r="E98">
        <v>3</v>
      </c>
      <c r="F98" s="43">
        <f t="shared" ref="F98:F129" si="15">(E98/(SUMIFS(E:E,A:A,A98))*100)</f>
        <v>2.1739130434782608</v>
      </c>
      <c r="G98" s="44">
        <f t="shared" si="9"/>
        <v>2</v>
      </c>
      <c r="H98" s="44">
        <f t="shared" si="10"/>
        <v>0.17391304347826075</v>
      </c>
      <c r="I98" cm="1">
        <f t="array" ref="I98">INT(F98)+IF(100-SUM(INT(F$92:F$100))&gt;=RANK(H98,H$92:H$100)+COUNTIF(H$92:H98,H98)-1,1,0)</f>
        <v>2</v>
      </c>
      <c r="J98" t="b">
        <f t="shared" si="11"/>
        <v>0</v>
      </c>
      <c r="K98" t="str">
        <f t="shared" si="12"/>
        <v/>
      </c>
      <c r="L98" s="71">
        <v>8</v>
      </c>
      <c r="M98">
        <f t="shared" si="13"/>
        <v>16</v>
      </c>
      <c r="N98" s="71" t="b">
        <v>0</v>
      </c>
      <c r="O98" t="b">
        <f t="shared" si="14"/>
        <v>0</v>
      </c>
      <c r="P98" s="72" t="b">
        <v>0</v>
      </c>
    </row>
    <row r="99" spans="1:16">
      <c r="A99" t="s">
        <v>2709</v>
      </c>
      <c r="B99">
        <v>208</v>
      </c>
      <c r="C99" t="s">
        <v>2315</v>
      </c>
      <c r="D99" t="s">
        <v>2315</v>
      </c>
      <c r="E99">
        <v>6</v>
      </c>
      <c r="F99" s="43">
        <f t="shared" si="15"/>
        <v>4.3478260869565215</v>
      </c>
      <c r="G99" s="44">
        <f t="shared" si="9"/>
        <v>4</v>
      </c>
      <c r="H99" s="44">
        <f t="shared" si="10"/>
        <v>0.34782608695652151</v>
      </c>
      <c r="I99" cm="1">
        <f t="array" ref="I99">INT(F99)+IF(100-SUM(INT(F$92:F$100))&gt;=RANK(H99,H$92:H$100)+COUNTIF(H$92:H99,H99)-1,1,0)</f>
        <v>4</v>
      </c>
      <c r="J99" t="b">
        <f t="shared" si="11"/>
        <v>0</v>
      </c>
      <c r="K99" t="str">
        <f t="shared" si="12"/>
        <v/>
      </c>
      <c r="L99">
        <f>_xlfn.XLOOKUP(D99,BugList!C:C,BugList!N:N)</f>
        <v>7</v>
      </c>
      <c r="M99">
        <f t="shared" si="13"/>
        <v>28</v>
      </c>
      <c r="N99" t="b">
        <f>_xlfn.XLOOKUP(D99,BugList!C:C,BugList!L:L)</f>
        <v>0</v>
      </c>
      <c r="O99" t="b">
        <f t="shared" si="14"/>
        <v>0</v>
      </c>
      <c r="P99" s="18" t="b">
        <f>SUMPRODUCT(COUNTIF(_xlfn.XLOOKUP(D99,BugList!C:C,BugList!P:P), "*SC*"))&gt;0</f>
        <v>1</v>
      </c>
    </row>
    <row r="100" spans="1:16">
      <c r="A100" t="s">
        <v>2709</v>
      </c>
      <c r="B100">
        <v>208</v>
      </c>
      <c r="C100" t="s">
        <v>194</v>
      </c>
      <c r="D100" t="s">
        <v>108</v>
      </c>
      <c r="E100">
        <v>1</v>
      </c>
      <c r="F100" s="43">
        <f t="shared" si="15"/>
        <v>0.72463768115942029</v>
      </c>
      <c r="G100" s="44">
        <f t="shared" si="9"/>
        <v>0</v>
      </c>
      <c r="H100" s="44">
        <f t="shared" si="10"/>
        <v>0.72463768115942029</v>
      </c>
      <c r="I100" cm="1">
        <f t="array" ref="I100">INT(F100)+IF(100-SUM(INT(F$92:F$100))&gt;=RANK(H100,H$92:H$100)+COUNTIF(H$92:H100,H100)-1,1,0)</f>
        <v>1</v>
      </c>
      <c r="J100" t="b">
        <f t="shared" si="11"/>
        <v>0</v>
      </c>
      <c r="K100" t="str">
        <f t="shared" si="12"/>
        <v/>
      </c>
      <c r="L100">
        <f>_xlfn.XLOOKUP(D100,BugList!C:C,BugList!N:N)</f>
        <v>3</v>
      </c>
      <c r="M100">
        <f t="shared" si="13"/>
        <v>3</v>
      </c>
      <c r="N100" t="b">
        <f>_xlfn.XLOOKUP(D100,BugList!C:C,BugList!L:L)</f>
        <v>1</v>
      </c>
      <c r="O100" t="b">
        <f t="shared" si="14"/>
        <v>0</v>
      </c>
      <c r="P100" s="18" t="b">
        <f>SUMPRODUCT(COUNTIF(_xlfn.XLOOKUP(D100,BugList!C:C,BugList!P:P), "*SC*"))&gt;0</f>
        <v>0</v>
      </c>
    </row>
    <row r="101" spans="1:16">
      <c r="A101" t="s">
        <v>2710</v>
      </c>
      <c r="B101">
        <v>213</v>
      </c>
      <c r="C101" t="s">
        <v>200</v>
      </c>
      <c r="D101" t="s">
        <v>98</v>
      </c>
      <c r="E101">
        <v>5</v>
      </c>
      <c r="F101" s="43">
        <f t="shared" si="15"/>
        <v>4.5871559633027523</v>
      </c>
      <c r="G101" s="44">
        <f t="shared" si="9"/>
        <v>4</v>
      </c>
      <c r="H101" s="44">
        <f t="shared" si="10"/>
        <v>0.58715596330275233</v>
      </c>
      <c r="I101" cm="1">
        <f t="array" ref="I101">INT(F101)+IF(100-SUM(INT(F$101:F$109))&gt;=RANK(H101,H$101:H$109)+COUNTIF(H$101:H101,H101)-1,1,0)</f>
        <v>5</v>
      </c>
      <c r="J101" t="b">
        <f t="shared" si="11"/>
        <v>0</v>
      </c>
      <c r="K101" t="str">
        <f t="shared" si="12"/>
        <v/>
      </c>
      <c r="L101">
        <f>_xlfn.XLOOKUP(D101,BugList!C:C,BugList!N:N)</f>
        <v>4</v>
      </c>
      <c r="M101">
        <f t="shared" si="13"/>
        <v>20</v>
      </c>
      <c r="N101" t="b">
        <f>_xlfn.XLOOKUP(D101,BugList!C:C,BugList!L:L)</f>
        <v>1</v>
      </c>
      <c r="O101" t="b">
        <f t="shared" si="14"/>
        <v>0</v>
      </c>
      <c r="P101" s="18" t="b">
        <f>SUMPRODUCT(COUNTIF(_xlfn.XLOOKUP(D101,BugList!C:C,BugList!P:P), "*SC*"))&gt;0</f>
        <v>1</v>
      </c>
    </row>
    <row r="102" spans="1:16">
      <c r="A102" t="s">
        <v>2710</v>
      </c>
      <c r="B102">
        <v>213</v>
      </c>
      <c r="C102" t="s">
        <v>194</v>
      </c>
      <c r="D102" s="85" t="s">
        <v>126</v>
      </c>
      <c r="E102">
        <v>6</v>
      </c>
      <c r="F102" s="43">
        <f t="shared" si="15"/>
        <v>5.5045871559633035</v>
      </c>
      <c r="G102" s="44">
        <f t="shared" si="9"/>
        <v>5</v>
      </c>
      <c r="H102" s="44">
        <f t="shared" si="10"/>
        <v>0.5045871559633035</v>
      </c>
      <c r="I102" cm="1">
        <f t="array" ref="I102">INT(F102)+IF(100-SUM(INT(F$101:F$109))&gt;=RANK(H102,H$101:H$109)+COUNTIF(H$101:H102,H102)-1,1,0)</f>
        <v>5</v>
      </c>
      <c r="J102" t="b">
        <f t="shared" si="11"/>
        <v>0</v>
      </c>
      <c r="K102" t="str">
        <f t="shared" si="12"/>
        <v/>
      </c>
      <c r="L102">
        <f>_xlfn.XLOOKUP(D102,BugList!C:C,BugList!N:N)</f>
        <v>8</v>
      </c>
      <c r="M102">
        <f t="shared" si="13"/>
        <v>40</v>
      </c>
      <c r="N102" t="b">
        <f>_xlfn.XLOOKUP(D102,BugList!C:C,BugList!L:L)</f>
        <v>1</v>
      </c>
      <c r="O102" t="b">
        <f t="shared" si="14"/>
        <v>0</v>
      </c>
      <c r="P102" s="18" t="b">
        <f>SUMPRODUCT(COUNTIF(_xlfn.XLOOKUP(D102,BugList!C:C,BugList!P:P), "*SC*"))&gt;0</f>
        <v>0</v>
      </c>
    </row>
    <row r="103" spans="1:16">
      <c r="A103" t="s">
        <v>2710</v>
      </c>
      <c r="B103">
        <v>213</v>
      </c>
      <c r="C103" t="s">
        <v>198</v>
      </c>
      <c r="D103" t="s">
        <v>89</v>
      </c>
      <c r="E103">
        <v>25</v>
      </c>
      <c r="F103" s="43">
        <f t="shared" si="15"/>
        <v>22.935779816513762</v>
      </c>
      <c r="G103" s="44">
        <f t="shared" si="9"/>
        <v>22</v>
      </c>
      <c r="H103" s="44">
        <f t="shared" si="10"/>
        <v>0.93577981651376163</v>
      </c>
      <c r="I103" cm="1">
        <f t="array" ref="I103">INT(F103)+IF(100-SUM(INT(F$101:F$109))&gt;=RANK(H103,H$101:H$109)+COUNTIF(H$101:H103,H103)-1,1,0)</f>
        <v>23</v>
      </c>
      <c r="J103" t="b">
        <f t="shared" si="11"/>
        <v>1</v>
      </c>
      <c r="K103" t="str">
        <f t="shared" si="12"/>
        <v>Trichoptera</v>
      </c>
      <c r="L103">
        <f>_xlfn.XLOOKUP(D103,BugList!C:C,BugList!N:N)</f>
        <v>4</v>
      </c>
      <c r="M103">
        <f t="shared" si="13"/>
        <v>92</v>
      </c>
      <c r="N103" t="b">
        <f>_xlfn.XLOOKUP(D103,BugList!C:C,BugList!L:L)</f>
        <v>1</v>
      </c>
      <c r="O103" t="b">
        <f t="shared" si="14"/>
        <v>0</v>
      </c>
      <c r="P103" s="18" t="b">
        <f>SUMPRODUCT(COUNTIF(_xlfn.XLOOKUP(D103,BugList!C:C,BugList!P:P), "*SC*"))&gt;0</f>
        <v>0</v>
      </c>
    </row>
    <row r="104" spans="1:16">
      <c r="A104" t="s">
        <v>2710</v>
      </c>
      <c r="B104">
        <v>213</v>
      </c>
      <c r="C104" t="s">
        <v>198</v>
      </c>
      <c r="D104" t="s">
        <v>163</v>
      </c>
      <c r="E104">
        <v>2</v>
      </c>
      <c r="F104" s="43">
        <f t="shared" si="15"/>
        <v>1.834862385321101</v>
      </c>
      <c r="G104" s="44">
        <f t="shared" si="9"/>
        <v>1</v>
      </c>
      <c r="H104" s="44">
        <f t="shared" si="10"/>
        <v>0.83486238532110102</v>
      </c>
      <c r="I104" cm="1">
        <f t="array" ref="I104">INT(F104)+IF(100-SUM(INT(F$101:F$109))&gt;=RANK(H104,H$101:H$109)+COUNTIF(H$101:H104,H104)-1,1,0)</f>
        <v>2</v>
      </c>
      <c r="J104" t="b">
        <f t="shared" si="11"/>
        <v>1</v>
      </c>
      <c r="K104" t="str">
        <f t="shared" si="12"/>
        <v>Trichoptera</v>
      </c>
      <c r="L104">
        <f>_xlfn.XLOOKUP(D104,BugList!C:C,BugList!N:N)</f>
        <v>6</v>
      </c>
      <c r="M104">
        <f t="shared" si="13"/>
        <v>12</v>
      </c>
      <c r="N104" t="b">
        <f>_xlfn.XLOOKUP(D104,BugList!C:C,BugList!L:L)</f>
        <v>1</v>
      </c>
      <c r="O104" t="b">
        <f t="shared" si="14"/>
        <v>1</v>
      </c>
      <c r="P104" s="18" t="b">
        <f>SUMPRODUCT(COUNTIF(_xlfn.XLOOKUP(D104,BugList!C:C,BugList!P:P), "*SC*"))&gt;0</f>
        <v>0</v>
      </c>
    </row>
    <row r="105" spans="1:16">
      <c r="A105" t="s">
        <v>2710</v>
      </c>
      <c r="B105">
        <v>213</v>
      </c>
      <c r="C105" t="s">
        <v>201</v>
      </c>
      <c r="D105" t="s">
        <v>85</v>
      </c>
      <c r="E105">
        <v>55</v>
      </c>
      <c r="F105" s="43">
        <f t="shared" si="15"/>
        <v>50.458715596330272</v>
      </c>
      <c r="G105" s="44">
        <f t="shared" si="9"/>
        <v>50</v>
      </c>
      <c r="H105" s="44">
        <f t="shared" si="10"/>
        <v>0.45871559633027204</v>
      </c>
      <c r="I105" cm="1">
        <f t="array" ref="I105">INT(F105)+IF(100-SUM(INT(F$101:F$109))&gt;=RANK(H105,H$101:H$109)+COUNTIF(H$101:H105,H105)-1,1,0)</f>
        <v>50</v>
      </c>
      <c r="J105" t="b">
        <f t="shared" si="11"/>
        <v>0</v>
      </c>
      <c r="K105" t="str">
        <f t="shared" si="12"/>
        <v/>
      </c>
      <c r="L105">
        <f>_xlfn.XLOOKUP(D105,BugList!C:C,BugList!N:N)</f>
        <v>4</v>
      </c>
      <c r="M105">
        <f t="shared" si="13"/>
        <v>200</v>
      </c>
      <c r="N105" t="b">
        <f>_xlfn.XLOOKUP(D105,BugList!C:C,BugList!L:L)</f>
        <v>0</v>
      </c>
      <c r="O105" t="b">
        <f t="shared" si="14"/>
        <v>0</v>
      </c>
      <c r="P105" s="18" t="b">
        <f>SUMPRODUCT(COUNTIF(_xlfn.XLOOKUP(D105,BugList!C:C,BugList!P:P), "*SC*"))&gt;0</f>
        <v>0</v>
      </c>
    </row>
    <row r="106" spans="1:16">
      <c r="A106" t="s">
        <v>2710</v>
      </c>
      <c r="B106">
        <v>213</v>
      </c>
      <c r="C106" t="s">
        <v>202</v>
      </c>
      <c r="D106" t="s">
        <v>203</v>
      </c>
      <c r="E106">
        <v>3</v>
      </c>
      <c r="F106" s="43">
        <f t="shared" si="15"/>
        <v>2.7522935779816518</v>
      </c>
      <c r="G106" s="44">
        <f t="shared" si="9"/>
        <v>2</v>
      </c>
      <c r="H106" s="44">
        <f t="shared" si="10"/>
        <v>0.75229357798165175</v>
      </c>
      <c r="I106" cm="1">
        <f t="array" ref="I106">INT(F106)+IF(100-SUM(INT(F$101:F$109))&gt;=RANK(H106,H$101:H$109)+COUNTIF(H$101:H106,H106)-1,1,0)</f>
        <v>3</v>
      </c>
      <c r="J106" t="b">
        <f t="shared" si="11"/>
        <v>0</v>
      </c>
      <c r="K106" t="str">
        <f t="shared" si="12"/>
        <v/>
      </c>
      <c r="L106" s="71">
        <v>5</v>
      </c>
      <c r="M106">
        <f t="shared" si="13"/>
        <v>15</v>
      </c>
      <c r="N106" s="71" t="b">
        <v>0</v>
      </c>
      <c r="O106" t="b">
        <f t="shared" si="14"/>
        <v>0</v>
      </c>
      <c r="P106" s="72" t="b">
        <v>0</v>
      </c>
    </row>
    <row r="107" spans="1:16">
      <c r="A107" t="s">
        <v>2710</v>
      </c>
      <c r="B107">
        <v>213</v>
      </c>
      <c r="C107" t="s">
        <v>210</v>
      </c>
      <c r="D107" t="s">
        <v>210</v>
      </c>
      <c r="E107">
        <v>11</v>
      </c>
      <c r="F107" s="43">
        <f t="shared" si="15"/>
        <v>10.091743119266056</v>
      </c>
      <c r="G107" s="44">
        <f t="shared" si="9"/>
        <v>10</v>
      </c>
      <c r="H107" s="44">
        <f t="shared" si="10"/>
        <v>9.1743119266055828E-2</v>
      </c>
      <c r="I107" cm="1">
        <f t="array" ref="I107">INT(F107)+IF(100-SUM(INT(F$101:F$109))&gt;=RANK(H107,H$101:H$109)+COUNTIF(H$101:H107,H107)-1,1,0)</f>
        <v>10</v>
      </c>
      <c r="J107" t="b">
        <f t="shared" si="11"/>
        <v>0</v>
      </c>
      <c r="K107" t="str">
        <f t="shared" si="12"/>
        <v/>
      </c>
      <c r="L107" s="71">
        <v>8</v>
      </c>
      <c r="M107">
        <f t="shared" si="13"/>
        <v>80</v>
      </c>
      <c r="N107" s="71" t="b">
        <v>0</v>
      </c>
      <c r="O107" t="b">
        <f t="shared" si="14"/>
        <v>0</v>
      </c>
      <c r="P107" s="72" t="b">
        <v>0</v>
      </c>
    </row>
    <row r="108" spans="1:16">
      <c r="A108" t="s">
        <v>2710</v>
      </c>
      <c r="B108">
        <v>213</v>
      </c>
      <c r="C108" t="s">
        <v>2315</v>
      </c>
      <c r="D108" t="s">
        <v>2315</v>
      </c>
      <c r="E108">
        <v>1</v>
      </c>
      <c r="F108" s="43">
        <f t="shared" si="15"/>
        <v>0.91743119266055051</v>
      </c>
      <c r="G108" s="44">
        <f t="shared" si="9"/>
        <v>0</v>
      </c>
      <c r="H108" s="44">
        <f t="shared" si="10"/>
        <v>0.91743119266055051</v>
      </c>
      <c r="I108" cm="1">
        <f t="array" ref="I108">INT(F108)+IF(100-SUM(INT(F$101:F$109))&gt;=RANK(H108,H$101:H$109)+COUNTIF(H$101:H108,H108)-1,1,0)</f>
        <v>1</v>
      </c>
      <c r="J108" t="b">
        <f t="shared" si="11"/>
        <v>0</v>
      </c>
      <c r="K108" t="str">
        <f t="shared" si="12"/>
        <v/>
      </c>
      <c r="L108">
        <f>_xlfn.XLOOKUP(D108,BugList!C:C,BugList!N:N)</f>
        <v>7</v>
      </c>
      <c r="M108">
        <f t="shared" si="13"/>
        <v>7</v>
      </c>
      <c r="N108" t="b">
        <f>_xlfn.XLOOKUP(D108,BugList!C:C,BugList!L:L)</f>
        <v>0</v>
      </c>
      <c r="O108" t="b">
        <f t="shared" si="14"/>
        <v>0</v>
      </c>
      <c r="P108" s="18" t="b">
        <f>SUMPRODUCT(COUNTIF(_xlfn.XLOOKUP(D108,BugList!C:C,BugList!P:P), "*SC*"))&gt;0</f>
        <v>1</v>
      </c>
    </row>
    <row r="109" spans="1:16">
      <c r="A109" t="s">
        <v>2710</v>
      </c>
      <c r="B109">
        <v>213</v>
      </c>
      <c r="C109" t="s">
        <v>205</v>
      </c>
      <c r="D109" t="s">
        <v>206</v>
      </c>
      <c r="E109">
        <v>1</v>
      </c>
      <c r="F109" s="43">
        <f t="shared" si="15"/>
        <v>0.91743119266055051</v>
      </c>
      <c r="G109" s="44">
        <f t="shared" si="9"/>
        <v>0</v>
      </c>
      <c r="H109" s="44">
        <f t="shared" si="10"/>
        <v>0.91743119266055051</v>
      </c>
      <c r="I109" cm="1">
        <f t="array" ref="I109">INT(F109)+IF(100-SUM(INT(F$101:F$109))&gt;=RANK(H109,H$101:H$109)+COUNTIF(H$101:H109,H109)-1,1,0)</f>
        <v>1</v>
      </c>
      <c r="J109" t="b">
        <f t="shared" si="11"/>
        <v>0</v>
      </c>
      <c r="K109" t="str">
        <f t="shared" si="12"/>
        <v/>
      </c>
      <c r="L109" s="71">
        <v>8</v>
      </c>
      <c r="M109">
        <f t="shared" si="13"/>
        <v>8</v>
      </c>
      <c r="N109" s="71" t="b">
        <v>0</v>
      </c>
      <c r="O109" t="b">
        <f t="shared" si="14"/>
        <v>0</v>
      </c>
      <c r="P109" s="72" t="b">
        <v>0</v>
      </c>
    </row>
    <row r="110" spans="1:16">
      <c r="A110" t="s">
        <v>2711</v>
      </c>
      <c r="B110">
        <v>224</v>
      </c>
      <c r="C110" t="s">
        <v>200</v>
      </c>
      <c r="D110" t="s">
        <v>98</v>
      </c>
      <c r="E110">
        <v>23</v>
      </c>
      <c r="F110" s="43">
        <f t="shared" si="15"/>
        <v>16.197183098591552</v>
      </c>
      <c r="G110" s="44">
        <f t="shared" si="9"/>
        <v>16</v>
      </c>
      <c r="H110" s="44">
        <f t="shared" si="10"/>
        <v>0.1971830985915517</v>
      </c>
      <c r="I110" cm="1">
        <f t="array" ref="I110">INT(F110)+IF(100-SUM(INT(F$110:F$114))&gt;=RANK(H110,H$110:H$114)+COUNTIF(H$110:H110,H110)-1,1,0)</f>
        <v>16</v>
      </c>
      <c r="J110" t="b">
        <f t="shared" si="11"/>
        <v>0</v>
      </c>
      <c r="K110" t="str">
        <f t="shared" si="12"/>
        <v/>
      </c>
      <c r="L110">
        <f>_xlfn.XLOOKUP(D110,BugList!C:C,BugList!N:N)</f>
        <v>4</v>
      </c>
      <c r="M110">
        <f t="shared" si="13"/>
        <v>64</v>
      </c>
      <c r="N110" t="b">
        <f>_xlfn.XLOOKUP(D110,BugList!C:C,BugList!L:L)</f>
        <v>1</v>
      </c>
      <c r="O110" t="b">
        <f t="shared" si="14"/>
        <v>0</v>
      </c>
      <c r="P110" s="18" t="b">
        <f>SUMPRODUCT(COUNTIF(_xlfn.XLOOKUP(D110,BugList!C:C,BugList!P:P), "*SC*"))&gt;0</f>
        <v>1</v>
      </c>
    </row>
    <row r="111" spans="1:16">
      <c r="A111" t="s">
        <v>2711</v>
      </c>
      <c r="B111">
        <v>224</v>
      </c>
      <c r="C111" t="s">
        <v>194</v>
      </c>
      <c r="D111" s="85" t="s">
        <v>90</v>
      </c>
      <c r="E111">
        <v>11</v>
      </c>
      <c r="F111" s="43">
        <f t="shared" si="15"/>
        <v>7.7464788732394361</v>
      </c>
      <c r="G111" s="44">
        <f t="shared" si="9"/>
        <v>7</v>
      </c>
      <c r="H111" s="44">
        <f t="shared" si="10"/>
        <v>0.74647887323943607</v>
      </c>
      <c r="I111" cm="1">
        <f t="array" ref="I111">INT(F111)+IF(100-SUM(INT(F$110:F$114))&gt;=RANK(H111,H$110:H$114)+COUNTIF(H$110:H111,H111)-1,1,0)</f>
        <v>8</v>
      </c>
      <c r="J111" t="b">
        <f t="shared" si="11"/>
        <v>0</v>
      </c>
      <c r="K111" t="str">
        <f t="shared" si="12"/>
        <v/>
      </c>
      <c r="L111">
        <f>_xlfn.XLOOKUP(D111,BugList!C:C,BugList!N:N)</f>
        <v>6</v>
      </c>
      <c r="M111">
        <f t="shared" si="13"/>
        <v>48</v>
      </c>
      <c r="N111" t="b">
        <f>_xlfn.XLOOKUP(D111,BugList!C:C,BugList!L:L)</f>
        <v>1</v>
      </c>
      <c r="O111" t="b">
        <f t="shared" si="14"/>
        <v>0</v>
      </c>
      <c r="P111" s="18" t="b">
        <f>SUMPRODUCT(COUNTIF(_xlfn.XLOOKUP(D111,BugList!C:C,BugList!P:P), "*SC*"))&gt;0</f>
        <v>0</v>
      </c>
    </row>
    <row r="112" spans="1:16">
      <c r="A112" t="s">
        <v>2711</v>
      </c>
      <c r="B112">
        <v>224</v>
      </c>
      <c r="C112" t="s">
        <v>211</v>
      </c>
      <c r="D112" t="s">
        <v>87</v>
      </c>
      <c r="E112">
        <v>12</v>
      </c>
      <c r="F112" s="43">
        <f t="shared" si="15"/>
        <v>8.4507042253521121</v>
      </c>
      <c r="G112" s="44">
        <f t="shared" si="9"/>
        <v>8</v>
      </c>
      <c r="H112" s="44">
        <f t="shared" si="10"/>
        <v>0.45070422535211208</v>
      </c>
      <c r="I112" cm="1">
        <f t="array" ref="I112">INT(F112)+IF(100-SUM(INT(F$110:F$114))&gt;=RANK(H112,H$110:H$114)+COUNTIF(H$110:H112,H112)-1,1,0)</f>
        <v>9</v>
      </c>
      <c r="J112" t="b">
        <f t="shared" si="11"/>
        <v>0</v>
      </c>
      <c r="K112" t="str">
        <f t="shared" si="12"/>
        <v/>
      </c>
      <c r="L112">
        <f>_xlfn.XLOOKUP(D112,BugList!C:C,BugList!N:N)</f>
        <v>4</v>
      </c>
      <c r="M112">
        <f t="shared" si="13"/>
        <v>36</v>
      </c>
      <c r="N112" t="b">
        <f>_xlfn.XLOOKUP(D112,BugList!C:C,BugList!L:L)</f>
        <v>0</v>
      </c>
      <c r="O112" t="b">
        <f t="shared" si="14"/>
        <v>0</v>
      </c>
      <c r="P112" s="18" t="b">
        <f>SUMPRODUCT(COUNTIF(_xlfn.XLOOKUP(D112,BugList!C:C,BugList!P:P), "*SC*"))&gt;0</f>
        <v>0</v>
      </c>
    </row>
    <row r="113" spans="1:16">
      <c r="A113" t="s">
        <v>2711</v>
      </c>
      <c r="B113">
        <v>224</v>
      </c>
      <c r="C113" t="s">
        <v>198</v>
      </c>
      <c r="D113" t="s">
        <v>89</v>
      </c>
      <c r="E113">
        <v>94</v>
      </c>
      <c r="F113" s="43">
        <f t="shared" si="15"/>
        <v>66.197183098591552</v>
      </c>
      <c r="G113" s="44">
        <f t="shared" si="9"/>
        <v>66</v>
      </c>
      <c r="H113" s="44">
        <f t="shared" si="10"/>
        <v>0.1971830985915517</v>
      </c>
      <c r="I113" cm="1">
        <f t="array" ref="I113">INT(F113)+IF(100-SUM(INT(F$110:F$114))&gt;=RANK(H113,H$110:H$114)+COUNTIF(H$110:H113,H113)-1,1,0)</f>
        <v>66</v>
      </c>
      <c r="J113" t="b">
        <f t="shared" si="11"/>
        <v>1</v>
      </c>
      <c r="K113" t="str">
        <f t="shared" si="12"/>
        <v>Trichoptera</v>
      </c>
      <c r="L113">
        <f>_xlfn.XLOOKUP(D113,BugList!C:C,BugList!N:N)</f>
        <v>4</v>
      </c>
      <c r="M113">
        <f t="shared" si="13"/>
        <v>264</v>
      </c>
      <c r="N113" t="b">
        <f>_xlfn.XLOOKUP(D113,BugList!C:C,BugList!L:L)</f>
        <v>1</v>
      </c>
      <c r="O113" t="b">
        <f t="shared" si="14"/>
        <v>0</v>
      </c>
      <c r="P113" s="18" t="b">
        <f>SUMPRODUCT(COUNTIF(_xlfn.XLOOKUP(D113,BugList!C:C,BugList!P:P), "*SC*"))&gt;0</f>
        <v>0</v>
      </c>
    </row>
    <row r="114" spans="1:16">
      <c r="A114" t="s">
        <v>2711</v>
      </c>
      <c r="B114">
        <v>224</v>
      </c>
      <c r="C114" t="s">
        <v>201</v>
      </c>
      <c r="D114" t="s">
        <v>89</v>
      </c>
      <c r="E114">
        <v>2</v>
      </c>
      <c r="F114" s="43">
        <f t="shared" si="15"/>
        <v>1.4084507042253522</v>
      </c>
      <c r="G114" s="44">
        <f t="shared" si="9"/>
        <v>1</v>
      </c>
      <c r="H114" s="44">
        <f t="shared" si="10"/>
        <v>0.40845070422535223</v>
      </c>
      <c r="I114" cm="1">
        <f t="array" ref="I114">INT(F114)+IF(100-SUM(INT(F$110:F$114))&gt;=RANK(H114,H$110:H$114)+COUNTIF(H$110:H114,H114)-1,1,0)</f>
        <v>1</v>
      </c>
      <c r="J114" t="b">
        <f t="shared" si="11"/>
        <v>0</v>
      </c>
      <c r="K114" t="str">
        <f t="shared" si="12"/>
        <v/>
      </c>
      <c r="L114">
        <f>_xlfn.XLOOKUP(D114,BugList!C:C,BugList!N:N)</f>
        <v>4</v>
      </c>
      <c r="M114">
        <f t="shared" si="13"/>
        <v>4</v>
      </c>
      <c r="N114" t="b">
        <f>_xlfn.XLOOKUP(D114,BugList!C:C,BugList!L:L)</f>
        <v>1</v>
      </c>
      <c r="O114" t="b">
        <f t="shared" si="14"/>
        <v>0</v>
      </c>
      <c r="P114" s="18" t="b">
        <f>SUMPRODUCT(COUNTIF(_xlfn.XLOOKUP(D114,BugList!C:C,BugList!P:P), "*SC*"))&gt;0</f>
        <v>0</v>
      </c>
    </row>
    <row r="115" spans="1:16">
      <c r="A115" t="s">
        <v>2712</v>
      </c>
      <c r="B115">
        <v>238</v>
      </c>
      <c r="C115" t="s">
        <v>200</v>
      </c>
      <c r="D115" t="s">
        <v>98</v>
      </c>
      <c r="E115">
        <v>44</v>
      </c>
      <c r="F115" s="43">
        <f t="shared" si="15"/>
        <v>35.199999999999996</v>
      </c>
      <c r="G115" s="44">
        <f t="shared" ref="G115:G178" si="16">INT(F115)</f>
        <v>35</v>
      </c>
      <c r="H115" s="44">
        <f t="shared" ref="H115:H178" si="17">F115-G115</f>
        <v>0.19999999999999574</v>
      </c>
      <c r="I115" cm="1">
        <f t="array" ref="I115">INT(F115)+IF(100-SUM(INT(F$115:F$123))&gt;=RANK(H115,H$115:H$123)+COUNTIF(H$115:H115,H115)-1,1,0)</f>
        <v>35</v>
      </c>
      <c r="J115" t="b">
        <f t="shared" ref="J115:J178" si="18">IF(OR(C115="Ephemeroptera", C115 ="Plecoptera", C115= "Trichoptera"), TRUE, FALSE)</f>
        <v>0</v>
      </c>
      <c r="K115" t="str">
        <f t="shared" ref="K115:K178" si="19">IF(J115=TRUE,C115,"")</f>
        <v/>
      </c>
      <c r="L115">
        <f>_xlfn.XLOOKUP(D115,BugList!C:C,BugList!N:N)</f>
        <v>4</v>
      </c>
      <c r="M115">
        <f t="shared" ref="M115:M178" si="20">L115*I115</f>
        <v>140</v>
      </c>
      <c r="N115" t="b">
        <f>_xlfn.XLOOKUP(D115,BugList!C:C,BugList!L:L)</f>
        <v>1</v>
      </c>
      <c r="O115" t="b">
        <f t="shared" ref="O115:O178" si="21">IF(J115=TRUE,IF(D115="Hydropsychidae", FALSE, TRUE), FALSE)</f>
        <v>0</v>
      </c>
      <c r="P115" s="18" t="b">
        <f>SUMPRODUCT(COUNTIF(_xlfn.XLOOKUP(D115,BugList!C:C,BugList!P:P), "*SC*"))&gt;0</f>
        <v>1</v>
      </c>
    </row>
    <row r="116" spans="1:16">
      <c r="A116" t="s">
        <v>2712</v>
      </c>
      <c r="B116">
        <v>238</v>
      </c>
      <c r="C116" t="s">
        <v>194</v>
      </c>
      <c r="D116" s="85" t="s">
        <v>126</v>
      </c>
      <c r="E116">
        <v>3</v>
      </c>
      <c r="F116" s="43">
        <f t="shared" si="15"/>
        <v>2.4</v>
      </c>
      <c r="G116" s="44">
        <f t="shared" si="16"/>
        <v>2</v>
      </c>
      <c r="H116" s="44">
        <f t="shared" si="17"/>
        <v>0.39999999999999991</v>
      </c>
      <c r="I116" cm="1">
        <f t="array" ref="I116">INT(F116)+IF(100-SUM(INT(F$115:F$123))&gt;=RANK(H116,H$115:H$123)+COUNTIF(H$115:H116,H116)-1,1,0)</f>
        <v>2</v>
      </c>
      <c r="J116" t="b">
        <f t="shared" si="18"/>
        <v>0</v>
      </c>
      <c r="K116" t="str">
        <f t="shared" si="19"/>
        <v/>
      </c>
      <c r="L116">
        <f>_xlfn.XLOOKUP(D116,BugList!C:C,BugList!N:N)</f>
        <v>8</v>
      </c>
      <c r="M116">
        <f t="shared" si="20"/>
        <v>16</v>
      </c>
      <c r="N116" t="b">
        <f>_xlfn.XLOOKUP(D116,BugList!C:C,BugList!L:L)</f>
        <v>1</v>
      </c>
      <c r="O116" t="b">
        <f t="shared" si="21"/>
        <v>0</v>
      </c>
      <c r="P116" s="18" t="b">
        <f>SUMPRODUCT(COUNTIF(_xlfn.XLOOKUP(D116,BugList!C:C,BugList!P:P), "*SC*"))&gt;0</f>
        <v>0</v>
      </c>
    </row>
    <row r="117" spans="1:16">
      <c r="A117" t="s">
        <v>2712</v>
      </c>
      <c r="B117">
        <v>238</v>
      </c>
      <c r="C117" t="s">
        <v>194</v>
      </c>
      <c r="D117" t="s">
        <v>90</v>
      </c>
      <c r="E117">
        <v>4</v>
      </c>
      <c r="F117" s="43">
        <f t="shared" si="15"/>
        <v>3.2</v>
      </c>
      <c r="G117" s="44">
        <f t="shared" si="16"/>
        <v>3</v>
      </c>
      <c r="H117" s="44">
        <f t="shared" si="17"/>
        <v>0.20000000000000018</v>
      </c>
      <c r="I117" cm="1">
        <f t="array" ref="I117">INT(F117)+IF(100-SUM(INT(F$115:F$123))&gt;=RANK(H117,H$115:H$123)+COUNTIF(H$115:H117,H117)-1,1,0)</f>
        <v>3</v>
      </c>
      <c r="J117" t="b">
        <f t="shared" si="18"/>
        <v>0</v>
      </c>
      <c r="K117" t="str">
        <f t="shared" si="19"/>
        <v/>
      </c>
      <c r="L117">
        <f>_xlfn.XLOOKUP(D117,BugList!C:C,BugList!N:N)</f>
        <v>6</v>
      </c>
      <c r="M117">
        <f t="shared" si="20"/>
        <v>18</v>
      </c>
      <c r="N117" t="b">
        <f>_xlfn.XLOOKUP(D117,BugList!C:C,BugList!L:L)</f>
        <v>1</v>
      </c>
      <c r="O117" t="b">
        <f t="shared" si="21"/>
        <v>0</v>
      </c>
      <c r="P117" s="18" t="b">
        <f>SUMPRODUCT(COUNTIF(_xlfn.XLOOKUP(D117,BugList!C:C,BugList!P:P), "*SC*"))&gt;0</f>
        <v>0</v>
      </c>
    </row>
    <row r="118" spans="1:16">
      <c r="A118" t="s">
        <v>2712</v>
      </c>
      <c r="B118">
        <v>238</v>
      </c>
      <c r="C118" t="s">
        <v>198</v>
      </c>
      <c r="D118" t="s">
        <v>89</v>
      </c>
      <c r="E118">
        <v>19</v>
      </c>
      <c r="F118" s="43">
        <f t="shared" si="15"/>
        <v>15.2</v>
      </c>
      <c r="G118" s="44">
        <f t="shared" si="16"/>
        <v>15</v>
      </c>
      <c r="H118" s="44">
        <f t="shared" si="17"/>
        <v>0.19999999999999929</v>
      </c>
      <c r="I118" cm="1">
        <f t="array" ref="I118">INT(F118)+IF(100-SUM(INT(F$115:F$123))&gt;=RANK(H118,H$115:H$123)+COUNTIF(H$115:H118,H118)-1,1,0)</f>
        <v>15</v>
      </c>
      <c r="J118" t="b">
        <f t="shared" si="18"/>
        <v>1</v>
      </c>
      <c r="K118" t="str">
        <f t="shared" si="19"/>
        <v>Trichoptera</v>
      </c>
      <c r="L118">
        <f>_xlfn.XLOOKUP(D118,BugList!C:C,BugList!N:N)</f>
        <v>4</v>
      </c>
      <c r="M118">
        <f t="shared" si="20"/>
        <v>60</v>
      </c>
      <c r="N118" t="b">
        <f>_xlfn.XLOOKUP(D118,BugList!C:C,BugList!L:L)</f>
        <v>1</v>
      </c>
      <c r="O118" t="b">
        <f t="shared" si="21"/>
        <v>0</v>
      </c>
      <c r="P118" s="18" t="b">
        <f>SUMPRODUCT(COUNTIF(_xlfn.XLOOKUP(D118,BugList!C:C,BugList!P:P), "*SC*"))&gt;0</f>
        <v>0</v>
      </c>
    </row>
    <row r="119" spans="1:16">
      <c r="A119" t="s">
        <v>2712</v>
      </c>
      <c r="B119">
        <v>238</v>
      </c>
      <c r="C119" t="s">
        <v>201</v>
      </c>
      <c r="D119" t="s">
        <v>85</v>
      </c>
      <c r="E119">
        <v>49</v>
      </c>
      <c r="F119" s="43">
        <f t="shared" si="15"/>
        <v>39.200000000000003</v>
      </c>
      <c r="G119" s="44">
        <f t="shared" si="16"/>
        <v>39</v>
      </c>
      <c r="H119" s="44">
        <f t="shared" si="17"/>
        <v>0.20000000000000284</v>
      </c>
      <c r="I119" cm="1">
        <f t="array" ref="I119">INT(F119)+IF(100-SUM(INT(F$115:F$123))&gt;=RANK(H119,H$115:H$123)+COUNTIF(H$115:H119,H119)-1,1,0)</f>
        <v>39</v>
      </c>
      <c r="J119" t="b">
        <f t="shared" si="18"/>
        <v>0</v>
      </c>
      <c r="K119" t="str">
        <f t="shared" si="19"/>
        <v/>
      </c>
      <c r="L119">
        <f>_xlfn.XLOOKUP(D119,BugList!C:C,BugList!N:N)</f>
        <v>4</v>
      </c>
      <c r="M119">
        <f t="shared" si="20"/>
        <v>156</v>
      </c>
      <c r="N119" t="b">
        <f>_xlfn.XLOOKUP(D119,BugList!C:C,BugList!L:L)</f>
        <v>0</v>
      </c>
      <c r="O119" t="b">
        <f t="shared" si="21"/>
        <v>0</v>
      </c>
      <c r="P119" s="18" t="b">
        <f>SUMPRODUCT(COUNTIF(_xlfn.XLOOKUP(D119,BugList!C:C,BugList!P:P), "*SC*"))&gt;0</f>
        <v>0</v>
      </c>
    </row>
    <row r="120" spans="1:16">
      <c r="A120" t="s">
        <v>2712</v>
      </c>
      <c r="B120">
        <v>238</v>
      </c>
      <c r="C120" t="s">
        <v>210</v>
      </c>
      <c r="D120" t="s">
        <v>210</v>
      </c>
      <c r="E120">
        <v>2</v>
      </c>
      <c r="F120" s="43">
        <f t="shared" si="15"/>
        <v>1.6</v>
      </c>
      <c r="G120" s="44">
        <f t="shared" si="16"/>
        <v>1</v>
      </c>
      <c r="H120" s="44">
        <f t="shared" si="17"/>
        <v>0.60000000000000009</v>
      </c>
      <c r="I120" cm="1">
        <f t="array" ref="I120">INT(F120)+IF(100-SUM(INT(F$115:F$123))&gt;=RANK(H120,H$115:H$123)+COUNTIF(H$115:H120,H120)-1,1,0)</f>
        <v>2</v>
      </c>
      <c r="J120" t="b">
        <f t="shared" si="18"/>
        <v>0</v>
      </c>
      <c r="K120" t="str">
        <f t="shared" si="19"/>
        <v/>
      </c>
      <c r="L120" s="71">
        <v>8</v>
      </c>
      <c r="M120">
        <f t="shared" si="20"/>
        <v>16</v>
      </c>
      <c r="N120" s="71" t="b">
        <v>0</v>
      </c>
      <c r="O120" t="b">
        <f t="shared" si="21"/>
        <v>0</v>
      </c>
      <c r="P120" s="72" t="b">
        <v>0</v>
      </c>
    </row>
    <row r="121" spans="1:16">
      <c r="A121" t="s">
        <v>2712</v>
      </c>
      <c r="B121">
        <v>238</v>
      </c>
      <c r="C121" t="s">
        <v>205</v>
      </c>
      <c r="D121" t="s">
        <v>206</v>
      </c>
      <c r="E121">
        <v>1</v>
      </c>
      <c r="F121" s="43">
        <f t="shared" si="15"/>
        <v>0.8</v>
      </c>
      <c r="G121" s="44">
        <f t="shared" si="16"/>
        <v>0</v>
      </c>
      <c r="H121" s="44">
        <f t="shared" si="17"/>
        <v>0.8</v>
      </c>
      <c r="I121" cm="1">
        <f t="array" ref="I121">INT(F121)+IF(100-SUM(INT(F$115:F$123))&gt;=RANK(H121,H$115:H$123)+COUNTIF(H$115:H121,H121)-1,1,0)</f>
        <v>1</v>
      </c>
      <c r="J121" t="b">
        <f t="shared" si="18"/>
        <v>0</v>
      </c>
      <c r="K121" t="str">
        <f t="shared" si="19"/>
        <v/>
      </c>
      <c r="L121" s="71">
        <v>8</v>
      </c>
      <c r="M121">
        <f t="shared" si="20"/>
        <v>8</v>
      </c>
      <c r="N121" s="71" t="b">
        <v>0</v>
      </c>
      <c r="O121" t="b">
        <f t="shared" si="21"/>
        <v>0</v>
      </c>
      <c r="P121" s="72" t="b">
        <v>0</v>
      </c>
    </row>
    <row r="122" spans="1:16">
      <c r="A122" t="s">
        <v>2712</v>
      </c>
      <c r="B122">
        <v>238</v>
      </c>
      <c r="C122" t="s">
        <v>94</v>
      </c>
      <c r="D122" t="s">
        <v>94</v>
      </c>
      <c r="E122">
        <v>2</v>
      </c>
      <c r="F122" s="43">
        <f t="shared" si="15"/>
        <v>1.6</v>
      </c>
      <c r="G122" s="44">
        <f t="shared" si="16"/>
        <v>1</v>
      </c>
      <c r="H122" s="44">
        <f t="shared" si="17"/>
        <v>0.60000000000000009</v>
      </c>
      <c r="I122" cm="1">
        <f t="array" ref="I122">INT(F122)+IF(100-SUM(INT(F$115:F$123))&gt;=RANK(H122,H$115:H$123)+COUNTIF(H$115:H122,H122)-1,1,0)</f>
        <v>2</v>
      </c>
      <c r="J122" t="b">
        <f t="shared" si="18"/>
        <v>0</v>
      </c>
      <c r="K122" t="str">
        <f t="shared" si="19"/>
        <v/>
      </c>
      <c r="L122">
        <f>_xlfn.XLOOKUP(D122,BugList!C:C,BugList!N:N)</f>
        <v>8</v>
      </c>
      <c r="M122">
        <f t="shared" si="20"/>
        <v>16</v>
      </c>
      <c r="N122" t="b">
        <f>_xlfn.XLOOKUP(D122,BugList!C:C,BugList!L:L)</f>
        <v>0</v>
      </c>
      <c r="O122" t="b">
        <f t="shared" si="21"/>
        <v>0</v>
      </c>
      <c r="P122" s="18" t="b">
        <f>SUMPRODUCT(COUNTIF(_xlfn.XLOOKUP(D122,BugList!C:C,BugList!P:P), "*SC*"))&gt;0</f>
        <v>0</v>
      </c>
    </row>
    <row r="123" spans="1:16">
      <c r="A123" t="s">
        <v>2712</v>
      </c>
      <c r="B123">
        <v>238</v>
      </c>
      <c r="C123" t="s">
        <v>202</v>
      </c>
      <c r="D123" t="s">
        <v>203</v>
      </c>
      <c r="E123">
        <v>1</v>
      </c>
      <c r="F123" s="43">
        <f t="shared" si="15"/>
        <v>0.8</v>
      </c>
      <c r="G123" s="44">
        <f t="shared" si="16"/>
        <v>0</v>
      </c>
      <c r="H123" s="44">
        <f t="shared" si="17"/>
        <v>0.8</v>
      </c>
      <c r="I123" cm="1">
        <f t="array" ref="I123">INT(F123)+IF(100-SUM(INT(F$115:F$123))&gt;=RANK(H123,H$115:H$123)+COUNTIF(H$115:H123,H123)-1,1,0)</f>
        <v>1</v>
      </c>
      <c r="J123" t="b">
        <f t="shared" si="18"/>
        <v>0</v>
      </c>
      <c r="K123" t="str">
        <f t="shared" si="19"/>
        <v/>
      </c>
      <c r="L123" s="71">
        <v>5</v>
      </c>
      <c r="M123">
        <f>L123*I123</f>
        <v>5</v>
      </c>
      <c r="N123" s="71" t="b">
        <v>0</v>
      </c>
      <c r="O123" t="b">
        <f t="shared" si="21"/>
        <v>0</v>
      </c>
      <c r="P123" s="72" t="b">
        <v>0</v>
      </c>
    </row>
    <row r="124" spans="1:16">
      <c r="A124" t="s">
        <v>2713</v>
      </c>
      <c r="B124">
        <v>249</v>
      </c>
      <c r="C124" t="s">
        <v>200</v>
      </c>
      <c r="D124" t="s">
        <v>98</v>
      </c>
      <c r="E124">
        <v>8</v>
      </c>
      <c r="F124" s="43">
        <f t="shared" si="15"/>
        <v>7.2072072072072073</v>
      </c>
      <c r="G124" s="44">
        <f t="shared" si="16"/>
        <v>7</v>
      </c>
      <c r="H124" s="44">
        <f t="shared" si="17"/>
        <v>0.20720720720720731</v>
      </c>
      <c r="I124" cm="1">
        <f t="array" ref="I124">INT(F124)+IF(100-SUM(INT(F$124:F$130))&gt;=RANK(H124,H$125:H$130)+COUNTIF(H$124:H124,H124)-1,1,0)</f>
        <v>7</v>
      </c>
      <c r="J124" t="b">
        <f t="shared" si="18"/>
        <v>0</v>
      </c>
      <c r="K124" t="str">
        <f t="shared" si="19"/>
        <v/>
      </c>
      <c r="L124">
        <f>_xlfn.XLOOKUP(D124,BugList!C:C,BugList!N:N)</f>
        <v>4</v>
      </c>
      <c r="M124">
        <f>L124*I124</f>
        <v>28</v>
      </c>
      <c r="N124" t="b">
        <f>_xlfn.XLOOKUP(D124,BugList!C:C,BugList!L:L)</f>
        <v>1</v>
      </c>
      <c r="O124" t="b">
        <f t="shared" si="21"/>
        <v>0</v>
      </c>
      <c r="P124" s="18" t="b">
        <f>SUMPRODUCT(COUNTIF(_xlfn.XLOOKUP(D124,BugList!C:C,BugList!P:P), "*SC*"))&gt;0</f>
        <v>1</v>
      </c>
    </row>
    <row r="125" spans="1:16">
      <c r="A125" t="s">
        <v>2713</v>
      </c>
      <c r="B125">
        <v>249</v>
      </c>
      <c r="C125" t="s">
        <v>194</v>
      </c>
      <c r="D125" s="85" t="s">
        <v>90</v>
      </c>
      <c r="E125">
        <v>8</v>
      </c>
      <c r="F125" s="43">
        <f t="shared" si="15"/>
        <v>7.2072072072072073</v>
      </c>
      <c r="G125" s="44">
        <f t="shared" si="16"/>
        <v>7</v>
      </c>
      <c r="H125" s="44">
        <f t="shared" si="17"/>
        <v>0.20720720720720731</v>
      </c>
      <c r="I125" cm="1">
        <f t="array" ref="I125">INT(F125)+IF(100-SUM(INT(F$124:F$130))&gt;=RANK(H125,H$125:H$130)+COUNTIF(H$124:H125,H125)-1,1,0)</f>
        <v>7</v>
      </c>
      <c r="J125" t="b">
        <f t="shared" si="18"/>
        <v>0</v>
      </c>
      <c r="K125" t="str">
        <f t="shared" si="19"/>
        <v/>
      </c>
      <c r="L125">
        <f>_xlfn.XLOOKUP(D125,BugList!C:C,BugList!N:N)</f>
        <v>6</v>
      </c>
      <c r="M125">
        <f t="shared" si="20"/>
        <v>42</v>
      </c>
      <c r="N125" t="b">
        <f>_xlfn.XLOOKUP(D125,BugList!C:C,BugList!L:L)</f>
        <v>1</v>
      </c>
      <c r="O125" t="b">
        <f t="shared" si="21"/>
        <v>0</v>
      </c>
      <c r="P125" s="18" t="b">
        <f>SUMPRODUCT(COUNTIF(_xlfn.XLOOKUP(D125,BugList!C:C,BugList!P:P), "*SC*"))&gt;0</f>
        <v>0</v>
      </c>
    </row>
    <row r="126" spans="1:16">
      <c r="A126" t="s">
        <v>2713</v>
      </c>
      <c r="B126">
        <v>249</v>
      </c>
      <c r="C126" t="s">
        <v>198</v>
      </c>
      <c r="D126" t="s">
        <v>89</v>
      </c>
      <c r="E126">
        <v>75</v>
      </c>
      <c r="F126" s="43">
        <f t="shared" si="15"/>
        <v>67.567567567567565</v>
      </c>
      <c r="G126" s="44">
        <f t="shared" si="16"/>
        <v>67</v>
      </c>
      <c r="H126" s="44">
        <f t="shared" si="17"/>
        <v>0.56756756756756488</v>
      </c>
      <c r="I126" cm="1">
        <f t="array" ref="I126">INT(F126)+IF(100-SUM(INT(F$124:F$130))&gt;=RANK(H126,H$125:H$130)+COUNTIF(H$124:H126,H126)-1,1,0)</f>
        <v>68</v>
      </c>
      <c r="J126" t="b">
        <f t="shared" si="18"/>
        <v>1</v>
      </c>
      <c r="K126" t="str">
        <f t="shared" si="19"/>
        <v>Trichoptera</v>
      </c>
      <c r="L126">
        <f>_xlfn.XLOOKUP(D126,BugList!C:C,BugList!N:N)</f>
        <v>4</v>
      </c>
      <c r="M126">
        <f t="shared" si="20"/>
        <v>272</v>
      </c>
      <c r="N126" t="b">
        <f>_xlfn.XLOOKUP(D126,BugList!C:C,BugList!L:L)</f>
        <v>1</v>
      </c>
      <c r="O126" t="b">
        <f t="shared" si="21"/>
        <v>0</v>
      </c>
      <c r="P126" s="18" t="b">
        <f>SUMPRODUCT(COUNTIF(_xlfn.XLOOKUP(D126,BugList!C:C,BugList!P:P), "*SC*"))&gt;0</f>
        <v>0</v>
      </c>
    </row>
    <row r="127" spans="1:16">
      <c r="A127" t="s">
        <v>2713</v>
      </c>
      <c r="B127">
        <v>249</v>
      </c>
      <c r="C127" t="s">
        <v>204</v>
      </c>
      <c r="D127" t="s">
        <v>84</v>
      </c>
      <c r="E127">
        <v>1</v>
      </c>
      <c r="F127" s="43">
        <f t="shared" si="15"/>
        <v>0.90090090090090091</v>
      </c>
      <c r="G127" s="44">
        <f t="shared" si="16"/>
        <v>0</v>
      </c>
      <c r="H127" s="44">
        <f t="shared" si="17"/>
        <v>0.90090090090090091</v>
      </c>
      <c r="I127" cm="1">
        <f t="array" ref="I127">INT(F127)+IF(100-SUM(INT(F$124:F$130))&gt;=RANK(H127,H$125:H$130)+COUNTIF(H$124:H127,H127)-1,1,0)</f>
        <v>1</v>
      </c>
      <c r="J127" t="b">
        <f t="shared" si="18"/>
        <v>0</v>
      </c>
      <c r="K127" t="str">
        <f t="shared" si="19"/>
        <v/>
      </c>
      <c r="L127">
        <f>_xlfn.XLOOKUP(D127,BugList!C:C,BugList!N:N)</f>
        <v>8</v>
      </c>
      <c r="M127">
        <f t="shared" si="20"/>
        <v>8</v>
      </c>
      <c r="N127" t="b">
        <f>_xlfn.XLOOKUP(D127,BugList!C:C,BugList!L:L)</f>
        <v>0</v>
      </c>
      <c r="O127" t="b">
        <f t="shared" si="21"/>
        <v>0</v>
      </c>
      <c r="P127" s="18" t="b">
        <f>SUMPRODUCT(COUNTIF(_xlfn.XLOOKUP(D127,BugList!C:C,BugList!P:P), "*SC*"))&gt;0</f>
        <v>0</v>
      </c>
    </row>
    <row r="128" spans="1:16">
      <c r="A128" t="s">
        <v>2713</v>
      </c>
      <c r="B128">
        <v>249</v>
      </c>
      <c r="C128" t="s">
        <v>201</v>
      </c>
      <c r="D128" t="s">
        <v>85</v>
      </c>
      <c r="E128">
        <v>8</v>
      </c>
      <c r="F128" s="43">
        <f t="shared" si="15"/>
        <v>7.2072072072072073</v>
      </c>
      <c r="G128" s="44">
        <f t="shared" si="16"/>
        <v>7</v>
      </c>
      <c r="H128" s="44">
        <f t="shared" si="17"/>
        <v>0.20720720720720731</v>
      </c>
      <c r="I128" cm="1">
        <f t="array" ref="I128">INT(F128)+IF(100-SUM(INT(F$124:F$130))&gt;=RANK(H128,H$125:H$130)+COUNTIF(H$124:H128,H128)-1,1,0)</f>
        <v>7</v>
      </c>
      <c r="J128" t="b">
        <f t="shared" si="18"/>
        <v>0</v>
      </c>
      <c r="K128" t="str">
        <f t="shared" si="19"/>
        <v/>
      </c>
      <c r="L128">
        <f>_xlfn.XLOOKUP(D128,BugList!C:C,BugList!N:N)</f>
        <v>4</v>
      </c>
      <c r="M128">
        <f t="shared" si="20"/>
        <v>28</v>
      </c>
      <c r="N128" t="b">
        <f>_xlfn.XLOOKUP(D128,BugList!C:C,BugList!L:L)</f>
        <v>0</v>
      </c>
      <c r="O128" t="b">
        <f t="shared" si="21"/>
        <v>0</v>
      </c>
      <c r="P128" s="18" t="b">
        <f>SUMPRODUCT(COUNTIF(_xlfn.XLOOKUP(D128,BugList!C:C,BugList!P:P), "*SC*"))&gt;0</f>
        <v>0</v>
      </c>
    </row>
    <row r="129" spans="1:16">
      <c r="A129" t="s">
        <v>2713</v>
      </c>
      <c r="B129">
        <v>249</v>
      </c>
      <c r="C129" t="s">
        <v>210</v>
      </c>
      <c r="D129" t="s">
        <v>210</v>
      </c>
      <c r="E129">
        <v>9</v>
      </c>
      <c r="F129" s="43">
        <f t="shared" si="15"/>
        <v>8.1081081081081088</v>
      </c>
      <c r="G129" s="44">
        <f t="shared" si="16"/>
        <v>8</v>
      </c>
      <c r="H129" s="44">
        <f t="shared" si="17"/>
        <v>0.10810810810810878</v>
      </c>
      <c r="I129" cm="1">
        <f t="array" ref="I129">INT(F129)+IF(100-SUM(INT(F$124:F$130))&gt;=RANK(H129,H$125:H$130)+COUNTIF(H$124:H129,H129)-1,1,0)</f>
        <v>8</v>
      </c>
      <c r="J129" t="b">
        <f t="shared" si="18"/>
        <v>0</v>
      </c>
      <c r="K129" t="str">
        <f t="shared" si="19"/>
        <v/>
      </c>
      <c r="L129" s="71">
        <v>8</v>
      </c>
      <c r="M129">
        <f t="shared" si="20"/>
        <v>64</v>
      </c>
      <c r="N129" s="71" t="b">
        <v>0</v>
      </c>
      <c r="O129" t="b">
        <f t="shared" si="21"/>
        <v>0</v>
      </c>
      <c r="P129" s="72" t="b">
        <v>0</v>
      </c>
    </row>
    <row r="130" spans="1:16">
      <c r="A130" t="s">
        <v>2713</v>
      </c>
      <c r="B130">
        <v>249</v>
      </c>
      <c r="C130" t="s">
        <v>205</v>
      </c>
      <c r="D130" t="s">
        <v>206</v>
      </c>
      <c r="E130">
        <v>2</v>
      </c>
      <c r="F130" s="43">
        <f t="shared" ref="F130:F161" si="22">(E130/(SUMIFS(E:E,A:A,A130))*100)</f>
        <v>1.8018018018018018</v>
      </c>
      <c r="G130" s="44">
        <f t="shared" si="16"/>
        <v>1</v>
      </c>
      <c r="H130" s="44">
        <f t="shared" si="17"/>
        <v>0.80180180180180183</v>
      </c>
      <c r="I130" cm="1">
        <f t="array" ref="I130">INT(F130)+IF(100-SUM(INT(F$124:F$130))&gt;=RANK(H130,H$125:H$130)+COUNTIF(H$124:H130,H130)-1,1,0)</f>
        <v>2</v>
      </c>
      <c r="J130" t="b">
        <f t="shared" si="18"/>
        <v>0</v>
      </c>
      <c r="K130" t="str">
        <f t="shared" si="19"/>
        <v/>
      </c>
      <c r="L130" s="71">
        <v>8</v>
      </c>
      <c r="M130">
        <f t="shared" si="20"/>
        <v>16</v>
      </c>
      <c r="N130" s="71" t="b">
        <v>0</v>
      </c>
      <c r="O130" t="b">
        <f t="shared" si="21"/>
        <v>0</v>
      </c>
      <c r="P130" s="72" t="b">
        <v>0</v>
      </c>
    </row>
    <row r="131" spans="1:16">
      <c r="A131" t="s">
        <v>2714</v>
      </c>
      <c r="B131">
        <v>261</v>
      </c>
      <c r="C131" t="s">
        <v>200</v>
      </c>
      <c r="D131" t="s">
        <v>98</v>
      </c>
      <c r="E131">
        <v>18</v>
      </c>
      <c r="F131" s="43">
        <f t="shared" si="22"/>
        <v>16.513761467889911</v>
      </c>
      <c r="G131" s="44">
        <f t="shared" si="16"/>
        <v>16</v>
      </c>
      <c r="H131" s="44">
        <f t="shared" si="17"/>
        <v>0.51376146788991051</v>
      </c>
      <c r="I131" cm="1">
        <f t="array" ref="I131">INT(F131)+IF(100-SUM(INT(F$131:F$140))&gt;=RANK(H131,H$131:H$140)+COUNTIF(H$131:H131,H131)-1,1,0)</f>
        <v>16</v>
      </c>
      <c r="J131" t="b">
        <f t="shared" si="18"/>
        <v>0</v>
      </c>
      <c r="K131" t="str">
        <f t="shared" si="19"/>
        <v/>
      </c>
      <c r="L131">
        <f>_xlfn.XLOOKUP(D131,BugList!C:C,BugList!N:N)</f>
        <v>4</v>
      </c>
      <c r="M131">
        <f t="shared" si="20"/>
        <v>64</v>
      </c>
      <c r="N131" t="b">
        <f>_xlfn.XLOOKUP(D131,BugList!C:C,BugList!L:L)</f>
        <v>1</v>
      </c>
      <c r="O131" t="b">
        <f t="shared" si="21"/>
        <v>0</v>
      </c>
      <c r="P131" s="18" t="b">
        <f>SUMPRODUCT(COUNTIF(_xlfn.XLOOKUP(D131,BugList!C:C,BugList!P:P), "*SC*"))&gt;0</f>
        <v>1</v>
      </c>
    </row>
    <row r="132" spans="1:16">
      <c r="A132" t="s">
        <v>2714</v>
      </c>
      <c r="B132">
        <v>261</v>
      </c>
      <c r="C132" t="s">
        <v>200</v>
      </c>
      <c r="D132" t="s">
        <v>100</v>
      </c>
      <c r="E132">
        <v>1</v>
      </c>
      <c r="F132" s="43">
        <f t="shared" si="22"/>
        <v>0.91743119266055051</v>
      </c>
      <c r="G132" s="44">
        <f t="shared" si="16"/>
        <v>0</v>
      </c>
      <c r="H132" s="44">
        <f t="shared" si="17"/>
        <v>0.91743119266055051</v>
      </c>
      <c r="I132" cm="1">
        <f t="array" ref="I132">INT(F132)+IF(100-SUM(INT(F$131:F$140))&gt;=RANK(H132,H$131:H$140)+COUNTIF(H$131:H132,H132)-1,1,0)</f>
        <v>1</v>
      </c>
      <c r="J132" t="b">
        <f t="shared" si="18"/>
        <v>0</v>
      </c>
      <c r="K132" t="str">
        <f t="shared" si="19"/>
        <v/>
      </c>
      <c r="L132">
        <f>_xlfn.XLOOKUP(D132,BugList!C:C,BugList!N:N)</f>
        <v>4</v>
      </c>
      <c r="M132">
        <f t="shared" si="20"/>
        <v>4</v>
      </c>
      <c r="N132" t="b">
        <f>_xlfn.XLOOKUP(D132,BugList!C:C,BugList!L:L)</f>
        <v>1</v>
      </c>
      <c r="O132" t="b">
        <f t="shared" si="21"/>
        <v>0</v>
      </c>
      <c r="P132" s="18" t="b">
        <f>SUMPRODUCT(COUNTIF(_xlfn.XLOOKUP(D132,BugList!C:C,BugList!P:P), "*SC*"))&gt;0</f>
        <v>1</v>
      </c>
    </row>
    <row r="133" spans="1:16">
      <c r="A133" t="s">
        <v>2714</v>
      </c>
      <c r="B133">
        <v>261</v>
      </c>
      <c r="C133" s="74" t="s">
        <v>194</v>
      </c>
      <c r="D133" s="85" t="s">
        <v>90</v>
      </c>
      <c r="E133">
        <v>3</v>
      </c>
      <c r="F133" s="43">
        <f t="shared" si="22"/>
        <v>2.7522935779816518</v>
      </c>
      <c r="G133" s="44">
        <f t="shared" si="16"/>
        <v>2</v>
      </c>
      <c r="H133" s="44">
        <f t="shared" si="17"/>
        <v>0.75229357798165175</v>
      </c>
      <c r="I133" cm="1">
        <f t="array" ref="I133">INT(F133)+IF(100-SUM(INT(F$131:F$140))&gt;=RANK(H133,H$131:H$140)+COUNTIF(H$131:H133,H133)-1,1,0)</f>
        <v>3</v>
      </c>
      <c r="J133" t="b">
        <f t="shared" si="18"/>
        <v>0</v>
      </c>
      <c r="K133" t="str">
        <f t="shared" si="19"/>
        <v/>
      </c>
      <c r="L133">
        <f>_xlfn.XLOOKUP(D133,BugList!C:C,BugList!N:N)</f>
        <v>6</v>
      </c>
      <c r="M133">
        <f t="shared" si="20"/>
        <v>18</v>
      </c>
      <c r="N133" t="b">
        <f>_xlfn.XLOOKUP(D133,BugList!C:C,BugList!L:L)</f>
        <v>1</v>
      </c>
      <c r="O133" t="b">
        <f t="shared" si="21"/>
        <v>0</v>
      </c>
      <c r="P133" s="18" t="b">
        <f>SUMPRODUCT(COUNTIF(_xlfn.XLOOKUP(D133,BugList!C:C,BugList!P:P), "*SC*"))&gt;0</f>
        <v>0</v>
      </c>
    </row>
    <row r="134" spans="1:16">
      <c r="A134" t="s">
        <v>2714</v>
      </c>
      <c r="B134">
        <v>261</v>
      </c>
      <c r="C134" t="s">
        <v>195</v>
      </c>
      <c r="D134" t="s">
        <v>112</v>
      </c>
      <c r="E134">
        <v>1</v>
      </c>
      <c r="F134" s="43">
        <f t="shared" si="22"/>
        <v>0.91743119266055051</v>
      </c>
      <c r="G134" s="44">
        <f t="shared" si="16"/>
        <v>0</v>
      </c>
      <c r="H134" s="44">
        <f t="shared" si="17"/>
        <v>0.91743119266055051</v>
      </c>
      <c r="I134" cm="1">
        <f t="array" ref="I134">INT(F134)+IF(100-SUM(INT(F$131:F$140))&gt;=RANK(H134,H$131:H$140)+COUNTIF(H$131:H134,H134)-1,1,0)</f>
        <v>1</v>
      </c>
      <c r="J134" t="b">
        <f t="shared" si="18"/>
        <v>0</v>
      </c>
      <c r="K134" t="str">
        <f t="shared" si="19"/>
        <v/>
      </c>
      <c r="L134">
        <f>_xlfn.XLOOKUP(D134,BugList!C:C,BugList!N:N)</f>
        <v>5</v>
      </c>
      <c r="M134">
        <f t="shared" si="20"/>
        <v>5</v>
      </c>
      <c r="N134" t="b">
        <f>_xlfn.XLOOKUP(D134,BugList!C:C,BugList!L:L)</f>
        <v>1</v>
      </c>
      <c r="O134" t="b">
        <f t="shared" si="21"/>
        <v>0</v>
      </c>
      <c r="P134" s="18" t="b">
        <f>SUMPRODUCT(COUNTIF(_xlfn.XLOOKUP(D134,BugList!C:C,BugList!P:P), "*SC*"))&gt;0</f>
        <v>0</v>
      </c>
    </row>
    <row r="135" spans="1:16">
      <c r="A135" t="s">
        <v>2714</v>
      </c>
      <c r="B135">
        <v>261</v>
      </c>
      <c r="C135" t="s">
        <v>210</v>
      </c>
      <c r="D135" t="s">
        <v>93</v>
      </c>
      <c r="E135">
        <v>66</v>
      </c>
      <c r="F135" s="43">
        <f t="shared" si="22"/>
        <v>60.550458715596335</v>
      </c>
      <c r="G135" s="44">
        <f t="shared" si="16"/>
        <v>60</v>
      </c>
      <c r="H135" s="44">
        <f t="shared" si="17"/>
        <v>0.55045871559633497</v>
      </c>
      <c r="I135" cm="1">
        <f t="array" ref="I135">INT(F135)+IF(100-SUM(INT(F$131:F$140))&gt;=RANK(H135,H$131:H$140)+COUNTIF(H$131:H135,H135)-1,1,0)</f>
        <v>61</v>
      </c>
      <c r="J135" t="b">
        <f t="shared" si="18"/>
        <v>0</v>
      </c>
      <c r="K135" t="str">
        <f t="shared" si="19"/>
        <v/>
      </c>
      <c r="L135">
        <f>_xlfn.XLOOKUP(D135,BugList!C:C,BugList!N:N)</f>
        <v>8</v>
      </c>
      <c r="M135">
        <f t="shared" si="20"/>
        <v>488</v>
      </c>
      <c r="N135" t="b">
        <f>_xlfn.XLOOKUP(D135,BugList!C:C,BugList!L:L)</f>
        <v>0</v>
      </c>
      <c r="O135" t="b">
        <f t="shared" si="21"/>
        <v>0</v>
      </c>
      <c r="P135" s="18" t="b">
        <f>SUMPRODUCT(COUNTIF(_xlfn.XLOOKUP(D135,BugList!C:C,BugList!P:P), "*SC*"))&gt;0</f>
        <v>0</v>
      </c>
    </row>
    <row r="136" spans="1:16">
      <c r="A136" t="s">
        <v>2714</v>
      </c>
      <c r="B136">
        <v>261</v>
      </c>
      <c r="C136" t="s">
        <v>205</v>
      </c>
      <c r="D136" t="s">
        <v>206</v>
      </c>
      <c r="E136">
        <v>3</v>
      </c>
      <c r="F136" s="43">
        <f t="shared" si="22"/>
        <v>2.7522935779816518</v>
      </c>
      <c r="G136" s="44">
        <f t="shared" si="16"/>
        <v>2</v>
      </c>
      <c r="H136" s="44">
        <f t="shared" si="17"/>
        <v>0.75229357798165175</v>
      </c>
      <c r="I136" cm="1">
        <f t="array" ref="I136">INT(F136)+IF(100-SUM(INT(F$131:F$140))&gt;=RANK(H136,H$131:H$140)+COUNTIF(H$131:H136,H136)-1,1,0)</f>
        <v>3</v>
      </c>
      <c r="J136" t="b">
        <f t="shared" si="18"/>
        <v>0</v>
      </c>
      <c r="K136" t="str">
        <f t="shared" si="19"/>
        <v/>
      </c>
      <c r="L136" s="71">
        <v>8</v>
      </c>
      <c r="M136">
        <f t="shared" si="20"/>
        <v>24</v>
      </c>
      <c r="N136" s="71" t="b">
        <v>0</v>
      </c>
      <c r="O136" t="b">
        <f t="shared" si="21"/>
        <v>0</v>
      </c>
      <c r="P136" s="72" t="b">
        <v>0</v>
      </c>
    </row>
    <row r="137" spans="1:16">
      <c r="A137" t="s">
        <v>2714</v>
      </c>
      <c r="B137">
        <v>261</v>
      </c>
      <c r="C137" t="s">
        <v>94</v>
      </c>
      <c r="D137" t="s">
        <v>94</v>
      </c>
      <c r="E137">
        <v>2</v>
      </c>
      <c r="F137" s="43">
        <f t="shared" si="22"/>
        <v>1.834862385321101</v>
      </c>
      <c r="G137" s="44">
        <f t="shared" si="16"/>
        <v>1</v>
      </c>
      <c r="H137" s="44">
        <f t="shared" si="17"/>
        <v>0.83486238532110102</v>
      </c>
      <c r="I137" cm="1">
        <f t="array" ref="I137">INT(F137)+IF(100-SUM(INT(F$131:F$140))&gt;=RANK(H137,H$131:H$140)+COUNTIF(H$131:H137,H137)-1,1,0)</f>
        <v>2</v>
      </c>
      <c r="J137" t="b">
        <f t="shared" si="18"/>
        <v>0</v>
      </c>
      <c r="K137" t="str">
        <f t="shared" si="19"/>
        <v/>
      </c>
      <c r="L137">
        <f>_xlfn.XLOOKUP(D137,BugList!C:C,BugList!N:N)</f>
        <v>8</v>
      </c>
      <c r="M137">
        <f t="shared" si="20"/>
        <v>16</v>
      </c>
      <c r="N137" t="b">
        <f>_xlfn.XLOOKUP(D137,BugList!C:C,BugList!L:L)</f>
        <v>0</v>
      </c>
      <c r="O137" t="b">
        <f t="shared" si="21"/>
        <v>0</v>
      </c>
      <c r="P137" s="18" t="b">
        <f>SUMPRODUCT(COUNTIF(_xlfn.XLOOKUP(D137,BugList!C:C,BugList!P:P), "*SC*"))&gt;0</f>
        <v>0</v>
      </c>
    </row>
    <row r="138" spans="1:16">
      <c r="A138" t="s">
        <v>2714</v>
      </c>
      <c r="B138">
        <v>261</v>
      </c>
      <c r="C138" t="s">
        <v>194</v>
      </c>
      <c r="D138" t="s">
        <v>101</v>
      </c>
      <c r="E138">
        <v>3</v>
      </c>
      <c r="F138" s="43">
        <f t="shared" si="22"/>
        <v>2.7522935779816518</v>
      </c>
      <c r="G138" s="44">
        <f t="shared" si="16"/>
        <v>2</v>
      </c>
      <c r="H138" s="44">
        <f t="shared" si="17"/>
        <v>0.75229357798165175</v>
      </c>
      <c r="I138" cm="1">
        <f t="array" ref="I138">INT(F138)+IF(100-SUM(INT(F$131:F$140))&gt;=RANK(H138,H$131:H$140)+COUNTIF(H$131:H138,H138)-1,1,0)</f>
        <v>3</v>
      </c>
      <c r="J138" t="b">
        <f t="shared" si="18"/>
        <v>0</v>
      </c>
      <c r="K138" t="str">
        <f t="shared" si="19"/>
        <v/>
      </c>
      <c r="L138">
        <f>_xlfn.XLOOKUP(D138,BugList!C:C,BugList!N:N)</f>
        <v>6</v>
      </c>
      <c r="M138">
        <f t="shared" si="20"/>
        <v>18</v>
      </c>
      <c r="N138" t="b">
        <f>_xlfn.XLOOKUP(D138,BugList!C:C,BugList!L:L)</f>
        <v>1</v>
      </c>
      <c r="O138" t="b">
        <f t="shared" si="21"/>
        <v>0</v>
      </c>
      <c r="P138" s="18" t="b">
        <f>SUMPRODUCT(COUNTIF(_xlfn.XLOOKUP(D138,BugList!C:C,BugList!P:P), "*SC*"))&gt;0</f>
        <v>0</v>
      </c>
    </row>
    <row r="139" spans="1:16">
      <c r="A139" t="s">
        <v>2714</v>
      </c>
      <c r="B139">
        <v>261</v>
      </c>
      <c r="C139" t="s">
        <v>211</v>
      </c>
      <c r="D139" t="s">
        <v>87</v>
      </c>
      <c r="E139">
        <v>6</v>
      </c>
      <c r="F139" s="43">
        <f t="shared" si="22"/>
        <v>5.5045871559633035</v>
      </c>
      <c r="G139" s="44">
        <f t="shared" si="16"/>
        <v>5</v>
      </c>
      <c r="H139" s="44">
        <f t="shared" si="17"/>
        <v>0.5045871559633035</v>
      </c>
      <c r="I139" cm="1">
        <f t="array" ref="I139">INT(F139)+IF(100-SUM(INT(F$131:F$140))&gt;=RANK(H139,H$131:H$140)+COUNTIF(H$131:H139,H139)-1,1,0)</f>
        <v>5</v>
      </c>
      <c r="J139" t="b">
        <f t="shared" si="18"/>
        <v>0</v>
      </c>
      <c r="K139" t="str">
        <f t="shared" si="19"/>
        <v/>
      </c>
      <c r="L139">
        <f>_xlfn.XLOOKUP(D139,BugList!C:C,BugList!N:N)</f>
        <v>4</v>
      </c>
      <c r="M139">
        <f t="shared" si="20"/>
        <v>20</v>
      </c>
      <c r="N139" t="b">
        <f>_xlfn.XLOOKUP(D139,BugList!C:C,BugList!L:L)</f>
        <v>0</v>
      </c>
      <c r="O139" t="b">
        <f t="shared" si="21"/>
        <v>0</v>
      </c>
      <c r="P139" s="18" t="b">
        <f>SUMPRODUCT(COUNTIF(_xlfn.XLOOKUP(D139,BugList!C:C,BugList!P:P), "*SC*"))&gt;0</f>
        <v>0</v>
      </c>
    </row>
    <row r="140" spans="1:16">
      <c r="A140" t="s">
        <v>2714</v>
      </c>
      <c r="B140">
        <v>261</v>
      </c>
      <c r="C140" t="s">
        <v>198</v>
      </c>
      <c r="D140" t="s">
        <v>89</v>
      </c>
      <c r="E140">
        <v>6</v>
      </c>
      <c r="F140" s="43">
        <f t="shared" si="22"/>
        <v>5.5045871559633035</v>
      </c>
      <c r="G140" s="44">
        <f t="shared" si="16"/>
        <v>5</v>
      </c>
      <c r="H140" s="44">
        <f t="shared" si="17"/>
        <v>0.5045871559633035</v>
      </c>
      <c r="I140" cm="1">
        <f t="array" ref="I140">INT(F140)+IF(100-SUM(INT(F$131:F$140))&gt;=RANK(H140,H$131:H$140)+COUNTIF(H$131:H140,H140)-1,1,0)</f>
        <v>5</v>
      </c>
      <c r="J140" t="b">
        <f t="shared" si="18"/>
        <v>1</v>
      </c>
      <c r="K140" t="str">
        <f t="shared" si="19"/>
        <v>Trichoptera</v>
      </c>
      <c r="L140">
        <f>_xlfn.XLOOKUP(D140,BugList!C:C,BugList!N:N)</f>
        <v>4</v>
      </c>
      <c r="M140">
        <f t="shared" si="20"/>
        <v>20</v>
      </c>
      <c r="N140" t="b">
        <f>_xlfn.XLOOKUP(D140,BugList!C:C,BugList!L:L)</f>
        <v>1</v>
      </c>
      <c r="O140" t="b">
        <f t="shared" si="21"/>
        <v>0</v>
      </c>
      <c r="P140" s="18" t="b">
        <f>SUMPRODUCT(COUNTIF(_xlfn.XLOOKUP(D140,BugList!C:C,BugList!P:P), "*SC*"))&gt;0</f>
        <v>0</v>
      </c>
    </row>
    <row r="141" spans="1:16">
      <c r="A141" t="s">
        <v>2715</v>
      </c>
      <c r="B141">
        <v>279</v>
      </c>
      <c r="C141" t="s">
        <v>200</v>
      </c>
      <c r="D141" t="s">
        <v>98</v>
      </c>
      <c r="E141">
        <v>4</v>
      </c>
      <c r="F141" s="43">
        <f t="shared" si="22"/>
        <v>3.3613445378151261</v>
      </c>
      <c r="G141" s="44">
        <f t="shared" si="16"/>
        <v>3</v>
      </c>
      <c r="H141" s="44">
        <f t="shared" si="17"/>
        <v>0.3613445378151261</v>
      </c>
      <c r="I141" cm="1">
        <f t="array" ref="I141">INT(F141)+IF(100-SUM(INT(F$141:F$149))&gt;=RANK(H141,H$141:H$149)+COUNTIF(H$141:H141,H141)-1,1,0)</f>
        <v>3</v>
      </c>
      <c r="J141" t="b">
        <f t="shared" si="18"/>
        <v>0</v>
      </c>
      <c r="K141" t="str">
        <f t="shared" si="19"/>
        <v/>
      </c>
      <c r="L141">
        <f>_xlfn.XLOOKUP(D141,BugList!C:C,BugList!N:N)</f>
        <v>4</v>
      </c>
      <c r="M141">
        <f t="shared" si="20"/>
        <v>12</v>
      </c>
      <c r="N141" t="b">
        <f>_xlfn.XLOOKUP(D141,BugList!C:C,BugList!L:L)</f>
        <v>1</v>
      </c>
      <c r="O141" t="b">
        <f t="shared" si="21"/>
        <v>0</v>
      </c>
      <c r="P141" s="18" t="b">
        <f>SUMPRODUCT(COUNTIF(_xlfn.XLOOKUP(D141,BugList!C:C,BugList!P:P), "*SC*"))&gt;0</f>
        <v>1</v>
      </c>
    </row>
    <row r="142" spans="1:16">
      <c r="A142" t="s">
        <v>2715</v>
      </c>
      <c r="B142">
        <v>279</v>
      </c>
      <c r="C142" s="74" t="s">
        <v>194</v>
      </c>
      <c r="D142" s="85" t="s">
        <v>90</v>
      </c>
      <c r="E142">
        <v>5</v>
      </c>
      <c r="F142" s="43">
        <f t="shared" si="22"/>
        <v>4.2016806722689077</v>
      </c>
      <c r="G142" s="44">
        <f t="shared" si="16"/>
        <v>4</v>
      </c>
      <c r="H142" s="44">
        <f t="shared" si="17"/>
        <v>0.20168067226890773</v>
      </c>
      <c r="I142" cm="1">
        <f t="array" ref="I142">INT(F142)+IF(100-SUM(INT(F$141:F$149))&gt;=RANK(H142,H$141:H$149)+COUNTIF(H$141:H142,H142)-1,1,0)</f>
        <v>4</v>
      </c>
      <c r="J142" t="b">
        <f t="shared" si="18"/>
        <v>0</v>
      </c>
      <c r="K142" t="str">
        <f t="shared" si="19"/>
        <v/>
      </c>
      <c r="L142">
        <f>_xlfn.XLOOKUP(D142,BugList!C:C,BugList!N:N)</f>
        <v>6</v>
      </c>
      <c r="M142">
        <f t="shared" si="20"/>
        <v>24</v>
      </c>
      <c r="N142" t="b">
        <f>_xlfn.XLOOKUP(D142,BugList!C:C,BugList!L:L)</f>
        <v>1</v>
      </c>
      <c r="O142" t="b">
        <f t="shared" si="21"/>
        <v>0</v>
      </c>
      <c r="P142" s="18" t="b">
        <f>SUMPRODUCT(COUNTIF(_xlfn.XLOOKUP(D142,BugList!C:C,BugList!P:P), "*SC*"))&gt;0</f>
        <v>0</v>
      </c>
    </row>
    <row r="143" spans="1:16">
      <c r="A143" t="s">
        <v>2715</v>
      </c>
      <c r="B143">
        <v>279</v>
      </c>
      <c r="C143" t="s">
        <v>198</v>
      </c>
      <c r="D143" t="s">
        <v>89</v>
      </c>
      <c r="E143">
        <v>57</v>
      </c>
      <c r="F143" s="43">
        <f t="shared" si="22"/>
        <v>47.899159663865547</v>
      </c>
      <c r="G143" s="44">
        <f t="shared" si="16"/>
        <v>47</v>
      </c>
      <c r="H143" s="44">
        <f t="shared" si="17"/>
        <v>0.89915966386554658</v>
      </c>
      <c r="I143" cm="1">
        <f t="array" ref="I143">INT(F143)+IF(100-SUM(INT(F$141:F$149))&gt;=RANK(H143,H$141:H$149)+COUNTIF(H$141:H143,H143)-1,1,0)</f>
        <v>48</v>
      </c>
      <c r="J143" t="b">
        <f t="shared" si="18"/>
        <v>1</v>
      </c>
      <c r="K143" t="str">
        <f t="shared" si="19"/>
        <v>Trichoptera</v>
      </c>
      <c r="L143">
        <f>_xlfn.XLOOKUP(D143,BugList!C:C,BugList!N:N)</f>
        <v>4</v>
      </c>
      <c r="M143">
        <f t="shared" si="20"/>
        <v>192</v>
      </c>
      <c r="N143" t="b">
        <f>_xlfn.XLOOKUP(D143,BugList!C:C,BugList!L:L)</f>
        <v>1</v>
      </c>
      <c r="O143" t="b">
        <f t="shared" si="21"/>
        <v>0</v>
      </c>
      <c r="P143" s="18" t="b">
        <f>SUMPRODUCT(COUNTIF(_xlfn.XLOOKUP(D143,BugList!C:C,BugList!P:P), "*SC*"))&gt;0</f>
        <v>0</v>
      </c>
    </row>
    <row r="144" spans="1:16">
      <c r="A144" t="s">
        <v>2715</v>
      </c>
      <c r="B144">
        <v>279</v>
      </c>
      <c r="C144" t="s">
        <v>204</v>
      </c>
      <c r="D144" t="s">
        <v>84</v>
      </c>
      <c r="E144">
        <v>1</v>
      </c>
      <c r="F144" s="43">
        <f t="shared" si="22"/>
        <v>0.84033613445378152</v>
      </c>
      <c r="G144" s="44">
        <f t="shared" si="16"/>
        <v>0</v>
      </c>
      <c r="H144" s="44">
        <f t="shared" si="17"/>
        <v>0.84033613445378152</v>
      </c>
      <c r="I144" cm="1">
        <f t="array" ref="I144">INT(F144)+IF(100-SUM(INT(F$141:F$149))&gt;=RANK(H144,H$141:H$149)+COUNTIF(H$141:H144,H144)-1,1,0)</f>
        <v>1</v>
      </c>
      <c r="J144" t="b">
        <f t="shared" si="18"/>
        <v>0</v>
      </c>
      <c r="K144" t="str">
        <f t="shared" si="19"/>
        <v/>
      </c>
      <c r="L144">
        <f>_xlfn.XLOOKUP(D144,BugList!C:C,BugList!N:N)</f>
        <v>8</v>
      </c>
      <c r="M144">
        <f t="shared" si="20"/>
        <v>8</v>
      </c>
      <c r="N144" t="b">
        <f>_xlfn.XLOOKUP(D144,BugList!C:C,BugList!L:L)</f>
        <v>0</v>
      </c>
      <c r="O144" t="b">
        <f t="shared" si="21"/>
        <v>0</v>
      </c>
      <c r="P144" s="18" t="b">
        <f>SUMPRODUCT(COUNTIF(_xlfn.XLOOKUP(D144,BugList!C:C,BugList!P:P), "*SC*"))&gt;0</f>
        <v>0</v>
      </c>
    </row>
    <row r="145" spans="1:16">
      <c r="A145" t="s">
        <v>2715</v>
      </c>
      <c r="B145">
        <v>279</v>
      </c>
      <c r="C145" t="s">
        <v>201</v>
      </c>
      <c r="D145" t="s">
        <v>85</v>
      </c>
      <c r="E145">
        <v>27</v>
      </c>
      <c r="F145" s="43">
        <f t="shared" si="22"/>
        <v>22.689075630252102</v>
      </c>
      <c r="G145" s="44">
        <f t="shared" si="16"/>
        <v>22</v>
      </c>
      <c r="H145" s="44">
        <f t="shared" si="17"/>
        <v>0.68907563025210194</v>
      </c>
      <c r="I145" cm="1">
        <f t="array" ref="I145">INT(F145)+IF(100-SUM(INT(F$141:F$149))&gt;=RANK(H145,H$141:H$149)+COUNTIF(H$141:H145,H145)-1,1,0)</f>
        <v>23</v>
      </c>
      <c r="J145" t="b">
        <f t="shared" si="18"/>
        <v>0</v>
      </c>
      <c r="K145" t="str">
        <f t="shared" si="19"/>
        <v/>
      </c>
      <c r="L145">
        <f>_xlfn.XLOOKUP(D145,BugList!C:C,BugList!N:N)</f>
        <v>4</v>
      </c>
      <c r="M145">
        <f t="shared" si="20"/>
        <v>92</v>
      </c>
      <c r="N145" t="b">
        <f>_xlfn.XLOOKUP(D145,BugList!C:C,BugList!L:L)</f>
        <v>0</v>
      </c>
      <c r="O145" t="b">
        <f t="shared" si="21"/>
        <v>0</v>
      </c>
      <c r="P145" s="18" t="b">
        <f>SUMPRODUCT(COUNTIF(_xlfn.XLOOKUP(D145,BugList!C:C,BugList!P:P), "*SC*"))&gt;0</f>
        <v>0</v>
      </c>
    </row>
    <row r="146" spans="1:16">
      <c r="A146" t="s">
        <v>2715</v>
      </c>
      <c r="B146">
        <v>279</v>
      </c>
      <c r="C146" t="s">
        <v>210</v>
      </c>
      <c r="D146" t="s">
        <v>93</v>
      </c>
      <c r="E146">
        <v>18</v>
      </c>
      <c r="F146" s="43">
        <f t="shared" si="22"/>
        <v>15.126050420168067</v>
      </c>
      <c r="G146" s="44">
        <f t="shared" si="16"/>
        <v>15</v>
      </c>
      <c r="H146" s="44">
        <f t="shared" si="17"/>
        <v>0.12605042016806678</v>
      </c>
      <c r="I146" cm="1">
        <f t="array" ref="I146">INT(F146)+IF(100-SUM(INT(F$141:F$149))&gt;=RANK(H146,H$141:H$149)+COUNTIF(H$141:H146,H146)-1,1,0)</f>
        <v>15</v>
      </c>
      <c r="J146" t="b">
        <f t="shared" si="18"/>
        <v>0</v>
      </c>
      <c r="K146" t="str">
        <f t="shared" si="19"/>
        <v/>
      </c>
      <c r="L146">
        <f>_xlfn.XLOOKUP(D146,BugList!C:C,BugList!N:N)</f>
        <v>8</v>
      </c>
      <c r="M146">
        <f t="shared" si="20"/>
        <v>120</v>
      </c>
      <c r="N146" t="b">
        <f>_xlfn.XLOOKUP(D146,BugList!C:C,BugList!L:L)</f>
        <v>0</v>
      </c>
      <c r="O146" t="b">
        <f t="shared" si="21"/>
        <v>0</v>
      </c>
      <c r="P146" s="18" t="b">
        <f>SUMPRODUCT(COUNTIF(_xlfn.XLOOKUP(D146,BugList!C:C,BugList!P:P), "*SC*"))&gt;0</f>
        <v>0</v>
      </c>
    </row>
    <row r="147" spans="1:16">
      <c r="A147" t="s">
        <v>2715</v>
      </c>
      <c r="B147">
        <v>279</v>
      </c>
      <c r="C147" t="s">
        <v>205</v>
      </c>
      <c r="D147" t="s">
        <v>206</v>
      </c>
      <c r="E147">
        <v>1</v>
      </c>
      <c r="F147" s="43">
        <f t="shared" si="22"/>
        <v>0.84033613445378152</v>
      </c>
      <c r="G147" s="44">
        <f t="shared" si="16"/>
        <v>0</v>
      </c>
      <c r="H147" s="44">
        <f t="shared" si="17"/>
        <v>0.84033613445378152</v>
      </c>
      <c r="I147" cm="1">
        <f t="array" ref="I147">INT(F147)+IF(100-SUM(INT(F$141:F$149))&gt;=RANK(H147,H$141:H$149)+COUNTIF(H$141:H147,H147)-1,1,0)</f>
        <v>1</v>
      </c>
      <c r="J147" t="b">
        <f t="shared" si="18"/>
        <v>0</v>
      </c>
      <c r="K147" t="str">
        <f t="shared" si="19"/>
        <v/>
      </c>
      <c r="L147" s="71">
        <v>8</v>
      </c>
      <c r="M147">
        <f t="shared" si="20"/>
        <v>8</v>
      </c>
      <c r="N147" s="71" t="b">
        <v>0</v>
      </c>
      <c r="O147" t="b">
        <f t="shared" si="21"/>
        <v>0</v>
      </c>
      <c r="P147" s="72" t="b">
        <v>0</v>
      </c>
    </row>
    <row r="148" spans="1:16">
      <c r="A148" t="s">
        <v>2715</v>
      </c>
      <c r="B148">
        <v>279</v>
      </c>
      <c r="C148" t="s">
        <v>94</v>
      </c>
      <c r="D148" t="s">
        <v>94</v>
      </c>
      <c r="E148">
        <v>2</v>
      </c>
      <c r="F148" s="43">
        <f t="shared" si="22"/>
        <v>1.680672268907563</v>
      </c>
      <c r="G148" s="44">
        <f t="shared" si="16"/>
        <v>1</v>
      </c>
      <c r="H148" s="44">
        <f t="shared" si="17"/>
        <v>0.68067226890756305</v>
      </c>
      <c r="I148" cm="1">
        <f t="array" ref="I148">INT(F148)+IF(100-SUM(INT(F$141:F$149))&gt;=RANK(H148,H$141:H$149)+COUNTIF(H$141:H148,H148)-1,1,0)</f>
        <v>2</v>
      </c>
      <c r="J148" t="b">
        <f t="shared" si="18"/>
        <v>0</v>
      </c>
      <c r="K148" t="str">
        <f t="shared" si="19"/>
        <v/>
      </c>
      <c r="L148">
        <f>_xlfn.XLOOKUP(D148,BugList!C:C,BugList!N:N)</f>
        <v>8</v>
      </c>
      <c r="M148">
        <f t="shared" si="20"/>
        <v>16</v>
      </c>
      <c r="N148" t="b">
        <f>_xlfn.XLOOKUP(D148,BugList!C:C,BugList!L:L)</f>
        <v>0</v>
      </c>
      <c r="O148" t="b">
        <f t="shared" si="21"/>
        <v>0</v>
      </c>
      <c r="P148" s="18" t="b">
        <f>SUMPRODUCT(COUNTIF(_xlfn.XLOOKUP(D148,BugList!C:C,BugList!P:P), "*SC*"))&gt;0</f>
        <v>0</v>
      </c>
    </row>
    <row r="149" spans="1:16">
      <c r="A149" t="s">
        <v>2715</v>
      </c>
      <c r="B149">
        <v>279</v>
      </c>
      <c r="C149" t="s">
        <v>2315</v>
      </c>
      <c r="D149" t="s">
        <v>135</v>
      </c>
      <c r="E149">
        <v>4</v>
      </c>
      <c r="F149" s="43">
        <f t="shared" si="22"/>
        <v>3.3613445378151261</v>
      </c>
      <c r="G149" s="44">
        <f t="shared" si="16"/>
        <v>3</v>
      </c>
      <c r="H149" s="44">
        <f t="shared" si="17"/>
        <v>0.3613445378151261</v>
      </c>
      <c r="I149" cm="1">
        <f t="array" ref="I149">INT(F149)+IF(100-SUM(INT(F$141:F$149))&gt;=RANK(H149,H$141:H$149)+COUNTIF(H$141:H149,H149)-1,1,0)</f>
        <v>3</v>
      </c>
      <c r="J149" t="b">
        <f t="shared" si="18"/>
        <v>0</v>
      </c>
      <c r="K149" t="str">
        <f t="shared" si="19"/>
        <v/>
      </c>
      <c r="L149">
        <f>_xlfn.XLOOKUP(D149,BugList!C:C,BugList!N:N)</f>
        <v>6</v>
      </c>
      <c r="M149">
        <f t="shared" si="20"/>
        <v>18</v>
      </c>
      <c r="N149" t="b">
        <f>_xlfn.XLOOKUP(D149,BugList!C:C,BugList!L:L)</f>
        <v>0</v>
      </c>
      <c r="O149" t="b">
        <f t="shared" si="21"/>
        <v>0</v>
      </c>
      <c r="P149" s="18" t="b">
        <f>SUMPRODUCT(COUNTIF(_xlfn.XLOOKUP(D149,BugList!C:C,BugList!P:P), "*SC*"))&gt;0</f>
        <v>1</v>
      </c>
    </row>
    <row r="150" spans="1:16">
      <c r="A150" t="s">
        <v>2716</v>
      </c>
      <c r="B150">
        <v>291</v>
      </c>
      <c r="C150" t="s">
        <v>200</v>
      </c>
      <c r="D150" t="s">
        <v>98</v>
      </c>
      <c r="E150">
        <v>4</v>
      </c>
      <c r="F150" s="43">
        <f t="shared" si="22"/>
        <v>3.9215686274509802</v>
      </c>
      <c r="G150" s="44">
        <f t="shared" si="16"/>
        <v>3</v>
      </c>
      <c r="H150" s="44">
        <f t="shared" si="17"/>
        <v>0.92156862745098023</v>
      </c>
      <c r="I150" cm="1">
        <f t="array" ref="I150">INT(F150)+IF(100-SUM(INT(F$150:F$158))&gt;=RANK(H150,H$150:H$158)+COUNTIF(H$150:H150,H150)-1,1,0)</f>
        <v>4</v>
      </c>
      <c r="J150" t="b">
        <f t="shared" si="18"/>
        <v>0</v>
      </c>
      <c r="K150" t="str">
        <f t="shared" si="19"/>
        <v/>
      </c>
      <c r="L150">
        <f>_xlfn.XLOOKUP(D150,BugList!C:C,BugList!N:N)</f>
        <v>4</v>
      </c>
      <c r="M150">
        <f t="shared" si="20"/>
        <v>16</v>
      </c>
      <c r="N150" t="b">
        <f>_xlfn.XLOOKUP(D150,BugList!C:C,BugList!L:L)</f>
        <v>1</v>
      </c>
      <c r="O150" t="b">
        <f t="shared" si="21"/>
        <v>0</v>
      </c>
      <c r="P150" s="18" t="b">
        <f>SUMPRODUCT(COUNTIF(_xlfn.XLOOKUP(D150,BugList!C:C,BugList!P:P), "*SC*"))&gt;0</f>
        <v>1</v>
      </c>
    </row>
    <row r="151" spans="1:16">
      <c r="A151" t="s">
        <v>2716</v>
      </c>
      <c r="B151">
        <v>291</v>
      </c>
      <c r="C151" t="s">
        <v>212</v>
      </c>
      <c r="D151" t="s">
        <v>1187</v>
      </c>
      <c r="E151">
        <v>1</v>
      </c>
      <c r="F151" s="43">
        <f t="shared" si="22"/>
        <v>0.98039215686274506</v>
      </c>
      <c r="G151" s="44">
        <f t="shared" si="16"/>
        <v>0</v>
      </c>
      <c r="H151" s="44">
        <f t="shared" si="17"/>
        <v>0.98039215686274506</v>
      </c>
      <c r="I151" cm="1">
        <f t="array" ref="I151">INT(F151)+IF(100-SUM(INT(F$150:F$158))&gt;=RANK(H151,H$150:H$158)+COUNTIF(H$150:H151,H151)-1,1,0)</f>
        <v>1</v>
      </c>
      <c r="J151" t="b">
        <f t="shared" si="18"/>
        <v>0</v>
      </c>
      <c r="K151" t="str">
        <f t="shared" si="19"/>
        <v/>
      </c>
      <c r="L151">
        <f>_xlfn.XLOOKUP(D151,BugList!C:C,BugList!N:N)</f>
        <v>9</v>
      </c>
      <c r="M151">
        <f t="shared" si="20"/>
        <v>9</v>
      </c>
      <c r="N151" t="b">
        <f>_xlfn.XLOOKUP(D151,BugList!C:C,BugList!L:L)</f>
        <v>1</v>
      </c>
      <c r="O151" t="b">
        <f t="shared" si="21"/>
        <v>0</v>
      </c>
      <c r="P151" s="18" t="b">
        <f>SUMPRODUCT(COUNTIF(_xlfn.XLOOKUP(D151,BugList!C:C,BugList!P:P), "*SC*"))&gt;0</f>
        <v>0</v>
      </c>
    </row>
    <row r="152" spans="1:16">
      <c r="A152" t="s">
        <v>2716</v>
      </c>
      <c r="B152">
        <v>291</v>
      </c>
      <c r="C152" t="s">
        <v>198</v>
      </c>
      <c r="D152" t="s">
        <v>89</v>
      </c>
      <c r="E152">
        <v>51</v>
      </c>
      <c r="F152" s="43">
        <f t="shared" si="22"/>
        <v>50</v>
      </c>
      <c r="G152" s="44">
        <f t="shared" si="16"/>
        <v>50</v>
      </c>
      <c r="H152" s="44">
        <f t="shared" si="17"/>
        <v>0</v>
      </c>
      <c r="I152" cm="1">
        <f t="array" ref="I152">INT(F152)+IF(100-SUM(INT(F$150:F$158))&gt;=RANK(H152,H$150:H$158)+COUNTIF(H$150:H152,H152)-1,1,0)</f>
        <v>50</v>
      </c>
      <c r="J152" t="b">
        <f t="shared" si="18"/>
        <v>1</v>
      </c>
      <c r="K152" t="str">
        <f t="shared" si="19"/>
        <v>Trichoptera</v>
      </c>
      <c r="L152">
        <f>_xlfn.XLOOKUP(D152,BugList!C:C,BugList!N:N)</f>
        <v>4</v>
      </c>
      <c r="M152">
        <f t="shared" si="20"/>
        <v>200</v>
      </c>
      <c r="N152" t="b">
        <f>_xlfn.XLOOKUP(D152,BugList!C:C,BugList!L:L)</f>
        <v>1</v>
      </c>
      <c r="O152" t="b">
        <f t="shared" si="21"/>
        <v>0</v>
      </c>
      <c r="P152" s="18" t="b">
        <f>SUMPRODUCT(COUNTIF(_xlfn.XLOOKUP(D152,BugList!C:C,BugList!P:P), "*SC*"))&gt;0</f>
        <v>0</v>
      </c>
    </row>
    <row r="153" spans="1:16">
      <c r="A153" t="s">
        <v>2716</v>
      </c>
      <c r="B153">
        <v>291</v>
      </c>
      <c r="C153" t="s">
        <v>201</v>
      </c>
      <c r="D153" t="s">
        <v>85</v>
      </c>
      <c r="E153">
        <v>12</v>
      </c>
      <c r="F153" s="43">
        <f t="shared" si="22"/>
        <v>11.76470588235294</v>
      </c>
      <c r="G153" s="44">
        <f t="shared" si="16"/>
        <v>11</v>
      </c>
      <c r="H153" s="44">
        <f t="shared" si="17"/>
        <v>0.76470588235294024</v>
      </c>
      <c r="I153" cm="1">
        <f t="array" ref="I153">INT(F153)+IF(100-SUM(INT(F$150:F$158))&gt;=RANK(H153,H$150:H$158)+COUNTIF(H$150:H153,H153)-1,1,0)</f>
        <v>12</v>
      </c>
      <c r="J153" t="b">
        <f t="shared" si="18"/>
        <v>0</v>
      </c>
      <c r="K153" t="str">
        <f t="shared" si="19"/>
        <v/>
      </c>
      <c r="L153">
        <f>_xlfn.XLOOKUP(D153,BugList!C:C,BugList!N:N)</f>
        <v>4</v>
      </c>
      <c r="M153">
        <f t="shared" si="20"/>
        <v>48</v>
      </c>
      <c r="N153" t="b">
        <f>_xlfn.XLOOKUP(D153,BugList!C:C,BugList!L:L)</f>
        <v>0</v>
      </c>
      <c r="O153" t="b">
        <f t="shared" si="21"/>
        <v>0</v>
      </c>
      <c r="P153" s="18" t="b">
        <f>SUMPRODUCT(COUNTIF(_xlfn.XLOOKUP(D153,BugList!C:C,BugList!P:P), "*SC*"))&gt;0</f>
        <v>0</v>
      </c>
    </row>
    <row r="154" spans="1:16">
      <c r="A154" t="s">
        <v>2716</v>
      </c>
      <c r="B154">
        <v>291</v>
      </c>
      <c r="C154" t="s">
        <v>210</v>
      </c>
      <c r="D154" t="s">
        <v>93</v>
      </c>
      <c r="E154">
        <v>4</v>
      </c>
      <c r="F154" s="43">
        <f t="shared" si="22"/>
        <v>3.9215686274509802</v>
      </c>
      <c r="G154" s="44">
        <f t="shared" si="16"/>
        <v>3</v>
      </c>
      <c r="H154" s="44">
        <f t="shared" si="17"/>
        <v>0.92156862745098023</v>
      </c>
      <c r="I154" cm="1">
        <f t="array" ref="I154">INT(F154)+IF(100-SUM(INT(F$150:F$158))&gt;=RANK(H154,H$150:H$158)+COUNTIF(H$150:H154,H154)-1,1,0)</f>
        <v>4</v>
      </c>
      <c r="J154" t="b">
        <f t="shared" si="18"/>
        <v>0</v>
      </c>
      <c r="K154" t="str">
        <f t="shared" si="19"/>
        <v/>
      </c>
      <c r="L154">
        <f>_xlfn.XLOOKUP(D154,BugList!C:C,BugList!N:N)</f>
        <v>8</v>
      </c>
      <c r="M154">
        <f t="shared" si="20"/>
        <v>32</v>
      </c>
      <c r="N154" t="b">
        <f>_xlfn.XLOOKUP(D154,BugList!C:C,BugList!L:L)</f>
        <v>0</v>
      </c>
      <c r="O154" t="b">
        <f t="shared" si="21"/>
        <v>0</v>
      </c>
      <c r="P154" s="18" t="b">
        <f>SUMPRODUCT(COUNTIF(_xlfn.XLOOKUP(D154,BugList!C:C,BugList!P:P), "*SC*"))&gt;0</f>
        <v>0</v>
      </c>
    </row>
    <row r="155" spans="1:16">
      <c r="A155" t="s">
        <v>2716</v>
      </c>
      <c r="B155">
        <v>291</v>
      </c>
      <c r="C155" t="s">
        <v>210</v>
      </c>
      <c r="D155" t="s">
        <v>92</v>
      </c>
      <c r="E155">
        <v>27</v>
      </c>
      <c r="F155" s="43">
        <f t="shared" si="22"/>
        <v>26.47058823529412</v>
      </c>
      <c r="G155" s="44">
        <f t="shared" si="16"/>
        <v>26</v>
      </c>
      <c r="H155" s="44">
        <f t="shared" si="17"/>
        <v>0.47058823529411953</v>
      </c>
      <c r="I155" cm="1">
        <f t="array" ref="I155">INT(F155)+IF(100-SUM(INT(F$150:F$158))&gt;=RANK(H155,H$150:H$158)+COUNTIF(H$150:H155,H155)-1,1,0)</f>
        <v>26</v>
      </c>
      <c r="J155" t="b">
        <f t="shared" si="18"/>
        <v>0</v>
      </c>
      <c r="K155" t="str">
        <f t="shared" si="19"/>
        <v/>
      </c>
      <c r="L155">
        <f>_xlfn.XLOOKUP(D155,BugList!C:C,BugList!N:N)</f>
        <v>8</v>
      </c>
      <c r="M155">
        <f t="shared" si="20"/>
        <v>208</v>
      </c>
      <c r="N155" t="b">
        <f>_xlfn.XLOOKUP(D155,BugList!C:C,BugList!L:L)</f>
        <v>0</v>
      </c>
      <c r="O155" t="b">
        <f t="shared" si="21"/>
        <v>0</v>
      </c>
      <c r="P155" s="18" t="b">
        <f>SUMPRODUCT(COUNTIF(_xlfn.XLOOKUP(D155,BugList!C:C,BugList!P:P), "*SC*"))&gt;0</f>
        <v>0</v>
      </c>
    </row>
    <row r="156" spans="1:16">
      <c r="A156" t="s">
        <v>2716</v>
      </c>
      <c r="B156">
        <v>291</v>
      </c>
      <c r="C156" t="s">
        <v>205</v>
      </c>
      <c r="D156" t="s">
        <v>206</v>
      </c>
      <c r="E156">
        <v>1</v>
      </c>
      <c r="F156" s="43">
        <f t="shared" si="22"/>
        <v>0.98039215686274506</v>
      </c>
      <c r="G156" s="44">
        <f t="shared" si="16"/>
        <v>0</v>
      </c>
      <c r="H156" s="44">
        <f t="shared" si="17"/>
        <v>0.98039215686274506</v>
      </c>
      <c r="I156" cm="1">
        <f t="array" ref="I156">INT(F156)+IF(100-SUM(INT(F$150:F$158))&gt;=RANK(H156,H$150:H$158)+COUNTIF(H$150:H156,H156)-1,1,0)</f>
        <v>1</v>
      </c>
      <c r="J156" t="b">
        <f t="shared" si="18"/>
        <v>0</v>
      </c>
      <c r="K156" t="str">
        <f t="shared" si="19"/>
        <v/>
      </c>
      <c r="L156" s="71">
        <v>8</v>
      </c>
      <c r="M156">
        <f t="shared" si="20"/>
        <v>8</v>
      </c>
      <c r="N156" s="71" t="b">
        <v>0</v>
      </c>
      <c r="O156" t="b">
        <f t="shared" si="21"/>
        <v>0</v>
      </c>
      <c r="P156" s="72" t="b">
        <v>0</v>
      </c>
    </row>
    <row r="157" spans="1:16">
      <c r="A157" t="s">
        <v>2716</v>
      </c>
      <c r="B157">
        <v>291</v>
      </c>
      <c r="C157" t="s">
        <v>94</v>
      </c>
      <c r="D157" t="s">
        <v>94</v>
      </c>
      <c r="E157">
        <v>1</v>
      </c>
      <c r="F157" s="43">
        <f t="shared" si="22"/>
        <v>0.98039215686274506</v>
      </c>
      <c r="G157" s="44">
        <f t="shared" si="16"/>
        <v>0</v>
      </c>
      <c r="H157" s="44">
        <f t="shared" si="17"/>
        <v>0.98039215686274506</v>
      </c>
      <c r="I157" cm="1">
        <f t="array" ref="I157">INT(F157)+IF(100-SUM(INT(F$150:F$158))&gt;=RANK(H157,H$150:H$158)+COUNTIF(H$150:H157,H157)-1,1,0)</f>
        <v>1</v>
      </c>
      <c r="J157" t="b">
        <f t="shared" si="18"/>
        <v>0</v>
      </c>
      <c r="K157" t="str">
        <f t="shared" si="19"/>
        <v/>
      </c>
      <c r="L157">
        <f>_xlfn.XLOOKUP(D157,BugList!C:C,BugList!N:N)</f>
        <v>8</v>
      </c>
      <c r="M157">
        <f t="shared" si="20"/>
        <v>8</v>
      </c>
      <c r="N157" t="b">
        <f>_xlfn.XLOOKUP(D157,BugList!C:C,BugList!L:L)</f>
        <v>0</v>
      </c>
      <c r="O157" t="b">
        <f t="shared" si="21"/>
        <v>0</v>
      </c>
      <c r="P157" s="18" t="b">
        <f>SUMPRODUCT(COUNTIF(_xlfn.XLOOKUP(D157,BugList!C:C,BugList!P:P), "*SC*"))&gt;0</f>
        <v>0</v>
      </c>
    </row>
    <row r="158" spans="1:16">
      <c r="A158" t="s">
        <v>2716</v>
      </c>
      <c r="B158">
        <v>291</v>
      </c>
      <c r="C158" s="74" t="s">
        <v>194</v>
      </c>
      <c r="D158" s="85" t="s">
        <v>90</v>
      </c>
      <c r="E158">
        <v>1</v>
      </c>
      <c r="F158" s="43">
        <f t="shared" si="22"/>
        <v>0.98039215686274506</v>
      </c>
      <c r="G158" s="44">
        <f t="shared" si="16"/>
        <v>0</v>
      </c>
      <c r="H158" s="44">
        <f t="shared" si="17"/>
        <v>0.98039215686274506</v>
      </c>
      <c r="I158" cm="1">
        <f t="array" ref="I158">INT(F158)+IF(100-SUM(INT(F$150:F$158))&gt;=RANK(H158,H$150:H$158)+COUNTIF(H$150:H158,H158)-1,1,0)</f>
        <v>1</v>
      </c>
      <c r="J158" t="b">
        <f t="shared" si="18"/>
        <v>0</v>
      </c>
      <c r="K158" t="str">
        <f t="shared" si="19"/>
        <v/>
      </c>
      <c r="L158">
        <f>_xlfn.XLOOKUP(D158,BugList!C:C,BugList!N:N)</f>
        <v>6</v>
      </c>
      <c r="M158">
        <f t="shared" si="20"/>
        <v>6</v>
      </c>
      <c r="N158" t="b">
        <f>_xlfn.XLOOKUP(D158,BugList!C:C,BugList!L:L)</f>
        <v>1</v>
      </c>
      <c r="O158" t="b">
        <f t="shared" si="21"/>
        <v>0</v>
      </c>
      <c r="P158" s="18" t="b">
        <f>SUMPRODUCT(COUNTIF(_xlfn.XLOOKUP(D158,BugList!C:C,BugList!P:P), "*SC*"))&gt;0</f>
        <v>0</v>
      </c>
    </row>
    <row r="159" spans="1:16">
      <c r="A159" t="s">
        <v>2717</v>
      </c>
      <c r="B159">
        <v>302</v>
      </c>
      <c r="C159" t="s">
        <v>200</v>
      </c>
      <c r="D159" t="s">
        <v>98</v>
      </c>
      <c r="E159">
        <v>1</v>
      </c>
      <c r="F159" s="43">
        <f t="shared" si="22"/>
        <v>0.99009900990099009</v>
      </c>
      <c r="G159" s="44">
        <f t="shared" si="16"/>
        <v>0</v>
      </c>
      <c r="H159" s="44">
        <f t="shared" si="17"/>
        <v>0.99009900990099009</v>
      </c>
      <c r="I159" cm="1">
        <f t="array" ref="I159">INT(F159)+IF(100-SUM(INT(F$159:F$167))&gt;=RANK(H159,H$159:H$167)+COUNTIF(H$159:H159,H159)-1,1,0)</f>
        <v>1</v>
      </c>
      <c r="J159" t="b">
        <f t="shared" si="18"/>
        <v>0</v>
      </c>
      <c r="K159" t="str">
        <f t="shared" si="19"/>
        <v/>
      </c>
      <c r="L159">
        <f>_xlfn.XLOOKUP(D159,BugList!C:C,BugList!N:N)</f>
        <v>4</v>
      </c>
      <c r="M159">
        <f t="shared" si="20"/>
        <v>4</v>
      </c>
      <c r="N159" t="b">
        <f>_xlfn.XLOOKUP(D159,BugList!C:C,BugList!L:L)</f>
        <v>1</v>
      </c>
      <c r="O159" t="b">
        <f t="shared" si="21"/>
        <v>0</v>
      </c>
      <c r="P159" s="18" t="b">
        <f>SUMPRODUCT(COUNTIF(_xlfn.XLOOKUP(D159,BugList!C:C,BugList!P:P), "*SC*"))&gt;0</f>
        <v>1</v>
      </c>
    </row>
    <row r="160" spans="1:16">
      <c r="A160" t="s">
        <v>2717</v>
      </c>
      <c r="B160">
        <v>302</v>
      </c>
      <c r="C160" t="s">
        <v>194</v>
      </c>
      <c r="D160" t="s">
        <v>94</v>
      </c>
      <c r="E160">
        <v>4</v>
      </c>
      <c r="F160" s="43">
        <f t="shared" si="22"/>
        <v>3.9603960396039604</v>
      </c>
      <c r="G160" s="44">
        <f t="shared" si="16"/>
        <v>3</v>
      </c>
      <c r="H160" s="44">
        <f t="shared" si="17"/>
        <v>0.96039603960396036</v>
      </c>
      <c r="I160" cm="1">
        <f t="array" ref="I160">INT(F160)+IF(100-SUM(INT(F$159:F$167))&gt;=RANK(H160,H$159:H$167)+COUNTIF(H$159:H160,H160)-1,1,0)</f>
        <v>4</v>
      </c>
      <c r="J160" t="b">
        <f t="shared" si="18"/>
        <v>0</v>
      </c>
      <c r="K160" t="str">
        <f t="shared" si="19"/>
        <v/>
      </c>
      <c r="L160">
        <f>_xlfn.XLOOKUP(D160,BugList!C:C,BugList!N:N)</f>
        <v>8</v>
      </c>
      <c r="M160">
        <f t="shared" si="20"/>
        <v>32</v>
      </c>
      <c r="N160" t="b">
        <f>_xlfn.XLOOKUP(D160,BugList!C:C,BugList!L:L)</f>
        <v>0</v>
      </c>
      <c r="O160" t="b">
        <f t="shared" si="21"/>
        <v>0</v>
      </c>
      <c r="P160" s="18" t="b">
        <f>SUMPRODUCT(COUNTIF(_xlfn.XLOOKUP(D160,BugList!C:C,BugList!P:P), "*SC*"))&gt;0</f>
        <v>0</v>
      </c>
    </row>
    <row r="161" spans="1:16">
      <c r="A161" t="s">
        <v>2717</v>
      </c>
      <c r="B161">
        <v>302</v>
      </c>
      <c r="C161" t="s">
        <v>194</v>
      </c>
      <c r="D161" s="85" t="s">
        <v>90</v>
      </c>
      <c r="E161">
        <v>4</v>
      </c>
      <c r="F161" s="43">
        <f t="shared" si="22"/>
        <v>3.9603960396039604</v>
      </c>
      <c r="G161" s="44">
        <f t="shared" si="16"/>
        <v>3</v>
      </c>
      <c r="H161" s="44">
        <f t="shared" si="17"/>
        <v>0.96039603960396036</v>
      </c>
      <c r="I161" cm="1">
        <f t="array" ref="I161">INT(F161)+IF(100-SUM(INT(F$159:F$167))&gt;=RANK(H161,H$159:H$167)+COUNTIF(H$159:H161,H161)-1,1,0)</f>
        <v>4</v>
      </c>
      <c r="J161" t="b">
        <f t="shared" si="18"/>
        <v>0</v>
      </c>
      <c r="K161" t="str">
        <f t="shared" si="19"/>
        <v/>
      </c>
      <c r="L161">
        <f>_xlfn.XLOOKUP(D161,BugList!C:C,BugList!N:N)</f>
        <v>6</v>
      </c>
      <c r="M161">
        <f t="shared" si="20"/>
        <v>24</v>
      </c>
      <c r="N161" t="b">
        <f>_xlfn.XLOOKUP(D161,BugList!C:C,BugList!L:L)</f>
        <v>1</v>
      </c>
      <c r="O161" t="b">
        <f t="shared" si="21"/>
        <v>0</v>
      </c>
      <c r="P161" s="18" t="b">
        <f>SUMPRODUCT(COUNTIF(_xlfn.XLOOKUP(D161,BugList!C:C,BugList!P:P), "*SC*"))&gt;0</f>
        <v>0</v>
      </c>
    </row>
    <row r="162" spans="1:16">
      <c r="A162" t="s">
        <v>2717</v>
      </c>
      <c r="B162">
        <v>302</v>
      </c>
      <c r="C162" t="s">
        <v>194</v>
      </c>
      <c r="D162" t="s">
        <v>108</v>
      </c>
      <c r="E162">
        <v>1</v>
      </c>
      <c r="F162" s="43">
        <f t="shared" ref="F162:F185" si="23">(E162/(SUMIFS(E:E,A:A,A162))*100)</f>
        <v>0.99009900990099009</v>
      </c>
      <c r="G162" s="44">
        <f t="shared" si="16"/>
        <v>0</v>
      </c>
      <c r="H162" s="44">
        <f t="shared" si="17"/>
        <v>0.99009900990099009</v>
      </c>
      <c r="I162" cm="1">
        <f t="array" ref="I162">INT(F162)+IF(100-SUM(INT(F$159:F$167))&gt;=RANK(H162,H$159:H$167)+COUNTIF(H$159:H162,H162)-1,1,0)</f>
        <v>1</v>
      </c>
      <c r="J162" t="b">
        <f t="shared" si="18"/>
        <v>0</v>
      </c>
      <c r="K162" t="str">
        <f t="shared" si="19"/>
        <v/>
      </c>
      <c r="L162">
        <f>_xlfn.XLOOKUP(D162,BugList!C:C,BugList!N:N)</f>
        <v>3</v>
      </c>
      <c r="M162">
        <f t="shared" si="20"/>
        <v>3</v>
      </c>
      <c r="N162" t="b">
        <f>_xlfn.XLOOKUP(D162,BugList!C:C,BugList!L:L)</f>
        <v>1</v>
      </c>
      <c r="O162" t="b">
        <f t="shared" si="21"/>
        <v>0</v>
      </c>
      <c r="P162" s="18" t="b">
        <f>SUMPRODUCT(COUNTIF(_xlfn.XLOOKUP(D162,BugList!C:C,BugList!P:P), "*SC*"))&gt;0</f>
        <v>0</v>
      </c>
    </row>
    <row r="163" spans="1:16">
      <c r="A163" t="s">
        <v>2717</v>
      </c>
      <c r="B163">
        <v>302</v>
      </c>
      <c r="C163" t="s">
        <v>211</v>
      </c>
      <c r="D163" t="s">
        <v>87</v>
      </c>
      <c r="E163">
        <v>1</v>
      </c>
      <c r="F163" s="43">
        <f t="shared" si="23"/>
        <v>0.99009900990099009</v>
      </c>
      <c r="G163" s="44">
        <f t="shared" si="16"/>
        <v>0</v>
      </c>
      <c r="H163" s="44">
        <f t="shared" si="17"/>
        <v>0.99009900990099009</v>
      </c>
      <c r="I163" cm="1">
        <f t="array" ref="I163">INT(F163)+IF(100-SUM(INT(F$159:F$167))&gt;=RANK(H163,H$159:H$167)+COUNTIF(H$159:H163,H163)-1,1,0)</f>
        <v>1</v>
      </c>
      <c r="J163" t="b">
        <f t="shared" si="18"/>
        <v>0</v>
      </c>
      <c r="K163" t="str">
        <f t="shared" si="19"/>
        <v/>
      </c>
      <c r="L163">
        <f>_xlfn.XLOOKUP(D163,BugList!C:C,BugList!N:N)</f>
        <v>4</v>
      </c>
      <c r="M163">
        <f t="shared" si="20"/>
        <v>4</v>
      </c>
      <c r="N163" t="b">
        <f>_xlfn.XLOOKUP(D163,BugList!C:C,BugList!L:L)</f>
        <v>0</v>
      </c>
      <c r="O163" t="b">
        <f t="shared" si="21"/>
        <v>0</v>
      </c>
      <c r="P163" s="18" t="b">
        <f>SUMPRODUCT(COUNTIF(_xlfn.XLOOKUP(D163,BugList!C:C,BugList!P:P), "*SC*"))&gt;0</f>
        <v>0</v>
      </c>
    </row>
    <row r="164" spans="1:16">
      <c r="A164" t="s">
        <v>2717</v>
      </c>
      <c r="B164">
        <v>302</v>
      </c>
      <c r="C164" t="s">
        <v>198</v>
      </c>
      <c r="D164" t="s">
        <v>89</v>
      </c>
      <c r="E164">
        <v>78</v>
      </c>
      <c r="F164" s="43">
        <f t="shared" si="23"/>
        <v>77.227722772277232</v>
      </c>
      <c r="G164" s="44">
        <f t="shared" si="16"/>
        <v>77</v>
      </c>
      <c r="H164" s="44">
        <f t="shared" si="17"/>
        <v>0.22772277227723237</v>
      </c>
      <c r="I164" cm="1">
        <f t="array" ref="I164">INT(F164)+IF(100-SUM(INT(F$159:F$167))&gt;=RANK(H164,H$159:H$167)+COUNTIF(H$159:H164,H164)-1,1,0)</f>
        <v>77</v>
      </c>
      <c r="J164" t="b">
        <f t="shared" si="18"/>
        <v>1</v>
      </c>
      <c r="K164" t="str">
        <f t="shared" si="19"/>
        <v>Trichoptera</v>
      </c>
      <c r="L164">
        <f>_xlfn.XLOOKUP(D164,BugList!C:C,BugList!N:N)</f>
        <v>4</v>
      </c>
      <c r="M164">
        <f t="shared" si="20"/>
        <v>308</v>
      </c>
      <c r="N164" t="b">
        <f>_xlfn.XLOOKUP(D164,BugList!C:C,BugList!L:L)</f>
        <v>1</v>
      </c>
      <c r="O164" t="b">
        <f t="shared" si="21"/>
        <v>0</v>
      </c>
      <c r="P164" s="18" t="b">
        <f>SUMPRODUCT(COUNTIF(_xlfn.XLOOKUP(D164,BugList!C:C,BugList!P:P), "*SC*"))&gt;0</f>
        <v>0</v>
      </c>
    </row>
    <row r="165" spans="1:16">
      <c r="A165" t="s">
        <v>2717</v>
      </c>
      <c r="B165">
        <v>302</v>
      </c>
      <c r="C165" t="s">
        <v>201</v>
      </c>
      <c r="D165" t="s">
        <v>85</v>
      </c>
      <c r="E165">
        <v>8</v>
      </c>
      <c r="F165" s="43">
        <f t="shared" si="23"/>
        <v>7.9207920792079207</v>
      </c>
      <c r="G165" s="44">
        <f t="shared" si="16"/>
        <v>7</v>
      </c>
      <c r="H165" s="44">
        <f t="shared" si="17"/>
        <v>0.92079207920792072</v>
      </c>
      <c r="I165" cm="1">
        <f t="array" ref="I165">INT(F165)+IF(100-SUM(INT(F$159:F$167))&gt;=RANK(H165,H$159:H$167)+COUNTIF(H$159:H165,H165)-1,1,0)</f>
        <v>8</v>
      </c>
      <c r="J165" t="b">
        <f t="shared" si="18"/>
        <v>0</v>
      </c>
      <c r="K165" t="str">
        <f t="shared" si="19"/>
        <v/>
      </c>
      <c r="L165">
        <f>_xlfn.XLOOKUP(D165,BugList!C:C,BugList!N:N)</f>
        <v>4</v>
      </c>
      <c r="M165">
        <f t="shared" si="20"/>
        <v>32</v>
      </c>
      <c r="N165" t="b">
        <f>_xlfn.XLOOKUP(D165,BugList!C:C,BugList!L:L)</f>
        <v>0</v>
      </c>
      <c r="O165" t="b">
        <f t="shared" si="21"/>
        <v>0</v>
      </c>
      <c r="P165" s="18" t="b">
        <f>SUMPRODUCT(COUNTIF(_xlfn.XLOOKUP(D165,BugList!C:C,BugList!P:P), "*SC*"))&gt;0</f>
        <v>0</v>
      </c>
    </row>
    <row r="166" spans="1:16">
      <c r="A166" t="s">
        <v>2717</v>
      </c>
      <c r="B166">
        <v>302</v>
      </c>
      <c r="C166" t="s">
        <v>210</v>
      </c>
      <c r="D166" t="s">
        <v>92</v>
      </c>
      <c r="E166">
        <v>1</v>
      </c>
      <c r="F166" s="43">
        <f t="shared" si="23"/>
        <v>0.99009900990099009</v>
      </c>
      <c r="G166" s="44">
        <f t="shared" si="16"/>
        <v>0</v>
      </c>
      <c r="H166" s="44">
        <f t="shared" si="17"/>
        <v>0.99009900990099009</v>
      </c>
      <c r="I166" cm="1">
        <f t="array" ref="I166">INT(F166)+IF(100-SUM(INT(F$159:F$167))&gt;=RANK(H166,H$159:H$167)+COUNTIF(H$159:H166,H166)-1,1,0)</f>
        <v>1</v>
      </c>
      <c r="J166" t="b">
        <f t="shared" si="18"/>
        <v>0</v>
      </c>
      <c r="K166" t="str">
        <f t="shared" si="19"/>
        <v/>
      </c>
      <c r="L166">
        <f>_xlfn.XLOOKUP(D166,BugList!C:C,BugList!N:N)</f>
        <v>8</v>
      </c>
      <c r="M166">
        <f t="shared" si="20"/>
        <v>8</v>
      </c>
      <c r="N166" t="b">
        <f>_xlfn.XLOOKUP(D166,BugList!C:C,BugList!L:L)</f>
        <v>0</v>
      </c>
      <c r="O166" t="b">
        <f t="shared" si="21"/>
        <v>0</v>
      </c>
      <c r="P166" s="18" t="b">
        <f>SUMPRODUCT(COUNTIF(_xlfn.XLOOKUP(D166,BugList!C:C,BugList!P:P), "*SC*"))&gt;0</f>
        <v>0</v>
      </c>
    </row>
    <row r="167" spans="1:16">
      <c r="A167" t="s">
        <v>2717</v>
      </c>
      <c r="B167">
        <v>302</v>
      </c>
      <c r="C167" t="s">
        <v>205</v>
      </c>
      <c r="D167" t="s">
        <v>206</v>
      </c>
      <c r="E167">
        <v>3</v>
      </c>
      <c r="F167" s="43">
        <f t="shared" si="23"/>
        <v>2.9702970297029703</v>
      </c>
      <c r="G167" s="44">
        <f t="shared" si="16"/>
        <v>2</v>
      </c>
      <c r="H167" s="44">
        <f t="shared" si="17"/>
        <v>0.97029702970297027</v>
      </c>
      <c r="I167" cm="1">
        <f t="array" ref="I167">INT(F167)+IF(100-SUM(INT(F$159:F$167))&gt;=RANK(H167,H$159:H$167)+COUNTIF(H$159:H167,H167)-1,1,0)</f>
        <v>3</v>
      </c>
      <c r="J167" t="b">
        <f t="shared" si="18"/>
        <v>0</v>
      </c>
      <c r="K167" t="str">
        <f t="shared" si="19"/>
        <v/>
      </c>
      <c r="L167" s="71">
        <v>8</v>
      </c>
      <c r="M167">
        <f t="shared" si="20"/>
        <v>24</v>
      </c>
      <c r="N167" s="71" t="b">
        <v>0</v>
      </c>
      <c r="O167" t="b">
        <f t="shared" si="21"/>
        <v>0</v>
      </c>
      <c r="P167" s="72" t="b">
        <v>0</v>
      </c>
    </row>
    <row r="168" spans="1:16">
      <c r="A168" t="s">
        <v>2718</v>
      </c>
      <c r="B168">
        <v>314</v>
      </c>
      <c r="C168" t="s">
        <v>200</v>
      </c>
      <c r="D168" t="s">
        <v>98</v>
      </c>
      <c r="E168">
        <v>4</v>
      </c>
      <c r="F168" s="43">
        <f t="shared" si="23"/>
        <v>2.6490066225165565</v>
      </c>
      <c r="G168" s="44">
        <f t="shared" si="16"/>
        <v>2</v>
      </c>
      <c r="H168" s="44">
        <f t="shared" si="17"/>
        <v>0.6490066225165565</v>
      </c>
      <c r="I168" cm="1">
        <f t="array" ref="I168">INT(F168)+IF(100-SUM(INT(F$168:F$176))&gt;=RANK(H168,H$168:H$176)+COUNTIF(H$168:H168,H168)-1,1,0)</f>
        <v>3</v>
      </c>
      <c r="J168" t="b">
        <f t="shared" si="18"/>
        <v>0</v>
      </c>
      <c r="K168" t="str">
        <f t="shared" si="19"/>
        <v/>
      </c>
      <c r="L168">
        <f>_xlfn.XLOOKUP(D168,BugList!C:C,BugList!N:N)</f>
        <v>4</v>
      </c>
      <c r="M168">
        <f t="shared" si="20"/>
        <v>12</v>
      </c>
      <c r="N168" t="b">
        <f>_xlfn.XLOOKUP(D168,BugList!C:C,BugList!L:L)</f>
        <v>1</v>
      </c>
      <c r="O168" t="b">
        <f t="shared" si="21"/>
        <v>0</v>
      </c>
      <c r="P168" s="18" t="b">
        <f>SUMPRODUCT(COUNTIF(_xlfn.XLOOKUP(D168,BugList!C:C,BugList!P:P), "*SC*"))&gt;0</f>
        <v>1</v>
      </c>
    </row>
    <row r="169" spans="1:16">
      <c r="A169" t="s">
        <v>2718</v>
      </c>
      <c r="B169">
        <v>314</v>
      </c>
      <c r="C169" t="s">
        <v>194</v>
      </c>
      <c r="D169" s="85" t="s">
        <v>126</v>
      </c>
      <c r="E169">
        <v>1</v>
      </c>
      <c r="F169" s="43">
        <f t="shared" si="23"/>
        <v>0.66225165562913912</v>
      </c>
      <c r="G169" s="44">
        <f t="shared" si="16"/>
        <v>0</v>
      </c>
      <c r="H169" s="44">
        <f t="shared" si="17"/>
        <v>0.66225165562913912</v>
      </c>
      <c r="I169" cm="1">
        <f t="array" ref="I169">INT(F169)+IF(100-SUM(INT(F$168:F$176))&gt;=RANK(H169,H$168:H$176)+COUNTIF(H$168:H169,H169)-1,1,0)</f>
        <v>1</v>
      </c>
      <c r="J169" t="b">
        <f t="shared" si="18"/>
        <v>0</v>
      </c>
      <c r="K169" t="str">
        <f t="shared" si="19"/>
        <v/>
      </c>
      <c r="L169">
        <f>_xlfn.XLOOKUP(D169,BugList!C:C,BugList!N:N)</f>
        <v>8</v>
      </c>
      <c r="M169">
        <f t="shared" si="20"/>
        <v>8</v>
      </c>
      <c r="N169" t="b">
        <f>_xlfn.XLOOKUP(D169,BugList!C:C,BugList!L:L)</f>
        <v>1</v>
      </c>
      <c r="O169" t="b">
        <f t="shared" si="21"/>
        <v>0</v>
      </c>
      <c r="P169" s="18" t="b">
        <f>SUMPRODUCT(COUNTIF(_xlfn.XLOOKUP(D169,BugList!C:C,BugList!P:P), "*SC*"))&gt;0</f>
        <v>0</v>
      </c>
    </row>
    <row r="170" spans="1:16">
      <c r="A170" t="s">
        <v>2718</v>
      </c>
      <c r="B170">
        <v>314</v>
      </c>
      <c r="C170" t="s">
        <v>198</v>
      </c>
      <c r="D170" t="s">
        <v>89</v>
      </c>
      <c r="E170">
        <v>40</v>
      </c>
      <c r="F170" s="43">
        <f t="shared" si="23"/>
        <v>26.490066225165563</v>
      </c>
      <c r="G170" s="44">
        <f t="shared" si="16"/>
        <v>26</v>
      </c>
      <c r="H170" s="44">
        <f t="shared" si="17"/>
        <v>0.4900662251655632</v>
      </c>
      <c r="I170" cm="1">
        <f t="array" ref="I170">INT(F170)+IF(100-SUM(INT(F$168:F$176))&gt;=RANK(H170,H$168:H$176)+COUNTIF(H$168:H170,H170)-1,1,0)</f>
        <v>26</v>
      </c>
      <c r="J170" t="b">
        <f t="shared" si="18"/>
        <v>1</v>
      </c>
      <c r="K170" t="str">
        <f t="shared" si="19"/>
        <v>Trichoptera</v>
      </c>
      <c r="L170">
        <f>_xlfn.XLOOKUP(D170,BugList!C:C,BugList!N:N)</f>
        <v>4</v>
      </c>
      <c r="M170">
        <f t="shared" si="20"/>
        <v>104</v>
      </c>
      <c r="N170" t="b">
        <f>_xlfn.XLOOKUP(D170,BugList!C:C,BugList!L:L)</f>
        <v>1</v>
      </c>
      <c r="O170" t="b">
        <f t="shared" si="21"/>
        <v>0</v>
      </c>
      <c r="P170" s="18" t="b">
        <f>SUMPRODUCT(COUNTIF(_xlfn.XLOOKUP(D170,BugList!C:C,BugList!P:P), "*SC*"))&gt;0</f>
        <v>0</v>
      </c>
    </row>
    <row r="171" spans="1:16">
      <c r="A171" t="s">
        <v>2718</v>
      </c>
      <c r="B171">
        <v>314</v>
      </c>
      <c r="C171" t="s">
        <v>204</v>
      </c>
      <c r="D171" t="s">
        <v>84</v>
      </c>
      <c r="E171">
        <v>2</v>
      </c>
      <c r="F171" s="43">
        <f t="shared" si="23"/>
        <v>1.3245033112582782</v>
      </c>
      <c r="G171" s="44">
        <f t="shared" si="16"/>
        <v>1</v>
      </c>
      <c r="H171" s="44">
        <f t="shared" si="17"/>
        <v>0.32450331125827825</v>
      </c>
      <c r="I171" cm="1">
        <f t="array" ref="I171">INT(F171)+IF(100-SUM(INT(F$168:F$176))&gt;=RANK(H171,H$168:H$176)+COUNTIF(H$168:H171,H171)-1,1,0)</f>
        <v>1</v>
      </c>
      <c r="J171" t="b">
        <f t="shared" si="18"/>
        <v>0</v>
      </c>
      <c r="K171" t="str">
        <f t="shared" si="19"/>
        <v/>
      </c>
      <c r="L171">
        <f>_xlfn.XLOOKUP(D171,BugList!C:C,BugList!N:N)</f>
        <v>8</v>
      </c>
      <c r="M171">
        <f t="shared" si="20"/>
        <v>8</v>
      </c>
      <c r="N171" t="b">
        <f>_xlfn.XLOOKUP(D171,BugList!C:C,BugList!L:L)</f>
        <v>0</v>
      </c>
      <c r="O171" t="b">
        <f t="shared" si="21"/>
        <v>0</v>
      </c>
      <c r="P171" s="18" t="b">
        <f>SUMPRODUCT(COUNTIF(_xlfn.XLOOKUP(D171,BugList!C:C,BugList!P:P), "*SC*"))&gt;0</f>
        <v>0</v>
      </c>
    </row>
    <row r="172" spans="1:16">
      <c r="A172" t="s">
        <v>2718</v>
      </c>
      <c r="B172">
        <v>314</v>
      </c>
      <c r="C172" t="s">
        <v>201</v>
      </c>
      <c r="D172" t="s">
        <v>85</v>
      </c>
      <c r="E172">
        <v>93</v>
      </c>
      <c r="F172" s="43">
        <f t="shared" si="23"/>
        <v>61.589403973509938</v>
      </c>
      <c r="G172" s="44">
        <f t="shared" si="16"/>
        <v>61</v>
      </c>
      <c r="H172" s="44">
        <f t="shared" si="17"/>
        <v>0.58940397350993834</v>
      </c>
      <c r="I172" cm="1">
        <f t="array" ref="I172">INT(F172)+IF(100-SUM(INT(F$168:F$176))&gt;=RANK(H172,H$168:H$176)+COUNTIF(H$168:H172,H172)-1,1,0)</f>
        <v>61</v>
      </c>
      <c r="J172" t="b">
        <f t="shared" si="18"/>
        <v>0</v>
      </c>
      <c r="K172" t="str">
        <f t="shared" si="19"/>
        <v/>
      </c>
      <c r="L172">
        <f>_xlfn.XLOOKUP(D172,BugList!C:C,BugList!N:N)</f>
        <v>4</v>
      </c>
      <c r="M172">
        <f t="shared" si="20"/>
        <v>244</v>
      </c>
      <c r="N172" t="b">
        <f>_xlfn.XLOOKUP(D172,BugList!C:C,BugList!L:L)</f>
        <v>0</v>
      </c>
      <c r="O172" t="b">
        <f t="shared" si="21"/>
        <v>0</v>
      </c>
      <c r="P172" s="18" t="b">
        <f>SUMPRODUCT(COUNTIF(_xlfn.XLOOKUP(D172,BugList!C:C,BugList!P:P), "*SC*"))&gt;0</f>
        <v>0</v>
      </c>
    </row>
    <row r="173" spans="1:16">
      <c r="A173" t="s">
        <v>2718</v>
      </c>
      <c r="B173">
        <v>314</v>
      </c>
      <c r="C173" t="s">
        <v>202</v>
      </c>
      <c r="D173" t="s">
        <v>169</v>
      </c>
      <c r="E173">
        <v>1</v>
      </c>
      <c r="F173" s="43">
        <f t="shared" si="23"/>
        <v>0.66225165562913912</v>
      </c>
      <c r="G173" s="44">
        <f t="shared" si="16"/>
        <v>0</v>
      </c>
      <c r="H173" s="44">
        <f t="shared" si="17"/>
        <v>0.66225165562913912</v>
      </c>
      <c r="I173" cm="1">
        <f t="array" ref="I173">INT(F173)+IF(100-SUM(INT(F$168:F$176))&gt;=RANK(H173,H$168:H$176)+COUNTIF(H$168:H173,H173)-1,1,0)</f>
        <v>1</v>
      </c>
      <c r="J173" t="b">
        <f t="shared" si="18"/>
        <v>0</v>
      </c>
      <c r="K173" t="str">
        <f t="shared" si="19"/>
        <v/>
      </c>
      <c r="L173">
        <f>_xlfn.XLOOKUP(D173,BugList!C:C,BugList!N:N)</f>
        <v>5</v>
      </c>
      <c r="M173">
        <f t="shared" si="20"/>
        <v>5</v>
      </c>
      <c r="N173" t="b">
        <f>_xlfn.XLOOKUP(D173,BugList!C:C,BugList!L:L)</f>
        <v>0</v>
      </c>
      <c r="O173" t="b">
        <f t="shared" si="21"/>
        <v>0</v>
      </c>
      <c r="P173" s="18" t="b">
        <f>SUMPRODUCT(COUNTIF(_xlfn.XLOOKUP(D173,BugList!C:C,BugList!P:P), "*SC*"))&gt;0</f>
        <v>0</v>
      </c>
    </row>
    <row r="174" spans="1:16">
      <c r="A174" t="s">
        <v>2718</v>
      </c>
      <c r="B174">
        <v>314</v>
      </c>
      <c r="C174" t="s">
        <v>210</v>
      </c>
      <c r="D174" t="s">
        <v>92</v>
      </c>
      <c r="E174">
        <v>4</v>
      </c>
      <c r="F174" s="43">
        <f t="shared" si="23"/>
        <v>2.6490066225165565</v>
      </c>
      <c r="G174" s="44">
        <f t="shared" si="16"/>
        <v>2</v>
      </c>
      <c r="H174" s="44">
        <f t="shared" si="17"/>
        <v>0.6490066225165565</v>
      </c>
      <c r="I174" cm="1">
        <f t="array" ref="I174">INT(F174)+IF(100-SUM(INT(F$168:F$176))&gt;=RANK(H174,H$168:H$176)+COUNTIF(H$168:H174,H174)-1,1,0)</f>
        <v>3</v>
      </c>
      <c r="J174" t="b">
        <f t="shared" si="18"/>
        <v>0</v>
      </c>
      <c r="K174" t="str">
        <f t="shared" si="19"/>
        <v/>
      </c>
      <c r="L174">
        <f>_xlfn.XLOOKUP(D174,BugList!C:C,BugList!N:N)</f>
        <v>8</v>
      </c>
      <c r="M174">
        <f t="shared" si="20"/>
        <v>24</v>
      </c>
      <c r="N174" t="b">
        <f>_xlfn.XLOOKUP(D174,BugList!C:C,BugList!L:L)</f>
        <v>0</v>
      </c>
      <c r="O174" t="b">
        <f t="shared" si="21"/>
        <v>0</v>
      </c>
      <c r="P174" s="18" t="b">
        <f>SUMPRODUCT(COUNTIF(_xlfn.XLOOKUP(D174,BugList!C:C,BugList!P:P), "*SC*"))&gt;0</f>
        <v>0</v>
      </c>
    </row>
    <row r="175" spans="1:16">
      <c r="A175" t="s">
        <v>2718</v>
      </c>
      <c r="B175">
        <v>314</v>
      </c>
      <c r="C175" t="s">
        <v>210</v>
      </c>
      <c r="D175" t="s">
        <v>93</v>
      </c>
      <c r="E175">
        <v>3</v>
      </c>
      <c r="F175" s="43">
        <f t="shared" si="23"/>
        <v>1.9867549668874174</v>
      </c>
      <c r="G175" s="44">
        <f t="shared" si="16"/>
        <v>1</v>
      </c>
      <c r="H175" s="44">
        <f t="shared" si="17"/>
        <v>0.98675496688741737</v>
      </c>
      <c r="I175" cm="1">
        <f t="array" ref="I175">INT(F175)+IF(100-SUM(INT(F$168:F$176))&gt;=RANK(H175,H$168:H$176)+COUNTIF(H$168:H175,H175)-1,1,0)</f>
        <v>2</v>
      </c>
      <c r="J175" t="b">
        <f t="shared" si="18"/>
        <v>0</v>
      </c>
      <c r="K175" t="str">
        <f t="shared" si="19"/>
        <v/>
      </c>
      <c r="L175">
        <f>_xlfn.XLOOKUP(D175,BugList!C:C,BugList!N:N)</f>
        <v>8</v>
      </c>
      <c r="M175">
        <f t="shared" si="20"/>
        <v>16</v>
      </c>
      <c r="N175" t="b">
        <f>_xlfn.XLOOKUP(D175,BugList!C:C,BugList!L:L)</f>
        <v>0</v>
      </c>
      <c r="O175" t="b">
        <f t="shared" si="21"/>
        <v>0</v>
      </c>
      <c r="P175" s="18" t="b">
        <f>SUMPRODUCT(COUNTIF(_xlfn.XLOOKUP(D175,BugList!C:C,BugList!P:P), "*SC*"))&gt;0</f>
        <v>0</v>
      </c>
    </row>
    <row r="176" spans="1:16">
      <c r="A176" t="s">
        <v>2718</v>
      </c>
      <c r="B176">
        <v>314</v>
      </c>
      <c r="C176" t="s">
        <v>205</v>
      </c>
      <c r="D176" t="s">
        <v>206</v>
      </c>
      <c r="E176">
        <v>3</v>
      </c>
      <c r="F176" s="43">
        <f t="shared" si="23"/>
        <v>1.9867549668874174</v>
      </c>
      <c r="G176" s="44">
        <f t="shared" si="16"/>
        <v>1</v>
      </c>
      <c r="H176" s="44">
        <f t="shared" si="17"/>
        <v>0.98675496688741737</v>
      </c>
      <c r="I176" cm="1">
        <f t="array" ref="I176">INT(F176)+IF(100-SUM(INT(F$168:F$176))&gt;=RANK(H176,H$168:H$176)+COUNTIF(H$168:H176,H176)-1,1,0)</f>
        <v>2</v>
      </c>
      <c r="J176" t="b">
        <f t="shared" si="18"/>
        <v>0</v>
      </c>
      <c r="K176" t="str">
        <f t="shared" si="19"/>
        <v/>
      </c>
      <c r="L176" s="71">
        <v>8</v>
      </c>
      <c r="M176">
        <f t="shared" si="20"/>
        <v>16</v>
      </c>
      <c r="N176" s="71" t="b">
        <v>0</v>
      </c>
      <c r="O176" t="b">
        <f t="shared" si="21"/>
        <v>0</v>
      </c>
      <c r="P176" s="72" t="b">
        <v>0</v>
      </c>
    </row>
    <row r="177" spans="1:16">
      <c r="A177" t="s">
        <v>2719</v>
      </c>
      <c r="B177">
        <v>321</v>
      </c>
      <c r="C177" t="s">
        <v>194</v>
      </c>
      <c r="D177" s="85" t="s">
        <v>126</v>
      </c>
      <c r="E177">
        <v>2</v>
      </c>
      <c r="F177" s="43">
        <f t="shared" si="23"/>
        <v>1.6260162601626018</v>
      </c>
      <c r="G177" s="44">
        <f t="shared" si="16"/>
        <v>1</v>
      </c>
      <c r="H177" s="44">
        <f t="shared" si="17"/>
        <v>0.62601626016260181</v>
      </c>
      <c r="I177" cm="1">
        <f t="array" ref="I177">INT(F177)+IF(100-SUM(INT(F$177:F$185))&gt;=RANK(H177,H$177:H$185)+COUNTIF(H$177:H177,H177)-1,1,0)</f>
        <v>2</v>
      </c>
      <c r="J177" t="b">
        <f t="shared" si="18"/>
        <v>0</v>
      </c>
      <c r="K177" t="str">
        <f t="shared" si="19"/>
        <v/>
      </c>
      <c r="L177">
        <f>_xlfn.XLOOKUP(D177,BugList!C:C,BugList!N:N)</f>
        <v>8</v>
      </c>
      <c r="M177">
        <f t="shared" si="20"/>
        <v>16</v>
      </c>
      <c r="N177" t="b">
        <f>_xlfn.XLOOKUP(D177,BugList!C:C,BugList!L:L)</f>
        <v>1</v>
      </c>
      <c r="O177" t="b">
        <f t="shared" si="21"/>
        <v>0</v>
      </c>
      <c r="P177" s="18" t="b">
        <f>SUMPRODUCT(COUNTIF(_xlfn.XLOOKUP(D177,BugList!C:C,BugList!P:P), "*SC*"))&gt;0</f>
        <v>0</v>
      </c>
    </row>
    <row r="178" spans="1:16">
      <c r="A178" t="s">
        <v>2719</v>
      </c>
      <c r="B178">
        <v>321</v>
      </c>
      <c r="C178" t="s">
        <v>194</v>
      </c>
      <c r="D178" s="85" t="s">
        <v>90</v>
      </c>
      <c r="E178">
        <v>1</v>
      </c>
      <c r="F178" s="43">
        <f t="shared" si="23"/>
        <v>0.81300813008130091</v>
      </c>
      <c r="G178" s="44">
        <f t="shared" si="16"/>
        <v>0</v>
      </c>
      <c r="H178" s="44">
        <f t="shared" si="17"/>
        <v>0.81300813008130091</v>
      </c>
      <c r="I178" cm="1">
        <f t="array" ref="I178">INT(F178)+IF(100-SUM(INT(F$177:F$185))&gt;=RANK(H178,H$177:H$185)+COUNTIF(H$177:H178,H178)-1,1,0)</f>
        <v>1</v>
      </c>
      <c r="J178" t="b">
        <f t="shared" si="18"/>
        <v>0</v>
      </c>
      <c r="K178" t="str">
        <f t="shared" si="19"/>
        <v/>
      </c>
      <c r="L178">
        <f>_xlfn.XLOOKUP(D178,BugList!C:C,BugList!N:N)</f>
        <v>6</v>
      </c>
      <c r="M178">
        <f t="shared" si="20"/>
        <v>6</v>
      </c>
      <c r="N178" t="b">
        <f>_xlfn.XLOOKUP(D178,BugList!C:C,BugList!L:L)</f>
        <v>1</v>
      </c>
      <c r="O178" t="b">
        <f t="shared" si="21"/>
        <v>0</v>
      </c>
      <c r="P178" s="18" t="b">
        <f>SUMPRODUCT(COUNTIF(_xlfn.XLOOKUP(D178,BugList!C:C,BugList!P:P), "*SC*"))&gt;0</f>
        <v>0</v>
      </c>
    </row>
    <row r="179" spans="1:16">
      <c r="A179" t="s">
        <v>2719</v>
      </c>
      <c r="B179">
        <v>321</v>
      </c>
      <c r="C179" t="s">
        <v>199</v>
      </c>
      <c r="D179" t="s">
        <v>154</v>
      </c>
      <c r="E179">
        <v>1</v>
      </c>
      <c r="F179" s="43">
        <f t="shared" si="23"/>
        <v>0.81300813008130091</v>
      </c>
      <c r="G179" s="44">
        <f t="shared" ref="G179:G242" si="24">INT(F179)</f>
        <v>0</v>
      </c>
      <c r="H179" s="44">
        <f t="shared" ref="H179:H242" si="25">F179-G179</f>
        <v>0.81300813008130091</v>
      </c>
      <c r="I179" cm="1">
        <f t="array" ref="I179">INT(F179)+IF(100-SUM(INT(F$177:F$185))&gt;=RANK(H179,H$177:H$185)+COUNTIF(H$177:H179,H179)-1,1,0)</f>
        <v>1</v>
      </c>
      <c r="J179" t="b">
        <f t="shared" ref="J179:J242" si="26">IF(OR(C179="Ephemeroptera", C179 ="Plecoptera", C179= "Trichoptera"), TRUE, FALSE)</f>
        <v>1</v>
      </c>
      <c r="K179" t="str">
        <f t="shared" ref="K179:K242" si="27">IF(J179=TRUE,C179,"")</f>
        <v>Ephemeroptera</v>
      </c>
      <c r="L179">
        <f>_xlfn.XLOOKUP(D179,BugList!C:C,BugList!N:N)</f>
        <v>7</v>
      </c>
      <c r="M179">
        <f t="shared" ref="M179:M242" si="28">L179*I179</f>
        <v>7</v>
      </c>
      <c r="N179" t="b">
        <f>_xlfn.XLOOKUP(D179,BugList!C:C,BugList!L:L)</f>
        <v>1</v>
      </c>
      <c r="O179" t="b">
        <f t="shared" ref="O179:O242" si="29">IF(J179=TRUE,IF(D179="Hydropsychidae", FALSE, TRUE), FALSE)</f>
        <v>1</v>
      </c>
      <c r="P179" s="18" t="b">
        <f>SUMPRODUCT(COUNTIF(_xlfn.XLOOKUP(D179,BugList!C:C,BugList!P:P), "*SC*"))&gt;0</f>
        <v>0</v>
      </c>
    </row>
    <row r="180" spans="1:16">
      <c r="A180" t="s">
        <v>2719</v>
      </c>
      <c r="B180">
        <v>321</v>
      </c>
      <c r="C180" t="s">
        <v>198</v>
      </c>
      <c r="D180" t="s">
        <v>89</v>
      </c>
      <c r="E180">
        <v>85</v>
      </c>
      <c r="F180" s="43">
        <f t="shared" si="23"/>
        <v>69.105691056910572</v>
      </c>
      <c r="G180" s="44">
        <f t="shared" si="24"/>
        <v>69</v>
      </c>
      <c r="H180" s="44">
        <f t="shared" si="25"/>
        <v>0.10569105691057246</v>
      </c>
      <c r="I180" cm="1">
        <f t="array" ref="I180">INT(F180)+IF(100-SUM(INT(F$177:F$185))&gt;=RANK(H180,H$177:H$185)+COUNTIF(H$177:H180,H180)-1,1,0)</f>
        <v>69</v>
      </c>
      <c r="J180" t="b">
        <f t="shared" si="26"/>
        <v>1</v>
      </c>
      <c r="K180" t="str">
        <f t="shared" si="27"/>
        <v>Trichoptera</v>
      </c>
      <c r="L180">
        <f>_xlfn.XLOOKUP(D180,BugList!C:C,BugList!N:N)</f>
        <v>4</v>
      </c>
      <c r="M180">
        <f t="shared" si="28"/>
        <v>276</v>
      </c>
      <c r="N180" t="b">
        <f>_xlfn.XLOOKUP(D180,BugList!C:C,BugList!L:L)</f>
        <v>1</v>
      </c>
      <c r="O180" t="b">
        <f t="shared" si="29"/>
        <v>0</v>
      </c>
      <c r="P180" s="18" t="b">
        <f>SUMPRODUCT(COUNTIF(_xlfn.XLOOKUP(D180,BugList!C:C,BugList!P:P), "*SC*"))&gt;0</f>
        <v>0</v>
      </c>
    </row>
    <row r="181" spans="1:16">
      <c r="A181" t="s">
        <v>2719</v>
      </c>
      <c r="B181">
        <v>321</v>
      </c>
      <c r="C181" t="s">
        <v>204</v>
      </c>
      <c r="D181" t="s">
        <v>84</v>
      </c>
      <c r="E181">
        <v>11</v>
      </c>
      <c r="F181" s="43">
        <f t="shared" si="23"/>
        <v>8.9430894308943092</v>
      </c>
      <c r="G181" s="44">
        <f t="shared" si="24"/>
        <v>8</v>
      </c>
      <c r="H181" s="44">
        <f t="shared" si="25"/>
        <v>0.94308943089430919</v>
      </c>
      <c r="I181" cm="1">
        <f t="array" ref="I181">INT(F181)+IF(100-SUM(INT(F$177:F$185))&gt;=RANK(H181,H$177:H$185)+COUNTIF(H$177:H181,H181)-1,1,0)</f>
        <v>9</v>
      </c>
      <c r="J181" t="b">
        <f t="shared" si="26"/>
        <v>0</v>
      </c>
      <c r="K181" t="str">
        <f t="shared" si="27"/>
        <v/>
      </c>
      <c r="L181">
        <f>_xlfn.XLOOKUP(D181,BugList!C:C,BugList!N:N)</f>
        <v>8</v>
      </c>
      <c r="M181">
        <f t="shared" si="28"/>
        <v>72</v>
      </c>
      <c r="N181" t="b">
        <f>_xlfn.XLOOKUP(D181,BugList!C:C,BugList!L:L)</f>
        <v>0</v>
      </c>
      <c r="O181" t="b">
        <f t="shared" si="29"/>
        <v>0</v>
      </c>
      <c r="P181" s="18" t="b">
        <f>SUMPRODUCT(COUNTIF(_xlfn.XLOOKUP(D181,BugList!C:C,BugList!P:P), "*SC*"))&gt;0</f>
        <v>0</v>
      </c>
    </row>
    <row r="182" spans="1:16">
      <c r="A182" t="s">
        <v>2719</v>
      </c>
      <c r="B182">
        <v>321</v>
      </c>
      <c r="C182" t="s">
        <v>201</v>
      </c>
      <c r="D182" t="s">
        <v>85</v>
      </c>
      <c r="E182">
        <v>10</v>
      </c>
      <c r="F182" s="43">
        <f t="shared" si="23"/>
        <v>8.1300813008130071</v>
      </c>
      <c r="G182" s="44">
        <f t="shared" si="24"/>
        <v>8</v>
      </c>
      <c r="H182" s="44">
        <f t="shared" si="25"/>
        <v>0.13008130081300706</v>
      </c>
      <c r="I182" cm="1">
        <f t="array" ref="I182">INT(F182)+IF(100-SUM(INT(F$177:F$185))&gt;=RANK(H182,H$177:H$185)+COUNTIF(H$177:H182,H182)-1,1,0)</f>
        <v>8</v>
      </c>
      <c r="J182" t="b">
        <f t="shared" si="26"/>
        <v>0</v>
      </c>
      <c r="K182" t="str">
        <f t="shared" si="27"/>
        <v/>
      </c>
      <c r="L182">
        <f>_xlfn.XLOOKUP(D182,BugList!C:C,BugList!N:N)</f>
        <v>4</v>
      </c>
      <c r="M182">
        <f t="shared" si="28"/>
        <v>32</v>
      </c>
      <c r="N182" t="b">
        <f>_xlfn.XLOOKUP(D182,BugList!C:C,BugList!L:L)</f>
        <v>0</v>
      </c>
      <c r="O182" t="b">
        <f t="shared" si="29"/>
        <v>0</v>
      </c>
      <c r="P182" s="18" t="b">
        <f>SUMPRODUCT(COUNTIF(_xlfn.XLOOKUP(D182,BugList!C:C,BugList!P:P), "*SC*"))&gt;0</f>
        <v>0</v>
      </c>
    </row>
    <row r="183" spans="1:16">
      <c r="A183" t="s">
        <v>2719</v>
      </c>
      <c r="B183">
        <v>321</v>
      </c>
      <c r="C183" t="s">
        <v>210</v>
      </c>
      <c r="D183" t="s">
        <v>92</v>
      </c>
      <c r="E183">
        <v>9</v>
      </c>
      <c r="F183" s="43">
        <f t="shared" si="23"/>
        <v>7.3170731707317067</v>
      </c>
      <c r="G183" s="44">
        <f t="shared" si="24"/>
        <v>7</v>
      </c>
      <c r="H183" s="44">
        <f t="shared" si="25"/>
        <v>0.31707317073170671</v>
      </c>
      <c r="I183" cm="1">
        <f t="array" ref="I183">INT(F183)+IF(100-SUM(INT(F$177:F$185))&gt;=RANK(H183,H$177:H$185)+COUNTIF(H$177:H183,H183)-1,1,0)</f>
        <v>7</v>
      </c>
      <c r="J183" t="b">
        <f t="shared" si="26"/>
        <v>0</v>
      </c>
      <c r="K183" t="str">
        <f t="shared" si="27"/>
        <v/>
      </c>
      <c r="L183">
        <f>_xlfn.XLOOKUP(D183,BugList!C:C,BugList!N:N)</f>
        <v>8</v>
      </c>
      <c r="M183">
        <f t="shared" si="28"/>
        <v>56</v>
      </c>
      <c r="N183" t="b">
        <f>_xlfn.XLOOKUP(D183,BugList!C:C,BugList!L:L)</f>
        <v>0</v>
      </c>
      <c r="O183" t="b">
        <f t="shared" si="29"/>
        <v>0</v>
      </c>
      <c r="P183" s="18" t="b">
        <f>SUMPRODUCT(COUNTIF(_xlfn.XLOOKUP(D183,BugList!C:C,BugList!P:P), "*SC*"))&gt;0</f>
        <v>0</v>
      </c>
    </row>
    <row r="184" spans="1:16">
      <c r="A184" t="s">
        <v>2719</v>
      </c>
      <c r="B184">
        <v>321</v>
      </c>
      <c r="C184" t="s">
        <v>2315</v>
      </c>
      <c r="D184" t="s">
        <v>120</v>
      </c>
      <c r="E184">
        <v>1</v>
      </c>
      <c r="F184" s="43">
        <f t="shared" si="23"/>
        <v>0.81300813008130091</v>
      </c>
      <c r="G184" s="44">
        <f t="shared" si="24"/>
        <v>0</v>
      </c>
      <c r="H184" s="44">
        <f t="shared" si="25"/>
        <v>0.81300813008130091</v>
      </c>
      <c r="I184" cm="1">
        <f t="array" ref="I184">INT(F184)+IF(100-SUM(INT(F$177:F$185))&gt;=RANK(H184,H$177:H$185)+COUNTIF(H$177:H184,H184)-1,1,0)</f>
        <v>1</v>
      </c>
      <c r="J184" t="b">
        <f t="shared" si="26"/>
        <v>0</v>
      </c>
      <c r="K184" t="str">
        <f t="shared" si="27"/>
        <v/>
      </c>
      <c r="L184">
        <f>_xlfn.XLOOKUP(D184,BugList!C:C,BugList!N:N)</f>
        <v>8</v>
      </c>
      <c r="M184">
        <f t="shared" si="28"/>
        <v>8</v>
      </c>
      <c r="N184" t="b">
        <f>_xlfn.XLOOKUP(D184,BugList!C:C,BugList!L:L)</f>
        <v>0</v>
      </c>
      <c r="O184" t="b">
        <f t="shared" si="29"/>
        <v>0</v>
      </c>
      <c r="P184" s="18" t="b">
        <f>SUMPRODUCT(COUNTIF(_xlfn.XLOOKUP(D184,BugList!C:C,BugList!P:P), "*SC*"))&gt;0</f>
        <v>1</v>
      </c>
    </row>
    <row r="185" spans="1:16">
      <c r="A185" t="s">
        <v>2719</v>
      </c>
      <c r="B185">
        <v>321</v>
      </c>
      <c r="C185" t="s">
        <v>205</v>
      </c>
      <c r="D185" t="s">
        <v>206</v>
      </c>
      <c r="E185">
        <v>3</v>
      </c>
      <c r="F185" s="43">
        <f t="shared" si="23"/>
        <v>2.4390243902439024</v>
      </c>
      <c r="G185" s="44">
        <f t="shared" si="24"/>
        <v>2</v>
      </c>
      <c r="H185" s="44">
        <f t="shared" si="25"/>
        <v>0.43902439024390238</v>
      </c>
      <c r="I185" cm="1">
        <f t="array" ref="I185">INT(F185)+IF(100-SUM(INT(F$177:F$185))&gt;=RANK(H185,H$177:H$185)+COUNTIF(H$177:H185,H185)-1,1,0)</f>
        <v>2</v>
      </c>
      <c r="J185" t="b">
        <f t="shared" si="26"/>
        <v>0</v>
      </c>
      <c r="K185" t="str">
        <f t="shared" si="27"/>
        <v/>
      </c>
      <c r="L185" s="71">
        <v>8</v>
      </c>
      <c r="M185">
        <f t="shared" si="28"/>
        <v>16</v>
      </c>
      <c r="N185" s="71" t="b">
        <v>0</v>
      </c>
      <c r="O185" t="b">
        <f t="shared" si="29"/>
        <v>0</v>
      </c>
      <c r="P185" s="72" t="b">
        <v>0</v>
      </c>
    </row>
    <row r="186" spans="1:16">
      <c r="A186" t="s">
        <v>2720</v>
      </c>
      <c r="B186">
        <v>338</v>
      </c>
      <c r="C186" t="s">
        <v>200</v>
      </c>
      <c r="D186" t="s">
        <v>98</v>
      </c>
      <c r="E186">
        <v>3</v>
      </c>
      <c r="F186" s="43"/>
      <c r="G186" s="44"/>
      <c r="H186" s="44"/>
      <c r="J186" t="b">
        <f t="shared" si="26"/>
        <v>0</v>
      </c>
      <c r="K186" t="str">
        <f t="shared" si="27"/>
        <v/>
      </c>
      <c r="L186">
        <f>_xlfn.XLOOKUP(D186,BugList!C:C,BugList!N:N)</f>
        <v>4</v>
      </c>
      <c r="M186">
        <f t="shared" si="28"/>
        <v>0</v>
      </c>
      <c r="N186" t="b">
        <f>_xlfn.XLOOKUP(D186,BugList!C:C,BugList!L:L)</f>
        <v>1</v>
      </c>
      <c r="O186" t="b">
        <f t="shared" si="29"/>
        <v>0</v>
      </c>
      <c r="P186" s="18" t="b">
        <f>SUMPRODUCT(COUNTIF(_xlfn.XLOOKUP(D186,BugList!C:C,BugList!P:P), "*SC*"))&gt;0</f>
        <v>1</v>
      </c>
    </row>
    <row r="187" spans="1:16">
      <c r="A187" t="s">
        <v>2720</v>
      </c>
      <c r="B187">
        <v>338</v>
      </c>
      <c r="C187" t="s">
        <v>194</v>
      </c>
      <c r="D187" s="85" t="s">
        <v>126</v>
      </c>
      <c r="E187">
        <v>1</v>
      </c>
      <c r="F187" s="43"/>
      <c r="G187" s="44"/>
      <c r="H187" s="44"/>
      <c r="J187" t="b">
        <f t="shared" si="26"/>
        <v>0</v>
      </c>
      <c r="K187" t="str">
        <f t="shared" si="27"/>
        <v/>
      </c>
      <c r="L187">
        <f>_xlfn.XLOOKUP(D187,BugList!C:C,BugList!N:N)</f>
        <v>8</v>
      </c>
      <c r="N187" t="b">
        <f>_xlfn.XLOOKUP(D187,BugList!C:C,BugList!L:L)</f>
        <v>1</v>
      </c>
      <c r="O187" t="b">
        <f t="shared" si="29"/>
        <v>0</v>
      </c>
      <c r="P187" s="18" t="b">
        <f>SUMPRODUCT(COUNTIF(_xlfn.XLOOKUP(D187,BugList!C:C,BugList!P:P), "*SC*"))&gt;0</f>
        <v>0</v>
      </c>
    </row>
    <row r="188" spans="1:16">
      <c r="A188" t="s">
        <v>2720</v>
      </c>
      <c r="B188">
        <v>338</v>
      </c>
      <c r="C188" t="s">
        <v>194</v>
      </c>
      <c r="D188" s="85" t="s">
        <v>90</v>
      </c>
      <c r="E188">
        <v>3</v>
      </c>
      <c r="F188" s="43"/>
      <c r="G188" s="44"/>
      <c r="H188" s="44"/>
      <c r="J188" t="b">
        <f t="shared" si="26"/>
        <v>0</v>
      </c>
      <c r="K188" t="str">
        <f t="shared" si="27"/>
        <v/>
      </c>
      <c r="L188">
        <f>_xlfn.XLOOKUP(D188,BugList!C:C,BugList!N:N)</f>
        <v>6</v>
      </c>
      <c r="N188" t="b">
        <f>_xlfn.XLOOKUP(D188,BugList!C:C,BugList!L:L)</f>
        <v>1</v>
      </c>
      <c r="O188" t="b">
        <f t="shared" si="29"/>
        <v>0</v>
      </c>
      <c r="P188" s="18" t="b">
        <f>SUMPRODUCT(COUNTIF(_xlfn.XLOOKUP(D188,BugList!C:C,BugList!P:P), "*SC*"))&gt;0</f>
        <v>0</v>
      </c>
    </row>
    <row r="189" spans="1:16">
      <c r="A189" t="s">
        <v>2720</v>
      </c>
      <c r="B189">
        <v>338</v>
      </c>
      <c r="C189" t="s">
        <v>199</v>
      </c>
      <c r="D189" t="s">
        <v>96</v>
      </c>
      <c r="E189">
        <v>1</v>
      </c>
      <c r="F189" s="43"/>
      <c r="G189" s="44"/>
      <c r="H189" s="44"/>
      <c r="J189" t="b">
        <f t="shared" si="26"/>
        <v>1</v>
      </c>
      <c r="K189" t="str">
        <f t="shared" si="27"/>
        <v>Ephemeroptera</v>
      </c>
      <c r="L189">
        <f>_xlfn.XLOOKUP(D189,BugList!C:C,BugList!N:N)</f>
        <v>4</v>
      </c>
      <c r="N189" t="b">
        <f>_xlfn.XLOOKUP(D189,BugList!C:C,BugList!L:L)</f>
        <v>1</v>
      </c>
      <c r="O189" t="b">
        <f t="shared" si="29"/>
        <v>1</v>
      </c>
      <c r="P189" s="18" t="b">
        <f>SUMPRODUCT(COUNTIF(_xlfn.XLOOKUP(D189,BugList!C:C,BugList!P:P), "*SC*"))&gt;0</f>
        <v>1</v>
      </c>
    </row>
    <row r="190" spans="1:16">
      <c r="A190" t="s">
        <v>2720</v>
      </c>
      <c r="B190">
        <v>338</v>
      </c>
      <c r="C190" t="s">
        <v>198</v>
      </c>
      <c r="D190" t="s">
        <v>96</v>
      </c>
      <c r="E190">
        <v>6</v>
      </c>
      <c r="F190" s="43"/>
      <c r="G190" s="44"/>
      <c r="H190" s="44"/>
      <c r="J190" t="b">
        <f t="shared" si="26"/>
        <v>1</v>
      </c>
      <c r="K190" t="str">
        <f t="shared" si="27"/>
        <v>Trichoptera</v>
      </c>
      <c r="L190">
        <f>_xlfn.XLOOKUP(D190,BugList!C:C,BugList!N:N)</f>
        <v>4</v>
      </c>
      <c r="N190" t="b">
        <f>_xlfn.XLOOKUP(D190,BugList!C:C,BugList!L:L)</f>
        <v>1</v>
      </c>
      <c r="O190" t="b">
        <f t="shared" si="29"/>
        <v>1</v>
      </c>
      <c r="P190" s="18" t="b">
        <f>SUMPRODUCT(COUNTIF(_xlfn.XLOOKUP(D190,BugList!C:C,BugList!P:P), "*SC*"))&gt;0</f>
        <v>1</v>
      </c>
    </row>
    <row r="191" spans="1:16">
      <c r="A191" t="s">
        <v>2720</v>
      </c>
      <c r="B191">
        <v>338</v>
      </c>
      <c r="C191" t="s">
        <v>204</v>
      </c>
      <c r="D191" t="s">
        <v>84</v>
      </c>
      <c r="E191">
        <v>13</v>
      </c>
      <c r="F191" s="43"/>
      <c r="G191" s="44"/>
      <c r="H191" s="44"/>
      <c r="J191" t="b">
        <f t="shared" si="26"/>
        <v>0</v>
      </c>
      <c r="K191" t="str">
        <f t="shared" si="27"/>
        <v/>
      </c>
      <c r="L191">
        <f>_xlfn.XLOOKUP(D191,BugList!C:C,BugList!N:N)</f>
        <v>8</v>
      </c>
      <c r="N191" t="b">
        <f>_xlfn.XLOOKUP(D191,BugList!C:C,BugList!L:L)</f>
        <v>0</v>
      </c>
      <c r="O191" t="b">
        <f t="shared" si="29"/>
        <v>0</v>
      </c>
      <c r="P191" s="18" t="b">
        <f>SUMPRODUCT(COUNTIF(_xlfn.XLOOKUP(D191,BugList!C:C,BugList!P:P), "*SC*"))&gt;0</f>
        <v>0</v>
      </c>
    </row>
    <row r="192" spans="1:16">
      <c r="A192" t="s">
        <v>2720</v>
      </c>
      <c r="B192">
        <v>338</v>
      </c>
      <c r="C192" t="s">
        <v>201</v>
      </c>
      <c r="D192" t="s">
        <v>85</v>
      </c>
      <c r="E192">
        <v>9</v>
      </c>
      <c r="F192" s="43"/>
      <c r="G192" s="44"/>
      <c r="H192" s="44"/>
      <c r="J192" t="b">
        <f t="shared" si="26"/>
        <v>0</v>
      </c>
      <c r="K192" t="str">
        <f t="shared" si="27"/>
        <v/>
      </c>
      <c r="L192">
        <f>_xlfn.XLOOKUP(D192,BugList!C:C,BugList!N:N)</f>
        <v>4</v>
      </c>
      <c r="N192" t="b">
        <f>_xlfn.XLOOKUP(D192,BugList!C:C,BugList!L:L)</f>
        <v>0</v>
      </c>
      <c r="O192" t="b">
        <f t="shared" si="29"/>
        <v>0</v>
      </c>
      <c r="P192" s="18" t="b">
        <f>SUMPRODUCT(COUNTIF(_xlfn.XLOOKUP(D192,BugList!C:C,BugList!P:P), "*SC*"))&gt;0</f>
        <v>0</v>
      </c>
    </row>
    <row r="193" spans="1:16">
      <c r="A193" t="s">
        <v>2720</v>
      </c>
      <c r="B193">
        <v>338</v>
      </c>
      <c r="C193" t="s">
        <v>202</v>
      </c>
      <c r="D193" t="s">
        <v>169</v>
      </c>
      <c r="E193">
        <v>1</v>
      </c>
      <c r="F193" s="43"/>
      <c r="G193" s="44"/>
      <c r="H193" s="44"/>
      <c r="J193" t="b">
        <f t="shared" si="26"/>
        <v>0</v>
      </c>
      <c r="K193" t="str">
        <f t="shared" si="27"/>
        <v/>
      </c>
      <c r="L193">
        <f>_xlfn.XLOOKUP(D193,BugList!C:C,BugList!N:N)</f>
        <v>5</v>
      </c>
      <c r="N193" t="b">
        <f>_xlfn.XLOOKUP(D193,BugList!C:C,BugList!L:L)</f>
        <v>0</v>
      </c>
      <c r="O193" t="b">
        <f t="shared" si="29"/>
        <v>0</v>
      </c>
      <c r="P193" s="18" t="b">
        <f>SUMPRODUCT(COUNTIF(_xlfn.XLOOKUP(D193,BugList!C:C,BugList!P:P), "*SC*"))&gt;0</f>
        <v>0</v>
      </c>
    </row>
    <row r="194" spans="1:16">
      <c r="A194" t="s">
        <v>2720</v>
      </c>
      <c r="B194">
        <v>338</v>
      </c>
      <c r="C194" t="s">
        <v>210</v>
      </c>
      <c r="D194" t="s">
        <v>92</v>
      </c>
      <c r="E194">
        <v>25</v>
      </c>
      <c r="F194" s="43"/>
      <c r="G194" s="44"/>
      <c r="H194" s="44"/>
      <c r="J194" t="b">
        <f t="shared" si="26"/>
        <v>0</v>
      </c>
      <c r="K194" t="str">
        <f t="shared" si="27"/>
        <v/>
      </c>
      <c r="L194">
        <f>_xlfn.XLOOKUP(D194,BugList!C:C,BugList!N:N)</f>
        <v>8</v>
      </c>
      <c r="N194" t="b">
        <f>_xlfn.XLOOKUP(D194,BugList!C:C,BugList!L:L)</f>
        <v>0</v>
      </c>
      <c r="O194" t="b">
        <f t="shared" si="29"/>
        <v>0</v>
      </c>
      <c r="P194" s="18" t="b">
        <f>SUMPRODUCT(COUNTIF(_xlfn.XLOOKUP(D194,BugList!C:C,BugList!P:P), "*SC*"))&gt;0</f>
        <v>0</v>
      </c>
    </row>
    <row r="195" spans="1:16">
      <c r="A195" t="s">
        <v>2720</v>
      </c>
      <c r="B195">
        <v>338</v>
      </c>
      <c r="C195" t="s">
        <v>2315</v>
      </c>
      <c r="D195" t="s">
        <v>120</v>
      </c>
      <c r="E195">
        <v>1</v>
      </c>
      <c r="F195" s="43"/>
      <c r="G195" s="44"/>
      <c r="H195" s="44"/>
      <c r="J195" t="b">
        <f t="shared" si="26"/>
        <v>0</v>
      </c>
      <c r="K195" t="str">
        <f t="shared" si="27"/>
        <v/>
      </c>
      <c r="L195">
        <f>_xlfn.XLOOKUP(D195,BugList!C:C,BugList!N:N)</f>
        <v>8</v>
      </c>
      <c r="N195" t="b">
        <f>_xlfn.XLOOKUP(D195,BugList!C:C,BugList!L:L)</f>
        <v>0</v>
      </c>
      <c r="O195" t="b">
        <f t="shared" si="29"/>
        <v>0</v>
      </c>
      <c r="P195" s="18" t="b">
        <f>SUMPRODUCT(COUNTIF(_xlfn.XLOOKUP(D195,BugList!C:C,BugList!P:P), "*SC*"))&gt;0</f>
        <v>1</v>
      </c>
    </row>
    <row r="196" spans="1:16">
      <c r="A196" t="s">
        <v>2720</v>
      </c>
      <c r="B196">
        <v>338</v>
      </c>
      <c r="C196" t="s">
        <v>2315</v>
      </c>
      <c r="D196" t="s">
        <v>102</v>
      </c>
      <c r="E196">
        <v>2</v>
      </c>
      <c r="F196" s="43"/>
      <c r="G196" s="44"/>
      <c r="H196" s="44"/>
      <c r="J196" t="b">
        <f t="shared" si="26"/>
        <v>0</v>
      </c>
      <c r="K196" t="str">
        <f t="shared" si="27"/>
        <v/>
      </c>
      <c r="L196">
        <f>_xlfn.XLOOKUP(D196,BugList!C:C,BugList!N:N)</f>
        <v>7</v>
      </c>
      <c r="N196" t="b">
        <f>_xlfn.XLOOKUP(D196,BugList!C:C,BugList!L:L)</f>
        <v>0</v>
      </c>
      <c r="O196" t="b">
        <f t="shared" si="29"/>
        <v>0</v>
      </c>
      <c r="P196" s="18" t="b">
        <f>SUMPRODUCT(COUNTIF(_xlfn.XLOOKUP(D196,BugList!C:C,BugList!P:P), "*SC*"))&gt;0</f>
        <v>1</v>
      </c>
    </row>
    <row r="197" spans="1:16">
      <c r="A197" t="s">
        <v>2720</v>
      </c>
      <c r="B197">
        <v>338</v>
      </c>
      <c r="C197" t="s">
        <v>94</v>
      </c>
      <c r="D197" s="85" t="s">
        <v>94</v>
      </c>
      <c r="E197">
        <v>11</v>
      </c>
      <c r="F197" s="43"/>
      <c r="G197" s="44"/>
      <c r="H197" s="44"/>
      <c r="J197" t="b">
        <f t="shared" si="26"/>
        <v>0</v>
      </c>
      <c r="K197" t="str">
        <f t="shared" si="27"/>
        <v/>
      </c>
      <c r="L197">
        <f>_xlfn.XLOOKUP(D197,BugList!C:C,BugList!N:N)</f>
        <v>8</v>
      </c>
      <c r="N197" t="b">
        <f>_xlfn.XLOOKUP(D197,BugList!C:C,BugList!L:L)</f>
        <v>0</v>
      </c>
      <c r="O197" t="b">
        <f t="shared" si="29"/>
        <v>0</v>
      </c>
      <c r="P197" s="18" t="b">
        <f>SUMPRODUCT(COUNTIF(_xlfn.XLOOKUP(D197,BugList!C:C,BugList!P:P), "*SC*"))&gt;0</f>
        <v>0</v>
      </c>
    </row>
    <row r="198" spans="1:16">
      <c r="A198" t="s">
        <v>2720</v>
      </c>
      <c r="B198">
        <v>338</v>
      </c>
      <c r="C198" t="s">
        <v>205</v>
      </c>
      <c r="D198" t="s">
        <v>206</v>
      </c>
      <c r="E198">
        <v>3</v>
      </c>
      <c r="F198" s="43"/>
      <c r="G198" s="44"/>
      <c r="H198" s="44"/>
      <c r="J198" t="b">
        <f t="shared" si="26"/>
        <v>0</v>
      </c>
      <c r="K198" t="str">
        <f t="shared" si="27"/>
        <v/>
      </c>
      <c r="L198" s="71">
        <v>8</v>
      </c>
      <c r="M198">
        <f t="shared" si="28"/>
        <v>0</v>
      </c>
      <c r="N198" s="71" t="b">
        <v>0</v>
      </c>
      <c r="O198" t="b">
        <f t="shared" si="29"/>
        <v>0</v>
      </c>
      <c r="P198" s="72" t="b">
        <v>0</v>
      </c>
    </row>
    <row r="199" spans="1:16">
      <c r="A199" t="s">
        <v>2721</v>
      </c>
      <c r="B199">
        <v>354</v>
      </c>
      <c r="C199" t="s">
        <v>200</v>
      </c>
      <c r="D199" t="s">
        <v>98</v>
      </c>
      <c r="E199">
        <v>1</v>
      </c>
      <c r="F199" s="43">
        <f t="shared" ref="F199:F230" si="30">(E199/(SUMIFS(E:E,A:A,A199))*100)</f>
        <v>1</v>
      </c>
      <c r="G199" s="44">
        <f t="shared" si="24"/>
        <v>1</v>
      </c>
      <c r="H199" s="44">
        <f t="shared" si="25"/>
        <v>0</v>
      </c>
      <c r="I199" cm="1">
        <f t="array" ref="I199">INT(F199)+IF(100-SUM(INT(F$199:F$209))&gt;=RANK(H199,H$199:H$209)+COUNTIF(H$199:H199,H199)-1,1,0)</f>
        <v>1</v>
      </c>
      <c r="J199" t="b">
        <f t="shared" si="26"/>
        <v>0</v>
      </c>
      <c r="K199" t="str">
        <f t="shared" si="27"/>
        <v/>
      </c>
      <c r="L199">
        <f>_xlfn.XLOOKUP(D199,BugList!C:C,BugList!N:N)</f>
        <v>4</v>
      </c>
      <c r="M199">
        <f t="shared" si="28"/>
        <v>4</v>
      </c>
      <c r="N199" t="b">
        <f>_xlfn.XLOOKUP(D199,BugList!C:C,BugList!L:L)</f>
        <v>1</v>
      </c>
      <c r="O199" t="b">
        <f t="shared" si="29"/>
        <v>0</v>
      </c>
      <c r="P199" s="18" t="b">
        <f>SUMPRODUCT(COUNTIF(_xlfn.XLOOKUP(D199,BugList!C:C,BugList!P:P), "*SC*"))&gt;0</f>
        <v>1</v>
      </c>
    </row>
    <row r="200" spans="1:16">
      <c r="A200" t="s">
        <v>2721</v>
      </c>
      <c r="B200">
        <v>354</v>
      </c>
      <c r="C200" t="s">
        <v>194</v>
      </c>
      <c r="D200" t="s">
        <v>126</v>
      </c>
      <c r="E200">
        <v>1</v>
      </c>
      <c r="F200" s="43">
        <f t="shared" si="30"/>
        <v>1</v>
      </c>
      <c r="G200" s="44">
        <f t="shared" si="24"/>
        <v>1</v>
      </c>
      <c r="H200" s="44">
        <f t="shared" si="25"/>
        <v>0</v>
      </c>
      <c r="I200" cm="1">
        <f t="array" ref="I200">INT(F200)+IF(100-SUM(INT(F$199:F$209))&gt;=RANK(H200,H$199:H$209)+COUNTIF(H$199:H200,H200)-1,1,0)</f>
        <v>1</v>
      </c>
      <c r="J200" t="b">
        <f t="shared" si="26"/>
        <v>0</v>
      </c>
      <c r="K200" t="str">
        <f t="shared" si="27"/>
        <v/>
      </c>
      <c r="L200">
        <f>_xlfn.XLOOKUP(D200,BugList!C:C,BugList!N:N)</f>
        <v>8</v>
      </c>
      <c r="M200">
        <f t="shared" si="28"/>
        <v>8</v>
      </c>
      <c r="N200" t="b">
        <f>_xlfn.XLOOKUP(D200,BugList!C:C,BugList!L:L)</f>
        <v>1</v>
      </c>
      <c r="O200" t="b">
        <f t="shared" si="29"/>
        <v>0</v>
      </c>
      <c r="P200" s="18" t="b">
        <f>SUMPRODUCT(COUNTIF(_xlfn.XLOOKUP(D200,BugList!C:C,BugList!P:P), "*SC*"))&gt;0</f>
        <v>0</v>
      </c>
    </row>
    <row r="201" spans="1:16">
      <c r="A201" t="s">
        <v>2721</v>
      </c>
      <c r="B201">
        <v>354</v>
      </c>
      <c r="C201" t="s">
        <v>194</v>
      </c>
      <c r="D201" t="s">
        <v>90</v>
      </c>
      <c r="E201">
        <v>33</v>
      </c>
      <c r="F201" s="43">
        <f t="shared" si="30"/>
        <v>33</v>
      </c>
      <c r="G201" s="44">
        <f t="shared" si="24"/>
        <v>33</v>
      </c>
      <c r="H201" s="44">
        <f t="shared" si="25"/>
        <v>0</v>
      </c>
      <c r="I201" cm="1">
        <f t="array" ref="I201">INT(F201)+IF(100-SUM(INT(F$199:F$209))&gt;=RANK(H201,H$199:H$209)+COUNTIF(H$199:H201,H201)-1,1,0)</f>
        <v>33</v>
      </c>
      <c r="J201" t="b">
        <f t="shared" si="26"/>
        <v>0</v>
      </c>
      <c r="K201" t="str">
        <f t="shared" si="27"/>
        <v/>
      </c>
      <c r="L201">
        <f>_xlfn.XLOOKUP(D201,BugList!C:C,BugList!N:N)</f>
        <v>6</v>
      </c>
      <c r="M201">
        <f t="shared" si="28"/>
        <v>198</v>
      </c>
      <c r="N201" t="b">
        <f>_xlfn.XLOOKUP(D201,BugList!C:C,BugList!L:L)</f>
        <v>1</v>
      </c>
      <c r="O201" t="b">
        <f t="shared" si="29"/>
        <v>0</v>
      </c>
      <c r="P201" s="18" t="b">
        <f>SUMPRODUCT(COUNTIF(_xlfn.XLOOKUP(D201,BugList!C:C,BugList!P:P), "*SC*"))&gt;0</f>
        <v>0</v>
      </c>
    </row>
    <row r="202" spans="1:16">
      <c r="A202" t="s">
        <v>2721</v>
      </c>
      <c r="B202">
        <v>354</v>
      </c>
      <c r="C202" t="s">
        <v>194</v>
      </c>
      <c r="D202" t="s">
        <v>101</v>
      </c>
      <c r="E202">
        <v>1</v>
      </c>
      <c r="F202" s="43">
        <f t="shared" si="30"/>
        <v>1</v>
      </c>
      <c r="G202" s="44">
        <f t="shared" si="24"/>
        <v>1</v>
      </c>
      <c r="H202" s="44">
        <f t="shared" si="25"/>
        <v>0</v>
      </c>
      <c r="I202" cm="1">
        <f t="array" ref="I202">INT(F202)+IF(100-SUM(INT(F$199:F$209))&gt;=RANK(H202,H$199:H$209)+COUNTIF(H$199:H202,H202)-1,1,0)</f>
        <v>1</v>
      </c>
      <c r="J202" t="b">
        <f t="shared" si="26"/>
        <v>0</v>
      </c>
      <c r="K202" t="str">
        <f t="shared" si="27"/>
        <v/>
      </c>
      <c r="L202">
        <f>_xlfn.XLOOKUP(D202,BugList!C:C,BugList!N:N)</f>
        <v>6</v>
      </c>
      <c r="M202">
        <f t="shared" si="28"/>
        <v>6</v>
      </c>
      <c r="N202" t="b">
        <f>_xlfn.XLOOKUP(D202,BugList!C:C,BugList!L:L)</f>
        <v>1</v>
      </c>
      <c r="O202" t="b">
        <f t="shared" si="29"/>
        <v>0</v>
      </c>
      <c r="P202" s="18" t="b">
        <f>SUMPRODUCT(COUNTIF(_xlfn.XLOOKUP(D202,BugList!C:C,BugList!P:P), "*SC*"))&gt;0</f>
        <v>0</v>
      </c>
    </row>
    <row r="203" spans="1:16">
      <c r="A203" t="s">
        <v>2721</v>
      </c>
      <c r="B203">
        <v>354</v>
      </c>
      <c r="C203" t="s">
        <v>198</v>
      </c>
      <c r="D203" t="s">
        <v>89</v>
      </c>
      <c r="E203">
        <v>8</v>
      </c>
      <c r="F203" s="43">
        <f t="shared" si="30"/>
        <v>8</v>
      </c>
      <c r="G203" s="44">
        <f t="shared" si="24"/>
        <v>8</v>
      </c>
      <c r="H203" s="44">
        <f t="shared" si="25"/>
        <v>0</v>
      </c>
      <c r="I203" cm="1">
        <f t="array" ref="I203">INT(F203)+IF(100-SUM(INT(F$199:F$209))&gt;=RANK(H203,H$199:H$209)+COUNTIF(H$199:H203,H203)-1,1,0)</f>
        <v>8</v>
      </c>
      <c r="J203" t="b">
        <f t="shared" si="26"/>
        <v>1</v>
      </c>
      <c r="K203" t="str">
        <f t="shared" si="27"/>
        <v>Trichoptera</v>
      </c>
      <c r="L203">
        <f>_xlfn.XLOOKUP(D203,BugList!C:C,BugList!N:N)</f>
        <v>4</v>
      </c>
      <c r="M203">
        <f t="shared" si="28"/>
        <v>32</v>
      </c>
      <c r="N203" t="b">
        <f>_xlfn.XLOOKUP(D203,BugList!C:C,BugList!L:L)</f>
        <v>1</v>
      </c>
      <c r="O203" t="b">
        <f t="shared" si="29"/>
        <v>0</v>
      </c>
      <c r="P203" s="18" t="b">
        <f>SUMPRODUCT(COUNTIF(_xlfn.XLOOKUP(D203,BugList!C:C,BugList!P:P), "*SC*"))&gt;0</f>
        <v>0</v>
      </c>
    </row>
    <row r="204" spans="1:16">
      <c r="A204" t="s">
        <v>2721</v>
      </c>
      <c r="B204">
        <v>354</v>
      </c>
      <c r="C204" t="s">
        <v>204</v>
      </c>
      <c r="D204" t="s">
        <v>89</v>
      </c>
      <c r="E204">
        <v>28</v>
      </c>
      <c r="F204" s="43">
        <f t="shared" si="30"/>
        <v>28.000000000000004</v>
      </c>
      <c r="G204" s="44">
        <f t="shared" si="24"/>
        <v>28</v>
      </c>
      <c r="H204" s="44">
        <f t="shared" si="25"/>
        <v>0</v>
      </c>
      <c r="I204" cm="1">
        <f t="array" ref="I204">INT(F204)+IF(100-SUM(INT(F$199:F$209))&gt;=RANK(H204,H$199:H$209)+COUNTIF(H$199:H204,H204)-1,1,0)</f>
        <v>28</v>
      </c>
      <c r="J204" t="b">
        <f t="shared" si="26"/>
        <v>0</v>
      </c>
      <c r="K204" t="str">
        <f t="shared" si="27"/>
        <v/>
      </c>
      <c r="L204">
        <f>_xlfn.XLOOKUP(D204,BugList!C:C,BugList!N:N)</f>
        <v>4</v>
      </c>
      <c r="M204">
        <f t="shared" si="28"/>
        <v>112</v>
      </c>
      <c r="N204" t="b">
        <f>_xlfn.XLOOKUP(D204,BugList!C:C,BugList!L:L)</f>
        <v>1</v>
      </c>
      <c r="O204" t="b">
        <f t="shared" si="29"/>
        <v>0</v>
      </c>
      <c r="P204" s="18" t="b">
        <f>SUMPRODUCT(COUNTIF(_xlfn.XLOOKUP(D204,BugList!C:C,BugList!P:P), "*SC*"))&gt;0</f>
        <v>0</v>
      </c>
    </row>
    <row r="205" spans="1:16">
      <c r="A205" t="s">
        <v>2721</v>
      </c>
      <c r="B205">
        <v>354</v>
      </c>
      <c r="C205" t="s">
        <v>201</v>
      </c>
      <c r="D205" t="s">
        <v>85</v>
      </c>
      <c r="E205">
        <v>10</v>
      </c>
      <c r="F205" s="43">
        <f t="shared" si="30"/>
        <v>10</v>
      </c>
      <c r="G205" s="44">
        <f t="shared" si="24"/>
        <v>10</v>
      </c>
      <c r="H205" s="44">
        <f t="shared" si="25"/>
        <v>0</v>
      </c>
      <c r="I205" cm="1">
        <f t="array" ref="I205">INT(F205)+IF(100-SUM(INT(F$199:F$209))&gt;=RANK(H205,H$199:H$209)+COUNTIF(H$199:H205,H205)-1,1,0)</f>
        <v>10</v>
      </c>
      <c r="J205" t="b">
        <f t="shared" si="26"/>
        <v>0</v>
      </c>
      <c r="K205" t="str">
        <f t="shared" si="27"/>
        <v/>
      </c>
      <c r="L205">
        <f>_xlfn.XLOOKUP(D205,BugList!C:C,BugList!N:N)</f>
        <v>4</v>
      </c>
      <c r="M205">
        <f t="shared" si="28"/>
        <v>40</v>
      </c>
      <c r="N205" t="b">
        <f>_xlfn.XLOOKUP(D205,BugList!C:C,BugList!L:L)</f>
        <v>0</v>
      </c>
      <c r="O205" t="b">
        <f t="shared" si="29"/>
        <v>0</v>
      </c>
      <c r="P205" s="18" t="b">
        <f>SUMPRODUCT(COUNTIF(_xlfn.XLOOKUP(D205,BugList!C:C,BugList!P:P), "*SC*"))&gt;0</f>
        <v>0</v>
      </c>
    </row>
    <row r="206" spans="1:16">
      <c r="A206" t="s">
        <v>2721</v>
      </c>
      <c r="B206">
        <v>354</v>
      </c>
      <c r="C206" t="s">
        <v>210</v>
      </c>
      <c r="D206" t="s">
        <v>92</v>
      </c>
      <c r="E206">
        <v>13</v>
      </c>
      <c r="F206" s="43">
        <f t="shared" si="30"/>
        <v>13</v>
      </c>
      <c r="G206" s="44">
        <f t="shared" si="24"/>
        <v>13</v>
      </c>
      <c r="H206" s="44">
        <f t="shared" si="25"/>
        <v>0</v>
      </c>
      <c r="I206" cm="1">
        <f t="array" ref="I206">INT(F206)+IF(100-SUM(INT(F$199:F$209))&gt;=RANK(H206,H$199:H$209)+COUNTIF(H$199:H206,H206)-1,1,0)</f>
        <v>13</v>
      </c>
      <c r="J206" t="b">
        <f t="shared" si="26"/>
        <v>0</v>
      </c>
      <c r="K206" t="str">
        <f t="shared" si="27"/>
        <v/>
      </c>
      <c r="L206">
        <f>_xlfn.XLOOKUP(D206,BugList!C:C,BugList!N:N)</f>
        <v>8</v>
      </c>
      <c r="M206">
        <f t="shared" si="28"/>
        <v>104</v>
      </c>
      <c r="N206" t="b">
        <f>_xlfn.XLOOKUP(D206,BugList!C:C,BugList!L:L)</f>
        <v>0</v>
      </c>
      <c r="O206" t="b">
        <f t="shared" si="29"/>
        <v>0</v>
      </c>
      <c r="P206" s="18" t="b">
        <f>SUMPRODUCT(COUNTIF(_xlfn.XLOOKUP(D206,BugList!C:C,BugList!P:P), "*SC*"))&gt;0</f>
        <v>0</v>
      </c>
    </row>
    <row r="207" spans="1:16">
      <c r="A207" t="s">
        <v>2721</v>
      </c>
      <c r="B207">
        <v>354</v>
      </c>
      <c r="C207" t="s">
        <v>2315</v>
      </c>
      <c r="D207" t="s">
        <v>135</v>
      </c>
      <c r="E207">
        <v>2</v>
      </c>
      <c r="F207" s="43">
        <f t="shared" si="30"/>
        <v>2</v>
      </c>
      <c r="G207" s="44">
        <f t="shared" si="24"/>
        <v>2</v>
      </c>
      <c r="H207" s="44">
        <f t="shared" si="25"/>
        <v>0</v>
      </c>
      <c r="I207" cm="1">
        <f t="array" ref="I207">INT(F207)+IF(100-SUM(INT(F$199:F$209))&gt;=RANK(H207,H$199:H$209)+COUNTIF(H$199:H207,H207)-1,1,0)</f>
        <v>2</v>
      </c>
      <c r="J207" t="b">
        <f t="shared" si="26"/>
        <v>0</v>
      </c>
      <c r="K207" t="str">
        <f t="shared" si="27"/>
        <v/>
      </c>
      <c r="L207">
        <f>_xlfn.XLOOKUP(D207,BugList!C:C,BugList!N:N)</f>
        <v>6</v>
      </c>
      <c r="M207">
        <f t="shared" si="28"/>
        <v>12</v>
      </c>
      <c r="N207" t="b">
        <f>_xlfn.XLOOKUP(D207,BugList!C:C,BugList!L:L)</f>
        <v>0</v>
      </c>
      <c r="O207" t="b">
        <f t="shared" si="29"/>
        <v>0</v>
      </c>
      <c r="P207" s="18" t="b">
        <f>SUMPRODUCT(COUNTIF(_xlfn.XLOOKUP(D207,BugList!C:C,BugList!P:P), "*SC*"))&gt;0</f>
        <v>1</v>
      </c>
    </row>
    <row r="208" spans="1:16">
      <c r="A208" t="s">
        <v>2721</v>
      </c>
      <c r="B208">
        <v>354</v>
      </c>
      <c r="C208" t="s">
        <v>205</v>
      </c>
      <c r="D208" t="s">
        <v>206</v>
      </c>
      <c r="E208">
        <v>2</v>
      </c>
      <c r="F208" s="43">
        <f t="shared" si="30"/>
        <v>2</v>
      </c>
      <c r="G208" s="44">
        <f t="shared" si="24"/>
        <v>2</v>
      </c>
      <c r="H208" s="44">
        <f t="shared" si="25"/>
        <v>0</v>
      </c>
      <c r="I208" cm="1">
        <f t="array" ref="I208">INT(F208)+IF(100-SUM(INT(F$199:F$209))&gt;=RANK(H208,H$199:H$209)+COUNTIF(H$199:H208,H208)-1,1,0)</f>
        <v>2</v>
      </c>
      <c r="J208" t="b">
        <f t="shared" si="26"/>
        <v>0</v>
      </c>
      <c r="K208" t="str">
        <f t="shared" si="27"/>
        <v/>
      </c>
      <c r="L208" s="71">
        <v>8</v>
      </c>
      <c r="M208">
        <f t="shared" si="28"/>
        <v>16</v>
      </c>
      <c r="N208" s="71" t="b">
        <v>0</v>
      </c>
      <c r="O208" t="b">
        <f t="shared" si="29"/>
        <v>0</v>
      </c>
      <c r="P208" s="72" t="b">
        <v>0</v>
      </c>
    </row>
    <row r="209" spans="1:16">
      <c r="A209" t="s">
        <v>2721</v>
      </c>
      <c r="B209">
        <v>354</v>
      </c>
      <c r="C209" t="s">
        <v>94</v>
      </c>
      <c r="D209" s="85" t="s">
        <v>94</v>
      </c>
      <c r="E209">
        <v>1</v>
      </c>
      <c r="F209" s="43">
        <f t="shared" si="30"/>
        <v>1</v>
      </c>
      <c r="G209" s="44">
        <f t="shared" si="24"/>
        <v>1</v>
      </c>
      <c r="H209" s="44">
        <f t="shared" si="25"/>
        <v>0</v>
      </c>
      <c r="I209" cm="1">
        <f t="array" ref="I209">INT(F209)+IF(100-SUM(INT(F$199:F$209))&gt;=RANK(H209,H$199:H$209)+COUNTIF(H$199:H209,H209)-1,1,0)</f>
        <v>1</v>
      </c>
      <c r="J209" t="b">
        <f t="shared" si="26"/>
        <v>0</v>
      </c>
      <c r="K209" t="str">
        <f t="shared" si="27"/>
        <v/>
      </c>
      <c r="L209">
        <f>_xlfn.XLOOKUP(D209,BugList!C:C,BugList!N:N)</f>
        <v>8</v>
      </c>
      <c r="M209">
        <f t="shared" si="28"/>
        <v>8</v>
      </c>
      <c r="N209" t="b">
        <f>_xlfn.XLOOKUP(D209,BugList!C:C,BugList!L:L)</f>
        <v>0</v>
      </c>
      <c r="O209" t="b">
        <f t="shared" si="29"/>
        <v>0</v>
      </c>
      <c r="P209" s="18" t="b">
        <f>SUMPRODUCT(COUNTIF(_xlfn.XLOOKUP(D209,BugList!C:C,BugList!P:P), "*SC*"))&gt;0</f>
        <v>0</v>
      </c>
    </row>
    <row r="210" spans="1:16">
      <c r="A210" t="s">
        <v>2722</v>
      </c>
      <c r="B210">
        <v>370</v>
      </c>
      <c r="C210" t="s">
        <v>194</v>
      </c>
      <c r="D210" t="s">
        <v>126</v>
      </c>
      <c r="E210">
        <v>3</v>
      </c>
      <c r="F210" s="43">
        <f t="shared" si="30"/>
        <v>1.0204081632653061</v>
      </c>
      <c r="G210" s="44">
        <f t="shared" si="24"/>
        <v>1</v>
      </c>
      <c r="H210" s="44">
        <f t="shared" si="25"/>
        <v>2.0408163265306145E-2</v>
      </c>
      <c r="I210" cm="1">
        <f t="array" ref="I210">INT(F210)+IF(100-SUM(INT(F$210:F$219))&gt;=RANK(H210,H$210:H$219)+COUNTIF(H$210:H210,H210)-1,1,0)</f>
        <v>1</v>
      </c>
      <c r="J210" t="b">
        <f t="shared" si="26"/>
        <v>0</v>
      </c>
      <c r="K210" t="str">
        <f t="shared" si="27"/>
        <v/>
      </c>
      <c r="L210">
        <f>_xlfn.XLOOKUP(D210,BugList!C:C,BugList!N:N)</f>
        <v>8</v>
      </c>
      <c r="M210">
        <f t="shared" si="28"/>
        <v>8</v>
      </c>
      <c r="N210" t="b">
        <f>_xlfn.XLOOKUP(D210,BugList!C:C,BugList!L:L)</f>
        <v>1</v>
      </c>
      <c r="O210" t="b">
        <f t="shared" si="29"/>
        <v>0</v>
      </c>
      <c r="P210" s="18" t="b">
        <f>SUMPRODUCT(COUNTIF(_xlfn.XLOOKUP(D210,BugList!C:C,BugList!P:P), "*SC*"))&gt;0</f>
        <v>0</v>
      </c>
    </row>
    <row r="211" spans="1:16">
      <c r="A211" t="s">
        <v>2722</v>
      </c>
      <c r="B211">
        <v>370</v>
      </c>
      <c r="C211" t="s">
        <v>194</v>
      </c>
      <c r="D211" t="s">
        <v>90</v>
      </c>
      <c r="E211">
        <v>1</v>
      </c>
      <c r="F211" s="43">
        <f t="shared" si="30"/>
        <v>0.3401360544217687</v>
      </c>
      <c r="G211" s="44">
        <f t="shared" si="24"/>
        <v>0</v>
      </c>
      <c r="H211" s="44">
        <f t="shared" si="25"/>
        <v>0.3401360544217687</v>
      </c>
      <c r="I211" cm="1">
        <f t="array" ref="I211">INT(F211)+IF(100-SUM(INT(F$210:F$219))&gt;=RANK(H211,H$210:H$219)+COUNTIF(H$210:H211,H211)-1,1,0)</f>
        <v>0</v>
      </c>
      <c r="J211" t="b">
        <f t="shared" si="26"/>
        <v>0</v>
      </c>
      <c r="K211" t="str">
        <f t="shared" si="27"/>
        <v/>
      </c>
      <c r="L211">
        <f>_xlfn.XLOOKUP(D211,BugList!C:C,BugList!N:N)</f>
        <v>6</v>
      </c>
      <c r="M211">
        <f t="shared" si="28"/>
        <v>0</v>
      </c>
      <c r="N211" t="b">
        <f>_xlfn.XLOOKUP(D211,BugList!C:C,BugList!L:L)</f>
        <v>1</v>
      </c>
      <c r="O211" t="b">
        <f t="shared" si="29"/>
        <v>0</v>
      </c>
      <c r="P211" s="18" t="b">
        <f>SUMPRODUCT(COUNTIF(_xlfn.XLOOKUP(D211,BugList!C:C,BugList!P:P), "*SC*"))&gt;0</f>
        <v>0</v>
      </c>
    </row>
    <row r="212" spans="1:16">
      <c r="A212" t="s">
        <v>2722</v>
      </c>
      <c r="B212">
        <v>370</v>
      </c>
      <c r="C212" t="s">
        <v>198</v>
      </c>
      <c r="D212" t="s">
        <v>89</v>
      </c>
      <c r="E212">
        <v>159</v>
      </c>
      <c r="F212" s="43">
        <f t="shared" si="30"/>
        <v>54.081632653061227</v>
      </c>
      <c r="G212" s="44">
        <f t="shared" si="24"/>
        <v>54</v>
      </c>
      <c r="H212" s="44">
        <f t="shared" si="25"/>
        <v>8.1632653061227245E-2</v>
      </c>
      <c r="I212" cm="1">
        <f t="array" ref="I212">INT(F212)+IF(100-SUM(INT(F$210:F$219))&gt;=RANK(H212,H$210:H$219)+COUNTIF(H$210:H212,H212)-1,1,0)</f>
        <v>54</v>
      </c>
      <c r="J212" t="b">
        <f t="shared" si="26"/>
        <v>1</v>
      </c>
      <c r="K212" t="str">
        <f t="shared" si="27"/>
        <v>Trichoptera</v>
      </c>
      <c r="L212">
        <f>_xlfn.XLOOKUP(D212,BugList!C:C,BugList!N:N)</f>
        <v>4</v>
      </c>
      <c r="M212">
        <f t="shared" si="28"/>
        <v>216</v>
      </c>
      <c r="N212" t="b">
        <f>_xlfn.XLOOKUP(D212,BugList!C:C,BugList!L:L)</f>
        <v>1</v>
      </c>
      <c r="O212" t="b">
        <f t="shared" si="29"/>
        <v>0</v>
      </c>
      <c r="P212" s="18" t="b">
        <f>SUMPRODUCT(COUNTIF(_xlfn.XLOOKUP(D212,BugList!C:C,BugList!P:P), "*SC*"))&gt;0</f>
        <v>0</v>
      </c>
    </row>
    <row r="213" spans="1:16">
      <c r="A213" t="s">
        <v>2722</v>
      </c>
      <c r="B213">
        <v>370</v>
      </c>
      <c r="C213" t="s">
        <v>204</v>
      </c>
      <c r="D213" t="s">
        <v>84</v>
      </c>
      <c r="E213">
        <v>25</v>
      </c>
      <c r="F213" s="43">
        <f t="shared" si="30"/>
        <v>8.5034013605442169</v>
      </c>
      <c r="G213" s="44">
        <f t="shared" si="24"/>
        <v>8</v>
      </c>
      <c r="H213" s="44">
        <f t="shared" si="25"/>
        <v>0.50340136054421691</v>
      </c>
      <c r="I213" cm="1">
        <f t="array" ref="I213">INT(F213)+IF(100-SUM(INT(F$210:F$219))&gt;=RANK(H213,H$210:H$219)+COUNTIF(H$210:H213,H213)-1,1,0)</f>
        <v>9</v>
      </c>
      <c r="J213" t="b">
        <f t="shared" si="26"/>
        <v>0</v>
      </c>
      <c r="K213" t="str">
        <f t="shared" si="27"/>
        <v/>
      </c>
      <c r="L213">
        <f>_xlfn.XLOOKUP(D213,BugList!C:C,BugList!N:N)</f>
        <v>8</v>
      </c>
      <c r="M213">
        <f t="shared" si="28"/>
        <v>72</v>
      </c>
      <c r="N213" t="b">
        <f>_xlfn.XLOOKUP(D213,BugList!C:C,BugList!L:L)</f>
        <v>0</v>
      </c>
      <c r="O213" t="b">
        <f t="shared" si="29"/>
        <v>0</v>
      </c>
      <c r="P213" s="18" t="b">
        <f>SUMPRODUCT(COUNTIF(_xlfn.XLOOKUP(D213,BugList!C:C,BugList!P:P), "*SC*"))&gt;0</f>
        <v>0</v>
      </c>
    </row>
    <row r="214" spans="1:16">
      <c r="A214" t="s">
        <v>2722</v>
      </c>
      <c r="B214">
        <v>370</v>
      </c>
      <c r="C214" t="s">
        <v>201</v>
      </c>
      <c r="D214" t="s">
        <v>85</v>
      </c>
      <c r="E214">
        <v>96</v>
      </c>
      <c r="F214" s="43">
        <f t="shared" si="30"/>
        <v>32.653061224489797</v>
      </c>
      <c r="G214" s="44">
        <f t="shared" si="24"/>
        <v>32</v>
      </c>
      <c r="H214" s="44">
        <f t="shared" si="25"/>
        <v>0.65306122448979664</v>
      </c>
      <c r="I214" cm="1">
        <f t="array" ref="I214">INT(F214)+IF(100-SUM(INT(F$210:F$219))&gt;=RANK(H214,H$210:H$219)+COUNTIF(H$210:H214,H214)-1,1,0)</f>
        <v>33</v>
      </c>
      <c r="J214" t="b">
        <f t="shared" si="26"/>
        <v>0</v>
      </c>
      <c r="K214" t="str">
        <f t="shared" si="27"/>
        <v/>
      </c>
      <c r="L214">
        <f>_xlfn.XLOOKUP(D214,BugList!C:C,BugList!N:N)</f>
        <v>4</v>
      </c>
      <c r="M214">
        <f t="shared" si="28"/>
        <v>132</v>
      </c>
      <c r="N214" t="b">
        <f>_xlfn.XLOOKUP(D214,BugList!C:C,BugList!L:L)</f>
        <v>0</v>
      </c>
      <c r="O214" t="b">
        <f t="shared" si="29"/>
        <v>0</v>
      </c>
      <c r="P214" s="18" t="b">
        <f>SUMPRODUCT(COUNTIF(_xlfn.XLOOKUP(D214,BugList!C:C,BugList!P:P), "*SC*"))&gt;0</f>
        <v>0</v>
      </c>
    </row>
    <row r="215" spans="1:16">
      <c r="A215" t="s">
        <v>2722</v>
      </c>
      <c r="B215">
        <v>370</v>
      </c>
      <c r="C215" t="s">
        <v>210</v>
      </c>
      <c r="D215" t="s">
        <v>92</v>
      </c>
      <c r="E215">
        <v>1</v>
      </c>
      <c r="F215" s="43">
        <f t="shared" si="30"/>
        <v>0.3401360544217687</v>
      </c>
      <c r="G215" s="44">
        <f t="shared" si="24"/>
        <v>0</v>
      </c>
      <c r="H215" s="44">
        <f t="shared" si="25"/>
        <v>0.3401360544217687</v>
      </c>
      <c r="I215" cm="1">
        <f t="array" ref="I215">INT(F215)+IF(100-SUM(INT(F$210:F$219))&gt;=RANK(H215,H$210:H$219)+COUNTIF(H$210:H215,H215)-1,1,0)</f>
        <v>0</v>
      </c>
      <c r="J215" t="b">
        <f t="shared" si="26"/>
        <v>0</v>
      </c>
      <c r="K215" t="str">
        <f t="shared" si="27"/>
        <v/>
      </c>
      <c r="L215">
        <f>_xlfn.XLOOKUP(D215,BugList!C:C,BugList!N:N)</f>
        <v>8</v>
      </c>
      <c r="M215">
        <f t="shared" si="28"/>
        <v>0</v>
      </c>
      <c r="N215" t="b">
        <f>_xlfn.XLOOKUP(D215,BugList!C:C,BugList!L:L)</f>
        <v>0</v>
      </c>
      <c r="O215" t="b">
        <f t="shared" si="29"/>
        <v>0</v>
      </c>
      <c r="P215" s="18" t="b">
        <f>SUMPRODUCT(COUNTIF(_xlfn.XLOOKUP(D215,BugList!C:C,BugList!P:P), "*SC*"))&gt;0</f>
        <v>0</v>
      </c>
    </row>
    <row r="216" spans="1:16">
      <c r="A216" t="s">
        <v>2722</v>
      </c>
      <c r="B216">
        <v>370</v>
      </c>
      <c r="C216" t="s">
        <v>210</v>
      </c>
      <c r="D216" t="s">
        <v>93</v>
      </c>
      <c r="E216">
        <v>3</v>
      </c>
      <c r="F216" s="43">
        <f t="shared" si="30"/>
        <v>1.0204081632653061</v>
      </c>
      <c r="G216" s="44">
        <f t="shared" si="24"/>
        <v>1</v>
      </c>
      <c r="H216" s="44">
        <f t="shared" si="25"/>
        <v>2.0408163265306145E-2</v>
      </c>
      <c r="I216" cm="1">
        <f t="array" ref="I216">INT(F216)+IF(100-SUM(INT(F$210:F$219))&gt;=RANK(H216,H$210:H$219)+COUNTIF(H$210:H216,H216)-1,1,0)</f>
        <v>1</v>
      </c>
      <c r="J216" t="b">
        <f t="shared" si="26"/>
        <v>0</v>
      </c>
      <c r="K216" t="str">
        <f t="shared" si="27"/>
        <v/>
      </c>
      <c r="L216">
        <f>_xlfn.XLOOKUP(D216,BugList!C:C,BugList!N:N)</f>
        <v>8</v>
      </c>
      <c r="M216">
        <f t="shared" si="28"/>
        <v>8</v>
      </c>
      <c r="N216" t="b">
        <f>_xlfn.XLOOKUP(D216,BugList!C:C,BugList!L:L)</f>
        <v>0</v>
      </c>
      <c r="O216" t="b">
        <f t="shared" si="29"/>
        <v>0</v>
      </c>
      <c r="P216" s="18" t="b">
        <f>SUMPRODUCT(COUNTIF(_xlfn.XLOOKUP(D216,BugList!C:C,BugList!P:P), "*SC*"))&gt;0</f>
        <v>0</v>
      </c>
    </row>
    <row r="217" spans="1:16">
      <c r="A217" t="s">
        <v>2722</v>
      </c>
      <c r="B217">
        <v>370</v>
      </c>
      <c r="C217" t="s">
        <v>2315</v>
      </c>
      <c r="D217" t="s">
        <v>102</v>
      </c>
      <c r="E217">
        <v>1</v>
      </c>
      <c r="F217" s="43">
        <f t="shared" si="30"/>
        <v>0.3401360544217687</v>
      </c>
      <c r="G217" s="44">
        <f t="shared" si="24"/>
        <v>0</v>
      </c>
      <c r="H217" s="44">
        <f t="shared" si="25"/>
        <v>0.3401360544217687</v>
      </c>
      <c r="I217" cm="1">
        <f t="array" ref="I217">INT(F217)+IF(100-SUM(INT(F$210:F$219))&gt;=RANK(H217,H$210:H$219)+COUNTIF(H$210:H217,H217)-1,1,0)</f>
        <v>0</v>
      </c>
      <c r="J217" t="b">
        <f t="shared" si="26"/>
        <v>0</v>
      </c>
      <c r="K217" t="str">
        <f t="shared" si="27"/>
        <v/>
      </c>
      <c r="L217">
        <f>_xlfn.XLOOKUP(D217,BugList!C:C,BugList!N:N)</f>
        <v>7</v>
      </c>
      <c r="M217">
        <f t="shared" si="28"/>
        <v>0</v>
      </c>
      <c r="N217" t="b">
        <f>_xlfn.XLOOKUP(D217,BugList!C:C,BugList!L:L)</f>
        <v>0</v>
      </c>
      <c r="O217" t="b">
        <f t="shared" si="29"/>
        <v>0</v>
      </c>
      <c r="P217" s="18" t="b">
        <f>SUMPRODUCT(COUNTIF(_xlfn.XLOOKUP(D217,BugList!C:C,BugList!P:P), "*SC*"))&gt;0</f>
        <v>1</v>
      </c>
    </row>
    <row r="218" spans="1:16">
      <c r="A218" t="s">
        <v>2722</v>
      </c>
      <c r="B218">
        <v>370</v>
      </c>
      <c r="C218" t="s">
        <v>205</v>
      </c>
      <c r="D218" t="s">
        <v>206</v>
      </c>
      <c r="E218">
        <v>3</v>
      </c>
      <c r="F218" s="43">
        <f t="shared" si="30"/>
        <v>1.0204081632653061</v>
      </c>
      <c r="G218" s="44">
        <f t="shared" si="24"/>
        <v>1</v>
      </c>
      <c r="H218" s="44">
        <f t="shared" si="25"/>
        <v>2.0408163265306145E-2</v>
      </c>
      <c r="I218" cm="1">
        <f t="array" ref="I218">INT(F218)+IF(100-SUM(INT(F$210:F$219))&gt;=RANK(H218,H$210:H$219)+COUNTIF(H$210:H218,H218)-1,1,0)</f>
        <v>1</v>
      </c>
      <c r="J218" t="b">
        <f t="shared" si="26"/>
        <v>0</v>
      </c>
      <c r="K218" t="str">
        <f t="shared" si="27"/>
        <v/>
      </c>
      <c r="L218" s="71">
        <v>8</v>
      </c>
      <c r="M218">
        <f t="shared" si="28"/>
        <v>8</v>
      </c>
      <c r="N218" s="71" t="b">
        <v>0</v>
      </c>
      <c r="O218" t="b">
        <f t="shared" si="29"/>
        <v>0</v>
      </c>
      <c r="P218" s="72" t="b">
        <v>0</v>
      </c>
    </row>
    <row r="219" spans="1:16">
      <c r="A219" t="s">
        <v>2722</v>
      </c>
      <c r="B219">
        <v>370</v>
      </c>
      <c r="C219" t="s">
        <v>94</v>
      </c>
      <c r="D219" s="85" t="s">
        <v>94</v>
      </c>
      <c r="E219">
        <v>2</v>
      </c>
      <c r="F219" s="43">
        <f t="shared" si="30"/>
        <v>0.68027210884353739</v>
      </c>
      <c r="G219" s="44">
        <f t="shared" si="24"/>
        <v>0</v>
      </c>
      <c r="H219" s="44">
        <f t="shared" si="25"/>
        <v>0.68027210884353739</v>
      </c>
      <c r="I219" cm="1">
        <f t="array" ref="I219">INT(F219)+IF(100-SUM(INT(F$210:F$219))&gt;=RANK(H219,H$210:H$219)+COUNTIF(H$210:H219,H219)-1,1,0)</f>
        <v>1</v>
      </c>
      <c r="J219" t="b">
        <f t="shared" si="26"/>
        <v>0</v>
      </c>
      <c r="K219" t="str">
        <f t="shared" si="27"/>
        <v/>
      </c>
      <c r="L219">
        <f>_xlfn.XLOOKUP(D219,BugList!C:C,BugList!N:N)</f>
        <v>8</v>
      </c>
      <c r="M219">
        <f t="shared" si="28"/>
        <v>8</v>
      </c>
      <c r="N219" t="b">
        <f>_xlfn.XLOOKUP(D219,BugList!C:C,BugList!L:L)</f>
        <v>0</v>
      </c>
      <c r="O219" t="b">
        <f t="shared" si="29"/>
        <v>0</v>
      </c>
      <c r="P219" s="18" t="b">
        <f>SUMPRODUCT(COUNTIF(_xlfn.XLOOKUP(D219,BugList!C:C,BugList!P:P), "*SC*"))&gt;0</f>
        <v>0</v>
      </c>
    </row>
    <row r="220" spans="1:16">
      <c r="A220" t="s">
        <v>2723</v>
      </c>
      <c r="B220">
        <v>382</v>
      </c>
      <c r="C220" t="s">
        <v>200</v>
      </c>
      <c r="D220" t="s">
        <v>98</v>
      </c>
      <c r="E220">
        <v>1</v>
      </c>
      <c r="F220" s="43">
        <f t="shared" si="30"/>
        <v>0.3289473684210526</v>
      </c>
      <c r="G220" s="44">
        <f t="shared" si="24"/>
        <v>0</v>
      </c>
      <c r="H220" s="44">
        <f t="shared" si="25"/>
        <v>0.3289473684210526</v>
      </c>
      <c r="I220" cm="1">
        <f t="array" ref="I220">INT(F220)+IF(100-SUM(INT(F$220:F$229))&gt;=RANK(H220,H$220:H$229)+COUNTIF(H$220:H220,H220)-1,1,0)</f>
        <v>1</v>
      </c>
      <c r="J220" t="b">
        <f t="shared" si="26"/>
        <v>0</v>
      </c>
      <c r="K220" t="str">
        <f t="shared" si="27"/>
        <v/>
      </c>
      <c r="L220">
        <f>_xlfn.XLOOKUP(D220,BugList!C:C,BugList!N:N)</f>
        <v>4</v>
      </c>
      <c r="M220">
        <f t="shared" si="28"/>
        <v>4</v>
      </c>
      <c r="N220" t="b">
        <f>_xlfn.XLOOKUP(D220,BugList!C:C,BugList!L:L)</f>
        <v>1</v>
      </c>
      <c r="O220" t="b">
        <f t="shared" si="29"/>
        <v>0</v>
      </c>
      <c r="P220" s="18" t="b">
        <f>SUMPRODUCT(COUNTIF(_xlfn.XLOOKUP(D220,BugList!C:C,BugList!P:P), "*SC*"))&gt;0</f>
        <v>1</v>
      </c>
    </row>
    <row r="221" spans="1:16">
      <c r="A221" t="s">
        <v>2723</v>
      </c>
      <c r="B221">
        <v>382</v>
      </c>
      <c r="C221" t="s">
        <v>194</v>
      </c>
      <c r="D221" t="s">
        <v>108</v>
      </c>
      <c r="E221">
        <v>3</v>
      </c>
      <c r="F221" s="43">
        <f t="shared" si="30"/>
        <v>0.98684210526315785</v>
      </c>
      <c r="G221" s="44">
        <f t="shared" si="24"/>
        <v>0</v>
      </c>
      <c r="H221" s="44">
        <f t="shared" si="25"/>
        <v>0.98684210526315785</v>
      </c>
      <c r="I221" cm="1">
        <f t="array" ref="I221">INT(F221)+IF(100-SUM(INT(F$220:F$229))&gt;=RANK(H221,H$220:H$229)+COUNTIF(H$220:H221,H221)-1,1,0)</f>
        <v>1</v>
      </c>
      <c r="J221" t="b">
        <f t="shared" si="26"/>
        <v>0</v>
      </c>
      <c r="K221" t="str">
        <f t="shared" si="27"/>
        <v/>
      </c>
      <c r="L221">
        <f>_xlfn.XLOOKUP(D221,BugList!C:C,BugList!N:N)</f>
        <v>3</v>
      </c>
      <c r="M221">
        <f t="shared" si="28"/>
        <v>3</v>
      </c>
      <c r="N221" t="b">
        <f>_xlfn.XLOOKUP(D221,BugList!C:C,BugList!L:L)</f>
        <v>1</v>
      </c>
      <c r="O221" t="b">
        <f t="shared" si="29"/>
        <v>0</v>
      </c>
      <c r="P221" s="18" t="b">
        <f>SUMPRODUCT(COUNTIF(_xlfn.XLOOKUP(D221,BugList!C:C,BugList!P:P), "*SC*"))&gt;0</f>
        <v>0</v>
      </c>
    </row>
    <row r="222" spans="1:16">
      <c r="A222" t="s">
        <v>2723</v>
      </c>
      <c r="B222">
        <v>382</v>
      </c>
      <c r="C222" t="s">
        <v>198</v>
      </c>
      <c r="D222" t="s">
        <v>89</v>
      </c>
      <c r="E222">
        <v>97</v>
      </c>
      <c r="F222" s="43">
        <f t="shared" si="30"/>
        <v>31.907894736842106</v>
      </c>
      <c r="G222" s="44">
        <f t="shared" si="24"/>
        <v>31</v>
      </c>
      <c r="H222" s="44">
        <f t="shared" si="25"/>
        <v>0.9078947368421062</v>
      </c>
      <c r="I222" cm="1">
        <f t="array" ref="I222">INT(F222)+IF(100-SUM(INT(F$220:F$229))&gt;=RANK(H222,H$220:H$229)+COUNTIF(H$220:H222,H222)-1,1,0)</f>
        <v>32</v>
      </c>
      <c r="J222" t="b">
        <f t="shared" si="26"/>
        <v>1</v>
      </c>
      <c r="K222" t="str">
        <f t="shared" si="27"/>
        <v>Trichoptera</v>
      </c>
      <c r="L222">
        <f>_xlfn.XLOOKUP(D222,BugList!C:C,BugList!N:N)</f>
        <v>4</v>
      </c>
      <c r="M222">
        <f t="shared" si="28"/>
        <v>128</v>
      </c>
      <c r="N222" t="b">
        <f>_xlfn.XLOOKUP(D222,BugList!C:C,BugList!L:L)</f>
        <v>1</v>
      </c>
      <c r="O222" t="b">
        <f t="shared" si="29"/>
        <v>0</v>
      </c>
      <c r="P222" s="18" t="b">
        <f>SUMPRODUCT(COUNTIF(_xlfn.XLOOKUP(D222,BugList!C:C,BugList!P:P), "*SC*"))&gt;0</f>
        <v>0</v>
      </c>
    </row>
    <row r="223" spans="1:16">
      <c r="A223" t="s">
        <v>2723</v>
      </c>
      <c r="B223">
        <v>382</v>
      </c>
      <c r="C223" t="s">
        <v>204</v>
      </c>
      <c r="D223" t="s">
        <v>84</v>
      </c>
      <c r="E223">
        <v>7</v>
      </c>
      <c r="F223" s="43">
        <f t="shared" si="30"/>
        <v>2.3026315789473681</v>
      </c>
      <c r="G223" s="44">
        <f t="shared" si="24"/>
        <v>2</v>
      </c>
      <c r="H223" s="44">
        <f t="shared" si="25"/>
        <v>0.30263157894736814</v>
      </c>
      <c r="I223" cm="1">
        <f t="array" ref="I223">INT(F223)+IF(100-SUM(INT(F$220:F$229))&gt;=RANK(H223,H$220:H$229)+COUNTIF(H$220:H223,H223)-1,1,0)</f>
        <v>2</v>
      </c>
      <c r="J223" t="b">
        <f t="shared" si="26"/>
        <v>0</v>
      </c>
      <c r="K223" t="str">
        <f t="shared" si="27"/>
        <v/>
      </c>
      <c r="L223">
        <f>_xlfn.XLOOKUP(D223,BugList!C:C,BugList!N:N)</f>
        <v>8</v>
      </c>
      <c r="M223">
        <f t="shared" si="28"/>
        <v>16</v>
      </c>
      <c r="N223" t="b">
        <f>_xlfn.XLOOKUP(D223,BugList!C:C,BugList!L:L)</f>
        <v>0</v>
      </c>
      <c r="O223" t="b">
        <f t="shared" si="29"/>
        <v>0</v>
      </c>
      <c r="P223" s="18" t="b">
        <f>SUMPRODUCT(COUNTIF(_xlfn.XLOOKUP(D223,BugList!C:C,BugList!P:P), "*SC*"))&gt;0</f>
        <v>0</v>
      </c>
    </row>
    <row r="224" spans="1:16">
      <c r="A224" t="s">
        <v>2723</v>
      </c>
      <c r="B224">
        <v>382</v>
      </c>
      <c r="C224" t="s">
        <v>201</v>
      </c>
      <c r="D224" t="s">
        <v>85</v>
      </c>
      <c r="E224">
        <v>182</v>
      </c>
      <c r="F224" s="43">
        <f t="shared" si="30"/>
        <v>59.868421052631582</v>
      </c>
      <c r="G224" s="44">
        <f t="shared" si="24"/>
        <v>59</v>
      </c>
      <c r="H224" s="44">
        <f t="shared" si="25"/>
        <v>0.86842105263158231</v>
      </c>
      <c r="I224" cm="1">
        <f t="array" ref="I224">INT(F224)+IF(100-SUM(INT(F$220:F$229))&gt;=RANK(H224,H$220:H$229)+COUNTIF(H$220:H224,H224)-1,1,0)</f>
        <v>60</v>
      </c>
      <c r="J224" t="b">
        <f t="shared" si="26"/>
        <v>0</v>
      </c>
      <c r="K224" t="str">
        <f t="shared" si="27"/>
        <v/>
      </c>
      <c r="L224">
        <f>_xlfn.XLOOKUP(D224,BugList!C:C,BugList!N:N)</f>
        <v>4</v>
      </c>
      <c r="M224">
        <f t="shared" si="28"/>
        <v>240</v>
      </c>
      <c r="N224" t="b">
        <f>_xlfn.XLOOKUP(D224,BugList!C:C,BugList!L:L)</f>
        <v>0</v>
      </c>
      <c r="O224" t="b">
        <f t="shared" si="29"/>
        <v>0</v>
      </c>
      <c r="P224" s="18" t="b">
        <f>SUMPRODUCT(COUNTIF(_xlfn.XLOOKUP(D224,BugList!C:C,BugList!P:P), "*SC*"))&gt;0</f>
        <v>0</v>
      </c>
    </row>
    <row r="225" spans="1:16">
      <c r="A225" t="s">
        <v>2723</v>
      </c>
      <c r="B225">
        <v>382</v>
      </c>
      <c r="C225" t="s">
        <v>202</v>
      </c>
      <c r="D225" t="s">
        <v>169</v>
      </c>
      <c r="E225">
        <v>1</v>
      </c>
      <c r="F225" s="43">
        <f t="shared" si="30"/>
        <v>0.3289473684210526</v>
      </c>
      <c r="G225" s="44">
        <f t="shared" si="24"/>
        <v>0</v>
      </c>
      <c r="H225" s="44">
        <f t="shared" si="25"/>
        <v>0.3289473684210526</v>
      </c>
      <c r="I225" cm="1">
        <f t="array" ref="I225">INT(F225)+IF(100-SUM(INT(F$220:F$229))&gt;=RANK(H225,H$220:H$229)+COUNTIF(H$220:H225,H225)-1,1,0)</f>
        <v>0</v>
      </c>
      <c r="J225" t="b">
        <f t="shared" si="26"/>
        <v>0</v>
      </c>
      <c r="K225" t="str">
        <f t="shared" si="27"/>
        <v/>
      </c>
      <c r="L225">
        <f>_xlfn.XLOOKUP(D225,BugList!C:C,BugList!N:N)</f>
        <v>5</v>
      </c>
      <c r="M225">
        <f t="shared" si="28"/>
        <v>0</v>
      </c>
      <c r="N225" t="b">
        <f>_xlfn.XLOOKUP(D225,BugList!C:C,BugList!L:L)</f>
        <v>0</v>
      </c>
      <c r="O225" t="b">
        <f t="shared" si="29"/>
        <v>0</v>
      </c>
      <c r="P225" s="18" t="b">
        <f>SUMPRODUCT(COUNTIF(_xlfn.XLOOKUP(D225,BugList!C:C,BugList!P:P), "*SC*"))&gt;0</f>
        <v>0</v>
      </c>
    </row>
    <row r="226" spans="1:16">
      <c r="A226" t="s">
        <v>2723</v>
      </c>
      <c r="B226">
        <v>382</v>
      </c>
      <c r="C226" t="s">
        <v>210</v>
      </c>
      <c r="D226" t="s">
        <v>92</v>
      </c>
      <c r="E226">
        <v>7</v>
      </c>
      <c r="F226" s="43">
        <f t="shared" si="30"/>
        <v>2.3026315789473681</v>
      </c>
      <c r="G226" s="44">
        <f t="shared" si="24"/>
        <v>2</v>
      </c>
      <c r="H226" s="44">
        <f t="shared" si="25"/>
        <v>0.30263157894736814</v>
      </c>
      <c r="I226" cm="1">
        <f t="array" ref="I226">INT(F226)+IF(100-SUM(INT(F$220:F$229))&gt;=RANK(H226,H$220:H$229)+COUNTIF(H$220:H226,H226)-1,1,0)</f>
        <v>2</v>
      </c>
      <c r="J226" t="b">
        <f t="shared" si="26"/>
        <v>0</v>
      </c>
      <c r="K226" t="str">
        <f t="shared" si="27"/>
        <v/>
      </c>
      <c r="L226">
        <f>_xlfn.XLOOKUP(D226,BugList!C:C,BugList!N:N)</f>
        <v>8</v>
      </c>
      <c r="M226">
        <f t="shared" si="28"/>
        <v>16</v>
      </c>
      <c r="N226" t="b">
        <f>_xlfn.XLOOKUP(D226,BugList!C:C,BugList!L:L)</f>
        <v>0</v>
      </c>
      <c r="O226" t="b">
        <f t="shared" si="29"/>
        <v>0</v>
      </c>
      <c r="P226" s="18" t="b">
        <f>SUMPRODUCT(COUNTIF(_xlfn.XLOOKUP(D226,BugList!C:C,BugList!P:P), "*SC*"))&gt;0</f>
        <v>0</v>
      </c>
    </row>
    <row r="227" spans="1:16">
      <c r="A227" t="s">
        <v>2723</v>
      </c>
      <c r="B227">
        <v>382</v>
      </c>
      <c r="C227" t="s">
        <v>210</v>
      </c>
      <c r="D227" t="s">
        <v>93</v>
      </c>
      <c r="E227">
        <v>3</v>
      </c>
      <c r="F227" s="43">
        <f t="shared" si="30"/>
        <v>0.98684210526315785</v>
      </c>
      <c r="G227" s="44">
        <f t="shared" si="24"/>
        <v>0</v>
      </c>
      <c r="H227" s="44">
        <f t="shared" si="25"/>
        <v>0.98684210526315785</v>
      </c>
      <c r="I227" cm="1">
        <f t="array" ref="I227">INT(F227)+IF(100-SUM(INT(F$220:F$229))&gt;=RANK(H227,H$220:H$229)+COUNTIF(H$220:H227,H227)-1,1,0)</f>
        <v>1</v>
      </c>
      <c r="J227" t="b">
        <f t="shared" si="26"/>
        <v>0</v>
      </c>
      <c r="K227" t="str">
        <f t="shared" si="27"/>
        <v/>
      </c>
      <c r="L227">
        <f>_xlfn.XLOOKUP(D227,BugList!C:C,BugList!N:N)</f>
        <v>8</v>
      </c>
      <c r="M227">
        <f t="shared" si="28"/>
        <v>8</v>
      </c>
      <c r="N227" t="b">
        <f>_xlfn.XLOOKUP(D227,BugList!C:C,BugList!L:L)</f>
        <v>0</v>
      </c>
      <c r="O227" t="b">
        <f t="shared" si="29"/>
        <v>0</v>
      </c>
      <c r="P227" s="18" t="b">
        <f>SUMPRODUCT(COUNTIF(_xlfn.XLOOKUP(D227,BugList!C:C,BugList!P:P), "*SC*"))&gt;0</f>
        <v>0</v>
      </c>
    </row>
    <row r="228" spans="1:16">
      <c r="A228" t="s">
        <v>2723</v>
      </c>
      <c r="B228">
        <v>382</v>
      </c>
      <c r="C228" t="s">
        <v>2315</v>
      </c>
      <c r="D228" t="s">
        <v>135</v>
      </c>
      <c r="E228">
        <v>2</v>
      </c>
      <c r="F228" s="43">
        <f t="shared" si="30"/>
        <v>0.6578947368421052</v>
      </c>
      <c r="G228" s="44">
        <f t="shared" si="24"/>
        <v>0</v>
      </c>
      <c r="H228" s="44">
        <f t="shared" si="25"/>
        <v>0.6578947368421052</v>
      </c>
      <c r="I228" cm="1">
        <f t="array" ref="I228">INT(F228)+IF(100-SUM(INT(F$220:F$229))&gt;=RANK(H228,H$220:H$229)+COUNTIF(H$220:H228,H228)-1,1,0)</f>
        <v>1</v>
      </c>
      <c r="J228" t="b">
        <f t="shared" si="26"/>
        <v>0</v>
      </c>
      <c r="K228" t="str">
        <f t="shared" si="27"/>
        <v/>
      </c>
      <c r="L228">
        <f>_xlfn.XLOOKUP(D228,BugList!C:C,BugList!N:N)</f>
        <v>6</v>
      </c>
      <c r="M228">
        <f t="shared" si="28"/>
        <v>6</v>
      </c>
      <c r="N228" t="b">
        <f>_xlfn.XLOOKUP(D228,BugList!C:C,BugList!L:L)</f>
        <v>0</v>
      </c>
      <c r="O228" t="b">
        <f t="shared" si="29"/>
        <v>0</v>
      </c>
      <c r="P228" s="18" t="b">
        <f>SUMPRODUCT(COUNTIF(_xlfn.XLOOKUP(D228,BugList!C:C,BugList!P:P), "*SC*"))&gt;0</f>
        <v>1</v>
      </c>
    </row>
    <row r="229" spans="1:16">
      <c r="A229" t="s">
        <v>2723</v>
      </c>
      <c r="B229">
        <v>382</v>
      </c>
      <c r="C229" t="s">
        <v>205</v>
      </c>
      <c r="D229" t="s">
        <v>206</v>
      </c>
      <c r="E229">
        <v>1</v>
      </c>
      <c r="F229" s="43">
        <f t="shared" si="30"/>
        <v>0.3289473684210526</v>
      </c>
      <c r="G229" s="44">
        <f t="shared" si="24"/>
        <v>0</v>
      </c>
      <c r="H229" s="44">
        <f t="shared" si="25"/>
        <v>0.3289473684210526</v>
      </c>
      <c r="I229" cm="1">
        <f t="array" ref="I229">INT(F229)+IF(100-SUM(INT(F$220:F$229))&gt;=RANK(H229,H$220:H$229)+COUNTIF(H$220:H229,H229)-1,1,0)</f>
        <v>0</v>
      </c>
      <c r="J229" t="b">
        <f t="shared" si="26"/>
        <v>0</v>
      </c>
      <c r="K229" t="str">
        <f t="shared" si="27"/>
        <v/>
      </c>
      <c r="L229" s="71">
        <v>8</v>
      </c>
      <c r="M229">
        <f t="shared" si="28"/>
        <v>0</v>
      </c>
      <c r="N229" s="71" t="b">
        <v>0</v>
      </c>
      <c r="O229" t="b">
        <f t="shared" si="29"/>
        <v>0</v>
      </c>
      <c r="P229" s="72" t="b">
        <v>0</v>
      </c>
    </row>
    <row r="230" spans="1:16">
      <c r="A230" t="s">
        <v>2724</v>
      </c>
      <c r="B230">
        <v>400</v>
      </c>
      <c r="C230" t="s">
        <v>200</v>
      </c>
      <c r="D230" t="s">
        <v>98</v>
      </c>
      <c r="E230">
        <v>3</v>
      </c>
      <c r="F230" s="43">
        <f t="shared" si="30"/>
        <v>1.3157894736842104</v>
      </c>
      <c r="G230" s="44">
        <f t="shared" si="24"/>
        <v>1</v>
      </c>
      <c r="H230" s="44">
        <f t="shared" si="25"/>
        <v>0.3157894736842104</v>
      </c>
      <c r="I230" cm="1">
        <f t="array" ref="I230">INT(F230)+IF(100-SUM(INT(F$230:F$235))&gt;=RANK(H230,H$230:H$235)+COUNTIF(H$230:H230,H230)-1,1,0)</f>
        <v>1</v>
      </c>
      <c r="J230" t="b">
        <f t="shared" si="26"/>
        <v>0</v>
      </c>
      <c r="K230" t="str">
        <f t="shared" si="27"/>
        <v/>
      </c>
      <c r="L230">
        <f>_xlfn.XLOOKUP(D230,BugList!C:C,BugList!N:N)</f>
        <v>4</v>
      </c>
      <c r="M230">
        <f t="shared" si="28"/>
        <v>4</v>
      </c>
      <c r="N230" t="b">
        <f>_xlfn.XLOOKUP(D230,BugList!C:C,BugList!L:L)</f>
        <v>1</v>
      </c>
      <c r="O230" t="b">
        <f t="shared" si="29"/>
        <v>0</v>
      </c>
      <c r="P230" s="18" t="b">
        <f>SUMPRODUCT(COUNTIF(_xlfn.XLOOKUP(D230,BugList!C:C,BugList!P:P), "*SC*"))&gt;0</f>
        <v>1</v>
      </c>
    </row>
    <row r="231" spans="1:16">
      <c r="A231" t="s">
        <v>2724</v>
      </c>
      <c r="B231">
        <v>400</v>
      </c>
      <c r="C231" t="s">
        <v>198</v>
      </c>
      <c r="D231" t="s">
        <v>89</v>
      </c>
      <c r="E231">
        <v>41</v>
      </c>
      <c r="F231" s="43">
        <f t="shared" ref="F231:F262" si="31">(E231/(SUMIFS(E:E,A:A,A231))*100)</f>
        <v>17.982456140350877</v>
      </c>
      <c r="G231" s="44">
        <f t="shared" si="24"/>
        <v>17</v>
      </c>
      <c r="H231" s="44">
        <f t="shared" si="25"/>
        <v>0.98245614035087669</v>
      </c>
      <c r="I231" cm="1">
        <f t="array" ref="I231">INT(F231)+IF(100-SUM(INT(F$230:F$235))&gt;=RANK(H231,H$230:H$235)+COUNTIF(H$230:H231,H231)-1,1,0)</f>
        <v>18</v>
      </c>
      <c r="J231" t="b">
        <f t="shared" si="26"/>
        <v>1</v>
      </c>
      <c r="K231" t="str">
        <f t="shared" si="27"/>
        <v>Trichoptera</v>
      </c>
      <c r="L231">
        <f>_xlfn.XLOOKUP(D231,BugList!C:C,BugList!N:N)</f>
        <v>4</v>
      </c>
      <c r="M231">
        <f t="shared" si="28"/>
        <v>72</v>
      </c>
      <c r="N231" t="b">
        <f>_xlfn.XLOOKUP(D231,BugList!C:C,BugList!L:L)</f>
        <v>1</v>
      </c>
      <c r="O231" t="b">
        <f t="shared" si="29"/>
        <v>0</v>
      </c>
      <c r="P231" s="18" t="b">
        <f>SUMPRODUCT(COUNTIF(_xlfn.XLOOKUP(D231,BugList!C:C,BugList!P:P), "*SC*"))&gt;0</f>
        <v>0</v>
      </c>
    </row>
    <row r="232" spans="1:16">
      <c r="A232" t="s">
        <v>2724</v>
      </c>
      <c r="B232">
        <v>400</v>
      </c>
      <c r="C232" t="s">
        <v>204</v>
      </c>
      <c r="D232" t="s">
        <v>84</v>
      </c>
      <c r="E232">
        <v>5</v>
      </c>
      <c r="F232" s="43">
        <f t="shared" si="31"/>
        <v>2.1929824561403506</v>
      </c>
      <c r="G232" s="44">
        <f t="shared" si="24"/>
        <v>2</v>
      </c>
      <c r="H232" s="44">
        <f t="shared" si="25"/>
        <v>0.19298245614035059</v>
      </c>
      <c r="I232" cm="1">
        <f t="array" ref="I232">INT(F232)+IF(100-SUM(INT(F$230:F$235))&gt;=RANK(H232,H$230:H$235)+COUNTIF(H$230:H232,H232)-1,1,0)</f>
        <v>2</v>
      </c>
      <c r="J232" t="b">
        <f t="shared" si="26"/>
        <v>0</v>
      </c>
      <c r="K232" t="str">
        <f t="shared" si="27"/>
        <v/>
      </c>
      <c r="L232">
        <f>_xlfn.XLOOKUP(D232,BugList!C:C,BugList!N:N)</f>
        <v>8</v>
      </c>
      <c r="M232">
        <f t="shared" si="28"/>
        <v>16</v>
      </c>
      <c r="N232" t="b">
        <f>_xlfn.XLOOKUP(D232,BugList!C:C,BugList!L:L)</f>
        <v>0</v>
      </c>
      <c r="O232" t="b">
        <f t="shared" si="29"/>
        <v>0</v>
      </c>
      <c r="P232" s="18" t="b">
        <f>SUMPRODUCT(COUNTIF(_xlfn.XLOOKUP(D232,BugList!C:C,BugList!P:P), "*SC*"))&gt;0</f>
        <v>0</v>
      </c>
    </row>
    <row r="233" spans="1:16">
      <c r="A233" t="s">
        <v>2724</v>
      </c>
      <c r="B233">
        <v>400</v>
      </c>
      <c r="C233" t="s">
        <v>201</v>
      </c>
      <c r="D233" t="s">
        <v>85</v>
      </c>
      <c r="E233">
        <v>174</v>
      </c>
      <c r="F233" s="43">
        <f t="shared" si="31"/>
        <v>76.31578947368422</v>
      </c>
      <c r="G233" s="44">
        <f t="shared" si="24"/>
        <v>76</v>
      </c>
      <c r="H233" s="44">
        <f t="shared" si="25"/>
        <v>0.3157894736842195</v>
      </c>
      <c r="I233" cm="1">
        <f t="array" ref="I233">INT(F233)+IF(100-SUM(INT(F$230:F$235))&gt;=RANK(H233,H$230:H$235)+COUNTIF(H$230:H233,H233)-1,1,0)</f>
        <v>77</v>
      </c>
      <c r="J233" t="b">
        <f t="shared" si="26"/>
        <v>0</v>
      </c>
      <c r="K233" t="str">
        <f t="shared" si="27"/>
        <v/>
      </c>
      <c r="L233">
        <f>_xlfn.XLOOKUP(D233,BugList!C:C,BugList!N:N)</f>
        <v>4</v>
      </c>
      <c r="M233">
        <f t="shared" si="28"/>
        <v>308</v>
      </c>
      <c r="N233" t="b">
        <f>_xlfn.XLOOKUP(D233,BugList!C:C,BugList!L:L)</f>
        <v>0</v>
      </c>
      <c r="O233" t="b">
        <f t="shared" si="29"/>
        <v>0</v>
      </c>
      <c r="P233" s="18" t="b">
        <f>SUMPRODUCT(COUNTIF(_xlfn.XLOOKUP(D233,BugList!C:C,BugList!P:P), "*SC*"))&gt;0</f>
        <v>0</v>
      </c>
    </row>
    <row r="234" spans="1:16">
      <c r="A234" t="s">
        <v>2724</v>
      </c>
      <c r="B234">
        <v>400</v>
      </c>
      <c r="C234" t="s">
        <v>210</v>
      </c>
      <c r="D234" t="s">
        <v>92</v>
      </c>
      <c r="E234">
        <v>2</v>
      </c>
      <c r="F234" s="43">
        <f t="shared" si="31"/>
        <v>0.8771929824561403</v>
      </c>
      <c r="G234" s="44">
        <f t="shared" si="24"/>
        <v>0</v>
      </c>
      <c r="H234" s="44">
        <f t="shared" si="25"/>
        <v>0.8771929824561403</v>
      </c>
      <c r="I234" cm="1">
        <f t="array" ref="I234">INT(F234)+IF(100-SUM(INT(F$230:F$235))&gt;=RANK(H234,H$230:H$235)+COUNTIF(H$230:H234,H234)-1,1,0)</f>
        <v>1</v>
      </c>
      <c r="J234" t="b">
        <f t="shared" si="26"/>
        <v>0</v>
      </c>
      <c r="K234" t="str">
        <f t="shared" si="27"/>
        <v/>
      </c>
      <c r="L234">
        <f>_xlfn.XLOOKUP(D234,BugList!C:C,BugList!N:N)</f>
        <v>8</v>
      </c>
      <c r="M234">
        <f t="shared" si="28"/>
        <v>8</v>
      </c>
      <c r="N234" t="b">
        <f>_xlfn.XLOOKUP(D234,BugList!C:C,BugList!L:L)</f>
        <v>0</v>
      </c>
      <c r="O234" t="b">
        <f t="shared" si="29"/>
        <v>0</v>
      </c>
      <c r="P234" s="18" t="b">
        <f>SUMPRODUCT(COUNTIF(_xlfn.XLOOKUP(D234,BugList!C:C,BugList!P:P), "*SC*"))&gt;0</f>
        <v>0</v>
      </c>
    </row>
    <row r="235" spans="1:16">
      <c r="A235" t="s">
        <v>2724</v>
      </c>
      <c r="B235">
        <v>400</v>
      </c>
      <c r="C235" t="s">
        <v>205</v>
      </c>
      <c r="D235" t="s">
        <v>206</v>
      </c>
      <c r="E235">
        <v>3</v>
      </c>
      <c r="F235" s="43">
        <f t="shared" si="31"/>
        <v>1.3157894736842104</v>
      </c>
      <c r="G235" s="44">
        <f t="shared" si="24"/>
        <v>1</v>
      </c>
      <c r="H235" s="44">
        <f t="shared" si="25"/>
        <v>0.3157894736842104</v>
      </c>
      <c r="I235" cm="1">
        <f t="array" ref="I235">INT(F235)+IF(100-SUM(INT(F$230:F$235))&gt;=RANK(H235,H$230:H$235)+COUNTIF(H$230:H235,H235)-1,1,0)</f>
        <v>1</v>
      </c>
      <c r="J235" t="b">
        <f t="shared" si="26"/>
        <v>0</v>
      </c>
      <c r="K235" t="str">
        <f t="shared" si="27"/>
        <v/>
      </c>
      <c r="L235" s="71">
        <v>8</v>
      </c>
      <c r="M235">
        <f t="shared" si="28"/>
        <v>8</v>
      </c>
      <c r="N235" s="71" t="b">
        <v>0</v>
      </c>
      <c r="O235" t="b">
        <f t="shared" si="29"/>
        <v>0</v>
      </c>
      <c r="P235" s="72" t="b">
        <v>0</v>
      </c>
    </row>
    <row r="236" spans="1:16">
      <c r="A236" t="s">
        <v>2725</v>
      </c>
      <c r="B236">
        <v>402</v>
      </c>
      <c r="C236" t="s">
        <v>200</v>
      </c>
      <c r="D236" t="s">
        <v>98</v>
      </c>
      <c r="E236">
        <v>9</v>
      </c>
      <c r="F236" s="43">
        <f t="shared" si="31"/>
        <v>4.4117647058823533</v>
      </c>
      <c r="G236" s="44">
        <f t="shared" si="24"/>
        <v>4</v>
      </c>
      <c r="H236" s="44">
        <f t="shared" si="25"/>
        <v>0.41176470588235325</v>
      </c>
      <c r="I236" cm="1">
        <f t="array" ref="I236">INT(F236)+IF(100-SUM(INT(F$236:F$244))&gt;=RANK(H236,H$236:H$244)+COUNTIF(H$236:H236,H236)-1,1,0)</f>
        <v>4</v>
      </c>
      <c r="J236" t="b">
        <f t="shared" si="26"/>
        <v>0</v>
      </c>
      <c r="K236" t="str">
        <f t="shared" si="27"/>
        <v/>
      </c>
      <c r="L236">
        <f>_xlfn.XLOOKUP(D236,BugList!C:C,BugList!N:N)</f>
        <v>4</v>
      </c>
      <c r="M236">
        <f t="shared" si="28"/>
        <v>16</v>
      </c>
      <c r="N236" t="b">
        <f>_xlfn.XLOOKUP(D236,BugList!C:C,BugList!L:L)</f>
        <v>1</v>
      </c>
      <c r="O236" t="b">
        <f t="shared" si="29"/>
        <v>0</v>
      </c>
      <c r="P236" s="18" t="b">
        <f>SUMPRODUCT(COUNTIF(_xlfn.XLOOKUP(D236,BugList!C:C,BugList!P:P), "*SC*"))&gt;0</f>
        <v>1</v>
      </c>
    </row>
    <row r="237" spans="1:16">
      <c r="A237" t="s">
        <v>2725</v>
      </c>
      <c r="B237">
        <v>402</v>
      </c>
      <c r="C237" t="s">
        <v>194</v>
      </c>
      <c r="D237" t="s">
        <v>126</v>
      </c>
      <c r="E237">
        <v>28</v>
      </c>
      <c r="F237" s="43">
        <f t="shared" si="31"/>
        <v>13.725490196078432</v>
      </c>
      <c r="G237" s="44">
        <f t="shared" si="24"/>
        <v>13</v>
      </c>
      <c r="H237" s="44">
        <f t="shared" si="25"/>
        <v>0.72549019607843235</v>
      </c>
      <c r="I237" cm="1">
        <f t="array" ref="I237">INT(F237)+IF(100-SUM(INT(F$236:F$244))&gt;=RANK(H237,H$236:H$244)+COUNTIF(H$236:H237,H237)-1,1,0)</f>
        <v>14</v>
      </c>
      <c r="J237" t="b">
        <f t="shared" si="26"/>
        <v>0</v>
      </c>
      <c r="K237" t="str">
        <f t="shared" si="27"/>
        <v/>
      </c>
      <c r="L237">
        <f>_xlfn.XLOOKUP(D237,BugList!C:C,BugList!N:N)</f>
        <v>8</v>
      </c>
      <c r="M237">
        <f t="shared" si="28"/>
        <v>112</v>
      </c>
      <c r="N237" t="b">
        <f>_xlfn.XLOOKUP(D237,BugList!C:C,BugList!L:L)</f>
        <v>1</v>
      </c>
      <c r="O237" t="b">
        <f t="shared" si="29"/>
        <v>0</v>
      </c>
      <c r="P237" s="18" t="b">
        <f>SUMPRODUCT(COUNTIF(_xlfn.XLOOKUP(D237,BugList!C:C,BugList!P:P), "*SC*"))&gt;0</f>
        <v>0</v>
      </c>
    </row>
    <row r="238" spans="1:16">
      <c r="A238" t="s">
        <v>2725</v>
      </c>
      <c r="B238">
        <v>402</v>
      </c>
      <c r="C238" t="s">
        <v>198</v>
      </c>
      <c r="D238" t="s">
        <v>89</v>
      </c>
      <c r="E238">
        <v>38</v>
      </c>
      <c r="F238" s="43">
        <f t="shared" si="31"/>
        <v>18.627450980392158</v>
      </c>
      <c r="G238" s="44">
        <f t="shared" si="24"/>
        <v>18</v>
      </c>
      <c r="H238" s="44">
        <f t="shared" si="25"/>
        <v>0.62745098039215819</v>
      </c>
      <c r="I238" cm="1">
        <f t="array" ref="I238">INT(F238)+IF(100-SUM(INT(F$236:F$244))&gt;=RANK(H238,H$236:H$244)+COUNTIF(H$236:H238,H238)-1,1,0)</f>
        <v>19</v>
      </c>
      <c r="J238" t="b">
        <f t="shared" si="26"/>
        <v>1</v>
      </c>
      <c r="K238" t="str">
        <f t="shared" si="27"/>
        <v>Trichoptera</v>
      </c>
      <c r="L238">
        <f>_xlfn.XLOOKUP(D238,BugList!C:C,BugList!N:N)</f>
        <v>4</v>
      </c>
      <c r="M238">
        <f t="shared" si="28"/>
        <v>76</v>
      </c>
      <c r="N238" t="b">
        <f>_xlfn.XLOOKUP(D238,BugList!C:C,BugList!L:L)</f>
        <v>1</v>
      </c>
      <c r="O238" t="b">
        <f t="shared" si="29"/>
        <v>0</v>
      </c>
      <c r="P238" s="18" t="b">
        <f>SUMPRODUCT(COUNTIF(_xlfn.XLOOKUP(D238,BugList!C:C,BugList!P:P), "*SC*"))&gt;0</f>
        <v>0</v>
      </c>
    </row>
    <row r="239" spans="1:16">
      <c r="A239" t="s">
        <v>2725</v>
      </c>
      <c r="B239">
        <v>402</v>
      </c>
      <c r="C239" t="s">
        <v>204</v>
      </c>
      <c r="D239" t="s">
        <v>84</v>
      </c>
      <c r="E239">
        <v>10</v>
      </c>
      <c r="F239" s="43">
        <f t="shared" si="31"/>
        <v>4.9019607843137258</v>
      </c>
      <c r="G239" s="44">
        <f t="shared" si="24"/>
        <v>4</v>
      </c>
      <c r="H239" s="44">
        <f t="shared" si="25"/>
        <v>0.90196078431372584</v>
      </c>
      <c r="I239" cm="1">
        <f t="array" ref="I239">INT(F239)+IF(100-SUM(INT(F$236:F$244))&gt;=RANK(H239,H$236:H$244)+COUNTIF(H$236:H239,H239)-1,1,0)</f>
        <v>5</v>
      </c>
      <c r="J239" t="b">
        <f t="shared" si="26"/>
        <v>0</v>
      </c>
      <c r="K239" t="str">
        <f t="shared" si="27"/>
        <v/>
      </c>
      <c r="L239">
        <f>_xlfn.XLOOKUP(D239,BugList!C:C,BugList!N:N)</f>
        <v>8</v>
      </c>
      <c r="M239">
        <f t="shared" si="28"/>
        <v>40</v>
      </c>
      <c r="N239" t="b">
        <f>_xlfn.XLOOKUP(D239,BugList!C:C,BugList!L:L)</f>
        <v>0</v>
      </c>
      <c r="O239" t="b">
        <f t="shared" si="29"/>
        <v>0</v>
      </c>
      <c r="P239" s="18" t="b">
        <f>SUMPRODUCT(COUNTIF(_xlfn.XLOOKUP(D239,BugList!C:C,BugList!P:P), "*SC*"))&gt;0</f>
        <v>0</v>
      </c>
    </row>
    <row r="240" spans="1:16">
      <c r="A240" t="s">
        <v>2725</v>
      </c>
      <c r="B240">
        <v>402</v>
      </c>
      <c r="C240" t="s">
        <v>201</v>
      </c>
      <c r="D240" t="s">
        <v>85</v>
      </c>
      <c r="E240">
        <v>90</v>
      </c>
      <c r="F240" s="43">
        <f t="shared" si="31"/>
        <v>44.117647058823529</v>
      </c>
      <c r="G240" s="44">
        <f t="shared" si="24"/>
        <v>44</v>
      </c>
      <c r="H240" s="44">
        <f t="shared" si="25"/>
        <v>0.11764705882352899</v>
      </c>
      <c r="I240" cm="1">
        <f t="array" ref="I240">INT(F240)+IF(100-SUM(INT(F$236:F$244))&gt;=RANK(H240,H$236:H$244)+COUNTIF(H$236:H240,H240)-1,1,0)</f>
        <v>44</v>
      </c>
      <c r="J240" t="b">
        <f t="shared" si="26"/>
        <v>0</v>
      </c>
      <c r="K240" t="str">
        <f t="shared" si="27"/>
        <v/>
      </c>
      <c r="L240">
        <f>_xlfn.XLOOKUP(D240,BugList!C:C,BugList!N:N)</f>
        <v>4</v>
      </c>
      <c r="M240">
        <f t="shared" si="28"/>
        <v>176</v>
      </c>
      <c r="N240" t="b">
        <f>_xlfn.XLOOKUP(D240,BugList!C:C,BugList!L:L)</f>
        <v>0</v>
      </c>
      <c r="O240" t="b">
        <f t="shared" si="29"/>
        <v>0</v>
      </c>
      <c r="P240" s="18" t="b">
        <f>SUMPRODUCT(COUNTIF(_xlfn.XLOOKUP(D240,BugList!C:C,BugList!P:P), "*SC*"))&gt;0</f>
        <v>0</v>
      </c>
    </row>
    <row r="241" spans="1:16">
      <c r="A241" t="s">
        <v>2725</v>
      </c>
      <c r="B241">
        <v>402</v>
      </c>
      <c r="C241" t="s">
        <v>210</v>
      </c>
      <c r="D241" t="s">
        <v>92</v>
      </c>
      <c r="E241">
        <v>21</v>
      </c>
      <c r="F241" s="43">
        <f t="shared" si="31"/>
        <v>10.294117647058822</v>
      </c>
      <c r="G241" s="44">
        <f t="shared" si="24"/>
        <v>10</v>
      </c>
      <c r="H241" s="44">
        <f t="shared" si="25"/>
        <v>0.29411764705882248</v>
      </c>
      <c r="I241" cm="1">
        <f t="array" ref="I241">INT(F241)+IF(100-SUM(INT(F$236:F$244))&gt;=RANK(H241,H$236:H$244)+COUNTIF(H$236:H241,H241)-1,1,0)</f>
        <v>10</v>
      </c>
      <c r="J241" t="b">
        <f t="shared" si="26"/>
        <v>0</v>
      </c>
      <c r="K241" t="str">
        <f t="shared" si="27"/>
        <v/>
      </c>
      <c r="L241">
        <f>_xlfn.XLOOKUP(D241,BugList!C:C,BugList!N:N)</f>
        <v>8</v>
      </c>
      <c r="M241">
        <f t="shared" si="28"/>
        <v>80</v>
      </c>
      <c r="N241" t="b">
        <f>_xlfn.XLOOKUP(D241,BugList!C:C,BugList!L:L)</f>
        <v>0</v>
      </c>
      <c r="O241" t="b">
        <f t="shared" si="29"/>
        <v>0</v>
      </c>
      <c r="P241" s="18" t="b">
        <f>SUMPRODUCT(COUNTIF(_xlfn.XLOOKUP(D241,BugList!C:C,BugList!P:P), "*SC*"))&gt;0</f>
        <v>0</v>
      </c>
    </row>
    <row r="242" spans="1:16">
      <c r="A242" t="s">
        <v>2725</v>
      </c>
      <c r="B242">
        <v>402</v>
      </c>
      <c r="C242" t="s">
        <v>210</v>
      </c>
      <c r="D242" t="s">
        <v>93</v>
      </c>
      <c r="E242">
        <v>2</v>
      </c>
      <c r="F242" s="43">
        <f t="shared" si="31"/>
        <v>0.98039215686274506</v>
      </c>
      <c r="G242" s="44">
        <f t="shared" si="24"/>
        <v>0</v>
      </c>
      <c r="H242" s="44">
        <f t="shared" si="25"/>
        <v>0.98039215686274506</v>
      </c>
      <c r="I242" cm="1">
        <f t="array" ref="I242">INT(F242)+IF(100-SUM(INT(F$236:F$244))&gt;=RANK(H242,H$236:H$244)+COUNTIF(H$236:H242,H242)-1,1,0)</f>
        <v>1</v>
      </c>
      <c r="J242" t="b">
        <f t="shared" si="26"/>
        <v>0</v>
      </c>
      <c r="K242" t="str">
        <f t="shared" si="27"/>
        <v/>
      </c>
      <c r="L242">
        <f>_xlfn.XLOOKUP(D242,BugList!C:C,BugList!N:N)</f>
        <v>8</v>
      </c>
      <c r="M242">
        <f t="shared" si="28"/>
        <v>8</v>
      </c>
      <c r="N242" t="b">
        <f>_xlfn.XLOOKUP(D242,BugList!C:C,BugList!L:L)</f>
        <v>0</v>
      </c>
      <c r="O242" t="b">
        <f t="shared" si="29"/>
        <v>0</v>
      </c>
      <c r="P242" s="18" t="b">
        <f>SUMPRODUCT(COUNTIF(_xlfn.XLOOKUP(D242,BugList!C:C,BugList!P:P), "*SC*"))&gt;0</f>
        <v>0</v>
      </c>
    </row>
    <row r="243" spans="1:16">
      <c r="A243" t="s">
        <v>2725</v>
      </c>
      <c r="B243">
        <v>402</v>
      </c>
      <c r="C243" t="s">
        <v>2315</v>
      </c>
      <c r="D243" t="s">
        <v>120</v>
      </c>
      <c r="E243">
        <v>3</v>
      </c>
      <c r="F243" s="43">
        <f t="shared" si="31"/>
        <v>1.4705882352941175</v>
      </c>
      <c r="G243" s="44">
        <f t="shared" ref="G243:G306" si="32">INT(F243)</f>
        <v>1</v>
      </c>
      <c r="H243" s="44">
        <f t="shared" ref="H243:H306" si="33">F243-G243</f>
        <v>0.47058823529411753</v>
      </c>
      <c r="I243" cm="1">
        <f t="array" ref="I243">INT(F243)+IF(100-SUM(INT(F$236:F$244))&gt;=RANK(H243,H$236:H$244)+COUNTIF(H$236:H243,H243)-1,1,0)</f>
        <v>2</v>
      </c>
      <c r="J243" t="b">
        <f t="shared" ref="J243:J306" si="34">IF(OR(C243="Ephemeroptera", C243 ="Plecoptera", C243= "Trichoptera"), TRUE, FALSE)</f>
        <v>0</v>
      </c>
      <c r="K243" t="str">
        <f t="shared" ref="K243:K306" si="35">IF(J243=TRUE,C243,"")</f>
        <v/>
      </c>
      <c r="L243">
        <f>_xlfn.XLOOKUP(D243,BugList!C:C,BugList!N:N)</f>
        <v>8</v>
      </c>
      <c r="M243">
        <f t="shared" ref="M243:M306" si="36">L243*I243</f>
        <v>16</v>
      </c>
      <c r="N243" t="b">
        <f>_xlfn.XLOOKUP(D243,BugList!C:C,BugList!L:L)</f>
        <v>0</v>
      </c>
      <c r="O243" t="b">
        <f t="shared" ref="O243:O306" si="37">IF(J243=TRUE,IF(D243="Hydropsychidae", FALSE, TRUE), FALSE)</f>
        <v>0</v>
      </c>
      <c r="P243" s="18" t="b">
        <f>SUMPRODUCT(COUNTIF(_xlfn.XLOOKUP(D243,BugList!C:C,BugList!P:P), "*SC*"))&gt;0</f>
        <v>1</v>
      </c>
    </row>
    <row r="244" spans="1:16">
      <c r="A244" t="s">
        <v>2725</v>
      </c>
      <c r="B244">
        <v>402</v>
      </c>
      <c r="C244" t="s">
        <v>205</v>
      </c>
      <c r="D244" t="s">
        <v>206</v>
      </c>
      <c r="E244">
        <v>3</v>
      </c>
      <c r="F244" s="43">
        <f t="shared" si="31"/>
        <v>1.4705882352941175</v>
      </c>
      <c r="G244" s="44">
        <f t="shared" si="32"/>
        <v>1</v>
      </c>
      <c r="H244" s="44">
        <f t="shared" si="33"/>
        <v>0.47058823529411753</v>
      </c>
      <c r="I244" cm="1">
        <f t="array" ref="I244">INT(F244)+IF(100-SUM(INT(F$236:F$244))&gt;=RANK(H244,H$236:H$244)+COUNTIF(H$236:H244,H244)-1,1,0)</f>
        <v>1</v>
      </c>
      <c r="J244" t="b">
        <f t="shared" si="34"/>
        <v>0</v>
      </c>
      <c r="K244" t="str">
        <f t="shared" si="35"/>
        <v/>
      </c>
      <c r="L244" s="71">
        <v>8</v>
      </c>
      <c r="M244">
        <f t="shared" si="36"/>
        <v>8</v>
      </c>
      <c r="N244" s="71" t="b">
        <v>0</v>
      </c>
      <c r="O244" t="b">
        <f t="shared" si="37"/>
        <v>0</v>
      </c>
      <c r="P244" s="72" t="b">
        <v>0</v>
      </c>
    </row>
    <row r="245" spans="1:16">
      <c r="A245" t="s">
        <v>2726</v>
      </c>
      <c r="B245">
        <v>412</v>
      </c>
      <c r="C245" t="s">
        <v>200</v>
      </c>
      <c r="D245" t="s">
        <v>98</v>
      </c>
      <c r="E245">
        <v>2</v>
      </c>
      <c r="F245" s="43">
        <f t="shared" si="31"/>
        <v>1.4388489208633095</v>
      </c>
      <c r="G245" s="44">
        <f t="shared" si="32"/>
        <v>1</v>
      </c>
      <c r="H245" s="44">
        <f t="shared" si="33"/>
        <v>0.43884892086330951</v>
      </c>
      <c r="I245" cm="1">
        <f t="array" ref="I245">INT(F245)+IF(100-SUM(INT(F$245:F$254))&gt;=RANK(H245,H$245:H$254)+COUNTIF(H$245:H245,H245)-1,1,0)</f>
        <v>1</v>
      </c>
      <c r="J245" t="b">
        <f t="shared" si="34"/>
        <v>0</v>
      </c>
      <c r="K245" t="str">
        <f t="shared" si="35"/>
        <v/>
      </c>
      <c r="L245">
        <f>_xlfn.XLOOKUP(D245,BugList!C:C,BugList!N:N)</f>
        <v>4</v>
      </c>
      <c r="M245">
        <f t="shared" si="36"/>
        <v>4</v>
      </c>
      <c r="N245" t="b">
        <f>_xlfn.XLOOKUP(D245,BugList!C:C,BugList!L:L)</f>
        <v>1</v>
      </c>
      <c r="O245" t="b">
        <f t="shared" si="37"/>
        <v>0</v>
      </c>
      <c r="P245" s="18" t="b">
        <f>SUMPRODUCT(COUNTIF(_xlfn.XLOOKUP(D245,BugList!C:C,BugList!P:P), "*SC*"))&gt;0</f>
        <v>1</v>
      </c>
    </row>
    <row r="246" spans="1:16">
      <c r="A246" t="s">
        <v>2726</v>
      </c>
      <c r="B246">
        <v>412</v>
      </c>
      <c r="C246" t="s">
        <v>194</v>
      </c>
      <c r="D246" t="s">
        <v>126</v>
      </c>
      <c r="E246">
        <v>3</v>
      </c>
      <c r="F246" s="43">
        <f t="shared" si="31"/>
        <v>2.1582733812949639</v>
      </c>
      <c r="G246" s="44">
        <f t="shared" si="32"/>
        <v>2</v>
      </c>
      <c r="H246" s="44">
        <f t="shared" si="33"/>
        <v>0.15827338129496393</v>
      </c>
      <c r="I246" cm="1">
        <f t="array" ref="I246">INT(F246)+IF(100-SUM(INT(F$245:F$254))&gt;=RANK(H246,H$245:H$254)+COUNTIF(H$245:H246,H246)-1,1,0)</f>
        <v>2</v>
      </c>
      <c r="J246" t="b">
        <f t="shared" si="34"/>
        <v>0</v>
      </c>
      <c r="K246" t="str">
        <f t="shared" si="35"/>
        <v/>
      </c>
      <c r="L246">
        <f>_xlfn.XLOOKUP(D246,BugList!C:C,BugList!N:N)</f>
        <v>8</v>
      </c>
      <c r="M246">
        <f t="shared" si="36"/>
        <v>16</v>
      </c>
      <c r="N246" t="b">
        <f>_xlfn.XLOOKUP(D246,BugList!C:C,BugList!L:L)</f>
        <v>1</v>
      </c>
      <c r="O246" t="b">
        <f t="shared" si="37"/>
        <v>0</v>
      </c>
      <c r="P246" s="18" t="b">
        <f>SUMPRODUCT(COUNTIF(_xlfn.XLOOKUP(D246,BugList!C:C,BugList!P:P), "*SC*"))&gt;0</f>
        <v>0</v>
      </c>
    </row>
    <row r="247" spans="1:16">
      <c r="A247" t="s">
        <v>2726</v>
      </c>
      <c r="B247">
        <v>412</v>
      </c>
      <c r="C247" t="s">
        <v>194</v>
      </c>
      <c r="D247" t="s">
        <v>108</v>
      </c>
      <c r="E247">
        <v>2</v>
      </c>
      <c r="F247" s="43">
        <f t="shared" si="31"/>
        <v>1.4388489208633095</v>
      </c>
      <c r="G247" s="44">
        <f t="shared" si="32"/>
        <v>1</v>
      </c>
      <c r="H247" s="44">
        <f t="shared" si="33"/>
        <v>0.43884892086330951</v>
      </c>
      <c r="I247" cm="1">
        <f t="array" ref="I247">INT(F247)+IF(100-SUM(INT(F$245:F$254))&gt;=RANK(H247,H$245:H$254)+COUNTIF(H$245:H247,H247)-1,1,0)</f>
        <v>1</v>
      </c>
      <c r="J247" t="b">
        <f t="shared" si="34"/>
        <v>0</v>
      </c>
      <c r="K247" t="str">
        <f t="shared" si="35"/>
        <v/>
      </c>
      <c r="L247">
        <f>_xlfn.XLOOKUP(D247,BugList!C:C,BugList!N:N)</f>
        <v>3</v>
      </c>
      <c r="M247">
        <f t="shared" si="36"/>
        <v>3</v>
      </c>
      <c r="N247" t="b">
        <f>_xlfn.XLOOKUP(D247,BugList!C:C,BugList!L:L)</f>
        <v>1</v>
      </c>
      <c r="O247" t="b">
        <f t="shared" si="37"/>
        <v>0</v>
      </c>
      <c r="P247" s="18" t="b">
        <f>SUMPRODUCT(COUNTIF(_xlfn.XLOOKUP(D247,BugList!C:C,BugList!P:P), "*SC*"))&gt;0</f>
        <v>0</v>
      </c>
    </row>
    <row r="248" spans="1:16">
      <c r="A248" t="s">
        <v>2726</v>
      </c>
      <c r="B248">
        <v>412</v>
      </c>
      <c r="C248" t="s">
        <v>195</v>
      </c>
      <c r="D248" t="s">
        <v>112</v>
      </c>
      <c r="E248">
        <v>1</v>
      </c>
      <c r="F248" s="43">
        <f t="shared" si="31"/>
        <v>0.71942446043165476</v>
      </c>
      <c r="G248" s="44">
        <f t="shared" si="32"/>
        <v>0</v>
      </c>
      <c r="H248" s="44">
        <f t="shared" si="33"/>
        <v>0.71942446043165476</v>
      </c>
      <c r="I248" cm="1">
        <f t="array" ref="I248">INT(F248)+IF(100-SUM(INT(F$245:F$254))&gt;=RANK(H248,H$245:H$254)+COUNTIF(H$245:H248,H248)-1,1,0)</f>
        <v>1</v>
      </c>
      <c r="J248" t="b">
        <f t="shared" si="34"/>
        <v>0</v>
      </c>
      <c r="K248" t="str">
        <f t="shared" si="35"/>
        <v/>
      </c>
      <c r="L248">
        <f>_xlfn.XLOOKUP(D248,BugList!C:C,BugList!N:N)</f>
        <v>5</v>
      </c>
      <c r="M248">
        <f t="shared" si="36"/>
        <v>5</v>
      </c>
      <c r="N248" t="b">
        <f>_xlfn.XLOOKUP(D248,BugList!C:C,BugList!L:L)</f>
        <v>1</v>
      </c>
      <c r="O248" t="b">
        <f t="shared" si="37"/>
        <v>0</v>
      </c>
      <c r="P248" s="18" t="b">
        <f>SUMPRODUCT(COUNTIF(_xlfn.XLOOKUP(D248,BugList!C:C,BugList!P:P), "*SC*"))&gt;0</f>
        <v>0</v>
      </c>
    </row>
    <row r="249" spans="1:16">
      <c r="A249" t="s">
        <v>2726</v>
      </c>
      <c r="B249">
        <v>412</v>
      </c>
      <c r="C249" t="s">
        <v>198</v>
      </c>
      <c r="D249" t="s">
        <v>89</v>
      </c>
      <c r="E249">
        <v>27</v>
      </c>
      <c r="F249" s="43">
        <f t="shared" si="31"/>
        <v>19.424460431654676</v>
      </c>
      <c r="G249" s="44">
        <f t="shared" si="32"/>
        <v>19</v>
      </c>
      <c r="H249" s="44">
        <f t="shared" si="33"/>
        <v>0.42446043165467628</v>
      </c>
      <c r="I249" cm="1">
        <f t="array" ref="I249">INT(F249)+IF(100-SUM(INT(F$245:F$254))&gt;=RANK(H249,H$245:H$254)+COUNTIF(H$245:H249,H249)-1,1,0)</f>
        <v>19</v>
      </c>
      <c r="J249" t="b">
        <f t="shared" si="34"/>
        <v>1</v>
      </c>
      <c r="K249" t="str">
        <f t="shared" si="35"/>
        <v>Trichoptera</v>
      </c>
      <c r="L249">
        <f>_xlfn.XLOOKUP(D249,BugList!C:C,BugList!N:N)</f>
        <v>4</v>
      </c>
      <c r="M249">
        <f t="shared" si="36"/>
        <v>76</v>
      </c>
      <c r="N249" t="b">
        <f>_xlfn.XLOOKUP(D249,BugList!C:C,BugList!L:L)</f>
        <v>1</v>
      </c>
      <c r="O249" t="b">
        <f t="shared" si="37"/>
        <v>0</v>
      </c>
      <c r="P249" s="18" t="b">
        <f>SUMPRODUCT(COUNTIF(_xlfn.XLOOKUP(D249,BugList!C:C,BugList!P:P), "*SC*"))&gt;0</f>
        <v>0</v>
      </c>
    </row>
    <row r="250" spans="1:16">
      <c r="A250" t="s">
        <v>2726</v>
      </c>
      <c r="B250">
        <v>412</v>
      </c>
      <c r="C250" t="s">
        <v>204</v>
      </c>
      <c r="D250" t="s">
        <v>84</v>
      </c>
      <c r="E250">
        <v>4</v>
      </c>
      <c r="F250" s="43">
        <f t="shared" si="31"/>
        <v>2.877697841726619</v>
      </c>
      <c r="G250" s="44">
        <f t="shared" si="32"/>
        <v>2</v>
      </c>
      <c r="H250" s="44">
        <f t="shared" si="33"/>
        <v>0.87769784172661902</v>
      </c>
      <c r="I250" cm="1">
        <f t="array" ref="I250">INT(F250)+IF(100-SUM(INT(F$245:F$254))&gt;=RANK(H250,H$245:H$254)+COUNTIF(H$245:H250,H250)-1,1,0)</f>
        <v>3</v>
      </c>
      <c r="J250" t="b">
        <f t="shared" si="34"/>
        <v>0</v>
      </c>
      <c r="K250" t="str">
        <f t="shared" si="35"/>
        <v/>
      </c>
      <c r="L250">
        <f>_xlfn.XLOOKUP(D250,BugList!C:C,BugList!N:N)</f>
        <v>8</v>
      </c>
      <c r="M250">
        <f t="shared" si="36"/>
        <v>24</v>
      </c>
      <c r="N250" t="b">
        <f>_xlfn.XLOOKUP(D250,BugList!C:C,BugList!L:L)</f>
        <v>0</v>
      </c>
      <c r="O250" t="b">
        <f t="shared" si="37"/>
        <v>0</v>
      </c>
      <c r="P250" s="18" t="b">
        <f>SUMPRODUCT(COUNTIF(_xlfn.XLOOKUP(D250,BugList!C:C,BugList!P:P), "*SC*"))&gt;0</f>
        <v>0</v>
      </c>
    </row>
    <row r="251" spans="1:16">
      <c r="A251" t="s">
        <v>2726</v>
      </c>
      <c r="B251">
        <v>412</v>
      </c>
      <c r="C251" t="s">
        <v>201</v>
      </c>
      <c r="D251" t="s">
        <v>85</v>
      </c>
      <c r="E251">
        <v>90</v>
      </c>
      <c r="F251" s="43">
        <f t="shared" si="31"/>
        <v>64.748201438848923</v>
      </c>
      <c r="G251" s="44">
        <f t="shared" si="32"/>
        <v>64</v>
      </c>
      <c r="H251" s="44">
        <f t="shared" si="33"/>
        <v>0.74820143884892332</v>
      </c>
      <c r="I251" cm="1">
        <f t="array" ref="I251">INT(F251)+IF(100-SUM(INT(F$245:F$254))&gt;=RANK(H251,H$245:H$254)+COUNTIF(H$245:H251,H251)-1,1,0)</f>
        <v>65</v>
      </c>
      <c r="J251" t="b">
        <f t="shared" si="34"/>
        <v>0</v>
      </c>
      <c r="K251" t="str">
        <f t="shared" si="35"/>
        <v/>
      </c>
      <c r="L251">
        <f>_xlfn.XLOOKUP(D251,BugList!C:C,BugList!N:N)</f>
        <v>4</v>
      </c>
      <c r="M251">
        <f t="shared" si="36"/>
        <v>260</v>
      </c>
      <c r="N251" t="b">
        <f>_xlfn.XLOOKUP(D251,BugList!C:C,BugList!L:L)</f>
        <v>0</v>
      </c>
      <c r="O251" t="b">
        <f t="shared" si="37"/>
        <v>0</v>
      </c>
      <c r="P251" s="18" t="b">
        <f>SUMPRODUCT(COUNTIF(_xlfn.XLOOKUP(D251,BugList!C:C,BugList!P:P), "*SC*"))&gt;0</f>
        <v>0</v>
      </c>
    </row>
    <row r="252" spans="1:16">
      <c r="A252" t="s">
        <v>2726</v>
      </c>
      <c r="B252">
        <v>412</v>
      </c>
      <c r="C252" t="s">
        <v>202</v>
      </c>
      <c r="D252" t="s">
        <v>169</v>
      </c>
      <c r="E252">
        <v>1</v>
      </c>
      <c r="F252" s="43">
        <f t="shared" si="31"/>
        <v>0.71942446043165476</v>
      </c>
      <c r="G252" s="44">
        <f t="shared" si="32"/>
        <v>0</v>
      </c>
      <c r="H252" s="44">
        <f t="shared" si="33"/>
        <v>0.71942446043165476</v>
      </c>
      <c r="I252" cm="1">
        <f t="array" ref="I252">INT(F252)+IF(100-SUM(INT(F$245:F$254))&gt;=RANK(H252,H$245:H$254)+COUNTIF(H$245:H252,H252)-1,1,0)</f>
        <v>1</v>
      </c>
      <c r="J252" t="b">
        <f t="shared" si="34"/>
        <v>0</v>
      </c>
      <c r="K252" t="str">
        <f t="shared" si="35"/>
        <v/>
      </c>
      <c r="L252">
        <f>_xlfn.XLOOKUP(D252,BugList!C:C,BugList!N:N)</f>
        <v>5</v>
      </c>
      <c r="M252">
        <f t="shared" si="36"/>
        <v>5</v>
      </c>
      <c r="N252" t="b">
        <f>_xlfn.XLOOKUP(D252,BugList!C:C,BugList!L:L)</f>
        <v>0</v>
      </c>
      <c r="O252" t="b">
        <f t="shared" si="37"/>
        <v>0</v>
      </c>
      <c r="P252" s="18" t="b">
        <f>SUMPRODUCT(COUNTIF(_xlfn.XLOOKUP(D252,BugList!C:C,BugList!P:P), "*SC*"))&gt;0</f>
        <v>0</v>
      </c>
    </row>
    <row r="253" spans="1:16">
      <c r="A253" t="s">
        <v>2726</v>
      </c>
      <c r="B253">
        <v>412</v>
      </c>
      <c r="C253" t="s">
        <v>210</v>
      </c>
      <c r="D253" t="s">
        <v>92</v>
      </c>
      <c r="E253">
        <v>8</v>
      </c>
      <c r="F253" s="43">
        <f t="shared" si="31"/>
        <v>5.755395683453238</v>
      </c>
      <c r="G253" s="44">
        <f t="shared" si="32"/>
        <v>5</v>
      </c>
      <c r="H253" s="44">
        <f t="shared" si="33"/>
        <v>0.75539568345323804</v>
      </c>
      <c r="I253" cm="1">
        <f t="array" ref="I253">INT(F253)+IF(100-SUM(INT(F$245:F$254))&gt;=RANK(H253,H$245:H$254)+COUNTIF(H$245:H253,H253)-1,1,0)</f>
        <v>6</v>
      </c>
      <c r="J253" t="b">
        <f t="shared" si="34"/>
        <v>0</v>
      </c>
      <c r="K253" t="str">
        <f t="shared" si="35"/>
        <v/>
      </c>
      <c r="L253">
        <f>_xlfn.XLOOKUP(D253,BugList!C:C,BugList!N:N)</f>
        <v>8</v>
      </c>
      <c r="M253">
        <f t="shared" si="36"/>
        <v>48</v>
      </c>
      <c r="N253" t="b">
        <f>_xlfn.XLOOKUP(D253,BugList!C:C,BugList!L:L)</f>
        <v>0</v>
      </c>
      <c r="O253" t="b">
        <f t="shared" si="37"/>
        <v>0</v>
      </c>
      <c r="P253" s="18" t="b">
        <f>SUMPRODUCT(COUNTIF(_xlfn.XLOOKUP(D253,BugList!C:C,BugList!P:P), "*SC*"))&gt;0</f>
        <v>0</v>
      </c>
    </row>
    <row r="254" spans="1:16">
      <c r="A254" t="s">
        <v>2726</v>
      </c>
      <c r="B254">
        <v>412</v>
      </c>
      <c r="C254" t="s">
        <v>205</v>
      </c>
      <c r="D254" t="s">
        <v>206</v>
      </c>
      <c r="E254">
        <v>1</v>
      </c>
      <c r="F254" s="43">
        <f t="shared" si="31"/>
        <v>0.71942446043165476</v>
      </c>
      <c r="G254" s="44">
        <f t="shared" si="32"/>
        <v>0</v>
      </c>
      <c r="H254" s="44">
        <f t="shared" si="33"/>
        <v>0.71942446043165476</v>
      </c>
      <c r="I254" cm="1">
        <f t="array" ref="I254">INT(F254)+IF(100-SUM(INT(F$245:F$254))&gt;=RANK(H254,H$245:H$254)+COUNTIF(H$245:H254,H254)-1,1,0)</f>
        <v>1</v>
      </c>
      <c r="J254" t="b">
        <f t="shared" si="34"/>
        <v>0</v>
      </c>
      <c r="K254" t="str">
        <f t="shared" si="35"/>
        <v/>
      </c>
      <c r="L254" s="71">
        <v>8</v>
      </c>
      <c r="M254">
        <f t="shared" si="36"/>
        <v>8</v>
      </c>
      <c r="N254" s="71" t="b">
        <v>0</v>
      </c>
      <c r="O254" t="b">
        <f t="shared" si="37"/>
        <v>0</v>
      </c>
      <c r="P254" s="72" t="b">
        <v>0</v>
      </c>
    </row>
    <row r="255" spans="1:16">
      <c r="A255" t="s">
        <v>2727</v>
      </c>
      <c r="B255">
        <v>424</v>
      </c>
      <c r="C255" t="s">
        <v>200</v>
      </c>
      <c r="D255" t="s">
        <v>98</v>
      </c>
      <c r="E255">
        <v>2</v>
      </c>
      <c r="F255" s="43">
        <f t="shared" si="31"/>
        <v>1.6528925619834711</v>
      </c>
      <c r="G255" s="44">
        <f t="shared" si="32"/>
        <v>1</v>
      </c>
      <c r="H255" s="44">
        <f t="shared" si="33"/>
        <v>0.65289256198347112</v>
      </c>
      <c r="I255" cm="1">
        <f t="array" ref="I255">INT(F255)+IF(100-SUM(INT(F$255:F$264))&gt;=RANK(H255,H$255:H$264)+COUNTIF(H$255:H255,H255)-1,1,0)</f>
        <v>2</v>
      </c>
      <c r="J255" t="b">
        <f t="shared" si="34"/>
        <v>0</v>
      </c>
      <c r="K255" t="str">
        <f t="shared" si="35"/>
        <v/>
      </c>
      <c r="L255">
        <f>_xlfn.XLOOKUP(D255,BugList!C:C,BugList!N:N)</f>
        <v>4</v>
      </c>
      <c r="M255">
        <f t="shared" si="36"/>
        <v>8</v>
      </c>
      <c r="N255" t="b">
        <f>_xlfn.XLOOKUP(D255,BugList!C:C,BugList!L:L)</f>
        <v>1</v>
      </c>
      <c r="O255" t="b">
        <f t="shared" si="37"/>
        <v>0</v>
      </c>
      <c r="P255" s="18" t="b">
        <f>SUMPRODUCT(COUNTIF(_xlfn.XLOOKUP(D255,BugList!C:C,BugList!P:P), "*SC*"))&gt;0</f>
        <v>1</v>
      </c>
    </row>
    <row r="256" spans="1:16">
      <c r="A256" t="s">
        <v>2727</v>
      </c>
      <c r="B256">
        <v>424</v>
      </c>
      <c r="C256" t="s">
        <v>194</v>
      </c>
      <c r="D256" t="s">
        <v>126</v>
      </c>
      <c r="E256">
        <v>8</v>
      </c>
      <c r="F256" s="43">
        <f t="shared" si="31"/>
        <v>6.6115702479338845</v>
      </c>
      <c r="G256" s="44">
        <f t="shared" si="32"/>
        <v>6</v>
      </c>
      <c r="H256" s="44">
        <f t="shared" si="33"/>
        <v>0.61157024793388448</v>
      </c>
      <c r="I256" cm="1">
        <f t="array" ref="I256">INT(F256)+IF(100-SUM(INT(F$255:F$264))&gt;=RANK(H256,H$255:H$264)+COUNTIF(H$255:H256,H256)-1,1,0)</f>
        <v>6</v>
      </c>
      <c r="J256" t="b">
        <f t="shared" si="34"/>
        <v>0</v>
      </c>
      <c r="K256" t="str">
        <f t="shared" si="35"/>
        <v/>
      </c>
      <c r="L256">
        <f>_xlfn.XLOOKUP(D256,BugList!C:C,BugList!N:N)</f>
        <v>8</v>
      </c>
      <c r="M256">
        <f t="shared" si="36"/>
        <v>48</v>
      </c>
      <c r="N256" t="b">
        <f>_xlfn.XLOOKUP(D256,BugList!C:C,BugList!L:L)</f>
        <v>1</v>
      </c>
      <c r="O256" t="b">
        <f t="shared" si="37"/>
        <v>0</v>
      </c>
      <c r="P256" s="18" t="b">
        <f>SUMPRODUCT(COUNTIF(_xlfn.XLOOKUP(D256,BugList!C:C,BugList!P:P), "*SC*"))&gt;0</f>
        <v>0</v>
      </c>
    </row>
    <row r="257" spans="1:16">
      <c r="A257" t="s">
        <v>2727</v>
      </c>
      <c r="B257">
        <v>424</v>
      </c>
      <c r="C257" t="s">
        <v>1225</v>
      </c>
      <c r="D257" t="s">
        <v>1226</v>
      </c>
      <c r="E257">
        <v>1</v>
      </c>
      <c r="F257" s="43">
        <f t="shared" si="31"/>
        <v>0.82644628099173556</v>
      </c>
      <c r="G257" s="44">
        <f t="shared" si="32"/>
        <v>0</v>
      </c>
      <c r="H257" s="44">
        <f t="shared" si="33"/>
        <v>0.82644628099173556</v>
      </c>
      <c r="I257" cm="1">
        <f t="array" ref="I257">INT(F257)+IF(100-SUM(INT(F$255:F$264))&gt;=RANK(H257,H$255:H$264)+COUNTIF(H$255:H257,H257)-1,1,0)</f>
        <v>1</v>
      </c>
      <c r="J257" t="b">
        <f t="shared" si="34"/>
        <v>0</v>
      </c>
      <c r="K257" t="str">
        <f t="shared" si="35"/>
        <v/>
      </c>
      <c r="L257">
        <f>_xlfn.XLOOKUP(D257,BugList!C:C,BugList!N:N)</f>
        <v>0</v>
      </c>
      <c r="M257">
        <f t="shared" si="36"/>
        <v>0</v>
      </c>
      <c r="N257" t="b">
        <f>_xlfn.XLOOKUP(D257,BugList!C:C,BugList!L:L)</f>
        <v>1</v>
      </c>
      <c r="O257" t="b">
        <f t="shared" si="37"/>
        <v>0</v>
      </c>
      <c r="P257" s="18" t="b">
        <f>SUMPRODUCT(COUNTIF(_xlfn.XLOOKUP(D257,BugList!C:C,BugList!P:P), "*SC*"))&gt;0</f>
        <v>0</v>
      </c>
    </row>
    <row r="258" spans="1:16">
      <c r="A258" t="s">
        <v>2727</v>
      </c>
      <c r="B258">
        <v>424</v>
      </c>
      <c r="C258" t="s">
        <v>198</v>
      </c>
      <c r="D258" t="s">
        <v>89</v>
      </c>
      <c r="E258">
        <v>18</v>
      </c>
      <c r="F258" s="43">
        <f t="shared" si="31"/>
        <v>14.87603305785124</v>
      </c>
      <c r="G258" s="44">
        <f t="shared" si="32"/>
        <v>14</v>
      </c>
      <c r="H258" s="44">
        <f t="shared" si="33"/>
        <v>0.87603305785123986</v>
      </c>
      <c r="I258" cm="1">
        <f t="array" ref="I258">INT(F258)+IF(100-SUM(INT(F$255:F$264))&gt;=RANK(H258,H$255:H$264)+COUNTIF(H$255:H258,H258)-1,1,0)</f>
        <v>15</v>
      </c>
      <c r="J258" t="b">
        <f t="shared" si="34"/>
        <v>1</v>
      </c>
      <c r="K258" t="str">
        <f t="shared" si="35"/>
        <v>Trichoptera</v>
      </c>
      <c r="L258">
        <f>_xlfn.XLOOKUP(D258,BugList!C:C,BugList!N:N)</f>
        <v>4</v>
      </c>
      <c r="M258">
        <f t="shared" si="36"/>
        <v>60</v>
      </c>
      <c r="N258" t="b">
        <f>_xlfn.XLOOKUP(D258,BugList!C:C,BugList!L:L)</f>
        <v>1</v>
      </c>
      <c r="O258" t="b">
        <f t="shared" si="37"/>
        <v>0</v>
      </c>
      <c r="P258" s="18" t="b">
        <f>SUMPRODUCT(COUNTIF(_xlfn.XLOOKUP(D258,BugList!C:C,BugList!P:P), "*SC*"))&gt;0</f>
        <v>0</v>
      </c>
    </row>
    <row r="259" spans="1:16">
      <c r="A259" t="s">
        <v>2727</v>
      </c>
      <c r="B259">
        <v>424</v>
      </c>
      <c r="C259" t="s">
        <v>204</v>
      </c>
      <c r="D259" t="s">
        <v>84</v>
      </c>
      <c r="E259">
        <v>4</v>
      </c>
      <c r="F259" s="43">
        <f t="shared" si="31"/>
        <v>3.3057851239669422</v>
      </c>
      <c r="G259" s="44">
        <f t="shared" si="32"/>
        <v>3</v>
      </c>
      <c r="H259" s="44">
        <f t="shared" si="33"/>
        <v>0.30578512396694224</v>
      </c>
      <c r="I259" cm="1">
        <f t="array" ref="I259">INT(F259)+IF(100-SUM(INT(F$255:F$264))&gt;=RANK(H259,H$255:H$264)+COUNTIF(H$255:H259,H259)-1,1,0)</f>
        <v>3</v>
      </c>
      <c r="J259" t="b">
        <f t="shared" si="34"/>
        <v>0</v>
      </c>
      <c r="K259" t="str">
        <f t="shared" si="35"/>
        <v/>
      </c>
      <c r="L259">
        <f>_xlfn.XLOOKUP(D259,BugList!C:C,BugList!N:N)</f>
        <v>8</v>
      </c>
      <c r="M259">
        <f t="shared" si="36"/>
        <v>24</v>
      </c>
      <c r="N259" t="b">
        <f>_xlfn.XLOOKUP(D259,BugList!C:C,BugList!L:L)</f>
        <v>0</v>
      </c>
      <c r="O259" t="b">
        <f t="shared" si="37"/>
        <v>0</v>
      </c>
      <c r="P259" s="18" t="b">
        <f>SUMPRODUCT(COUNTIF(_xlfn.XLOOKUP(D259,BugList!C:C,BugList!P:P), "*SC*"))&gt;0</f>
        <v>0</v>
      </c>
    </row>
    <row r="260" spans="1:16">
      <c r="A260" t="s">
        <v>2727</v>
      </c>
      <c r="B260">
        <v>424</v>
      </c>
      <c r="C260" t="s">
        <v>201</v>
      </c>
      <c r="D260" t="s">
        <v>85</v>
      </c>
      <c r="E260">
        <v>75</v>
      </c>
      <c r="F260" s="43">
        <f t="shared" si="31"/>
        <v>61.983471074380169</v>
      </c>
      <c r="G260" s="44">
        <f t="shared" si="32"/>
        <v>61</v>
      </c>
      <c r="H260" s="44">
        <f t="shared" si="33"/>
        <v>0.98347107438016934</v>
      </c>
      <c r="I260" cm="1">
        <f t="array" ref="I260">INT(F260)+IF(100-SUM(INT(F$255:F$264))&gt;=RANK(H260,H$255:H$264)+COUNTIF(H$255:H260,H260)-1,1,0)</f>
        <v>62</v>
      </c>
      <c r="J260" t="b">
        <f t="shared" si="34"/>
        <v>0</v>
      </c>
      <c r="K260" t="str">
        <f t="shared" si="35"/>
        <v/>
      </c>
      <c r="L260">
        <f>_xlfn.XLOOKUP(D260,BugList!C:C,BugList!N:N)</f>
        <v>4</v>
      </c>
      <c r="M260">
        <f t="shared" si="36"/>
        <v>248</v>
      </c>
      <c r="N260" t="b">
        <f>_xlfn.XLOOKUP(D260,BugList!C:C,BugList!L:L)</f>
        <v>0</v>
      </c>
      <c r="O260" t="b">
        <f t="shared" si="37"/>
        <v>0</v>
      </c>
      <c r="P260" s="18" t="b">
        <f>SUMPRODUCT(COUNTIF(_xlfn.XLOOKUP(D260,BugList!C:C,BugList!P:P), "*SC*"))&gt;0</f>
        <v>0</v>
      </c>
    </row>
    <row r="261" spans="1:16">
      <c r="A261" t="s">
        <v>2727</v>
      </c>
      <c r="B261">
        <v>424</v>
      </c>
      <c r="C261" t="s">
        <v>2315</v>
      </c>
      <c r="D261" t="s">
        <v>102</v>
      </c>
      <c r="E261">
        <v>1</v>
      </c>
      <c r="F261" s="43">
        <f t="shared" si="31"/>
        <v>0.82644628099173556</v>
      </c>
      <c r="G261" s="44">
        <f t="shared" si="32"/>
        <v>0</v>
      </c>
      <c r="H261" s="44">
        <f t="shared" si="33"/>
        <v>0.82644628099173556</v>
      </c>
      <c r="I261" cm="1">
        <f t="array" ref="I261">INT(F261)+IF(100-SUM(INT(F$255:F$264))&gt;=RANK(H261,H$255:H$264)+COUNTIF(H$255:H261,H261)-1,1,0)</f>
        <v>1</v>
      </c>
      <c r="J261" t="b">
        <f t="shared" si="34"/>
        <v>0</v>
      </c>
      <c r="K261" t="str">
        <f t="shared" si="35"/>
        <v/>
      </c>
      <c r="L261">
        <f>_xlfn.XLOOKUP(D261,BugList!C:C,BugList!N:N)</f>
        <v>7</v>
      </c>
      <c r="M261">
        <f t="shared" si="36"/>
        <v>7</v>
      </c>
      <c r="N261" t="b">
        <f>_xlfn.XLOOKUP(D261,BugList!C:C,BugList!L:L)</f>
        <v>0</v>
      </c>
      <c r="O261" t="b">
        <f t="shared" si="37"/>
        <v>0</v>
      </c>
      <c r="P261" s="18" t="b">
        <f>SUMPRODUCT(COUNTIF(_xlfn.XLOOKUP(D261,BugList!C:C,BugList!P:P), "*SC*"))&gt;0</f>
        <v>1</v>
      </c>
    </row>
    <row r="262" spans="1:16">
      <c r="A262" t="s">
        <v>2727</v>
      </c>
      <c r="B262">
        <v>424</v>
      </c>
      <c r="C262" t="s">
        <v>2315</v>
      </c>
      <c r="D262" t="s">
        <v>121</v>
      </c>
      <c r="E262">
        <v>1</v>
      </c>
      <c r="F262" s="43">
        <f t="shared" si="31"/>
        <v>0.82644628099173556</v>
      </c>
      <c r="G262" s="44">
        <f t="shared" si="32"/>
        <v>0</v>
      </c>
      <c r="H262" s="44">
        <f t="shared" si="33"/>
        <v>0.82644628099173556</v>
      </c>
      <c r="I262" cm="1">
        <f t="array" ref="I262">INT(F262)+IF(100-SUM(INT(F$255:F$264))&gt;=RANK(H262,H$255:H$264)+COUNTIF(H$255:H262,H262)-1,1,0)</f>
        <v>1</v>
      </c>
      <c r="J262" t="b">
        <f t="shared" si="34"/>
        <v>0</v>
      </c>
      <c r="K262" t="str">
        <f t="shared" si="35"/>
        <v/>
      </c>
      <c r="L262">
        <f>_xlfn.XLOOKUP(D262,BugList!C:C,BugList!N:N)</f>
        <v>6</v>
      </c>
      <c r="M262">
        <f t="shared" si="36"/>
        <v>6</v>
      </c>
      <c r="N262" t="b">
        <f>_xlfn.XLOOKUP(D262,BugList!C:C,BugList!L:L)</f>
        <v>0</v>
      </c>
      <c r="O262" t="b">
        <f t="shared" si="37"/>
        <v>0</v>
      </c>
      <c r="P262" s="18" t="b">
        <f>SUMPRODUCT(COUNTIF(_xlfn.XLOOKUP(D262,BugList!C:C,BugList!P:P), "*SC*"))&gt;0</f>
        <v>0</v>
      </c>
    </row>
    <row r="263" spans="1:16">
      <c r="A263" t="s">
        <v>2727</v>
      </c>
      <c r="B263">
        <v>424</v>
      </c>
      <c r="C263" t="s">
        <v>205</v>
      </c>
      <c r="D263" t="s">
        <v>206</v>
      </c>
      <c r="E263">
        <v>5</v>
      </c>
      <c r="F263" s="43">
        <f t="shared" ref="F263:F294" si="38">(E263/(SUMIFS(E:E,A:A,A263))*100)</f>
        <v>4.1322314049586781</v>
      </c>
      <c r="G263" s="44">
        <f t="shared" si="32"/>
        <v>4</v>
      </c>
      <c r="H263" s="44">
        <f t="shared" si="33"/>
        <v>0.13223140495867813</v>
      </c>
      <c r="I263" cm="1">
        <f t="array" ref="I263">INT(F263)+IF(100-SUM(INT(F$255:F$264))&gt;=RANK(H263,H$255:H$264)+COUNTIF(H$255:H263,H263)-1,1,0)</f>
        <v>4</v>
      </c>
      <c r="J263" t="b">
        <f t="shared" si="34"/>
        <v>0</v>
      </c>
      <c r="K263" t="str">
        <f t="shared" si="35"/>
        <v/>
      </c>
      <c r="L263" s="71">
        <v>8</v>
      </c>
      <c r="M263">
        <f t="shared" si="36"/>
        <v>32</v>
      </c>
      <c r="N263" s="71" t="b">
        <v>0</v>
      </c>
      <c r="O263" t="b">
        <f t="shared" si="37"/>
        <v>0</v>
      </c>
      <c r="P263" s="72" t="b">
        <v>0</v>
      </c>
    </row>
    <row r="264" spans="1:16">
      <c r="A264" t="s">
        <v>2727</v>
      </c>
      <c r="B264">
        <v>424</v>
      </c>
      <c r="C264" t="s">
        <v>94</v>
      </c>
      <c r="D264" s="85" t="s">
        <v>94</v>
      </c>
      <c r="E264">
        <v>6</v>
      </c>
      <c r="F264" s="43">
        <f t="shared" si="38"/>
        <v>4.9586776859504136</v>
      </c>
      <c r="G264" s="44">
        <f t="shared" si="32"/>
        <v>4</v>
      </c>
      <c r="H264" s="44">
        <f t="shared" si="33"/>
        <v>0.95867768595041358</v>
      </c>
      <c r="I264" cm="1">
        <f t="array" ref="I264">INT(F264)+IF(100-SUM(INT(F$255:F$264))&gt;=RANK(H264,H$255:H$264)+COUNTIF(H$255:H264,H264)-1,1,0)</f>
        <v>5</v>
      </c>
      <c r="J264" t="b">
        <f t="shared" si="34"/>
        <v>0</v>
      </c>
      <c r="K264" t="str">
        <f t="shared" si="35"/>
        <v/>
      </c>
      <c r="L264">
        <f>_xlfn.XLOOKUP(D264,BugList!C:C,BugList!N:N)</f>
        <v>8</v>
      </c>
      <c r="M264">
        <f t="shared" si="36"/>
        <v>40</v>
      </c>
      <c r="N264" t="b">
        <f>_xlfn.XLOOKUP(D264,BugList!C:C,BugList!L:L)</f>
        <v>0</v>
      </c>
      <c r="O264" t="b">
        <f t="shared" si="37"/>
        <v>0</v>
      </c>
      <c r="P264" s="18" t="b">
        <f>SUMPRODUCT(COUNTIF(_xlfn.XLOOKUP(D264,BugList!C:C,BugList!P:P), "*SC*"))&gt;0</f>
        <v>0</v>
      </c>
    </row>
    <row r="265" spans="1:16">
      <c r="A265" t="s">
        <v>2728</v>
      </c>
      <c r="B265">
        <v>444</v>
      </c>
      <c r="C265" t="s">
        <v>200</v>
      </c>
      <c r="D265" t="s">
        <v>98</v>
      </c>
      <c r="E265">
        <v>1</v>
      </c>
      <c r="F265" s="43">
        <f t="shared" si="38"/>
        <v>0.8771929824561403</v>
      </c>
      <c r="G265" s="44">
        <f t="shared" si="32"/>
        <v>0</v>
      </c>
      <c r="H265" s="44">
        <f t="shared" si="33"/>
        <v>0.8771929824561403</v>
      </c>
      <c r="I265" cm="1">
        <f t="array" ref="I265">INT(F265)+IF(100-SUM(INT(F$265:F$275))&gt;=RANK(H265,H$265:H$275)+COUNTIF(H$265:H265,H265)-1,1,0)</f>
        <v>1</v>
      </c>
      <c r="J265" t="b">
        <f t="shared" si="34"/>
        <v>0</v>
      </c>
      <c r="K265" t="str">
        <f t="shared" si="35"/>
        <v/>
      </c>
      <c r="L265">
        <f>_xlfn.XLOOKUP(D265,BugList!C:C,BugList!N:N)</f>
        <v>4</v>
      </c>
      <c r="M265">
        <f t="shared" si="36"/>
        <v>4</v>
      </c>
      <c r="N265" t="b">
        <f>_xlfn.XLOOKUP(D265,BugList!C:C,BugList!L:L)</f>
        <v>1</v>
      </c>
      <c r="O265" t="b">
        <f t="shared" si="37"/>
        <v>0</v>
      </c>
      <c r="P265" s="18" t="b">
        <f>SUMPRODUCT(COUNTIF(_xlfn.XLOOKUP(D265,BugList!C:C,BugList!P:P), "*SC*"))&gt;0</f>
        <v>1</v>
      </c>
    </row>
    <row r="266" spans="1:16">
      <c r="A266" t="s">
        <v>2728</v>
      </c>
      <c r="B266">
        <v>444</v>
      </c>
      <c r="C266" t="s">
        <v>194</v>
      </c>
      <c r="D266" t="s">
        <v>126</v>
      </c>
      <c r="E266">
        <v>12</v>
      </c>
      <c r="F266" s="43">
        <f t="shared" si="38"/>
        <v>10.526315789473683</v>
      </c>
      <c r="G266" s="44">
        <f t="shared" si="32"/>
        <v>10</v>
      </c>
      <c r="H266" s="44">
        <f t="shared" si="33"/>
        <v>0.52631578947368318</v>
      </c>
      <c r="I266" cm="1">
        <f t="array" ref="I266">INT(F266)+IF(100-SUM(INT(F$265:F$275))&gt;=RANK(H266,H$265:H$275)+COUNTIF(H$265:H266,H266)-1,1,0)</f>
        <v>11</v>
      </c>
      <c r="J266" t="b">
        <f t="shared" si="34"/>
        <v>0</v>
      </c>
      <c r="K266" t="str">
        <f t="shared" si="35"/>
        <v/>
      </c>
      <c r="L266">
        <f>_xlfn.XLOOKUP(D266,BugList!C:C,BugList!N:N)</f>
        <v>8</v>
      </c>
      <c r="M266">
        <f t="shared" si="36"/>
        <v>88</v>
      </c>
      <c r="N266" t="b">
        <f>_xlfn.XLOOKUP(D266,BugList!C:C,BugList!L:L)</f>
        <v>1</v>
      </c>
      <c r="O266" t="b">
        <f t="shared" si="37"/>
        <v>0</v>
      </c>
      <c r="P266" s="18" t="b">
        <f>SUMPRODUCT(COUNTIF(_xlfn.XLOOKUP(D266,BugList!C:C,BugList!P:P), "*SC*"))&gt;0</f>
        <v>0</v>
      </c>
    </row>
    <row r="267" spans="1:16">
      <c r="A267" t="s">
        <v>2728</v>
      </c>
      <c r="B267">
        <v>444</v>
      </c>
      <c r="C267" t="s">
        <v>199</v>
      </c>
      <c r="D267" t="s">
        <v>111</v>
      </c>
      <c r="E267">
        <v>1</v>
      </c>
      <c r="F267" s="43">
        <f t="shared" si="38"/>
        <v>0.8771929824561403</v>
      </c>
      <c r="G267" s="44">
        <f t="shared" si="32"/>
        <v>0</v>
      </c>
      <c r="H267" s="44">
        <f t="shared" si="33"/>
        <v>0.8771929824561403</v>
      </c>
      <c r="I267" cm="1">
        <f t="array" ref="I267">INT(F267)+IF(100-SUM(INT(F$265:F$275))&gt;=RANK(H267,H$265:H$275)+COUNTIF(H$265:H267,H267)-1,1,0)</f>
        <v>1</v>
      </c>
      <c r="J267" t="b">
        <f t="shared" si="34"/>
        <v>1</v>
      </c>
      <c r="K267" t="str">
        <f t="shared" si="35"/>
        <v>Ephemeroptera</v>
      </c>
      <c r="L267">
        <f>_xlfn.XLOOKUP(D267,BugList!C:C,BugList!N:N)</f>
        <v>4</v>
      </c>
      <c r="M267">
        <f t="shared" si="36"/>
        <v>4</v>
      </c>
      <c r="N267" t="b">
        <f>_xlfn.XLOOKUP(D267,BugList!C:C,BugList!L:L)</f>
        <v>1</v>
      </c>
      <c r="O267" t="b">
        <f t="shared" si="37"/>
        <v>1</v>
      </c>
      <c r="P267" s="18" t="b">
        <f>SUMPRODUCT(COUNTIF(_xlfn.XLOOKUP(D267,BugList!C:C,BugList!P:P), "*SC*"))&gt;0</f>
        <v>0</v>
      </c>
    </row>
    <row r="268" spans="1:16">
      <c r="A268" t="s">
        <v>2728</v>
      </c>
      <c r="B268">
        <v>444</v>
      </c>
      <c r="C268" t="s">
        <v>211</v>
      </c>
      <c r="D268" t="s">
        <v>87</v>
      </c>
      <c r="E268">
        <v>1</v>
      </c>
      <c r="F268" s="43">
        <f t="shared" si="38"/>
        <v>0.8771929824561403</v>
      </c>
      <c r="G268" s="44">
        <f t="shared" si="32"/>
        <v>0</v>
      </c>
      <c r="H268" s="44">
        <f t="shared" si="33"/>
        <v>0.8771929824561403</v>
      </c>
      <c r="I268" cm="1">
        <f t="array" ref="I268">INT(F268)+IF(100-SUM(INT(F$265:F$275))&gt;=RANK(H268,H$265:H$275)+COUNTIF(H$265:H268,H268)-1,1,0)</f>
        <v>1</v>
      </c>
      <c r="J268" t="b">
        <f t="shared" si="34"/>
        <v>0</v>
      </c>
      <c r="K268" t="str">
        <f t="shared" si="35"/>
        <v/>
      </c>
      <c r="L268">
        <f>_xlfn.XLOOKUP(D268,BugList!C:C,BugList!N:N)</f>
        <v>4</v>
      </c>
      <c r="M268">
        <f t="shared" si="36"/>
        <v>4</v>
      </c>
      <c r="N268" t="b">
        <f>_xlfn.XLOOKUP(D268,BugList!C:C,BugList!L:L)</f>
        <v>0</v>
      </c>
      <c r="O268" t="b">
        <f t="shared" si="37"/>
        <v>0</v>
      </c>
      <c r="P268" s="18" t="b">
        <f>SUMPRODUCT(COUNTIF(_xlfn.XLOOKUP(D268,BugList!C:C,BugList!P:P), "*SC*"))&gt;0</f>
        <v>0</v>
      </c>
    </row>
    <row r="269" spans="1:16">
      <c r="A269" t="s">
        <v>2728</v>
      </c>
      <c r="B269">
        <v>444</v>
      </c>
      <c r="C269" t="s">
        <v>198</v>
      </c>
      <c r="D269" t="s">
        <v>89</v>
      </c>
      <c r="E269">
        <v>24</v>
      </c>
      <c r="F269" s="43">
        <f t="shared" si="38"/>
        <v>21.052631578947366</v>
      </c>
      <c r="G269" s="44">
        <f t="shared" si="32"/>
        <v>21</v>
      </c>
      <c r="H269" s="44">
        <f t="shared" si="33"/>
        <v>5.2631578947366364E-2</v>
      </c>
      <c r="I269" cm="1">
        <f t="array" ref="I269">INT(F269)+IF(100-SUM(INT(F$265:F$275))&gt;=RANK(H269,H$265:H$275)+COUNTIF(H$265:H269,H269)-1,1,0)</f>
        <v>21</v>
      </c>
      <c r="J269" t="b">
        <f t="shared" si="34"/>
        <v>1</v>
      </c>
      <c r="K269" t="str">
        <f t="shared" si="35"/>
        <v>Trichoptera</v>
      </c>
      <c r="L269">
        <f>_xlfn.XLOOKUP(D269,BugList!C:C,BugList!N:N)</f>
        <v>4</v>
      </c>
      <c r="M269">
        <f t="shared" si="36"/>
        <v>84</v>
      </c>
      <c r="N269" t="b">
        <f>_xlfn.XLOOKUP(D269,BugList!C:C,BugList!L:L)</f>
        <v>1</v>
      </c>
      <c r="O269" t="b">
        <f t="shared" si="37"/>
        <v>0</v>
      </c>
      <c r="P269" s="18" t="b">
        <f>SUMPRODUCT(COUNTIF(_xlfn.XLOOKUP(D269,BugList!C:C,BugList!P:P), "*SC*"))&gt;0</f>
        <v>0</v>
      </c>
    </row>
    <row r="270" spans="1:16">
      <c r="A270" t="s">
        <v>2728</v>
      </c>
      <c r="B270">
        <v>444</v>
      </c>
      <c r="C270" t="s">
        <v>204</v>
      </c>
      <c r="D270" t="s">
        <v>84</v>
      </c>
      <c r="E270">
        <v>4</v>
      </c>
      <c r="F270" s="43">
        <f t="shared" si="38"/>
        <v>3.5087719298245612</v>
      </c>
      <c r="G270" s="44">
        <f t="shared" si="32"/>
        <v>3</v>
      </c>
      <c r="H270" s="44">
        <f t="shared" si="33"/>
        <v>0.50877192982456121</v>
      </c>
      <c r="I270" cm="1">
        <f t="array" ref="I270">INT(F270)+IF(100-SUM(INT(F$265:F$275))&gt;=RANK(H270,H$265:H$275)+COUNTIF(H$265:H270,H270)-1,1,0)</f>
        <v>3</v>
      </c>
      <c r="J270" t="b">
        <f t="shared" si="34"/>
        <v>0</v>
      </c>
      <c r="K270" t="str">
        <f t="shared" si="35"/>
        <v/>
      </c>
      <c r="L270">
        <f>_xlfn.XLOOKUP(D270,BugList!C:C,BugList!N:N)</f>
        <v>8</v>
      </c>
      <c r="M270">
        <f t="shared" si="36"/>
        <v>24</v>
      </c>
      <c r="N270" t="b">
        <f>_xlfn.XLOOKUP(D270,BugList!C:C,BugList!L:L)</f>
        <v>0</v>
      </c>
      <c r="O270" t="b">
        <f t="shared" si="37"/>
        <v>0</v>
      </c>
      <c r="P270" s="18" t="b">
        <f>SUMPRODUCT(COUNTIF(_xlfn.XLOOKUP(D270,BugList!C:C,BugList!P:P), "*SC*"))&gt;0</f>
        <v>0</v>
      </c>
    </row>
    <row r="271" spans="1:16">
      <c r="A271" t="s">
        <v>2728</v>
      </c>
      <c r="B271">
        <v>444</v>
      </c>
      <c r="C271" t="s">
        <v>201</v>
      </c>
      <c r="D271" t="s">
        <v>85</v>
      </c>
      <c r="E271">
        <v>52</v>
      </c>
      <c r="F271" s="43">
        <f t="shared" si="38"/>
        <v>45.614035087719294</v>
      </c>
      <c r="G271" s="44">
        <f t="shared" si="32"/>
        <v>45</v>
      </c>
      <c r="H271" s="44">
        <f t="shared" si="33"/>
        <v>0.61403508771929438</v>
      </c>
      <c r="I271" cm="1">
        <f t="array" ref="I271">INT(F271)+IF(100-SUM(INT(F$265:F$275))&gt;=RANK(H271,H$265:H$275)+COUNTIF(H$265:H271,H271)-1,1,0)</f>
        <v>46</v>
      </c>
      <c r="J271" t="b">
        <f t="shared" si="34"/>
        <v>0</v>
      </c>
      <c r="K271" t="str">
        <f t="shared" si="35"/>
        <v/>
      </c>
      <c r="L271">
        <f>_xlfn.XLOOKUP(D271,BugList!C:C,BugList!N:N)</f>
        <v>4</v>
      </c>
      <c r="M271">
        <f t="shared" si="36"/>
        <v>184</v>
      </c>
      <c r="N271" t="b">
        <f>_xlfn.XLOOKUP(D271,BugList!C:C,BugList!L:L)</f>
        <v>0</v>
      </c>
      <c r="O271" t="b">
        <f t="shared" si="37"/>
        <v>0</v>
      </c>
      <c r="P271" s="18" t="b">
        <f>SUMPRODUCT(COUNTIF(_xlfn.XLOOKUP(D271,BugList!C:C,BugList!P:P), "*SC*"))&gt;0</f>
        <v>0</v>
      </c>
    </row>
    <row r="272" spans="1:16">
      <c r="A272" t="s">
        <v>2728</v>
      </c>
      <c r="B272">
        <v>444</v>
      </c>
      <c r="C272" t="s">
        <v>210</v>
      </c>
      <c r="D272" t="s">
        <v>93</v>
      </c>
      <c r="E272">
        <v>12</v>
      </c>
      <c r="F272" s="43">
        <f t="shared" si="38"/>
        <v>10.526315789473683</v>
      </c>
      <c r="G272" s="44">
        <f t="shared" si="32"/>
        <v>10</v>
      </c>
      <c r="H272" s="44">
        <f t="shared" si="33"/>
        <v>0.52631578947368318</v>
      </c>
      <c r="I272" cm="1">
        <f t="array" ref="I272">INT(F272)+IF(100-SUM(INT(F$265:F$275))&gt;=RANK(H272,H$265:H$275)+COUNTIF(H$265:H272,H272)-1,1,0)</f>
        <v>10</v>
      </c>
      <c r="J272" t="b">
        <f t="shared" si="34"/>
        <v>0</v>
      </c>
      <c r="K272" t="str">
        <f t="shared" si="35"/>
        <v/>
      </c>
      <c r="L272">
        <f>_xlfn.XLOOKUP(D272,BugList!C:C,BugList!N:N)</f>
        <v>8</v>
      </c>
      <c r="M272">
        <f t="shared" si="36"/>
        <v>80</v>
      </c>
      <c r="N272" t="b">
        <f>_xlfn.XLOOKUP(D272,BugList!C:C,BugList!L:L)</f>
        <v>0</v>
      </c>
      <c r="O272" t="b">
        <f t="shared" si="37"/>
        <v>0</v>
      </c>
      <c r="P272" s="18" t="b">
        <f>SUMPRODUCT(COUNTIF(_xlfn.XLOOKUP(D272,BugList!C:C,BugList!P:P), "*SC*"))&gt;0</f>
        <v>0</v>
      </c>
    </row>
    <row r="273" spans="1:16">
      <c r="A273" t="s">
        <v>2728</v>
      </c>
      <c r="B273">
        <v>444</v>
      </c>
      <c r="C273" t="s">
        <v>205</v>
      </c>
      <c r="D273" t="s">
        <v>206</v>
      </c>
      <c r="E273">
        <v>2</v>
      </c>
      <c r="F273" s="43">
        <f t="shared" si="38"/>
        <v>1.7543859649122806</v>
      </c>
      <c r="G273" s="44">
        <f t="shared" si="32"/>
        <v>1</v>
      </c>
      <c r="H273" s="44">
        <f t="shared" si="33"/>
        <v>0.7543859649122806</v>
      </c>
      <c r="I273" cm="1">
        <f t="array" ref="I273">INT(F273)+IF(100-SUM(INT(F$265:F$275))&gt;=RANK(H273,H$265:H$275)+COUNTIF(H$265:H273,H273)-1,1,0)</f>
        <v>2</v>
      </c>
      <c r="J273" t="b">
        <f t="shared" si="34"/>
        <v>0</v>
      </c>
      <c r="K273" t="str">
        <f t="shared" si="35"/>
        <v/>
      </c>
      <c r="L273" s="71">
        <v>8</v>
      </c>
      <c r="M273">
        <f t="shared" si="36"/>
        <v>16</v>
      </c>
      <c r="N273" t="e">
        <f>_xlfn.XLOOKUP(D273,BugList!C:C,BugList!L:L)</f>
        <v>#N/A</v>
      </c>
      <c r="O273" t="b">
        <f t="shared" si="37"/>
        <v>0</v>
      </c>
      <c r="P273" s="18" t="e">
        <f>SUMPRODUCT(COUNTIF(_xlfn.XLOOKUP(D273,BugList!C:C,BugList!P:P), "*SC*"))&gt;0</f>
        <v>#N/A</v>
      </c>
    </row>
    <row r="274" spans="1:16">
      <c r="A274" t="s">
        <v>2728</v>
      </c>
      <c r="B274">
        <v>444</v>
      </c>
      <c r="C274" t="s">
        <v>94</v>
      </c>
      <c r="D274" s="85" t="s">
        <v>94</v>
      </c>
      <c r="E274">
        <v>1</v>
      </c>
      <c r="F274" s="43">
        <f t="shared" si="38"/>
        <v>0.8771929824561403</v>
      </c>
      <c r="G274" s="44">
        <f t="shared" si="32"/>
        <v>0</v>
      </c>
      <c r="H274" s="44">
        <f t="shared" si="33"/>
        <v>0.8771929824561403</v>
      </c>
      <c r="I274" cm="1">
        <f t="array" ref="I274">INT(F274)+IF(100-SUM(INT(F$265:F$275))&gt;=RANK(H274,H$265:H$275)+COUNTIF(H$265:H274,H274)-1,1,0)</f>
        <v>1</v>
      </c>
      <c r="J274" t="b">
        <f t="shared" si="34"/>
        <v>0</v>
      </c>
      <c r="K274" t="str">
        <f t="shared" si="35"/>
        <v/>
      </c>
      <c r="L274">
        <f>_xlfn.XLOOKUP(D274,BugList!C:C,BugList!N:N)</f>
        <v>8</v>
      </c>
      <c r="M274">
        <f t="shared" si="36"/>
        <v>8</v>
      </c>
      <c r="N274" t="b">
        <f>_xlfn.XLOOKUP(D274,BugList!C:C,BugList!L:L)</f>
        <v>0</v>
      </c>
      <c r="O274" t="b">
        <f t="shared" si="37"/>
        <v>0</v>
      </c>
      <c r="P274" s="18" t="b">
        <f>SUMPRODUCT(COUNTIF(_xlfn.XLOOKUP(D274,BugList!C:C,BugList!P:P), "*SC*"))&gt;0</f>
        <v>0</v>
      </c>
    </row>
    <row r="275" spans="1:16">
      <c r="A275" t="s">
        <v>2728</v>
      </c>
      <c r="B275">
        <v>444</v>
      </c>
      <c r="C275" t="s">
        <v>94</v>
      </c>
      <c r="D275" t="s">
        <v>594</v>
      </c>
      <c r="E275">
        <v>4</v>
      </c>
      <c r="F275" s="43">
        <f t="shared" si="38"/>
        <v>3.5087719298245612</v>
      </c>
      <c r="G275" s="44">
        <f t="shared" si="32"/>
        <v>3</v>
      </c>
      <c r="H275" s="44">
        <f t="shared" si="33"/>
        <v>0.50877192982456121</v>
      </c>
      <c r="I275" cm="1">
        <f t="array" ref="I275">INT(F275)+IF(100-SUM(INT(F$265:F$275))&gt;=RANK(H275,H$265:H$275)+COUNTIF(H$265:H275,H275)-1,1,0)</f>
        <v>3</v>
      </c>
      <c r="J275" t="b">
        <f t="shared" si="34"/>
        <v>0</v>
      </c>
      <c r="K275" t="str">
        <f t="shared" si="35"/>
        <v/>
      </c>
      <c r="L275">
        <f>_xlfn.XLOOKUP(D275,BugList!C:C,BugList!N:N)</f>
        <v>6</v>
      </c>
      <c r="M275">
        <f t="shared" si="36"/>
        <v>18</v>
      </c>
      <c r="N275" t="b">
        <f>_xlfn.XLOOKUP(D275,BugList!C:C,BugList!L:L)</f>
        <v>0</v>
      </c>
      <c r="O275" t="b">
        <f t="shared" si="37"/>
        <v>0</v>
      </c>
      <c r="P275" s="18" t="b">
        <f>SUMPRODUCT(COUNTIF(_xlfn.XLOOKUP(D275,BugList!C:C,BugList!P:P), "*SC*"))&gt;0</f>
        <v>0</v>
      </c>
    </row>
    <row r="276" spans="1:16">
      <c r="A276" t="s">
        <v>2729</v>
      </c>
      <c r="B276">
        <v>454</v>
      </c>
      <c r="C276" t="s">
        <v>200</v>
      </c>
      <c r="D276" t="s">
        <v>98</v>
      </c>
      <c r="E276">
        <v>3</v>
      </c>
      <c r="F276" s="43">
        <f t="shared" si="38"/>
        <v>2.6086956521739131</v>
      </c>
      <c r="G276" s="44">
        <f t="shared" si="32"/>
        <v>2</v>
      </c>
      <c r="H276" s="44">
        <f t="shared" si="33"/>
        <v>0.60869565217391308</v>
      </c>
      <c r="I276" cm="1">
        <f t="array" ref="I276">INT(F276)+IF(100-SUM(INT(F$276:F$284))&gt;=RANK(H276,H$276:H$284)+COUNTIF(H$276:H276,H276)-1,1,0)</f>
        <v>3</v>
      </c>
      <c r="J276" t="b">
        <f t="shared" si="34"/>
        <v>0</v>
      </c>
      <c r="K276" t="str">
        <f t="shared" si="35"/>
        <v/>
      </c>
      <c r="L276">
        <f>_xlfn.XLOOKUP(D276,BugList!C:C,BugList!N:N)</f>
        <v>4</v>
      </c>
      <c r="M276">
        <f t="shared" si="36"/>
        <v>12</v>
      </c>
      <c r="N276" t="b">
        <f>_xlfn.XLOOKUP(D276,BugList!C:C,BugList!L:L)</f>
        <v>1</v>
      </c>
      <c r="O276" t="b">
        <f t="shared" si="37"/>
        <v>0</v>
      </c>
      <c r="P276" s="18" t="b">
        <f>SUMPRODUCT(COUNTIF(_xlfn.XLOOKUP(D276,BugList!C:C,BugList!P:P), "*SC*"))&gt;0</f>
        <v>1</v>
      </c>
    </row>
    <row r="277" spans="1:16">
      <c r="A277" t="s">
        <v>2729</v>
      </c>
      <c r="B277">
        <v>454</v>
      </c>
      <c r="C277" t="s">
        <v>194</v>
      </c>
      <c r="D277" t="s">
        <v>126</v>
      </c>
      <c r="E277">
        <v>17</v>
      </c>
      <c r="F277" s="43">
        <f t="shared" si="38"/>
        <v>14.782608695652174</v>
      </c>
      <c r="G277" s="44">
        <f t="shared" si="32"/>
        <v>14</v>
      </c>
      <c r="H277" s="44">
        <f t="shared" si="33"/>
        <v>0.78260869565217384</v>
      </c>
      <c r="I277" cm="1">
        <f t="array" ref="I277">INT(F277)+IF(100-SUM(INT(F$276:F$284))&gt;=RANK(H277,H$276:H$284)+COUNTIF(H$276:H277,H277)-1,1,0)</f>
        <v>15</v>
      </c>
      <c r="J277" t="b">
        <f t="shared" si="34"/>
        <v>0</v>
      </c>
      <c r="K277" t="str">
        <f t="shared" si="35"/>
        <v/>
      </c>
      <c r="L277">
        <f>_xlfn.XLOOKUP(D277,BugList!C:C,BugList!N:N)</f>
        <v>8</v>
      </c>
      <c r="M277">
        <f t="shared" si="36"/>
        <v>120</v>
      </c>
      <c r="N277" t="b">
        <f>_xlfn.XLOOKUP(D277,BugList!C:C,BugList!L:L)</f>
        <v>1</v>
      </c>
      <c r="O277" t="b">
        <f t="shared" si="37"/>
        <v>0</v>
      </c>
      <c r="P277" s="18" t="b">
        <f>SUMPRODUCT(COUNTIF(_xlfn.XLOOKUP(D277,BugList!C:C,BugList!P:P), "*SC*"))&gt;0</f>
        <v>0</v>
      </c>
    </row>
    <row r="278" spans="1:16">
      <c r="A278" t="s">
        <v>2729</v>
      </c>
      <c r="B278">
        <v>454</v>
      </c>
      <c r="C278" t="s">
        <v>194</v>
      </c>
      <c r="D278" t="s">
        <v>101</v>
      </c>
      <c r="E278">
        <v>1</v>
      </c>
      <c r="F278" s="43">
        <f t="shared" si="38"/>
        <v>0.86956521739130432</v>
      </c>
      <c r="G278" s="44">
        <f t="shared" si="32"/>
        <v>0</v>
      </c>
      <c r="H278" s="44">
        <f t="shared" si="33"/>
        <v>0.86956521739130432</v>
      </c>
      <c r="I278" cm="1">
        <f t="array" ref="I278">INT(F278)+IF(100-SUM(INT(F$276:F$284))&gt;=RANK(H278,H$276:H$284)+COUNTIF(H$276:H278,H278)-1,1,0)</f>
        <v>1</v>
      </c>
      <c r="J278" t="b">
        <f t="shared" si="34"/>
        <v>0</v>
      </c>
      <c r="K278" t="str">
        <f t="shared" si="35"/>
        <v/>
      </c>
      <c r="L278">
        <f>_xlfn.XLOOKUP(D278,BugList!C:C,BugList!N:N)</f>
        <v>6</v>
      </c>
      <c r="M278">
        <f t="shared" si="36"/>
        <v>6</v>
      </c>
      <c r="N278" t="b">
        <f>_xlfn.XLOOKUP(D278,BugList!C:C,BugList!L:L)</f>
        <v>1</v>
      </c>
      <c r="O278" t="b">
        <f t="shared" si="37"/>
        <v>0</v>
      </c>
      <c r="P278" s="18" t="b">
        <f>SUMPRODUCT(COUNTIF(_xlfn.XLOOKUP(D278,BugList!C:C,BugList!P:P), "*SC*"))&gt;0</f>
        <v>0</v>
      </c>
    </row>
    <row r="279" spans="1:16">
      <c r="A279" t="s">
        <v>2729</v>
      </c>
      <c r="B279">
        <v>454</v>
      </c>
      <c r="C279" t="s">
        <v>198</v>
      </c>
      <c r="D279" t="s">
        <v>89</v>
      </c>
      <c r="E279">
        <v>57</v>
      </c>
      <c r="F279" s="43">
        <f t="shared" si="38"/>
        <v>49.565217391304351</v>
      </c>
      <c r="G279" s="44">
        <f t="shared" si="32"/>
        <v>49</v>
      </c>
      <c r="H279" s="44">
        <f t="shared" si="33"/>
        <v>0.56521739130435122</v>
      </c>
      <c r="I279" cm="1">
        <f t="array" ref="I279">INT(F279)+IF(100-SUM(INT(F$276:F$284))&gt;=RANK(H279,H$276:H$284)+COUNTIF(H$276:H279,H279)-1,1,0)</f>
        <v>49</v>
      </c>
      <c r="J279" t="b">
        <f t="shared" si="34"/>
        <v>1</v>
      </c>
      <c r="K279" t="str">
        <f t="shared" si="35"/>
        <v>Trichoptera</v>
      </c>
      <c r="L279">
        <f>_xlfn.XLOOKUP(D279,BugList!C:C,BugList!N:N)</f>
        <v>4</v>
      </c>
      <c r="M279">
        <f t="shared" si="36"/>
        <v>196</v>
      </c>
      <c r="N279" t="b">
        <f>_xlfn.XLOOKUP(D279,BugList!C:C,BugList!L:L)</f>
        <v>1</v>
      </c>
      <c r="O279" t="b">
        <f t="shared" si="37"/>
        <v>0</v>
      </c>
      <c r="P279" s="18" t="b">
        <f>SUMPRODUCT(COUNTIF(_xlfn.XLOOKUP(D279,BugList!C:C,BugList!P:P), "*SC*"))&gt;0</f>
        <v>0</v>
      </c>
    </row>
    <row r="280" spans="1:16">
      <c r="A280" t="s">
        <v>2729</v>
      </c>
      <c r="B280">
        <v>454</v>
      </c>
      <c r="C280" t="s">
        <v>201</v>
      </c>
      <c r="D280" t="s">
        <v>85</v>
      </c>
      <c r="E280">
        <v>29</v>
      </c>
      <c r="F280" s="43">
        <f t="shared" si="38"/>
        <v>25.217391304347824</v>
      </c>
      <c r="G280" s="44">
        <f t="shared" si="32"/>
        <v>25</v>
      </c>
      <c r="H280" s="44">
        <f t="shared" si="33"/>
        <v>0.21739130434782439</v>
      </c>
      <c r="I280" cm="1">
        <f t="array" ref="I280">INT(F280)+IF(100-SUM(INT(F$276:F$284))&gt;=RANK(H280,H$276:H$284)+COUNTIF(H$276:H280,H280)-1,1,0)</f>
        <v>25</v>
      </c>
      <c r="J280" t="b">
        <f t="shared" si="34"/>
        <v>0</v>
      </c>
      <c r="K280" t="str">
        <f t="shared" si="35"/>
        <v/>
      </c>
      <c r="L280">
        <f>_xlfn.XLOOKUP(D280,BugList!C:C,BugList!N:N)</f>
        <v>4</v>
      </c>
      <c r="M280">
        <f t="shared" si="36"/>
        <v>100</v>
      </c>
      <c r="N280" t="b">
        <f>_xlfn.XLOOKUP(D280,BugList!C:C,BugList!L:L)</f>
        <v>0</v>
      </c>
      <c r="O280" t="b">
        <f t="shared" si="37"/>
        <v>0</v>
      </c>
      <c r="P280" s="18" t="b">
        <f>SUMPRODUCT(COUNTIF(_xlfn.XLOOKUP(D280,BugList!C:C,BugList!P:P), "*SC*"))&gt;0</f>
        <v>0</v>
      </c>
    </row>
    <row r="281" spans="1:16">
      <c r="A281" t="s">
        <v>2729</v>
      </c>
      <c r="B281">
        <v>454</v>
      </c>
      <c r="C281" t="s">
        <v>202</v>
      </c>
      <c r="D281" t="s">
        <v>169</v>
      </c>
      <c r="E281">
        <v>2</v>
      </c>
      <c r="F281" s="43">
        <f t="shared" si="38"/>
        <v>1.7391304347826086</v>
      </c>
      <c r="G281" s="44">
        <f t="shared" si="32"/>
        <v>1</v>
      </c>
      <c r="H281" s="44">
        <f t="shared" si="33"/>
        <v>0.73913043478260865</v>
      </c>
      <c r="I281" cm="1">
        <f t="array" ref="I281">INT(F281)+IF(100-SUM(INT(F$276:F$284))&gt;=RANK(H281,H$276:H$284)+COUNTIF(H$276:H281,H281)-1,1,0)</f>
        <v>2</v>
      </c>
      <c r="J281" t="b">
        <f t="shared" si="34"/>
        <v>0</v>
      </c>
      <c r="K281" t="str">
        <f t="shared" si="35"/>
        <v/>
      </c>
      <c r="L281">
        <f>_xlfn.XLOOKUP(D281,BugList!C:C,BugList!N:N)</f>
        <v>5</v>
      </c>
      <c r="M281">
        <f t="shared" si="36"/>
        <v>10</v>
      </c>
      <c r="N281" t="b">
        <f>_xlfn.XLOOKUP(D281,BugList!C:C,BugList!L:L)</f>
        <v>0</v>
      </c>
      <c r="O281" t="b">
        <f t="shared" si="37"/>
        <v>0</v>
      </c>
      <c r="P281" s="18" t="b">
        <f>SUMPRODUCT(COUNTIF(_xlfn.XLOOKUP(D281,BugList!C:C,BugList!P:P), "*SC*"))&gt;0</f>
        <v>0</v>
      </c>
    </row>
    <row r="282" spans="1:16">
      <c r="A282" t="s">
        <v>2729</v>
      </c>
      <c r="B282">
        <v>454</v>
      </c>
      <c r="C282" t="s">
        <v>210</v>
      </c>
      <c r="D282" t="s">
        <v>92</v>
      </c>
      <c r="E282">
        <v>1</v>
      </c>
      <c r="F282" s="43">
        <f t="shared" si="38"/>
        <v>0.86956521739130432</v>
      </c>
      <c r="G282" s="44">
        <f t="shared" si="32"/>
        <v>0</v>
      </c>
      <c r="H282" s="44">
        <f t="shared" si="33"/>
        <v>0.86956521739130432</v>
      </c>
      <c r="I282" cm="1">
        <f t="array" ref="I282">INT(F282)+IF(100-SUM(INT(F$276:F$284))&gt;=RANK(H282,H$276:H$284)+COUNTIF(H$276:H282,H282)-1,1,0)</f>
        <v>1</v>
      </c>
      <c r="J282" t="b">
        <f t="shared" si="34"/>
        <v>0</v>
      </c>
      <c r="K282" t="str">
        <f t="shared" si="35"/>
        <v/>
      </c>
      <c r="L282">
        <f>_xlfn.XLOOKUP(D282,BugList!C:C,BugList!N:N)</f>
        <v>8</v>
      </c>
      <c r="M282">
        <f t="shared" si="36"/>
        <v>8</v>
      </c>
      <c r="N282" t="b">
        <f>_xlfn.XLOOKUP(D282,BugList!C:C,BugList!L:L)</f>
        <v>0</v>
      </c>
      <c r="O282" t="b">
        <f t="shared" si="37"/>
        <v>0</v>
      </c>
      <c r="P282" s="18" t="b">
        <f>SUMPRODUCT(COUNTIF(_xlfn.XLOOKUP(D282,BugList!C:C,BugList!P:P), "*SC*"))&gt;0</f>
        <v>0</v>
      </c>
    </row>
    <row r="283" spans="1:16">
      <c r="A283" t="s">
        <v>2729</v>
      </c>
      <c r="B283">
        <v>454</v>
      </c>
      <c r="C283" t="s">
        <v>210</v>
      </c>
      <c r="D283" t="s">
        <v>93</v>
      </c>
      <c r="E283">
        <v>4</v>
      </c>
      <c r="F283" s="43">
        <f t="shared" si="38"/>
        <v>3.4782608695652173</v>
      </c>
      <c r="G283" s="44">
        <f t="shared" si="32"/>
        <v>3</v>
      </c>
      <c r="H283" s="44">
        <f t="shared" si="33"/>
        <v>0.47826086956521729</v>
      </c>
      <c r="I283" cm="1">
        <f t="array" ref="I283">INT(F283)+IF(100-SUM(INT(F$276:F$284))&gt;=RANK(H283,H$276:H$284)+COUNTIF(H$276:H283,H283)-1,1,0)</f>
        <v>3</v>
      </c>
      <c r="J283" t="b">
        <f t="shared" si="34"/>
        <v>0</v>
      </c>
      <c r="K283" t="str">
        <f t="shared" si="35"/>
        <v/>
      </c>
      <c r="L283">
        <f>_xlfn.XLOOKUP(D283,BugList!C:C,BugList!N:N)</f>
        <v>8</v>
      </c>
      <c r="M283">
        <f t="shared" si="36"/>
        <v>24</v>
      </c>
      <c r="N283" t="b">
        <f>_xlfn.XLOOKUP(D283,BugList!C:C,BugList!L:L)</f>
        <v>0</v>
      </c>
      <c r="O283" t="b">
        <f t="shared" si="37"/>
        <v>0</v>
      </c>
      <c r="P283" s="18" t="b">
        <f>SUMPRODUCT(COUNTIF(_xlfn.XLOOKUP(D283,BugList!C:C,BugList!P:P), "*SC*"))&gt;0</f>
        <v>0</v>
      </c>
    </row>
    <row r="284" spans="1:16">
      <c r="A284" t="s">
        <v>2729</v>
      </c>
      <c r="B284">
        <v>454</v>
      </c>
      <c r="C284" t="s">
        <v>94</v>
      </c>
      <c r="D284" t="s">
        <v>594</v>
      </c>
      <c r="E284">
        <v>1</v>
      </c>
      <c r="F284" s="43">
        <f t="shared" si="38"/>
        <v>0.86956521739130432</v>
      </c>
      <c r="G284" s="44">
        <f t="shared" si="32"/>
        <v>0</v>
      </c>
      <c r="H284" s="44">
        <f t="shared" si="33"/>
        <v>0.86956521739130432</v>
      </c>
      <c r="I284" cm="1">
        <f t="array" ref="I284">INT(F284)+IF(100-SUM(INT(F$276:F$284))&gt;=RANK(H284,H$276:H$284)+COUNTIF(H$276:H284,H284)-1,1,0)</f>
        <v>1</v>
      </c>
      <c r="J284" t="b">
        <f t="shared" si="34"/>
        <v>0</v>
      </c>
      <c r="K284" t="str">
        <f t="shared" si="35"/>
        <v/>
      </c>
      <c r="L284">
        <f>_xlfn.XLOOKUP(D284,BugList!C:C,BugList!N:N)</f>
        <v>6</v>
      </c>
      <c r="M284">
        <f t="shared" si="36"/>
        <v>6</v>
      </c>
      <c r="N284" t="b">
        <f>_xlfn.XLOOKUP(D284,BugList!C:C,BugList!L:L)</f>
        <v>0</v>
      </c>
      <c r="O284" t="b">
        <f t="shared" si="37"/>
        <v>0</v>
      </c>
      <c r="P284" s="18" t="b">
        <f>SUMPRODUCT(COUNTIF(_xlfn.XLOOKUP(D284,BugList!C:C,BugList!P:P), "*SC*"))&gt;0</f>
        <v>0</v>
      </c>
    </row>
    <row r="285" spans="1:16">
      <c r="A285" t="s">
        <v>2730</v>
      </c>
      <c r="B285">
        <v>460</v>
      </c>
      <c r="C285" t="s">
        <v>194</v>
      </c>
      <c r="D285" t="s">
        <v>126</v>
      </c>
      <c r="E285">
        <v>18</v>
      </c>
      <c r="F285" s="43">
        <f t="shared" si="38"/>
        <v>8.4112149532710276</v>
      </c>
      <c r="G285" s="44">
        <f t="shared" si="32"/>
        <v>8</v>
      </c>
      <c r="H285" s="44">
        <f t="shared" si="33"/>
        <v>0.41121495327102764</v>
      </c>
      <c r="I285" cm="1">
        <f t="array" ref="I285">INT(F285)+IF(100-SUM(INT(F$285:F$291))&gt;=RANK(H285,H$285:H$291)+COUNTIF(H$285:H285,H285)-1,1,0)</f>
        <v>9</v>
      </c>
      <c r="J285" t="b">
        <f t="shared" si="34"/>
        <v>0</v>
      </c>
      <c r="K285" t="str">
        <f t="shared" si="35"/>
        <v/>
      </c>
      <c r="L285">
        <f>_xlfn.XLOOKUP(D285,BugList!C:C,BugList!N:N)</f>
        <v>8</v>
      </c>
      <c r="M285">
        <f t="shared" si="36"/>
        <v>72</v>
      </c>
      <c r="N285" t="b">
        <f>_xlfn.XLOOKUP(D285,BugList!C:C,BugList!L:L)</f>
        <v>1</v>
      </c>
      <c r="O285" t="b">
        <f t="shared" si="37"/>
        <v>0</v>
      </c>
      <c r="P285" s="18" t="b">
        <f>SUMPRODUCT(COUNTIF(_xlfn.XLOOKUP(D285,BugList!C:C,BugList!P:P), "*SC*"))&gt;0</f>
        <v>0</v>
      </c>
    </row>
    <row r="286" spans="1:16">
      <c r="A286" t="s">
        <v>2730</v>
      </c>
      <c r="B286">
        <v>460</v>
      </c>
      <c r="C286" t="s">
        <v>194</v>
      </c>
      <c r="D286" s="85" t="s">
        <v>90</v>
      </c>
      <c r="E286">
        <v>7</v>
      </c>
      <c r="F286" s="43">
        <f t="shared" si="38"/>
        <v>3.2710280373831773</v>
      </c>
      <c r="G286" s="44">
        <f t="shared" si="32"/>
        <v>3</v>
      </c>
      <c r="H286" s="44">
        <f t="shared" si="33"/>
        <v>0.27102803738317727</v>
      </c>
      <c r="I286" cm="1">
        <f t="array" ref="I286">INT(F286)+IF(100-SUM(INT(F$285:F$291))&gt;=RANK(H286,H$285:H$291)+COUNTIF(H$285:H286,H286)-1,1,0)</f>
        <v>3</v>
      </c>
      <c r="J286" t="b">
        <f t="shared" si="34"/>
        <v>0</v>
      </c>
      <c r="K286" t="str">
        <f t="shared" si="35"/>
        <v/>
      </c>
      <c r="L286">
        <f>_xlfn.XLOOKUP(D286,BugList!C:C,BugList!N:N)</f>
        <v>6</v>
      </c>
      <c r="M286">
        <f t="shared" si="36"/>
        <v>18</v>
      </c>
      <c r="N286" t="b">
        <f>_xlfn.XLOOKUP(D286,BugList!C:C,BugList!L:L)</f>
        <v>1</v>
      </c>
      <c r="O286" t="b">
        <f t="shared" si="37"/>
        <v>0</v>
      </c>
      <c r="P286" s="18" t="b">
        <f>SUMPRODUCT(COUNTIF(_xlfn.XLOOKUP(D286,BugList!C:C,BugList!P:P), "*SC*"))&gt;0</f>
        <v>0</v>
      </c>
    </row>
    <row r="287" spans="1:16">
      <c r="A287" t="s">
        <v>2730</v>
      </c>
      <c r="B287">
        <v>460</v>
      </c>
      <c r="C287" t="s">
        <v>198</v>
      </c>
      <c r="D287" t="s">
        <v>89</v>
      </c>
      <c r="E287">
        <v>118</v>
      </c>
      <c r="F287" s="43">
        <f t="shared" si="38"/>
        <v>55.140186915887845</v>
      </c>
      <c r="G287" s="44">
        <f t="shared" si="32"/>
        <v>55</v>
      </c>
      <c r="H287" s="44">
        <f t="shared" si="33"/>
        <v>0.14018691588784549</v>
      </c>
      <c r="I287" cm="1">
        <f t="array" ref="I287">INT(F287)+IF(100-SUM(INT(F$285:F$291))&gt;=RANK(H287,H$285:H$291)+COUNTIF(H$285:H287,H287)-1,1,0)</f>
        <v>55</v>
      </c>
      <c r="J287" t="b">
        <f t="shared" si="34"/>
        <v>1</v>
      </c>
      <c r="K287" t="str">
        <f t="shared" si="35"/>
        <v>Trichoptera</v>
      </c>
      <c r="L287">
        <f>_xlfn.XLOOKUP(D287,BugList!C:C,BugList!N:N)</f>
        <v>4</v>
      </c>
      <c r="M287">
        <f t="shared" si="36"/>
        <v>220</v>
      </c>
      <c r="N287" t="b">
        <f>_xlfn.XLOOKUP(D287,BugList!C:C,BugList!L:L)</f>
        <v>1</v>
      </c>
      <c r="O287" t="b">
        <f t="shared" si="37"/>
        <v>0</v>
      </c>
      <c r="P287" s="18" t="b">
        <f>SUMPRODUCT(COUNTIF(_xlfn.XLOOKUP(D287,BugList!C:C,BugList!P:P), "*SC*"))&gt;0</f>
        <v>0</v>
      </c>
    </row>
    <row r="288" spans="1:16">
      <c r="A288" t="s">
        <v>2730</v>
      </c>
      <c r="B288">
        <v>460</v>
      </c>
      <c r="C288" t="s">
        <v>204</v>
      </c>
      <c r="D288" t="s">
        <v>84</v>
      </c>
      <c r="E288">
        <v>2</v>
      </c>
      <c r="F288" s="43">
        <f t="shared" si="38"/>
        <v>0.93457943925233633</v>
      </c>
      <c r="G288" s="44">
        <f t="shared" si="32"/>
        <v>0</v>
      </c>
      <c r="H288" s="44">
        <f t="shared" si="33"/>
        <v>0.93457943925233633</v>
      </c>
      <c r="I288" cm="1">
        <f t="array" ref="I288">INT(F288)+IF(100-SUM(INT(F$285:F$291))&gt;=RANK(H288,H$285:H$291)+COUNTIF(H$285:H288,H288)-1,1,0)</f>
        <v>1</v>
      </c>
      <c r="J288" t="b">
        <f t="shared" si="34"/>
        <v>0</v>
      </c>
      <c r="K288" t="str">
        <f t="shared" si="35"/>
        <v/>
      </c>
      <c r="L288">
        <f>_xlfn.XLOOKUP(D288,BugList!C:C,BugList!N:N)</f>
        <v>8</v>
      </c>
      <c r="M288">
        <f t="shared" si="36"/>
        <v>8</v>
      </c>
      <c r="N288" t="b">
        <f>_xlfn.XLOOKUP(D288,BugList!C:C,BugList!L:L)</f>
        <v>0</v>
      </c>
      <c r="O288" t="b">
        <f t="shared" si="37"/>
        <v>0</v>
      </c>
      <c r="P288" s="18" t="b">
        <f>SUMPRODUCT(COUNTIF(_xlfn.XLOOKUP(D288,BugList!C:C,BugList!P:P), "*SC*"))&gt;0</f>
        <v>0</v>
      </c>
    </row>
    <row r="289" spans="1:16">
      <c r="A289" t="s">
        <v>2730</v>
      </c>
      <c r="B289">
        <v>460</v>
      </c>
      <c r="C289" t="s">
        <v>201</v>
      </c>
      <c r="D289" t="s">
        <v>85</v>
      </c>
      <c r="E289">
        <v>64</v>
      </c>
      <c r="F289" s="43">
        <f t="shared" si="38"/>
        <v>29.906542056074763</v>
      </c>
      <c r="G289" s="44">
        <f t="shared" si="32"/>
        <v>29</v>
      </c>
      <c r="H289" s="44">
        <f t="shared" si="33"/>
        <v>0.90654205607476257</v>
      </c>
      <c r="I289" cm="1">
        <f t="array" ref="I289">INT(F289)+IF(100-SUM(INT(F$285:F$291))&gt;=RANK(H289,H$285:H$291)+COUNTIF(H$285:H289,H289)-1,1,0)</f>
        <v>30</v>
      </c>
      <c r="J289" t="b">
        <f t="shared" si="34"/>
        <v>0</v>
      </c>
      <c r="K289" t="str">
        <f t="shared" si="35"/>
        <v/>
      </c>
      <c r="L289">
        <f>_xlfn.XLOOKUP(D289,BugList!C:C,BugList!N:N)</f>
        <v>4</v>
      </c>
      <c r="M289">
        <f t="shared" si="36"/>
        <v>120</v>
      </c>
      <c r="N289" t="b">
        <f>_xlfn.XLOOKUP(D289,BugList!C:C,BugList!L:L)</f>
        <v>0</v>
      </c>
      <c r="O289" t="b">
        <f t="shared" si="37"/>
        <v>0</v>
      </c>
      <c r="P289" s="18" t="b">
        <f>SUMPRODUCT(COUNTIF(_xlfn.XLOOKUP(D289,BugList!C:C,BugList!P:P), "*SC*"))&gt;0</f>
        <v>0</v>
      </c>
    </row>
    <row r="290" spans="1:16">
      <c r="A290" t="s">
        <v>2730</v>
      </c>
      <c r="B290">
        <v>460</v>
      </c>
      <c r="C290" t="s">
        <v>210</v>
      </c>
      <c r="D290" t="s">
        <v>93</v>
      </c>
      <c r="E290">
        <v>2</v>
      </c>
      <c r="F290" s="43">
        <f t="shared" si="38"/>
        <v>0.93457943925233633</v>
      </c>
      <c r="G290" s="44">
        <f t="shared" si="32"/>
        <v>0</v>
      </c>
      <c r="H290" s="44">
        <f t="shared" si="33"/>
        <v>0.93457943925233633</v>
      </c>
      <c r="I290" cm="1">
        <f t="array" ref="I290">INT(F290)+IF(100-SUM(INT(F$285:F$291))&gt;=RANK(H290,H$285:H$291)+COUNTIF(H$285:H290,H290)-1,1,0)</f>
        <v>1</v>
      </c>
      <c r="J290" t="b">
        <f t="shared" si="34"/>
        <v>0</v>
      </c>
      <c r="K290" t="str">
        <f t="shared" si="35"/>
        <v/>
      </c>
      <c r="L290">
        <f>_xlfn.XLOOKUP(D290,BugList!C:C,BugList!N:N)</f>
        <v>8</v>
      </c>
      <c r="M290">
        <f t="shared" si="36"/>
        <v>8</v>
      </c>
      <c r="N290" t="b">
        <f>_xlfn.XLOOKUP(D290,BugList!C:C,BugList!L:L)</f>
        <v>0</v>
      </c>
      <c r="O290" t="b">
        <f t="shared" si="37"/>
        <v>0</v>
      </c>
      <c r="P290" s="18" t="b">
        <f>SUMPRODUCT(COUNTIF(_xlfn.XLOOKUP(D290,BugList!C:C,BugList!P:P), "*SC*"))&gt;0</f>
        <v>0</v>
      </c>
    </row>
    <row r="291" spans="1:16">
      <c r="A291" t="s">
        <v>2730</v>
      </c>
      <c r="B291">
        <v>460</v>
      </c>
      <c r="C291" t="s">
        <v>94</v>
      </c>
      <c r="D291" s="85" t="s">
        <v>94</v>
      </c>
      <c r="E291">
        <v>3</v>
      </c>
      <c r="F291" s="43">
        <f t="shared" si="38"/>
        <v>1.4018691588785046</v>
      </c>
      <c r="G291" s="44">
        <f t="shared" si="32"/>
        <v>1</v>
      </c>
      <c r="H291" s="44">
        <f t="shared" si="33"/>
        <v>0.40186915887850461</v>
      </c>
      <c r="I291" cm="1">
        <f t="array" ref="I291">INT(F291)+IF(100-SUM(INT(F$285:F$291))&gt;=RANK(H291,H$285:H$291)+COUNTIF(H$285:H291,H291)-1,1,0)</f>
        <v>1</v>
      </c>
      <c r="J291" t="b">
        <f t="shared" si="34"/>
        <v>0</v>
      </c>
      <c r="K291" t="str">
        <f t="shared" si="35"/>
        <v/>
      </c>
      <c r="L291">
        <f>_xlfn.XLOOKUP(D291,BugList!C:C,BugList!N:N)</f>
        <v>8</v>
      </c>
      <c r="M291">
        <f t="shared" si="36"/>
        <v>8</v>
      </c>
      <c r="N291" t="b">
        <f>_xlfn.XLOOKUP(D291,BugList!C:C,BugList!L:L)</f>
        <v>0</v>
      </c>
      <c r="O291" t="b">
        <f t="shared" si="37"/>
        <v>0</v>
      </c>
      <c r="P291" s="18" t="b">
        <f>SUMPRODUCT(COUNTIF(_xlfn.XLOOKUP(D291,BugList!C:C,BugList!P:P), "*SC*"))&gt;0</f>
        <v>0</v>
      </c>
    </row>
    <row r="292" spans="1:16">
      <c r="A292" t="s">
        <v>2731</v>
      </c>
      <c r="B292">
        <v>470</v>
      </c>
      <c r="C292" t="s">
        <v>200</v>
      </c>
      <c r="D292" t="s">
        <v>98</v>
      </c>
      <c r="E292">
        <v>3</v>
      </c>
      <c r="F292" s="43">
        <f t="shared" si="38"/>
        <v>2.459016393442623</v>
      </c>
      <c r="G292" s="44">
        <f t="shared" si="32"/>
        <v>2</v>
      </c>
      <c r="H292" s="44">
        <f t="shared" si="33"/>
        <v>0.45901639344262302</v>
      </c>
      <c r="I292" cm="1">
        <f t="array" ref="I292">INT(F292)+IF(100-SUM(INT(F$292:F$303))&gt;=RANK(H292,H$292:H$303)+COUNTIF(H$292:H292,H292)-1,1,0)</f>
        <v>2</v>
      </c>
      <c r="J292" t="b">
        <f t="shared" si="34"/>
        <v>0</v>
      </c>
      <c r="K292" t="str">
        <f t="shared" si="35"/>
        <v/>
      </c>
      <c r="L292">
        <f>_xlfn.XLOOKUP(D292,BugList!C:C,BugList!N:N)</f>
        <v>4</v>
      </c>
      <c r="M292">
        <f t="shared" si="36"/>
        <v>8</v>
      </c>
      <c r="N292" t="b">
        <f>_xlfn.XLOOKUP(D292,BugList!C:C,BugList!L:L)</f>
        <v>1</v>
      </c>
      <c r="O292" t="b">
        <f t="shared" si="37"/>
        <v>0</v>
      </c>
      <c r="P292" s="18" t="b">
        <f>SUMPRODUCT(COUNTIF(_xlfn.XLOOKUP(D292,BugList!C:C,BugList!P:P), "*SC*"))&gt;0</f>
        <v>1</v>
      </c>
    </row>
    <row r="293" spans="1:16">
      <c r="A293" t="s">
        <v>2731</v>
      </c>
      <c r="B293">
        <v>470</v>
      </c>
      <c r="C293" t="s">
        <v>194</v>
      </c>
      <c r="D293" t="s">
        <v>126</v>
      </c>
      <c r="E293">
        <v>19</v>
      </c>
      <c r="F293" s="43">
        <f t="shared" si="38"/>
        <v>15.573770491803279</v>
      </c>
      <c r="G293" s="44">
        <f t="shared" si="32"/>
        <v>15</v>
      </c>
      <c r="H293" s="44">
        <f t="shared" si="33"/>
        <v>0.57377049180327866</v>
      </c>
      <c r="I293" cm="1">
        <f t="array" ref="I293">INT(F293)+IF(100-SUM(INT(F$292:F$303))&gt;=RANK(H293,H$292:H$303)+COUNTIF(H$292:H293,H293)-1,1,0)</f>
        <v>16</v>
      </c>
      <c r="J293" t="b">
        <f t="shared" si="34"/>
        <v>0</v>
      </c>
      <c r="K293" t="str">
        <f t="shared" si="35"/>
        <v/>
      </c>
      <c r="L293">
        <f>_xlfn.XLOOKUP(D293,BugList!C:C,BugList!N:N)</f>
        <v>8</v>
      </c>
      <c r="M293">
        <f t="shared" si="36"/>
        <v>128</v>
      </c>
      <c r="N293" t="b">
        <f>_xlfn.XLOOKUP(D293,BugList!C:C,BugList!L:L)</f>
        <v>1</v>
      </c>
      <c r="O293" t="b">
        <f t="shared" si="37"/>
        <v>0</v>
      </c>
      <c r="P293" s="18" t="b">
        <f>SUMPRODUCT(COUNTIF(_xlfn.XLOOKUP(D293,BugList!C:C,BugList!P:P), "*SC*"))&gt;0</f>
        <v>0</v>
      </c>
    </row>
    <row r="294" spans="1:16">
      <c r="A294" t="s">
        <v>2731</v>
      </c>
      <c r="B294">
        <v>470</v>
      </c>
      <c r="C294" t="s">
        <v>194</v>
      </c>
      <c r="D294" t="s">
        <v>90</v>
      </c>
      <c r="E294">
        <v>2</v>
      </c>
      <c r="F294" s="43">
        <f t="shared" si="38"/>
        <v>1.639344262295082</v>
      </c>
      <c r="G294" s="44">
        <f t="shared" si="32"/>
        <v>1</v>
      </c>
      <c r="H294" s="44">
        <f t="shared" si="33"/>
        <v>0.63934426229508201</v>
      </c>
      <c r="I294" cm="1">
        <f t="array" ref="I294">INT(F294)+IF(100-SUM(INT(F$292:F$303))&gt;=RANK(H294,H$292:H$303)+COUNTIF(H$292:H294,H294)-1,1,0)</f>
        <v>2</v>
      </c>
      <c r="J294" t="b">
        <f t="shared" si="34"/>
        <v>0</v>
      </c>
      <c r="K294" t="str">
        <f t="shared" si="35"/>
        <v/>
      </c>
      <c r="L294">
        <f>_xlfn.XLOOKUP(D294,BugList!C:C,BugList!N:N)</f>
        <v>6</v>
      </c>
      <c r="M294">
        <f t="shared" si="36"/>
        <v>12</v>
      </c>
      <c r="N294" t="b">
        <f>_xlfn.XLOOKUP(D294,BugList!C:C,BugList!L:L)</f>
        <v>1</v>
      </c>
      <c r="O294" t="b">
        <f t="shared" si="37"/>
        <v>0</v>
      </c>
      <c r="P294" s="18" t="b">
        <f>SUMPRODUCT(COUNTIF(_xlfn.XLOOKUP(D294,BugList!C:C,BugList!P:P), "*SC*"))&gt;0</f>
        <v>0</v>
      </c>
    </row>
    <row r="295" spans="1:16">
      <c r="A295" t="s">
        <v>2731</v>
      </c>
      <c r="B295">
        <v>470</v>
      </c>
      <c r="C295" t="s">
        <v>194</v>
      </c>
      <c r="D295" t="s">
        <v>108</v>
      </c>
      <c r="E295">
        <v>1</v>
      </c>
      <c r="F295" s="43">
        <f t="shared" ref="F295:F326" si="39">(E295/(SUMIFS(E:E,A:A,A295))*100)</f>
        <v>0.81967213114754101</v>
      </c>
      <c r="G295" s="44">
        <f t="shared" si="32"/>
        <v>0</v>
      </c>
      <c r="H295" s="44">
        <f t="shared" si="33"/>
        <v>0.81967213114754101</v>
      </c>
      <c r="I295" cm="1">
        <f t="array" ref="I295">INT(F295)+IF(100-SUM(INT(F$292:F$303))&gt;=RANK(H295,H$292:H$303)+COUNTIF(H$292:H295,H295)-1,1,0)</f>
        <v>1</v>
      </c>
      <c r="J295" t="b">
        <f t="shared" si="34"/>
        <v>0</v>
      </c>
      <c r="K295" t="str">
        <f t="shared" si="35"/>
        <v/>
      </c>
      <c r="L295">
        <f>_xlfn.XLOOKUP(D295,BugList!C:C,BugList!N:N)</f>
        <v>3</v>
      </c>
      <c r="M295">
        <f t="shared" si="36"/>
        <v>3</v>
      </c>
      <c r="N295" t="b">
        <f>_xlfn.XLOOKUP(D295,BugList!C:C,BugList!L:L)</f>
        <v>1</v>
      </c>
      <c r="O295" t="b">
        <f t="shared" si="37"/>
        <v>0</v>
      </c>
      <c r="P295" s="18" t="b">
        <f>SUMPRODUCT(COUNTIF(_xlfn.XLOOKUP(D295,BugList!C:C,BugList!P:P), "*SC*"))&gt;0</f>
        <v>0</v>
      </c>
    </row>
    <row r="296" spans="1:16">
      <c r="A296" t="s">
        <v>2731</v>
      </c>
      <c r="B296">
        <v>470</v>
      </c>
      <c r="C296" t="s">
        <v>211</v>
      </c>
      <c r="D296" t="s">
        <v>87</v>
      </c>
      <c r="E296">
        <v>8</v>
      </c>
      <c r="F296" s="43">
        <f t="shared" si="39"/>
        <v>6.557377049180328</v>
      </c>
      <c r="G296" s="44">
        <f t="shared" si="32"/>
        <v>6</v>
      </c>
      <c r="H296" s="44">
        <f t="shared" si="33"/>
        <v>0.55737704918032804</v>
      </c>
      <c r="I296" cm="1">
        <f t="array" ref="I296">INT(F296)+IF(100-SUM(INT(F$292:F$303))&gt;=RANK(H296,H$292:H$303)+COUNTIF(H$292:H296,H296)-1,1,0)</f>
        <v>6</v>
      </c>
      <c r="J296" t="b">
        <f t="shared" si="34"/>
        <v>0</v>
      </c>
      <c r="K296" t="str">
        <f t="shared" si="35"/>
        <v/>
      </c>
      <c r="L296">
        <f>_xlfn.XLOOKUP(D296,BugList!C:C,BugList!N:N)</f>
        <v>4</v>
      </c>
      <c r="M296">
        <f t="shared" si="36"/>
        <v>24</v>
      </c>
      <c r="N296" t="b">
        <f>_xlfn.XLOOKUP(D296,BugList!C:C,BugList!L:L)</f>
        <v>0</v>
      </c>
      <c r="O296" t="b">
        <f t="shared" si="37"/>
        <v>0</v>
      </c>
      <c r="P296" s="18" t="b">
        <f>SUMPRODUCT(COUNTIF(_xlfn.XLOOKUP(D296,BugList!C:C,BugList!P:P), "*SC*"))&gt;0</f>
        <v>0</v>
      </c>
    </row>
    <row r="297" spans="1:16">
      <c r="A297" t="s">
        <v>2731</v>
      </c>
      <c r="B297">
        <v>470</v>
      </c>
      <c r="C297" t="s">
        <v>198</v>
      </c>
      <c r="D297" t="s">
        <v>89</v>
      </c>
      <c r="E297">
        <v>16</v>
      </c>
      <c r="F297" s="43">
        <f t="shared" si="39"/>
        <v>13.114754098360656</v>
      </c>
      <c r="G297" s="44">
        <f t="shared" si="32"/>
        <v>13</v>
      </c>
      <c r="H297" s="44">
        <f t="shared" si="33"/>
        <v>0.11475409836065609</v>
      </c>
      <c r="I297" cm="1">
        <f t="array" ref="I297">INT(F297)+IF(100-SUM(INT(F$292:F$303))&gt;=RANK(H297,H$292:H$303)+COUNTIF(H$292:H297,H297)-1,1,0)</f>
        <v>13</v>
      </c>
      <c r="J297" t="b">
        <f t="shared" si="34"/>
        <v>1</v>
      </c>
      <c r="K297" t="str">
        <f t="shared" si="35"/>
        <v>Trichoptera</v>
      </c>
      <c r="L297">
        <f>_xlfn.XLOOKUP(D297,BugList!C:C,BugList!N:N)</f>
        <v>4</v>
      </c>
      <c r="M297">
        <f t="shared" si="36"/>
        <v>52</v>
      </c>
      <c r="N297" t="b">
        <f>_xlfn.XLOOKUP(D297,BugList!C:C,BugList!L:L)</f>
        <v>1</v>
      </c>
      <c r="O297" t="b">
        <f t="shared" si="37"/>
        <v>0</v>
      </c>
      <c r="P297" s="18" t="b">
        <f>SUMPRODUCT(COUNTIF(_xlfn.XLOOKUP(D297,BugList!C:C,BugList!P:P), "*SC*"))&gt;0</f>
        <v>0</v>
      </c>
    </row>
    <row r="298" spans="1:16">
      <c r="A298" t="s">
        <v>2731</v>
      </c>
      <c r="B298">
        <v>470</v>
      </c>
      <c r="C298" t="s">
        <v>204</v>
      </c>
      <c r="D298" t="s">
        <v>84</v>
      </c>
      <c r="E298">
        <v>13</v>
      </c>
      <c r="F298" s="43">
        <f t="shared" si="39"/>
        <v>10.655737704918032</v>
      </c>
      <c r="G298" s="44">
        <f t="shared" si="32"/>
        <v>10</v>
      </c>
      <c r="H298" s="44">
        <f t="shared" si="33"/>
        <v>0.65573770491803174</v>
      </c>
      <c r="I298" cm="1">
        <f t="array" ref="I298">INT(F298)+IF(100-SUM(INT(F$292:F$303))&gt;=RANK(H298,H$292:H$303)+COUNTIF(H$292:H298,H298)-1,1,0)</f>
        <v>11</v>
      </c>
      <c r="J298" t="b">
        <f t="shared" si="34"/>
        <v>0</v>
      </c>
      <c r="K298" t="str">
        <f t="shared" si="35"/>
        <v/>
      </c>
      <c r="L298">
        <f>_xlfn.XLOOKUP(D298,BugList!C:C,BugList!N:N)</f>
        <v>8</v>
      </c>
      <c r="M298">
        <f t="shared" si="36"/>
        <v>88</v>
      </c>
      <c r="N298" t="b">
        <f>_xlfn.XLOOKUP(D298,BugList!C:C,BugList!L:L)</f>
        <v>0</v>
      </c>
      <c r="O298" t="b">
        <f t="shared" si="37"/>
        <v>0</v>
      </c>
      <c r="P298" s="18" t="b">
        <f>SUMPRODUCT(COUNTIF(_xlfn.XLOOKUP(D298,BugList!C:C,BugList!P:P), "*SC*"))&gt;0</f>
        <v>0</v>
      </c>
    </row>
    <row r="299" spans="1:16">
      <c r="A299" t="s">
        <v>2731</v>
      </c>
      <c r="B299">
        <v>470</v>
      </c>
      <c r="C299" t="s">
        <v>201</v>
      </c>
      <c r="D299" t="s">
        <v>85</v>
      </c>
      <c r="E299">
        <v>14</v>
      </c>
      <c r="F299" s="43">
        <f t="shared" si="39"/>
        <v>11.475409836065573</v>
      </c>
      <c r="G299" s="44">
        <f t="shared" si="32"/>
        <v>11</v>
      </c>
      <c r="H299" s="44">
        <f t="shared" si="33"/>
        <v>0.47540983606557319</v>
      </c>
      <c r="I299" cm="1">
        <f t="array" ref="I299">INT(F299)+IF(100-SUM(INT(F$292:F$303))&gt;=RANK(H299,H$292:H$303)+COUNTIF(H$292:H299,H299)-1,1,0)</f>
        <v>11</v>
      </c>
      <c r="J299" t="b">
        <f t="shared" si="34"/>
        <v>0</v>
      </c>
      <c r="K299" t="str">
        <f t="shared" si="35"/>
        <v/>
      </c>
      <c r="L299">
        <f>_xlfn.XLOOKUP(D299,BugList!C:C,BugList!N:N)</f>
        <v>4</v>
      </c>
      <c r="M299">
        <f t="shared" si="36"/>
        <v>44</v>
      </c>
      <c r="N299" t="b">
        <f>_xlfn.XLOOKUP(D299,BugList!C:C,BugList!L:L)</f>
        <v>0</v>
      </c>
      <c r="O299" t="b">
        <f t="shared" si="37"/>
        <v>0</v>
      </c>
      <c r="P299" s="18" t="b">
        <f>SUMPRODUCT(COUNTIF(_xlfn.XLOOKUP(D299,BugList!C:C,BugList!P:P), "*SC*"))&gt;0</f>
        <v>0</v>
      </c>
    </row>
    <row r="300" spans="1:16">
      <c r="A300" t="s">
        <v>2731</v>
      </c>
      <c r="B300">
        <v>470</v>
      </c>
      <c r="C300" t="s">
        <v>202</v>
      </c>
      <c r="D300" t="s">
        <v>203</v>
      </c>
      <c r="E300">
        <v>1</v>
      </c>
      <c r="F300" s="43">
        <f t="shared" si="39"/>
        <v>0.81967213114754101</v>
      </c>
      <c r="G300" s="44">
        <f t="shared" si="32"/>
        <v>0</v>
      </c>
      <c r="H300" s="44">
        <f t="shared" si="33"/>
        <v>0.81967213114754101</v>
      </c>
      <c r="I300" cm="1">
        <f t="array" ref="I300">INT(F300)+IF(100-SUM(INT(F$292:F$303))&gt;=RANK(H300,H$292:H$303)+COUNTIF(H$292:H300,H300)-1,1,0)</f>
        <v>1</v>
      </c>
      <c r="J300" t="b">
        <f t="shared" si="34"/>
        <v>0</v>
      </c>
      <c r="K300" t="str">
        <f t="shared" si="35"/>
        <v/>
      </c>
      <c r="L300" s="71">
        <v>5</v>
      </c>
      <c r="M300">
        <f t="shared" si="36"/>
        <v>5</v>
      </c>
      <c r="N300" s="71" t="b">
        <v>0</v>
      </c>
      <c r="O300" t="b">
        <f t="shared" si="37"/>
        <v>0</v>
      </c>
      <c r="P300" s="72" t="b">
        <v>0</v>
      </c>
    </row>
    <row r="301" spans="1:16">
      <c r="A301" t="s">
        <v>2731</v>
      </c>
      <c r="B301">
        <v>470</v>
      </c>
      <c r="C301" t="s">
        <v>210</v>
      </c>
      <c r="D301" t="s">
        <v>92</v>
      </c>
      <c r="E301">
        <v>40</v>
      </c>
      <c r="F301" s="43">
        <f t="shared" si="39"/>
        <v>32.786885245901637</v>
      </c>
      <c r="G301" s="44">
        <f t="shared" si="32"/>
        <v>32</v>
      </c>
      <c r="H301" s="44">
        <f t="shared" si="33"/>
        <v>0.78688524590163667</v>
      </c>
      <c r="I301" cm="1">
        <f t="array" ref="I301">INT(F301)+IF(100-SUM(INT(F$292:F$303))&gt;=RANK(H301,H$292:H$303)+COUNTIF(H$292:H301,H301)-1,1,0)</f>
        <v>33</v>
      </c>
      <c r="J301" t="b">
        <f t="shared" si="34"/>
        <v>0</v>
      </c>
      <c r="K301" t="str">
        <f t="shared" si="35"/>
        <v/>
      </c>
      <c r="L301">
        <f>_xlfn.XLOOKUP(D301,BugList!C:C,BugList!N:N)</f>
        <v>8</v>
      </c>
      <c r="M301">
        <f t="shared" si="36"/>
        <v>264</v>
      </c>
      <c r="N301" t="b">
        <f>_xlfn.XLOOKUP(D301,BugList!C:C,BugList!L:L)</f>
        <v>0</v>
      </c>
      <c r="O301" t="b">
        <f t="shared" si="37"/>
        <v>0</v>
      </c>
      <c r="P301" s="18" t="b">
        <f>SUMPRODUCT(COUNTIF(_xlfn.XLOOKUP(D301,BugList!C:C,BugList!P:P), "*SC*"))&gt;0</f>
        <v>0</v>
      </c>
    </row>
    <row r="302" spans="1:16">
      <c r="A302" t="s">
        <v>2731</v>
      </c>
      <c r="B302">
        <v>470</v>
      </c>
      <c r="C302" t="s">
        <v>2315</v>
      </c>
      <c r="D302" t="s">
        <v>102</v>
      </c>
      <c r="E302">
        <v>1</v>
      </c>
      <c r="F302" s="43">
        <f t="shared" si="39"/>
        <v>0.81967213114754101</v>
      </c>
      <c r="G302" s="44">
        <f t="shared" si="32"/>
        <v>0</v>
      </c>
      <c r="H302" s="44">
        <f t="shared" si="33"/>
        <v>0.81967213114754101</v>
      </c>
      <c r="I302" cm="1">
        <f t="array" ref="I302">INT(F302)+IF(100-SUM(INT(F$292:F$303))&gt;=RANK(H302,H$292:H$303)+COUNTIF(H$292:H302,H302)-1,1,0)</f>
        <v>1</v>
      </c>
      <c r="J302" t="b">
        <f t="shared" si="34"/>
        <v>0</v>
      </c>
      <c r="K302" t="str">
        <f t="shared" si="35"/>
        <v/>
      </c>
      <c r="L302">
        <f>_xlfn.XLOOKUP(D302,BugList!C:C,BugList!N:N)</f>
        <v>7</v>
      </c>
      <c r="M302">
        <f t="shared" si="36"/>
        <v>7</v>
      </c>
      <c r="N302" t="b">
        <f>_xlfn.XLOOKUP(D302,BugList!C:C,BugList!L:L)</f>
        <v>0</v>
      </c>
      <c r="O302" t="b">
        <f t="shared" si="37"/>
        <v>0</v>
      </c>
      <c r="P302" s="18" t="b">
        <f>SUMPRODUCT(COUNTIF(_xlfn.XLOOKUP(D302,BugList!C:C,BugList!P:P), "*SC*"))&gt;0</f>
        <v>1</v>
      </c>
    </row>
    <row r="303" spans="1:16">
      <c r="A303" t="s">
        <v>2731</v>
      </c>
      <c r="B303">
        <v>470</v>
      </c>
      <c r="C303" t="s">
        <v>94</v>
      </c>
      <c r="D303" s="85" t="s">
        <v>94</v>
      </c>
      <c r="E303">
        <v>4</v>
      </c>
      <c r="F303" s="43">
        <f t="shared" si="39"/>
        <v>3.278688524590164</v>
      </c>
      <c r="G303" s="44">
        <f t="shared" si="32"/>
        <v>3</v>
      </c>
      <c r="H303" s="44">
        <f t="shared" si="33"/>
        <v>0.27868852459016402</v>
      </c>
      <c r="I303" cm="1">
        <f t="array" ref="I303">INT(F303)+IF(100-SUM(INT(F$292:F$303))&gt;=RANK(H303,H$292:H$303)+COUNTIF(H$292:H303,H303)-1,1,0)</f>
        <v>3</v>
      </c>
      <c r="J303" t="b">
        <f t="shared" si="34"/>
        <v>0</v>
      </c>
      <c r="K303" t="str">
        <f t="shared" si="35"/>
        <v/>
      </c>
      <c r="L303">
        <f>_xlfn.XLOOKUP(D303,BugList!C:C,BugList!N:N)</f>
        <v>8</v>
      </c>
      <c r="M303">
        <f t="shared" si="36"/>
        <v>24</v>
      </c>
      <c r="N303" t="b">
        <f>_xlfn.XLOOKUP(D303,BugList!C:C,BugList!L:L)</f>
        <v>0</v>
      </c>
      <c r="O303" t="b">
        <f t="shared" si="37"/>
        <v>0</v>
      </c>
      <c r="P303" s="18" t="b">
        <f>SUMPRODUCT(COUNTIF(_xlfn.XLOOKUP(D303,BugList!C:C,BugList!P:P), "*SC*"))&gt;0</f>
        <v>0</v>
      </c>
    </row>
    <row r="304" spans="1:16">
      <c r="A304" t="s">
        <v>2732</v>
      </c>
      <c r="B304">
        <v>489</v>
      </c>
      <c r="C304" t="s">
        <v>200</v>
      </c>
      <c r="D304" t="s">
        <v>98</v>
      </c>
      <c r="E304">
        <v>3</v>
      </c>
      <c r="F304" s="43">
        <f t="shared" si="39"/>
        <v>2.7027027027027026</v>
      </c>
      <c r="G304" s="44">
        <f t="shared" si="32"/>
        <v>2</v>
      </c>
      <c r="H304" s="44">
        <f t="shared" si="33"/>
        <v>0.70270270270270263</v>
      </c>
      <c r="I304" cm="1">
        <f t="array" ref="I304">INT(F304)+IF(100-SUM(INT(F$304:F$312))&gt;=RANK(H304,H$304:H$312)+COUNTIF(H$304:H304,H304)-1,1,0)</f>
        <v>3</v>
      </c>
      <c r="J304" t="b">
        <f t="shared" si="34"/>
        <v>0</v>
      </c>
      <c r="K304" t="str">
        <f t="shared" si="35"/>
        <v/>
      </c>
      <c r="L304">
        <f>_xlfn.XLOOKUP(D304,BugList!C:C,BugList!N:N)</f>
        <v>4</v>
      </c>
      <c r="M304">
        <f t="shared" si="36"/>
        <v>12</v>
      </c>
      <c r="N304" t="b">
        <f>_xlfn.XLOOKUP(D304,BugList!C:C,BugList!L:L)</f>
        <v>1</v>
      </c>
      <c r="O304" t="b">
        <f t="shared" si="37"/>
        <v>0</v>
      </c>
      <c r="P304" s="18" t="b">
        <f>SUMPRODUCT(COUNTIF(_xlfn.XLOOKUP(D304,BugList!C:C,BugList!P:P), "*SC*"))&gt;0</f>
        <v>1</v>
      </c>
    </row>
    <row r="305" spans="1:16">
      <c r="A305" t="s">
        <v>2732</v>
      </c>
      <c r="B305">
        <v>489</v>
      </c>
      <c r="C305" t="s">
        <v>194</v>
      </c>
      <c r="D305" t="s">
        <v>126</v>
      </c>
      <c r="E305">
        <v>6</v>
      </c>
      <c r="F305" s="43">
        <f t="shared" si="39"/>
        <v>5.4054054054054053</v>
      </c>
      <c r="G305" s="44">
        <f t="shared" si="32"/>
        <v>5</v>
      </c>
      <c r="H305" s="44">
        <f t="shared" si="33"/>
        <v>0.40540540540540526</v>
      </c>
      <c r="I305" cm="1">
        <f t="array" ref="I305">INT(F305)+IF(100-SUM(INT(F$304:F$312))&gt;=RANK(H305,H$304:H$312)+COUNTIF(H$304:H305,H305)-1,1,0)</f>
        <v>5</v>
      </c>
      <c r="J305" t="b">
        <f t="shared" si="34"/>
        <v>0</v>
      </c>
      <c r="K305" t="str">
        <f t="shared" si="35"/>
        <v/>
      </c>
      <c r="L305">
        <f>_xlfn.XLOOKUP(D305,BugList!C:C,BugList!N:N)</f>
        <v>8</v>
      </c>
      <c r="M305">
        <f t="shared" si="36"/>
        <v>40</v>
      </c>
      <c r="N305" t="b">
        <f>_xlfn.XLOOKUP(D305,BugList!C:C,BugList!L:L)</f>
        <v>1</v>
      </c>
      <c r="O305" t="b">
        <f t="shared" si="37"/>
        <v>0</v>
      </c>
      <c r="P305" s="18" t="b">
        <f>SUMPRODUCT(COUNTIF(_xlfn.XLOOKUP(D305,BugList!C:C,BugList!P:P), "*SC*"))&gt;0</f>
        <v>0</v>
      </c>
    </row>
    <row r="306" spans="1:16">
      <c r="A306" t="s">
        <v>2732</v>
      </c>
      <c r="B306">
        <v>489</v>
      </c>
      <c r="C306" t="s">
        <v>194</v>
      </c>
      <c r="D306" t="s">
        <v>90</v>
      </c>
      <c r="E306">
        <v>2</v>
      </c>
      <c r="F306" s="43">
        <f t="shared" si="39"/>
        <v>1.8018018018018018</v>
      </c>
      <c r="G306" s="44">
        <f t="shared" si="32"/>
        <v>1</v>
      </c>
      <c r="H306" s="44">
        <f t="shared" si="33"/>
        <v>0.80180180180180183</v>
      </c>
      <c r="I306" cm="1">
        <f t="array" ref="I306">INT(F306)+IF(100-SUM(INT(F$304:F$312))&gt;=RANK(H306,H$304:H$312)+COUNTIF(H$304:H306,H306)-1,1,0)</f>
        <v>2</v>
      </c>
      <c r="J306" t="b">
        <f t="shared" si="34"/>
        <v>0</v>
      </c>
      <c r="K306" t="str">
        <f t="shared" si="35"/>
        <v/>
      </c>
      <c r="L306">
        <f>_xlfn.XLOOKUP(D306,BugList!C:C,BugList!N:N)</f>
        <v>6</v>
      </c>
      <c r="M306">
        <f t="shared" si="36"/>
        <v>12</v>
      </c>
      <c r="N306" t="b">
        <f>_xlfn.XLOOKUP(D306,BugList!C:C,BugList!L:L)</f>
        <v>1</v>
      </c>
      <c r="O306" t="b">
        <f t="shared" si="37"/>
        <v>0</v>
      </c>
      <c r="P306" s="18" t="b">
        <f>SUMPRODUCT(COUNTIF(_xlfn.XLOOKUP(D306,BugList!C:C,BugList!P:P), "*SC*"))&gt;0</f>
        <v>0</v>
      </c>
    </row>
    <row r="307" spans="1:16">
      <c r="A307" t="s">
        <v>2732</v>
      </c>
      <c r="B307">
        <v>489</v>
      </c>
      <c r="C307" t="s">
        <v>2741</v>
      </c>
      <c r="D307" t="s">
        <v>87</v>
      </c>
      <c r="E307">
        <v>1</v>
      </c>
      <c r="F307" s="43">
        <f t="shared" si="39"/>
        <v>0.90090090090090091</v>
      </c>
      <c r="G307" s="44">
        <f t="shared" ref="G307:G342" si="40">INT(F307)</f>
        <v>0</v>
      </c>
      <c r="H307" s="44">
        <f t="shared" ref="H307:H342" si="41">F307-G307</f>
        <v>0.90090090090090091</v>
      </c>
      <c r="I307" cm="1">
        <f t="array" ref="I307">INT(F307)+IF(100-SUM(INT(F$304:F$312))&gt;=RANK(H307,H$304:H$312)+COUNTIF(H$304:H307,H307)-1,1,0)</f>
        <v>1</v>
      </c>
      <c r="J307" t="b">
        <f t="shared" ref="J307:J370" si="42">IF(OR(C307="Ephemeroptera", C307 ="Plecoptera", C307= "Trichoptera"), TRUE, FALSE)</f>
        <v>0</v>
      </c>
      <c r="K307" t="str">
        <f t="shared" ref="K307:K370" si="43">IF(J307=TRUE,C307,"")</f>
        <v/>
      </c>
      <c r="L307">
        <f>_xlfn.XLOOKUP(D307,BugList!C:C,BugList!N:N)</f>
        <v>4</v>
      </c>
      <c r="M307">
        <f t="shared" ref="M307:M370" si="44">L307*I307</f>
        <v>4</v>
      </c>
      <c r="N307" t="b">
        <f>_xlfn.XLOOKUP(D307,BugList!C:C,BugList!L:L)</f>
        <v>0</v>
      </c>
      <c r="O307" t="b">
        <f t="shared" ref="O307:O352" si="45">IF(J307=TRUE,IF(D307="Hydropsychidae", FALSE, TRUE), FALSE)</f>
        <v>0</v>
      </c>
      <c r="P307" s="18" t="b">
        <f>SUMPRODUCT(COUNTIF(_xlfn.XLOOKUP(D307,BugList!C:C,BugList!P:P), "*SC*"))&gt;0</f>
        <v>0</v>
      </c>
    </row>
    <row r="308" spans="1:16">
      <c r="A308" t="s">
        <v>2732</v>
      </c>
      <c r="B308">
        <v>489</v>
      </c>
      <c r="C308" t="s">
        <v>198</v>
      </c>
      <c r="D308" t="s">
        <v>89</v>
      </c>
      <c r="E308">
        <v>72</v>
      </c>
      <c r="F308" s="43">
        <f t="shared" si="39"/>
        <v>64.86486486486487</v>
      </c>
      <c r="G308" s="44">
        <f t="shared" si="40"/>
        <v>64</v>
      </c>
      <c r="H308" s="44">
        <f t="shared" si="41"/>
        <v>0.86486486486487024</v>
      </c>
      <c r="I308" cm="1">
        <f t="array" ref="I308">INT(F308)+IF(100-SUM(INT(F$304:F$312))&gt;=RANK(H308,H$304:H$312)+COUNTIF(H$304:H308,H308)-1,1,0)</f>
        <v>65</v>
      </c>
      <c r="J308" t="b">
        <f t="shared" si="42"/>
        <v>1</v>
      </c>
      <c r="K308" t="str">
        <f t="shared" si="43"/>
        <v>Trichoptera</v>
      </c>
      <c r="L308">
        <f>_xlfn.XLOOKUP(D308,BugList!C:C,BugList!N:N)</f>
        <v>4</v>
      </c>
      <c r="M308">
        <f t="shared" si="44"/>
        <v>260</v>
      </c>
      <c r="N308" t="b">
        <f>_xlfn.XLOOKUP(D308,BugList!C:C,BugList!L:L)</f>
        <v>1</v>
      </c>
      <c r="O308" t="b">
        <f t="shared" si="45"/>
        <v>0</v>
      </c>
      <c r="P308" s="18" t="b">
        <f>SUMPRODUCT(COUNTIF(_xlfn.XLOOKUP(D308,BugList!C:C,BugList!P:P), "*SC*"))&gt;0</f>
        <v>0</v>
      </c>
    </row>
    <row r="309" spans="1:16">
      <c r="A309" t="s">
        <v>2732</v>
      </c>
      <c r="B309">
        <v>489</v>
      </c>
      <c r="C309" t="s">
        <v>204</v>
      </c>
      <c r="D309" t="s">
        <v>84</v>
      </c>
      <c r="E309">
        <v>2</v>
      </c>
      <c r="F309" s="43">
        <f t="shared" si="39"/>
        <v>1.8018018018018018</v>
      </c>
      <c r="G309" s="44">
        <f t="shared" si="40"/>
        <v>1</v>
      </c>
      <c r="H309" s="44">
        <f t="shared" si="41"/>
        <v>0.80180180180180183</v>
      </c>
      <c r="I309" cm="1">
        <f t="array" ref="I309">INT(F309)+IF(100-SUM(INT(F$304:F$312))&gt;=RANK(H309,H$304:H$312)+COUNTIF(H$304:H309,H309)-1,1,0)</f>
        <v>2</v>
      </c>
      <c r="J309" t="b">
        <f t="shared" si="42"/>
        <v>0</v>
      </c>
      <c r="K309" t="str">
        <f t="shared" si="43"/>
        <v/>
      </c>
      <c r="L309">
        <f>_xlfn.XLOOKUP(D309,BugList!C:C,BugList!N:N)</f>
        <v>8</v>
      </c>
      <c r="M309">
        <f t="shared" si="44"/>
        <v>16</v>
      </c>
      <c r="N309" t="b">
        <f>_xlfn.XLOOKUP(D309,BugList!C:C,BugList!L:L)</f>
        <v>0</v>
      </c>
      <c r="O309" t="b">
        <f t="shared" si="45"/>
        <v>0</v>
      </c>
      <c r="P309" s="18" t="b">
        <f>SUMPRODUCT(COUNTIF(_xlfn.XLOOKUP(D309,BugList!C:C,BugList!P:P), "*SC*"))&gt;0</f>
        <v>0</v>
      </c>
    </row>
    <row r="310" spans="1:16">
      <c r="A310" t="s">
        <v>2732</v>
      </c>
      <c r="B310">
        <v>489</v>
      </c>
      <c r="C310" t="s">
        <v>201</v>
      </c>
      <c r="D310" t="s">
        <v>85</v>
      </c>
      <c r="E310">
        <v>19</v>
      </c>
      <c r="F310" s="43">
        <f t="shared" si="39"/>
        <v>17.117117117117118</v>
      </c>
      <c r="G310" s="44">
        <f t="shared" si="40"/>
        <v>17</v>
      </c>
      <c r="H310" s="44">
        <f t="shared" si="41"/>
        <v>0.11711711711711814</v>
      </c>
      <c r="I310" cm="1">
        <f t="array" ref="I310">INT(F310)+IF(100-SUM(INT(F$304:F$312))&gt;=RANK(H310,H$304:H$312)+COUNTIF(H$304:H310,H310)-1,1,0)</f>
        <v>17</v>
      </c>
      <c r="J310" t="b">
        <f t="shared" si="42"/>
        <v>0</v>
      </c>
      <c r="K310" t="str">
        <f t="shared" si="43"/>
        <v/>
      </c>
      <c r="L310">
        <f>_xlfn.XLOOKUP(D310,BugList!C:C,BugList!N:N)</f>
        <v>4</v>
      </c>
      <c r="M310">
        <f t="shared" si="44"/>
        <v>68</v>
      </c>
      <c r="N310" t="b">
        <f>_xlfn.XLOOKUP(D310,BugList!C:C,BugList!L:L)</f>
        <v>0</v>
      </c>
      <c r="O310" t="b">
        <f t="shared" si="45"/>
        <v>0</v>
      </c>
      <c r="P310" s="18" t="b">
        <f>SUMPRODUCT(COUNTIF(_xlfn.XLOOKUP(D310,BugList!C:C,BugList!P:P), "*SC*"))&gt;0</f>
        <v>0</v>
      </c>
    </row>
    <row r="311" spans="1:16">
      <c r="A311" t="s">
        <v>2732</v>
      </c>
      <c r="B311">
        <v>489</v>
      </c>
      <c r="C311" t="s">
        <v>210</v>
      </c>
      <c r="D311" t="s">
        <v>92</v>
      </c>
      <c r="E311">
        <v>1</v>
      </c>
      <c r="F311" s="43">
        <f t="shared" si="39"/>
        <v>0.90090090090090091</v>
      </c>
      <c r="G311" s="44">
        <f t="shared" si="40"/>
        <v>0</v>
      </c>
      <c r="H311" s="44">
        <f t="shared" si="41"/>
        <v>0.90090090090090091</v>
      </c>
      <c r="I311" cm="1">
        <f t="array" ref="I311">INT(F311)+IF(100-SUM(INT(F$304:F$312))&gt;=RANK(H311,H$304:H$312)+COUNTIF(H$304:H311,H311)-1,1,0)</f>
        <v>1</v>
      </c>
      <c r="J311" t="b">
        <f t="shared" si="42"/>
        <v>0</v>
      </c>
      <c r="K311" t="str">
        <f t="shared" si="43"/>
        <v/>
      </c>
      <c r="L311">
        <f>_xlfn.XLOOKUP(D311,BugList!C:C,BugList!N:N)</f>
        <v>8</v>
      </c>
      <c r="M311">
        <f t="shared" si="44"/>
        <v>8</v>
      </c>
      <c r="N311" t="b">
        <f>_xlfn.XLOOKUP(D311,BugList!C:C,BugList!L:L)</f>
        <v>0</v>
      </c>
      <c r="O311" t="b">
        <f t="shared" si="45"/>
        <v>0</v>
      </c>
      <c r="P311" s="18" t="b">
        <f>SUMPRODUCT(COUNTIF(_xlfn.XLOOKUP(D311,BugList!C:C,BugList!P:P), "*SC*"))&gt;0</f>
        <v>0</v>
      </c>
    </row>
    <row r="312" spans="1:16">
      <c r="A312" t="s">
        <v>2732</v>
      </c>
      <c r="B312">
        <v>489</v>
      </c>
      <c r="C312" t="s">
        <v>94</v>
      </c>
      <c r="D312" s="85" t="s">
        <v>94</v>
      </c>
      <c r="E312">
        <v>5</v>
      </c>
      <c r="F312" s="43">
        <f t="shared" si="39"/>
        <v>4.5045045045045047</v>
      </c>
      <c r="G312" s="44">
        <f t="shared" si="40"/>
        <v>4</v>
      </c>
      <c r="H312" s="44">
        <f t="shared" si="41"/>
        <v>0.50450450450450468</v>
      </c>
      <c r="I312" cm="1">
        <f t="array" ref="I312">INT(F312)+IF(100-SUM(INT(F$304:F$312))&gt;=RANK(H312,H$304:H$312)+COUNTIF(H$304:H312,H312)-1,1,0)</f>
        <v>4</v>
      </c>
      <c r="J312" t="b">
        <f t="shared" si="42"/>
        <v>0</v>
      </c>
      <c r="K312" t="str">
        <f t="shared" si="43"/>
        <v/>
      </c>
      <c r="L312">
        <f>_xlfn.XLOOKUP(D312,BugList!C:C,BugList!N:N)</f>
        <v>8</v>
      </c>
      <c r="M312">
        <f t="shared" si="44"/>
        <v>32</v>
      </c>
      <c r="N312" t="b">
        <f>_xlfn.XLOOKUP(D312,BugList!C:C,BugList!L:L)</f>
        <v>0</v>
      </c>
      <c r="O312" t="b">
        <f t="shared" si="45"/>
        <v>0</v>
      </c>
      <c r="P312" s="18" t="b">
        <f>SUMPRODUCT(COUNTIF(_xlfn.XLOOKUP(D312,BugList!C:C,BugList!P:P), "*SC*"))&gt;0</f>
        <v>0</v>
      </c>
    </row>
    <row r="313" spans="1:16">
      <c r="A313" t="s">
        <v>2733</v>
      </c>
      <c r="B313">
        <v>500</v>
      </c>
      <c r="C313" t="s">
        <v>200</v>
      </c>
      <c r="D313" t="s">
        <v>98</v>
      </c>
      <c r="E313">
        <v>6</v>
      </c>
      <c r="F313" s="43">
        <f t="shared" si="39"/>
        <v>3.6809815950920246</v>
      </c>
      <c r="G313" s="44">
        <f t="shared" si="40"/>
        <v>3</v>
      </c>
      <c r="H313" s="44">
        <f t="shared" si="41"/>
        <v>0.68098159509202461</v>
      </c>
      <c r="I313" cm="1">
        <f t="array" ref="I313">INT(F313)+IF(100-SUM(INT(F$313:F$323))&gt;=RANK(H313,H$313:H$323)+COUNTIF(H$313:H313,H313)-1,1,0)</f>
        <v>4</v>
      </c>
      <c r="J313" t="b">
        <f t="shared" si="42"/>
        <v>0</v>
      </c>
      <c r="K313" t="str">
        <f t="shared" si="43"/>
        <v/>
      </c>
      <c r="L313">
        <f>_xlfn.XLOOKUP(D313,BugList!C:C,BugList!N:N)</f>
        <v>4</v>
      </c>
      <c r="M313">
        <f>L313*I313</f>
        <v>16</v>
      </c>
      <c r="N313" t="b">
        <f>_xlfn.XLOOKUP(D313,BugList!C:C,BugList!L:L)</f>
        <v>1</v>
      </c>
      <c r="O313" t="b">
        <f t="shared" si="45"/>
        <v>0</v>
      </c>
      <c r="P313" s="18" t="b">
        <f>SUMPRODUCT(COUNTIF(_xlfn.XLOOKUP(D313,BugList!C:C,BugList!P:P), "*SC*"))&gt;0</f>
        <v>1</v>
      </c>
    </row>
    <row r="314" spans="1:16">
      <c r="A314" t="s">
        <v>2733</v>
      </c>
      <c r="B314">
        <v>500</v>
      </c>
      <c r="C314" t="s">
        <v>194</v>
      </c>
      <c r="D314" t="s">
        <v>126</v>
      </c>
      <c r="E314">
        <v>12</v>
      </c>
      <c r="F314" s="43">
        <f t="shared" si="39"/>
        <v>7.3619631901840492</v>
      </c>
      <c r="G314" s="44">
        <f t="shared" si="40"/>
        <v>7</v>
      </c>
      <c r="H314" s="44">
        <f t="shared" si="41"/>
        <v>0.36196319018404921</v>
      </c>
      <c r="I314" cm="1">
        <f t="array" ref="I314">INT(F314)+IF(100-SUM(INT(F$313:F$323))&gt;=RANK(H314,H$313:H$323)+COUNTIF(H$313:H314,H314)-1,1,0)</f>
        <v>7</v>
      </c>
      <c r="J314" t="b">
        <f t="shared" si="42"/>
        <v>0</v>
      </c>
      <c r="K314" t="str">
        <f t="shared" si="43"/>
        <v/>
      </c>
      <c r="L314">
        <f>_xlfn.XLOOKUP(D314,BugList!C:C,BugList!N:N)</f>
        <v>8</v>
      </c>
      <c r="M314">
        <f t="shared" si="44"/>
        <v>56</v>
      </c>
      <c r="N314" t="b">
        <f>_xlfn.XLOOKUP(D314,BugList!C:C,BugList!L:L)</f>
        <v>1</v>
      </c>
      <c r="O314" t="b">
        <f t="shared" si="45"/>
        <v>0</v>
      </c>
      <c r="P314" s="18" t="b">
        <f>SUMPRODUCT(COUNTIF(_xlfn.XLOOKUP(D314,BugList!C:C,BugList!P:P), "*SC*"))&gt;0</f>
        <v>0</v>
      </c>
    </row>
    <row r="315" spans="1:16">
      <c r="A315" t="s">
        <v>2733</v>
      </c>
      <c r="B315">
        <v>500</v>
      </c>
      <c r="C315" t="s">
        <v>194</v>
      </c>
      <c r="D315" t="s">
        <v>90</v>
      </c>
      <c r="E315">
        <v>3</v>
      </c>
      <c r="F315" s="43">
        <f t="shared" si="39"/>
        <v>1.8404907975460123</v>
      </c>
      <c r="G315" s="44">
        <f t="shared" si="40"/>
        <v>1</v>
      </c>
      <c r="H315" s="44">
        <f t="shared" si="41"/>
        <v>0.8404907975460123</v>
      </c>
      <c r="I315" cm="1">
        <f t="array" ref="I315">INT(F315)+IF(100-SUM(INT(F$313:F$323))&gt;=RANK(H315,H$313:H$323)+COUNTIF(H$313:H315,H315)-1,1,0)</f>
        <v>2</v>
      </c>
      <c r="J315" t="b">
        <f t="shared" si="42"/>
        <v>0</v>
      </c>
      <c r="K315" t="str">
        <f t="shared" si="43"/>
        <v/>
      </c>
      <c r="L315">
        <f>_xlfn.XLOOKUP(D315,BugList!C:C,BugList!N:N)</f>
        <v>6</v>
      </c>
      <c r="M315">
        <f t="shared" si="44"/>
        <v>12</v>
      </c>
      <c r="N315" t="b">
        <f>_xlfn.XLOOKUP(D315,BugList!C:C,BugList!L:L)</f>
        <v>1</v>
      </c>
      <c r="O315" t="b">
        <f t="shared" si="45"/>
        <v>0</v>
      </c>
      <c r="P315" s="18" t="b">
        <f>SUMPRODUCT(COUNTIF(_xlfn.XLOOKUP(D315,BugList!C:C,BugList!P:P), "*SC*"))&gt;0</f>
        <v>0</v>
      </c>
    </row>
    <row r="316" spans="1:16">
      <c r="A316" t="s">
        <v>2733</v>
      </c>
      <c r="B316">
        <v>500</v>
      </c>
      <c r="C316" t="s">
        <v>211</v>
      </c>
      <c r="D316" t="s">
        <v>87</v>
      </c>
      <c r="E316">
        <v>3</v>
      </c>
      <c r="F316" s="43">
        <f t="shared" si="39"/>
        <v>1.8404907975460123</v>
      </c>
      <c r="G316" s="44">
        <f t="shared" si="40"/>
        <v>1</v>
      </c>
      <c r="H316" s="44">
        <f t="shared" si="41"/>
        <v>0.8404907975460123</v>
      </c>
      <c r="I316" cm="1">
        <f t="array" ref="I316">INT(F316)+IF(100-SUM(INT(F$313:F$323))&gt;=RANK(H316,H$313:H$323)+COUNTIF(H$313:H316,H316)-1,1,0)</f>
        <v>2</v>
      </c>
      <c r="J316" t="b">
        <f t="shared" si="42"/>
        <v>0</v>
      </c>
      <c r="K316" t="str">
        <f t="shared" si="43"/>
        <v/>
      </c>
      <c r="L316">
        <f>_xlfn.XLOOKUP(D316,BugList!C:C,BugList!N:N)</f>
        <v>4</v>
      </c>
      <c r="M316">
        <f t="shared" si="44"/>
        <v>8</v>
      </c>
      <c r="N316" t="b">
        <f>_xlfn.XLOOKUP(D316,BugList!C:C,BugList!L:L)</f>
        <v>0</v>
      </c>
      <c r="O316" t="b">
        <f t="shared" si="45"/>
        <v>0</v>
      </c>
      <c r="P316" s="18" t="b">
        <f>SUMPRODUCT(COUNTIF(_xlfn.XLOOKUP(D316,BugList!C:C,BugList!P:P), "*SC*"))&gt;0</f>
        <v>0</v>
      </c>
    </row>
    <row r="317" spans="1:16">
      <c r="A317" t="s">
        <v>2733</v>
      </c>
      <c r="B317">
        <v>500</v>
      </c>
      <c r="C317" t="s">
        <v>198</v>
      </c>
      <c r="D317" t="s">
        <v>89</v>
      </c>
      <c r="E317">
        <v>72</v>
      </c>
      <c r="F317" s="43">
        <f t="shared" si="39"/>
        <v>44.171779141104295</v>
      </c>
      <c r="G317" s="44">
        <f t="shared" si="40"/>
        <v>44</v>
      </c>
      <c r="H317" s="44">
        <f t="shared" si="41"/>
        <v>0.17177914110429526</v>
      </c>
      <c r="I317" cm="1">
        <f t="array" ref="I317">INT(F317)+IF(100-SUM(INT(F$313:F$323))&gt;=RANK(H317,H$313:H$323)+COUNTIF(H$313:H317,H317)-1,1,0)</f>
        <v>44</v>
      </c>
      <c r="J317" t="b">
        <f t="shared" si="42"/>
        <v>1</v>
      </c>
      <c r="K317" t="str">
        <f t="shared" si="43"/>
        <v>Trichoptera</v>
      </c>
      <c r="L317">
        <f>_xlfn.XLOOKUP(D317,BugList!C:C,BugList!N:N)</f>
        <v>4</v>
      </c>
      <c r="M317">
        <f t="shared" si="44"/>
        <v>176</v>
      </c>
      <c r="N317" t="b">
        <f>_xlfn.XLOOKUP(D317,BugList!C:C,BugList!L:L)</f>
        <v>1</v>
      </c>
      <c r="O317" t="b">
        <f t="shared" si="45"/>
        <v>0</v>
      </c>
      <c r="P317" s="18" t="b">
        <f>SUMPRODUCT(COUNTIF(_xlfn.XLOOKUP(D317,BugList!C:C,BugList!P:P), "*SC*"))&gt;0</f>
        <v>0</v>
      </c>
    </row>
    <row r="318" spans="1:16">
      <c r="A318" t="s">
        <v>2733</v>
      </c>
      <c r="B318">
        <v>500</v>
      </c>
      <c r="C318" t="s">
        <v>204</v>
      </c>
      <c r="D318" t="s">
        <v>84</v>
      </c>
      <c r="E318">
        <v>6</v>
      </c>
      <c r="F318" s="43">
        <f t="shared" si="39"/>
        <v>3.6809815950920246</v>
      </c>
      <c r="G318" s="44">
        <f t="shared" si="40"/>
        <v>3</v>
      </c>
      <c r="H318" s="44">
        <f t="shared" si="41"/>
        <v>0.68098159509202461</v>
      </c>
      <c r="I318" cm="1">
        <f t="array" ref="I318">INT(F318)+IF(100-SUM(INT(F$313:F$323))&gt;=RANK(H318,H$313:H$323)+COUNTIF(H$313:H318,H318)-1,1,0)</f>
        <v>4</v>
      </c>
      <c r="J318" t="b">
        <f t="shared" si="42"/>
        <v>0</v>
      </c>
      <c r="K318" t="str">
        <f t="shared" si="43"/>
        <v/>
      </c>
      <c r="L318">
        <f>_xlfn.XLOOKUP(D318,BugList!C:C,BugList!N:N)</f>
        <v>8</v>
      </c>
      <c r="M318">
        <f t="shared" si="44"/>
        <v>32</v>
      </c>
      <c r="N318" t="b">
        <f>_xlfn.XLOOKUP(D318,BugList!C:C,BugList!L:L)</f>
        <v>0</v>
      </c>
      <c r="O318" t="b">
        <f t="shared" si="45"/>
        <v>0</v>
      </c>
      <c r="P318" s="18" t="b">
        <f>SUMPRODUCT(COUNTIF(_xlfn.XLOOKUP(D318,BugList!C:C,BugList!P:P), "*SC*"))&gt;0</f>
        <v>0</v>
      </c>
    </row>
    <row r="319" spans="1:16">
      <c r="A319" t="s">
        <v>2733</v>
      </c>
      <c r="B319">
        <v>500</v>
      </c>
      <c r="C319" t="s">
        <v>201</v>
      </c>
      <c r="D319" t="s">
        <v>85</v>
      </c>
      <c r="E319">
        <v>40</v>
      </c>
      <c r="F319" s="43">
        <f t="shared" si="39"/>
        <v>24.539877300613497</v>
      </c>
      <c r="G319" s="44">
        <f t="shared" si="40"/>
        <v>24</v>
      </c>
      <c r="H319" s="44">
        <f t="shared" si="41"/>
        <v>0.53987730061349737</v>
      </c>
      <c r="I319" cm="1">
        <f t="array" ref="I319">INT(F319)+IF(100-SUM(INT(F$313:F$323))&gt;=RANK(H319,H$313:H$323)+COUNTIF(H$313:H319,H319)-1,1,0)</f>
        <v>24</v>
      </c>
      <c r="J319" t="b">
        <f t="shared" si="42"/>
        <v>0</v>
      </c>
      <c r="K319" t="str">
        <f t="shared" si="43"/>
        <v/>
      </c>
      <c r="L319">
        <f>_xlfn.XLOOKUP(D319,BugList!C:C,BugList!N:N)</f>
        <v>4</v>
      </c>
      <c r="M319">
        <f t="shared" si="44"/>
        <v>96</v>
      </c>
      <c r="N319" t="b">
        <f>_xlfn.XLOOKUP(D319,BugList!C:C,BugList!L:L)</f>
        <v>0</v>
      </c>
      <c r="O319" t="b">
        <f t="shared" si="45"/>
        <v>0</v>
      </c>
      <c r="P319" s="18" t="b">
        <f>SUMPRODUCT(COUNTIF(_xlfn.XLOOKUP(D319,BugList!C:C,BugList!P:P), "*SC*"))&gt;0</f>
        <v>0</v>
      </c>
    </row>
    <row r="320" spans="1:16">
      <c r="A320" t="s">
        <v>2733</v>
      </c>
      <c r="B320">
        <v>500</v>
      </c>
      <c r="C320" t="s">
        <v>210</v>
      </c>
      <c r="D320" t="s">
        <v>92</v>
      </c>
      <c r="E320">
        <v>1</v>
      </c>
      <c r="F320" s="43">
        <f t="shared" si="39"/>
        <v>0.61349693251533743</v>
      </c>
      <c r="G320" s="44">
        <f t="shared" si="40"/>
        <v>0</v>
      </c>
      <c r="H320" s="44">
        <f t="shared" si="41"/>
        <v>0.61349693251533743</v>
      </c>
      <c r="I320" cm="1">
        <f t="array" ref="I320">INT(F320)+IF(100-SUM(INT(F$313:F$323))&gt;=RANK(H320,H$313:H$323)+COUNTIF(H$313:H320,H320)-1,1,0)</f>
        <v>1</v>
      </c>
      <c r="J320" t="b">
        <f t="shared" si="42"/>
        <v>0</v>
      </c>
      <c r="K320" t="str">
        <f t="shared" si="43"/>
        <v/>
      </c>
      <c r="L320">
        <f>_xlfn.XLOOKUP(D320,BugList!C:C,BugList!N:N)</f>
        <v>8</v>
      </c>
      <c r="M320">
        <f t="shared" si="44"/>
        <v>8</v>
      </c>
      <c r="N320" t="b">
        <f>_xlfn.XLOOKUP(D320,BugList!C:C,BugList!L:L)</f>
        <v>0</v>
      </c>
      <c r="O320" t="b">
        <f t="shared" si="45"/>
        <v>0</v>
      </c>
      <c r="P320" s="18" t="b">
        <f>SUMPRODUCT(COUNTIF(_xlfn.XLOOKUP(D320,BugList!C:C,BugList!P:P), "*SC*"))&gt;0</f>
        <v>0</v>
      </c>
    </row>
    <row r="321" spans="1:16">
      <c r="A321" t="s">
        <v>2733</v>
      </c>
      <c r="B321">
        <v>500</v>
      </c>
      <c r="C321" t="s">
        <v>210</v>
      </c>
      <c r="D321" t="s">
        <v>93</v>
      </c>
      <c r="E321">
        <v>9</v>
      </c>
      <c r="F321" s="43">
        <f t="shared" si="39"/>
        <v>5.5214723926380369</v>
      </c>
      <c r="G321" s="44">
        <f t="shared" si="40"/>
        <v>5</v>
      </c>
      <c r="H321" s="44">
        <f t="shared" si="41"/>
        <v>0.52147239263803691</v>
      </c>
      <c r="I321" cm="1">
        <f t="array" ref="I321">INT(F321)+IF(100-SUM(INT(F$313:F$323))&gt;=RANK(H321,H$313:H$323)+COUNTIF(H$313:H321,H321)-1,1,0)</f>
        <v>5</v>
      </c>
      <c r="J321" t="b">
        <f t="shared" si="42"/>
        <v>0</v>
      </c>
      <c r="K321" t="str">
        <f t="shared" si="43"/>
        <v/>
      </c>
      <c r="L321">
        <f>_xlfn.XLOOKUP(D321,BugList!C:C,BugList!N:N)</f>
        <v>8</v>
      </c>
      <c r="M321">
        <f t="shared" si="44"/>
        <v>40</v>
      </c>
      <c r="N321" t="b">
        <f>_xlfn.XLOOKUP(D321,BugList!C:C,BugList!L:L)</f>
        <v>0</v>
      </c>
      <c r="O321" t="b">
        <f t="shared" si="45"/>
        <v>0</v>
      </c>
      <c r="P321" s="18" t="b">
        <f>SUMPRODUCT(COUNTIF(_xlfn.XLOOKUP(D321,BugList!C:C,BugList!P:P), "*SC*"))&gt;0</f>
        <v>0</v>
      </c>
    </row>
    <row r="322" spans="1:16">
      <c r="A322" t="s">
        <v>2733</v>
      </c>
      <c r="B322">
        <v>500</v>
      </c>
      <c r="C322" t="s">
        <v>205</v>
      </c>
      <c r="D322" t="s">
        <v>206</v>
      </c>
      <c r="E322">
        <v>1</v>
      </c>
      <c r="F322" s="43">
        <f t="shared" si="39"/>
        <v>0.61349693251533743</v>
      </c>
      <c r="G322" s="44">
        <f t="shared" si="40"/>
        <v>0</v>
      </c>
      <c r="H322" s="44">
        <f t="shared" si="41"/>
        <v>0.61349693251533743</v>
      </c>
      <c r="I322" cm="1">
        <f t="array" ref="I322">INT(F322)+IF(100-SUM(INT(F$313:F$323))&gt;=RANK(H322,H$313:H$323)+COUNTIF(H$313:H322,H322)-1,1,0)</f>
        <v>1</v>
      </c>
      <c r="J322" t="b">
        <f t="shared" si="42"/>
        <v>0</v>
      </c>
      <c r="K322" t="str">
        <f t="shared" si="43"/>
        <v/>
      </c>
      <c r="L322" s="71">
        <v>8</v>
      </c>
      <c r="M322">
        <f t="shared" si="44"/>
        <v>8</v>
      </c>
      <c r="N322" s="71" t="b">
        <v>0</v>
      </c>
      <c r="O322" t="b">
        <f t="shared" si="45"/>
        <v>0</v>
      </c>
      <c r="P322" s="72" t="b">
        <v>0</v>
      </c>
    </row>
    <row r="323" spans="1:16">
      <c r="A323" t="s">
        <v>2733</v>
      </c>
      <c r="B323">
        <v>500</v>
      </c>
      <c r="C323" t="s">
        <v>94</v>
      </c>
      <c r="D323" s="85" t="s">
        <v>94</v>
      </c>
      <c r="E323">
        <v>10</v>
      </c>
      <c r="F323" s="43">
        <f t="shared" si="39"/>
        <v>6.1349693251533743</v>
      </c>
      <c r="G323" s="44">
        <f t="shared" si="40"/>
        <v>6</v>
      </c>
      <c r="H323" s="44">
        <f t="shared" si="41"/>
        <v>0.13496932515337434</v>
      </c>
      <c r="I323" cm="1">
        <f t="array" ref="I323">INT(F323)+IF(100-SUM(INT(F$313:F$323))&gt;=RANK(H323,H$313:H$323)+COUNTIF(H$313:H323,H323)-1,1,0)</f>
        <v>6</v>
      </c>
      <c r="J323" t="b">
        <f t="shared" si="42"/>
        <v>0</v>
      </c>
      <c r="K323" t="str">
        <f t="shared" si="43"/>
        <v/>
      </c>
      <c r="L323">
        <f>_xlfn.XLOOKUP(D323,BugList!C:C,BugList!N:N)</f>
        <v>8</v>
      </c>
      <c r="M323">
        <f t="shared" si="44"/>
        <v>48</v>
      </c>
      <c r="N323" t="b">
        <f>_xlfn.XLOOKUP(D323,BugList!C:C,BugList!L:L)</f>
        <v>0</v>
      </c>
      <c r="O323" t="b">
        <f t="shared" si="45"/>
        <v>0</v>
      </c>
      <c r="P323" s="18" t="b">
        <f>SUMPRODUCT(COUNTIF(_xlfn.XLOOKUP(D323,BugList!C:C,BugList!P:P), "*SC*"))&gt;0</f>
        <v>0</v>
      </c>
    </row>
    <row r="324" spans="1:16">
      <c r="A324" t="s">
        <v>2734</v>
      </c>
      <c r="B324">
        <v>511</v>
      </c>
      <c r="C324" t="s">
        <v>119</v>
      </c>
      <c r="D324" t="s">
        <v>87</v>
      </c>
      <c r="E324">
        <v>7</v>
      </c>
      <c r="F324" s="43">
        <f t="shared" si="39"/>
        <v>6.140350877192982</v>
      </c>
      <c r="G324" s="44">
        <f t="shared" si="40"/>
        <v>6</v>
      </c>
      <c r="H324" s="44">
        <f t="shared" si="41"/>
        <v>0.140350877192982</v>
      </c>
      <c r="I324" cm="1">
        <f t="array" ref="I324">INT(F324)+IF(100-SUM(INT(F$324:F$332))&gt;=RANK(H324,H$324:H$332)+COUNTIF(H$324:H324,H324)-1,1,0)</f>
        <v>6</v>
      </c>
      <c r="J324" t="b">
        <f t="shared" si="42"/>
        <v>0</v>
      </c>
      <c r="K324" t="str">
        <f t="shared" si="43"/>
        <v/>
      </c>
      <c r="L324">
        <f>_xlfn.XLOOKUP(D324,BugList!C:C,BugList!N:N)</f>
        <v>4</v>
      </c>
      <c r="M324">
        <f t="shared" si="44"/>
        <v>24</v>
      </c>
      <c r="N324" t="b">
        <f>_xlfn.XLOOKUP(D324,BugList!C:C,BugList!L:L)</f>
        <v>0</v>
      </c>
      <c r="O324" t="b">
        <f t="shared" si="45"/>
        <v>0</v>
      </c>
      <c r="P324" s="18" t="b">
        <f>SUMPRODUCT(COUNTIF(_xlfn.XLOOKUP(D324,BugList!C:C,BugList!P:P), "*SC*"))&gt;0</f>
        <v>0</v>
      </c>
    </row>
    <row r="325" spans="1:16">
      <c r="A325" t="s">
        <v>2734</v>
      </c>
      <c r="B325">
        <v>511</v>
      </c>
      <c r="C325" t="s">
        <v>198</v>
      </c>
      <c r="D325" t="s">
        <v>89</v>
      </c>
      <c r="E325">
        <v>12</v>
      </c>
      <c r="F325" s="43">
        <f t="shared" si="39"/>
        <v>10.526315789473683</v>
      </c>
      <c r="G325" s="44">
        <f t="shared" si="40"/>
        <v>10</v>
      </c>
      <c r="H325" s="44">
        <f t="shared" si="41"/>
        <v>0.52631578947368318</v>
      </c>
      <c r="I325" cm="1">
        <f t="array" ref="I325">INT(F325)+IF(100-SUM(INT(F$324:F$332))&gt;=RANK(H325,H$324:H$332)+COUNTIF(H$324:H325,H325)-1,1,0)</f>
        <v>10</v>
      </c>
      <c r="J325" t="b">
        <f t="shared" si="42"/>
        <v>1</v>
      </c>
      <c r="K325" t="str">
        <f t="shared" si="43"/>
        <v>Trichoptera</v>
      </c>
      <c r="L325">
        <f>_xlfn.XLOOKUP(D325,BugList!C:C,BugList!N:N)</f>
        <v>4</v>
      </c>
      <c r="M325">
        <f t="shared" si="44"/>
        <v>40</v>
      </c>
      <c r="N325" t="b">
        <f>_xlfn.XLOOKUP(D325,BugList!C:C,BugList!L:L)</f>
        <v>1</v>
      </c>
      <c r="O325" t="b">
        <f t="shared" si="45"/>
        <v>0</v>
      </c>
      <c r="P325" s="18" t="b">
        <f>SUMPRODUCT(COUNTIF(_xlfn.XLOOKUP(D325,BugList!C:C,BugList!P:P), "*SC*"))&gt;0</f>
        <v>0</v>
      </c>
    </row>
    <row r="326" spans="1:16">
      <c r="A326" t="s">
        <v>2734</v>
      </c>
      <c r="B326">
        <v>511</v>
      </c>
      <c r="C326" t="s">
        <v>204</v>
      </c>
      <c r="D326" t="s">
        <v>84</v>
      </c>
      <c r="E326">
        <v>4</v>
      </c>
      <c r="F326" s="43">
        <f t="shared" si="39"/>
        <v>3.5087719298245612</v>
      </c>
      <c r="G326" s="44">
        <f t="shared" si="40"/>
        <v>3</v>
      </c>
      <c r="H326" s="44">
        <f t="shared" si="41"/>
        <v>0.50877192982456121</v>
      </c>
      <c r="I326" cm="1">
        <f t="array" ref="I326">INT(F326)+IF(100-SUM(INT(F$324:F$332))&gt;=RANK(H326,H$324:H$332)+COUNTIF(H$324:H326,H326)-1,1,0)</f>
        <v>3</v>
      </c>
      <c r="J326" t="b">
        <f t="shared" si="42"/>
        <v>0</v>
      </c>
      <c r="K326" t="str">
        <f t="shared" si="43"/>
        <v/>
      </c>
      <c r="L326">
        <f>_xlfn.XLOOKUP(D326,BugList!C:C,BugList!N:N)</f>
        <v>8</v>
      </c>
      <c r="M326">
        <f t="shared" si="44"/>
        <v>24</v>
      </c>
      <c r="N326" t="b">
        <f>_xlfn.XLOOKUP(D326,BugList!C:C,BugList!L:L)</f>
        <v>0</v>
      </c>
      <c r="O326" t="b">
        <f t="shared" si="45"/>
        <v>0</v>
      </c>
      <c r="P326" s="18" t="b">
        <f>SUMPRODUCT(COUNTIF(_xlfn.XLOOKUP(D326,BugList!C:C,BugList!P:P), "*SC*"))&gt;0</f>
        <v>0</v>
      </c>
    </row>
    <row r="327" spans="1:16">
      <c r="A327" t="s">
        <v>2734</v>
      </c>
      <c r="B327">
        <v>511</v>
      </c>
      <c r="C327" t="s">
        <v>201</v>
      </c>
      <c r="D327" t="s">
        <v>85</v>
      </c>
      <c r="E327">
        <v>75</v>
      </c>
      <c r="F327" s="43">
        <f t="shared" ref="F327:F358" si="46">(E327/(SUMIFS(E:E,A:A,A327))*100)</f>
        <v>65.789473684210535</v>
      </c>
      <c r="G327" s="44">
        <f t="shared" si="40"/>
        <v>65</v>
      </c>
      <c r="H327" s="44">
        <f t="shared" si="41"/>
        <v>0.78947368421053454</v>
      </c>
      <c r="I327" cm="1">
        <f t="array" ref="I327">INT(F327)+IF(100-SUM(INT(F$324:F$332))&gt;=RANK(H327,H$324:H$332)+COUNTIF(H$324:H327,H327)-1,1,0)</f>
        <v>66</v>
      </c>
      <c r="J327" t="b">
        <f t="shared" si="42"/>
        <v>0</v>
      </c>
      <c r="K327" t="str">
        <f t="shared" si="43"/>
        <v/>
      </c>
      <c r="L327">
        <f>_xlfn.XLOOKUP(D327,BugList!C:C,BugList!N:N)</f>
        <v>4</v>
      </c>
      <c r="M327">
        <f t="shared" si="44"/>
        <v>264</v>
      </c>
      <c r="N327" t="b">
        <f>_xlfn.XLOOKUP(D327,BugList!C:C,BugList!L:L)</f>
        <v>0</v>
      </c>
      <c r="O327" t="b">
        <f t="shared" si="45"/>
        <v>0</v>
      </c>
      <c r="P327" s="18" t="b">
        <f>SUMPRODUCT(COUNTIF(_xlfn.XLOOKUP(D327,BugList!C:C,BugList!P:P), "*SC*"))&gt;0</f>
        <v>0</v>
      </c>
    </row>
    <row r="328" spans="1:16">
      <c r="A328" t="s">
        <v>2734</v>
      </c>
      <c r="B328">
        <v>511</v>
      </c>
      <c r="C328" t="s">
        <v>202</v>
      </c>
      <c r="D328" t="s">
        <v>169</v>
      </c>
      <c r="E328">
        <v>1</v>
      </c>
      <c r="F328" s="43">
        <f t="shared" si="46"/>
        <v>0.8771929824561403</v>
      </c>
      <c r="G328" s="44">
        <f t="shared" si="40"/>
        <v>0</v>
      </c>
      <c r="H328" s="44">
        <f t="shared" si="41"/>
        <v>0.8771929824561403</v>
      </c>
      <c r="I328" cm="1">
        <f t="array" ref="I328">INT(F328)+IF(100-SUM(INT(F$324:F$332))&gt;=RANK(H328,H$324:H$332)+COUNTIF(H$324:H328,H328)-1,1,0)</f>
        <v>1</v>
      </c>
      <c r="J328" t="b">
        <f t="shared" si="42"/>
        <v>0</v>
      </c>
      <c r="K328" t="str">
        <f t="shared" si="43"/>
        <v/>
      </c>
      <c r="L328">
        <f>_xlfn.XLOOKUP(D328,BugList!C:C,BugList!N:N)</f>
        <v>5</v>
      </c>
      <c r="M328">
        <f t="shared" si="44"/>
        <v>5</v>
      </c>
      <c r="N328" t="b">
        <f>_xlfn.XLOOKUP(D328,BugList!C:C,BugList!L:L)</f>
        <v>0</v>
      </c>
      <c r="O328" t="b">
        <f t="shared" si="45"/>
        <v>0</v>
      </c>
      <c r="P328" s="18" t="b">
        <f>SUMPRODUCT(COUNTIF(_xlfn.XLOOKUP(D328,BugList!C:C,BugList!P:P), "*SC*"))&gt;0</f>
        <v>0</v>
      </c>
    </row>
    <row r="329" spans="1:16">
      <c r="A329" t="s">
        <v>2734</v>
      </c>
      <c r="B329">
        <v>511</v>
      </c>
      <c r="C329" t="s">
        <v>210</v>
      </c>
      <c r="D329" t="s">
        <v>92</v>
      </c>
      <c r="E329">
        <v>3</v>
      </c>
      <c r="F329" s="43">
        <f t="shared" si="46"/>
        <v>2.6315789473684208</v>
      </c>
      <c r="G329" s="44">
        <f t="shared" si="40"/>
        <v>2</v>
      </c>
      <c r="H329" s="44">
        <f t="shared" si="41"/>
        <v>0.6315789473684208</v>
      </c>
      <c r="I329" cm="1">
        <f t="array" ref="I329">INT(F329)+IF(100-SUM(INT(F$324:F$332))&gt;=RANK(H329,H$324:H$332)+COUNTIF(H$324:H329,H329)-1,1,0)</f>
        <v>3</v>
      </c>
      <c r="J329" t="b">
        <f t="shared" si="42"/>
        <v>0</v>
      </c>
      <c r="K329" t="str">
        <f t="shared" si="43"/>
        <v/>
      </c>
      <c r="L329">
        <f>_xlfn.XLOOKUP(D329,BugList!C:C,BugList!N:N)</f>
        <v>8</v>
      </c>
      <c r="M329">
        <f t="shared" si="44"/>
        <v>24</v>
      </c>
      <c r="N329" t="b">
        <f>_xlfn.XLOOKUP(D329,BugList!C:C,BugList!L:L)</f>
        <v>0</v>
      </c>
      <c r="O329" t="b">
        <f t="shared" si="45"/>
        <v>0</v>
      </c>
      <c r="P329" s="18" t="b">
        <f>SUMPRODUCT(COUNTIF(_xlfn.XLOOKUP(D329,BugList!C:C,BugList!P:P), "*SC*"))&gt;0</f>
        <v>0</v>
      </c>
    </row>
    <row r="330" spans="1:16">
      <c r="A330" t="s">
        <v>2734</v>
      </c>
      <c r="B330">
        <v>511</v>
      </c>
      <c r="C330" t="s">
        <v>210</v>
      </c>
      <c r="D330" t="s">
        <v>93</v>
      </c>
      <c r="E330">
        <v>8</v>
      </c>
      <c r="F330" s="43">
        <f t="shared" si="46"/>
        <v>7.0175438596491224</v>
      </c>
      <c r="G330" s="44">
        <f t="shared" si="40"/>
        <v>7</v>
      </c>
      <c r="H330" s="44">
        <f t="shared" si="41"/>
        <v>1.7543859649122417E-2</v>
      </c>
      <c r="I330" cm="1">
        <f t="array" ref="I330">INT(F330)+IF(100-SUM(INT(F$324:F$332))&gt;=RANK(H330,H$324:H$332)+COUNTIF(H$324:H330,H330)-1,1,0)</f>
        <v>7</v>
      </c>
      <c r="J330" t="b">
        <f t="shared" si="42"/>
        <v>0</v>
      </c>
      <c r="K330" t="str">
        <f t="shared" si="43"/>
        <v/>
      </c>
      <c r="L330">
        <f>_xlfn.XLOOKUP(D330,BugList!C:C,BugList!N:N)</f>
        <v>8</v>
      </c>
      <c r="M330">
        <f t="shared" si="44"/>
        <v>56</v>
      </c>
      <c r="N330" t="b">
        <f>_xlfn.XLOOKUP(D330,BugList!C:C,BugList!L:L)</f>
        <v>0</v>
      </c>
      <c r="O330" t="b">
        <f t="shared" si="45"/>
        <v>0</v>
      </c>
      <c r="P330" s="18" t="b">
        <f>SUMPRODUCT(COUNTIF(_xlfn.XLOOKUP(D330,BugList!C:C,BugList!P:P), "*SC*"))&gt;0</f>
        <v>0</v>
      </c>
    </row>
    <row r="331" spans="1:16">
      <c r="A331" t="s">
        <v>2734</v>
      </c>
      <c r="B331">
        <v>511</v>
      </c>
      <c r="C331" t="s">
        <v>2315</v>
      </c>
      <c r="D331" t="s">
        <v>102</v>
      </c>
      <c r="E331">
        <v>1</v>
      </c>
      <c r="F331" s="43">
        <f t="shared" si="46"/>
        <v>0.8771929824561403</v>
      </c>
      <c r="G331" s="44">
        <f t="shared" si="40"/>
        <v>0</v>
      </c>
      <c r="H331" s="44">
        <f t="shared" si="41"/>
        <v>0.8771929824561403</v>
      </c>
      <c r="I331" cm="1">
        <f t="array" ref="I331">INT(F331)+IF(100-SUM(INT(F$324:F$332))&gt;=RANK(H331,H$324:H$332)+COUNTIF(H$324:H331,H331)-1,1,0)</f>
        <v>1</v>
      </c>
      <c r="J331" t="b">
        <f t="shared" si="42"/>
        <v>0</v>
      </c>
      <c r="K331" t="str">
        <f t="shared" si="43"/>
        <v/>
      </c>
      <c r="L331">
        <f>_xlfn.XLOOKUP(D331,BugList!C:C,BugList!N:N)</f>
        <v>7</v>
      </c>
      <c r="M331">
        <f t="shared" si="44"/>
        <v>7</v>
      </c>
      <c r="N331" t="b">
        <f>_xlfn.XLOOKUP(D331,BugList!C:C,BugList!L:L)</f>
        <v>0</v>
      </c>
      <c r="O331" t="b">
        <f t="shared" si="45"/>
        <v>0</v>
      </c>
      <c r="P331" s="18" t="b">
        <f>SUMPRODUCT(COUNTIF(_xlfn.XLOOKUP(D331,BugList!C:C,BugList!P:P), "*SC*"))&gt;0</f>
        <v>1</v>
      </c>
    </row>
    <row r="332" spans="1:16">
      <c r="A332" t="s">
        <v>2734</v>
      </c>
      <c r="B332">
        <v>511</v>
      </c>
      <c r="C332" t="s">
        <v>94</v>
      </c>
      <c r="D332" s="85" t="s">
        <v>94</v>
      </c>
      <c r="E332">
        <v>3</v>
      </c>
      <c r="F332" s="43">
        <f t="shared" si="46"/>
        <v>2.6315789473684208</v>
      </c>
      <c r="G332" s="44">
        <f t="shared" si="40"/>
        <v>2</v>
      </c>
      <c r="H332" s="44">
        <f t="shared" si="41"/>
        <v>0.6315789473684208</v>
      </c>
      <c r="I332" cm="1">
        <f t="array" ref="I332">INT(F332)+IF(100-SUM(INT(F$324:F$332))&gt;=RANK(H332,H$324:H$332)+COUNTIF(H$324:H332,H332)-1,1,0)</f>
        <v>3</v>
      </c>
      <c r="J332" t="b">
        <f t="shared" si="42"/>
        <v>0</v>
      </c>
      <c r="K332" t="str">
        <f t="shared" si="43"/>
        <v/>
      </c>
      <c r="L332">
        <f>_xlfn.XLOOKUP(D332,BugList!C:C,BugList!N:N)</f>
        <v>8</v>
      </c>
      <c r="M332">
        <f t="shared" si="44"/>
        <v>24</v>
      </c>
      <c r="N332" t="b">
        <f>_xlfn.XLOOKUP(D332,BugList!C:C,BugList!L:L)</f>
        <v>0</v>
      </c>
      <c r="O332" t="b">
        <f t="shared" si="45"/>
        <v>0</v>
      </c>
      <c r="P332" s="18" t="b">
        <f>SUMPRODUCT(COUNTIF(_xlfn.XLOOKUP(D332,BugList!C:C,BugList!P:P), "*SC*"))&gt;0</f>
        <v>0</v>
      </c>
    </row>
    <row r="333" spans="1:16">
      <c r="A333" t="s">
        <v>2735</v>
      </c>
      <c r="B333">
        <v>9</v>
      </c>
      <c r="C333" t="s">
        <v>194</v>
      </c>
      <c r="D333" t="s">
        <v>126</v>
      </c>
      <c r="E333">
        <v>30</v>
      </c>
      <c r="F333" s="43">
        <f t="shared" si="46"/>
        <v>28.30188679245283</v>
      </c>
      <c r="G333" s="44">
        <f t="shared" si="40"/>
        <v>28</v>
      </c>
      <c r="H333" s="44">
        <f t="shared" si="41"/>
        <v>0.30188679245283012</v>
      </c>
      <c r="I333" cm="1">
        <f t="array" ref="I333">INT(F333)+IF(100-SUM(INT(F$333:F$342))&gt;=RANK(H333,H$333:H$342)+COUNTIF(H$333:H333,H333)-1,1,0)</f>
        <v>28</v>
      </c>
      <c r="J333" t="b">
        <f t="shared" si="42"/>
        <v>0</v>
      </c>
      <c r="K333" t="str">
        <f t="shared" si="43"/>
        <v/>
      </c>
      <c r="L333">
        <f>_xlfn.XLOOKUP(D333,BugList!C:C,BugList!N:N)</f>
        <v>8</v>
      </c>
      <c r="M333">
        <f t="shared" si="44"/>
        <v>224</v>
      </c>
      <c r="N333" t="b">
        <f>_xlfn.XLOOKUP(D333,BugList!C:C,BugList!L:L)</f>
        <v>1</v>
      </c>
      <c r="O333" t="b">
        <f t="shared" si="45"/>
        <v>0</v>
      </c>
      <c r="P333" s="18" t="b">
        <f>SUMPRODUCT(COUNTIF(_xlfn.XLOOKUP(D333,BugList!C:C,BugList!P:P), "*SC*"))&gt;0</f>
        <v>0</v>
      </c>
    </row>
    <row r="334" spans="1:16">
      <c r="A334" t="s">
        <v>2735</v>
      </c>
      <c r="B334">
        <v>9</v>
      </c>
      <c r="C334" t="s">
        <v>194</v>
      </c>
      <c r="D334" t="s">
        <v>1758</v>
      </c>
      <c r="E334">
        <v>1</v>
      </c>
      <c r="F334" s="43">
        <f t="shared" si="46"/>
        <v>0.94339622641509435</v>
      </c>
      <c r="G334" s="44">
        <f t="shared" si="40"/>
        <v>0</v>
      </c>
      <c r="H334" s="44">
        <f t="shared" si="41"/>
        <v>0.94339622641509435</v>
      </c>
      <c r="I334" cm="1">
        <f t="array" ref="I334">INT(F334)+IF(100-SUM(INT(F$333:F$342))&gt;=RANK(H334,H$333:H$342)+COUNTIF(H$333:H334,H334)-1,1,0)</f>
        <v>1</v>
      </c>
      <c r="J334" t="b">
        <f t="shared" si="42"/>
        <v>0</v>
      </c>
      <c r="K334" t="str">
        <f t="shared" si="43"/>
        <v/>
      </c>
      <c r="L334">
        <f>_xlfn.XLOOKUP(D334,BugList!C:C,BugList!N:N)</f>
        <v>6</v>
      </c>
      <c r="M334">
        <f t="shared" si="44"/>
        <v>6</v>
      </c>
      <c r="N334" t="b">
        <f>_xlfn.XLOOKUP(D334,BugList!C:C,BugList!L:L)</f>
        <v>1</v>
      </c>
      <c r="O334" t="b">
        <f t="shared" si="45"/>
        <v>0</v>
      </c>
      <c r="P334" s="18" t="b">
        <f>SUMPRODUCT(COUNTIF(_xlfn.XLOOKUP(D334,BugList!C:C,BugList!P:P), "*SC*"))&gt;0</f>
        <v>0</v>
      </c>
    </row>
    <row r="335" spans="1:16">
      <c r="A335" t="s">
        <v>2735</v>
      </c>
      <c r="B335">
        <v>9</v>
      </c>
      <c r="C335" t="s">
        <v>195</v>
      </c>
      <c r="D335" t="s">
        <v>113</v>
      </c>
      <c r="E335">
        <v>1</v>
      </c>
      <c r="F335" s="43">
        <f t="shared" si="46"/>
        <v>0.94339622641509435</v>
      </c>
      <c r="G335" s="44">
        <f t="shared" si="40"/>
        <v>0</v>
      </c>
      <c r="H335" s="44">
        <f t="shared" si="41"/>
        <v>0.94339622641509435</v>
      </c>
      <c r="I335" cm="1">
        <f t="array" ref="I335">INT(F335)+IF(100-SUM(INT(F$333:F$342))&gt;=RANK(H335,H$333:H$342)+COUNTIF(H$333:H335,H335)-1,1,0)</f>
        <v>1</v>
      </c>
      <c r="J335" t="b">
        <f t="shared" si="42"/>
        <v>0</v>
      </c>
      <c r="K335" t="str">
        <f t="shared" si="43"/>
        <v/>
      </c>
      <c r="L335">
        <f>_xlfn.XLOOKUP(D335,BugList!C:C,BugList!N:N)</f>
        <v>1</v>
      </c>
      <c r="M335">
        <f t="shared" si="44"/>
        <v>1</v>
      </c>
      <c r="N335" t="b">
        <f>_xlfn.XLOOKUP(D335,BugList!C:C,BugList!L:L)</f>
        <v>1</v>
      </c>
      <c r="O335" t="b">
        <f t="shared" si="45"/>
        <v>0</v>
      </c>
      <c r="P335" s="18" t="b">
        <f>SUMPRODUCT(COUNTIF(_xlfn.XLOOKUP(D335,BugList!C:C,BugList!P:P), "*SC*"))&gt;0</f>
        <v>0</v>
      </c>
    </row>
    <row r="336" spans="1:16">
      <c r="A336" t="s">
        <v>2735</v>
      </c>
      <c r="B336">
        <v>9</v>
      </c>
      <c r="C336" t="s">
        <v>198</v>
      </c>
      <c r="D336" t="s">
        <v>89</v>
      </c>
      <c r="E336">
        <v>1</v>
      </c>
      <c r="F336" s="43">
        <f t="shared" si="46"/>
        <v>0.94339622641509435</v>
      </c>
      <c r="G336" s="44">
        <f t="shared" si="40"/>
        <v>0</v>
      </c>
      <c r="H336" s="44">
        <f t="shared" si="41"/>
        <v>0.94339622641509435</v>
      </c>
      <c r="I336" cm="1">
        <f t="array" ref="I336">INT(F336)+IF(100-SUM(INT(F$333:F$342))&gt;=RANK(H336,H$333:H$342)+COUNTIF(H$333:H336,H336)-1,1,0)</f>
        <v>1</v>
      </c>
      <c r="J336" t="b">
        <f t="shared" si="42"/>
        <v>1</v>
      </c>
      <c r="K336" t="str">
        <f t="shared" si="43"/>
        <v>Trichoptera</v>
      </c>
      <c r="L336">
        <f>_xlfn.XLOOKUP(D336,BugList!C:C,BugList!N:N)</f>
        <v>4</v>
      </c>
      <c r="M336">
        <f t="shared" si="44"/>
        <v>4</v>
      </c>
      <c r="N336" t="b">
        <f>_xlfn.XLOOKUP(D336,BugList!C:C,BugList!L:L)</f>
        <v>1</v>
      </c>
      <c r="O336" t="b">
        <f t="shared" si="45"/>
        <v>0</v>
      </c>
      <c r="P336" s="18" t="b">
        <f>SUMPRODUCT(COUNTIF(_xlfn.XLOOKUP(D336,BugList!C:C,BugList!P:P), "*SC*"))&gt;0</f>
        <v>0</v>
      </c>
    </row>
    <row r="337" spans="1:16">
      <c r="A337" t="s">
        <v>2735</v>
      </c>
      <c r="B337">
        <v>9</v>
      </c>
      <c r="C337" t="s">
        <v>199</v>
      </c>
      <c r="D337" t="s">
        <v>111</v>
      </c>
      <c r="E337">
        <v>7</v>
      </c>
      <c r="F337" s="43">
        <f t="shared" si="46"/>
        <v>6.6037735849056602</v>
      </c>
      <c r="G337" s="44">
        <f t="shared" si="40"/>
        <v>6</v>
      </c>
      <c r="H337" s="44">
        <f t="shared" si="41"/>
        <v>0.60377358490566024</v>
      </c>
      <c r="I337" cm="1">
        <f t="array" ref="I337">INT(F337)+IF(100-SUM(INT(F$333:F$342))&gt;=RANK(H337,H$333:H$342)+COUNTIF(H$333:H337,H337)-1,1,0)</f>
        <v>7</v>
      </c>
      <c r="J337" t="b">
        <f t="shared" si="42"/>
        <v>1</v>
      </c>
      <c r="K337" t="str">
        <f t="shared" si="43"/>
        <v>Ephemeroptera</v>
      </c>
      <c r="L337">
        <f>_xlfn.XLOOKUP(D337,BugList!C:C,BugList!N:N)</f>
        <v>4</v>
      </c>
      <c r="M337">
        <f t="shared" si="44"/>
        <v>28</v>
      </c>
      <c r="N337" t="b">
        <f>_xlfn.XLOOKUP(D337,BugList!C:C,BugList!L:L)</f>
        <v>1</v>
      </c>
      <c r="O337" t="b">
        <f t="shared" si="45"/>
        <v>1</v>
      </c>
      <c r="P337" s="18" t="b">
        <f>SUMPRODUCT(COUNTIF(_xlfn.XLOOKUP(D337,BugList!C:C,BugList!P:P), "*SC*"))&gt;0</f>
        <v>0</v>
      </c>
    </row>
    <row r="338" spans="1:16">
      <c r="A338" t="s">
        <v>2735</v>
      </c>
      <c r="B338">
        <v>9</v>
      </c>
      <c r="C338" t="s">
        <v>200</v>
      </c>
      <c r="D338" t="s">
        <v>100</v>
      </c>
      <c r="E338">
        <v>5</v>
      </c>
      <c r="F338" s="43">
        <f t="shared" si="46"/>
        <v>4.716981132075472</v>
      </c>
      <c r="G338" s="44">
        <f t="shared" si="40"/>
        <v>4</v>
      </c>
      <c r="H338" s="44">
        <f t="shared" si="41"/>
        <v>0.71698113207547198</v>
      </c>
      <c r="I338" cm="1">
        <f t="array" ref="I338">INT(F338)+IF(100-SUM(INT(F$333:F$342))&gt;=RANK(H338,H$333:H$342)+COUNTIF(H$333:H338,H338)-1,1,0)</f>
        <v>5</v>
      </c>
      <c r="J338" t="b">
        <f t="shared" si="42"/>
        <v>0</v>
      </c>
      <c r="K338" t="str">
        <f t="shared" si="43"/>
        <v/>
      </c>
      <c r="L338">
        <f>_xlfn.XLOOKUP(D338,BugList!C:C,BugList!N:N)</f>
        <v>4</v>
      </c>
      <c r="M338">
        <f t="shared" si="44"/>
        <v>20</v>
      </c>
      <c r="N338" t="b">
        <f>_xlfn.XLOOKUP(D338,BugList!C:C,BugList!L:L)</f>
        <v>1</v>
      </c>
      <c r="O338" t="b">
        <f t="shared" si="45"/>
        <v>0</v>
      </c>
      <c r="P338" s="18" t="b">
        <f>SUMPRODUCT(COUNTIF(_xlfn.XLOOKUP(D338,BugList!C:C,BugList!P:P), "*SC*"))&gt;0</f>
        <v>1</v>
      </c>
    </row>
    <row r="339" spans="1:16">
      <c r="A339" t="s">
        <v>2735</v>
      </c>
      <c r="B339">
        <v>9</v>
      </c>
      <c r="C339" t="s">
        <v>200</v>
      </c>
      <c r="D339" t="s">
        <v>98</v>
      </c>
      <c r="E339">
        <v>19</v>
      </c>
      <c r="F339" s="43">
        <f t="shared" si="46"/>
        <v>17.924528301886792</v>
      </c>
      <c r="G339" s="44">
        <f t="shared" si="40"/>
        <v>17</v>
      </c>
      <c r="H339" s="44">
        <f t="shared" si="41"/>
        <v>0.92452830188679158</v>
      </c>
      <c r="I339" cm="1">
        <f t="array" ref="I339">INT(F339)+IF(100-SUM(INT(F$333:F$342))&gt;=RANK(H339,H$333:H$342)+COUNTIF(H$333:H339,H339)-1,1,0)</f>
        <v>18</v>
      </c>
      <c r="J339" t="b">
        <f t="shared" si="42"/>
        <v>0</v>
      </c>
      <c r="K339" t="str">
        <f t="shared" si="43"/>
        <v/>
      </c>
      <c r="L339">
        <f>_xlfn.XLOOKUP(D339,BugList!C:C,BugList!N:N)</f>
        <v>4</v>
      </c>
      <c r="M339">
        <f t="shared" si="44"/>
        <v>72</v>
      </c>
      <c r="N339" t="b">
        <f>_xlfn.XLOOKUP(D339,BugList!C:C,BugList!L:L)</f>
        <v>1</v>
      </c>
      <c r="O339" t="b">
        <f t="shared" si="45"/>
        <v>0</v>
      </c>
      <c r="P339" s="18" t="b">
        <f>SUMPRODUCT(COUNTIF(_xlfn.XLOOKUP(D339,BugList!C:C,BugList!P:P), "*SC*"))&gt;0</f>
        <v>1</v>
      </c>
    </row>
    <row r="340" spans="1:16">
      <c r="A340" t="s">
        <v>2735</v>
      </c>
      <c r="B340">
        <v>9</v>
      </c>
      <c r="C340" t="s">
        <v>201</v>
      </c>
      <c r="D340" s="85" t="s">
        <v>85</v>
      </c>
      <c r="E340">
        <v>29</v>
      </c>
      <c r="F340" s="43">
        <f t="shared" si="46"/>
        <v>27.358490566037734</v>
      </c>
      <c r="G340" s="44">
        <f t="shared" si="40"/>
        <v>27</v>
      </c>
      <c r="H340" s="44">
        <f t="shared" si="41"/>
        <v>0.35849056603773377</v>
      </c>
      <c r="I340" cm="1">
        <f t="array" ref="I340">INT(F340)+IF(100-SUM(INT(F$333:F$342))&gt;=RANK(H340,H$333:H$342)+COUNTIF(H$333:H340,H340)-1,1,0)</f>
        <v>27</v>
      </c>
      <c r="J340" t="b">
        <f t="shared" si="42"/>
        <v>0</v>
      </c>
      <c r="K340" t="str">
        <f t="shared" si="43"/>
        <v/>
      </c>
      <c r="L340">
        <f>_xlfn.XLOOKUP(D340,BugList!C:C,BugList!N:N)</f>
        <v>4</v>
      </c>
      <c r="M340">
        <f t="shared" si="44"/>
        <v>108</v>
      </c>
      <c r="N340" t="b">
        <f>_xlfn.XLOOKUP(D340,BugList!C:C,BugList!L:L)</f>
        <v>0</v>
      </c>
      <c r="O340" t="b">
        <f t="shared" si="45"/>
        <v>0</v>
      </c>
      <c r="P340" s="18" t="b">
        <f>SUMPRODUCT(COUNTIF(_xlfn.XLOOKUP(D340,BugList!C:C,BugList!P:P), "*SC*"))&gt;0</f>
        <v>0</v>
      </c>
    </row>
    <row r="341" spans="1:16">
      <c r="A341" t="s">
        <v>2735</v>
      </c>
      <c r="B341">
        <v>9</v>
      </c>
      <c r="C341" t="s">
        <v>204</v>
      </c>
      <c r="D341" t="s">
        <v>84</v>
      </c>
      <c r="E341">
        <v>4</v>
      </c>
      <c r="F341" s="43">
        <f t="shared" si="46"/>
        <v>3.7735849056603774</v>
      </c>
      <c r="G341" s="44">
        <f t="shared" si="40"/>
        <v>3</v>
      </c>
      <c r="H341" s="44">
        <f t="shared" si="41"/>
        <v>0.77358490566037741</v>
      </c>
      <c r="I341" cm="1">
        <f t="array" ref="I341">INT(F341)+IF(100-SUM(INT(F$333:F$342))&gt;=RANK(H341,H$333:H$342)+COUNTIF(H$333:H341,H341)-1,1,0)</f>
        <v>4</v>
      </c>
      <c r="J341" t="b">
        <f t="shared" si="42"/>
        <v>0</v>
      </c>
      <c r="K341" t="str">
        <f t="shared" si="43"/>
        <v/>
      </c>
      <c r="L341">
        <f>_xlfn.XLOOKUP(D341,BugList!C:C,BugList!N:N)</f>
        <v>8</v>
      </c>
      <c r="M341">
        <f t="shared" si="44"/>
        <v>32</v>
      </c>
      <c r="N341" t="b">
        <f>_xlfn.XLOOKUP(D341,BugList!C:C,BugList!L:L)</f>
        <v>0</v>
      </c>
      <c r="O341" t="b">
        <f t="shared" si="45"/>
        <v>0</v>
      </c>
      <c r="P341" s="18" t="b">
        <f>SUMPRODUCT(COUNTIF(_xlfn.XLOOKUP(D341,BugList!C:C,BugList!P:P), "*SC*"))&gt;0</f>
        <v>0</v>
      </c>
    </row>
    <row r="342" spans="1:16">
      <c r="A342" t="s">
        <v>2735</v>
      </c>
      <c r="B342">
        <v>9</v>
      </c>
      <c r="C342" t="s">
        <v>210</v>
      </c>
      <c r="D342" t="s">
        <v>210</v>
      </c>
      <c r="E342">
        <v>9</v>
      </c>
      <c r="F342" s="43">
        <f t="shared" si="46"/>
        <v>8.4905660377358494</v>
      </c>
      <c r="G342" s="44">
        <f t="shared" si="40"/>
        <v>8</v>
      </c>
      <c r="H342" s="44">
        <f t="shared" si="41"/>
        <v>0.49056603773584939</v>
      </c>
      <c r="I342" cm="1">
        <f t="array" ref="I342">INT(F342)+IF(100-SUM(INT(F$333:F$342))&gt;=RANK(H342,H$333:H$342)+COUNTIF(H$333:H342,H342)-1,1,0)</f>
        <v>8</v>
      </c>
      <c r="J342" t="b">
        <f t="shared" si="42"/>
        <v>0</v>
      </c>
      <c r="K342" t="str">
        <f t="shared" si="43"/>
        <v/>
      </c>
      <c r="L342" s="71">
        <v>8</v>
      </c>
      <c r="M342">
        <f t="shared" si="44"/>
        <v>64</v>
      </c>
      <c r="N342" s="71" t="b">
        <v>0</v>
      </c>
      <c r="O342" t="b">
        <f t="shared" si="45"/>
        <v>0</v>
      </c>
      <c r="P342" s="72" t="b">
        <v>0</v>
      </c>
    </row>
    <row r="343" spans="1:16">
      <c r="A343" t="s">
        <v>2736</v>
      </c>
      <c r="B343">
        <v>8</v>
      </c>
      <c r="C343" t="s">
        <v>194</v>
      </c>
      <c r="D343" s="85" t="s">
        <v>90</v>
      </c>
      <c r="E343">
        <v>79</v>
      </c>
      <c r="F343" s="43">
        <f t="shared" si="46"/>
        <v>78.21782178217822</v>
      </c>
      <c r="G343" s="44">
        <f t="shared" ref="G343:G376" si="47">INT(F343)</f>
        <v>78</v>
      </c>
      <c r="H343" s="44">
        <f t="shared" ref="H343:H376" si="48">F343-G343</f>
        <v>0.21782178217821979</v>
      </c>
      <c r="I343" cm="1">
        <f t="array" ref="I343">INT(F343)+IF(100-SUM(INT(F$343:F$351))&gt;=RANK(H343,H$343:H$351)+COUNTIF(H$343:H343,H343)-1,1,0)</f>
        <v>78</v>
      </c>
      <c r="J343" t="b">
        <f t="shared" si="42"/>
        <v>0</v>
      </c>
      <c r="K343" t="str">
        <f t="shared" si="43"/>
        <v/>
      </c>
      <c r="L343" s="71">
        <v>6</v>
      </c>
      <c r="M343">
        <f t="shared" si="44"/>
        <v>468</v>
      </c>
      <c r="N343" t="b">
        <f>_xlfn.XLOOKUP(D343,BugList!C:C,BugList!L:L)</f>
        <v>1</v>
      </c>
      <c r="O343" t="b">
        <f t="shared" si="45"/>
        <v>0</v>
      </c>
      <c r="P343" s="18" t="b">
        <f>SUMPRODUCT(COUNTIF(_xlfn.XLOOKUP(D343,BugList!C:C,BugList!P:P), "*SC*"))&gt;0</f>
        <v>0</v>
      </c>
    </row>
    <row r="344" spans="1:16">
      <c r="A344" t="s">
        <v>2736</v>
      </c>
      <c r="B344">
        <v>8</v>
      </c>
      <c r="C344" t="s">
        <v>194</v>
      </c>
      <c r="D344" t="s">
        <v>126</v>
      </c>
      <c r="E344">
        <v>9</v>
      </c>
      <c r="F344" s="43">
        <f t="shared" si="46"/>
        <v>8.9108910891089099</v>
      </c>
      <c r="G344" s="44">
        <f t="shared" si="47"/>
        <v>8</v>
      </c>
      <c r="H344" s="44">
        <f t="shared" si="48"/>
        <v>0.91089108910890992</v>
      </c>
      <c r="I344" cm="1">
        <f t="array" ref="I344">INT(F344)+IF(100-SUM(INT(F$343:F$351))&gt;=RANK(H344,H$343:H$351)+COUNTIF(H$343:H344,H344)-1,1,0)</f>
        <v>9</v>
      </c>
      <c r="J344" t="b">
        <f t="shared" si="42"/>
        <v>0</v>
      </c>
      <c r="K344" t="str">
        <f t="shared" si="43"/>
        <v/>
      </c>
      <c r="L344">
        <f>_xlfn.XLOOKUP(D344,BugList!C:C,BugList!N:N)</f>
        <v>8</v>
      </c>
      <c r="M344">
        <f t="shared" si="44"/>
        <v>72</v>
      </c>
      <c r="N344" t="b">
        <f>_xlfn.XLOOKUP(D344,BugList!C:C,BugList!L:L)</f>
        <v>1</v>
      </c>
      <c r="O344" t="b">
        <f t="shared" si="45"/>
        <v>0</v>
      </c>
      <c r="P344" s="18" t="b">
        <f>SUMPRODUCT(COUNTIF(_xlfn.XLOOKUP(D344,BugList!C:C,BugList!P:P), "*SC*"))&gt;0</f>
        <v>0</v>
      </c>
    </row>
    <row r="345" spans="1:16">
      <c r="A345" t="s">
        <v>2736</v>
      </c>
      <c r="B345">
        <v>8</v>
      </c>
      <c r="C345" t="s">
        <v>198</v>
      </c>
      <c r="D345" t="s">
        <v>89</v>
      </c>
      <c r="E345">
        <v>1</v>
      </c>
      <c r="F345" s="43">
        <f t="shared" si="46"/>
        <v>0.99009900990099009</v>
      </c>
      <c r="G345" s="44">
        <f t="shared" si="47"/>
        <v>0</v>
      </c>
      <c r="H345" s="44">
        <f t="shared" si="48"/>
        <v>0.99009900990099009</v>
      </c>
      <c r="I345" cm="1">
        <f t="array" ref="I345">INT(F345)+IF(100-SUM(INT(F$343:F$351))&gt;=RANK(H345,H$343:H$351)+COUNTIF(H$343:H345,H345)-1,1,0)</f>
        <v>1</v>
      </c>
      <c r="J345" t="b">
        <f t="shared" si="42"/>
        <v>1</v>
      </c>
      <c r="K345" t="str">
        <f t="shared" si="43"/>
        <v>Trichoptera</v>
      </c>
      <c r="L345">
        <f>_xlfn.XLOOKUP(D345,BugList!C:C,BugList!N:N)</f>
        <v>4</v>
      </c>
      <c r="M345">
        <f t="shared" si="44"/>
        <v>4</v>
      </c>
      <c r="N345" t="b">
        <f>_xlfn.XLOOKUP(D345,BugList!C:C,BugList!L:L)</f>
        <v>1</v>
      </c>
      <c r="O345" t="b">
        <f t="shared" si="45"/>
        <v>0</v>
      </c>
      <c r="P345" s="18" t="b">
        <f>SUMPRODUCT(COUNTIF(_xlfn.XLOOKUP(D345,BugList!C:C,BugList!P:P), "*SC*"))&gt;0</f>
        <v>0</v>
      </c>
    </row>
    <row r="346" spans="1:16">
      <c r="A346" t="s">
        <v>2736</v>
      </c>
      <c r="B346">
        <v>8</v>
      </c>
      <c r="C346" t="s">
        <v>199</v>
      </c>
      <c r="D346" t="s">
        <v>111</v>
      </c>
      <c r="E346">
        <v>1</v>
      </c>
      <c r="F346" s="43">
        <f t="shared" si="46"/>
        <v>0.99009900990099009</v>
      </c>
      <c r="G346" s="44">
        <f t="shared" si="47"/>
        <v>0</v>
      </c>
      <c r="H346" s="44">
        <f t="shared" si="48"/>
        <v>0.99009900990099009</v>
      </c>
      <c r="I346" cm="1">
        <f t="array" ref="I346">INT(F346)+IF(100-SUM(INT(F$343:F$351))&gt;=RANK(H346,H$343:H$351)+COUNTIF(H$343:H346,H346)-1,1,0)</f>
        <v>1</v>
      </c>
      <c r="J346" t="b">
        <f t="shared" si="42"/>
        <v>1</v>
      </c>
      <c r="K346" t="str">
        <f t="shared" si="43"/>
        <v>Ephemeroptera</v>
      </c>
      <c r="L346">
        <f>_xlfn.XLOOKUP(D346,BugList!C:C,BugList!N:N)</f>
        <v>4</v>
      </c>
      <c r="M346">
        <f t="shared" si="44"/>
        <v>4</v>
      </c>
      <c r="N346" t="b">
        <f>_xlfn.XLOOKUP(D346,BugList!C:C,BugList!L:L)</f>
        <v>1</v>
      </c>
      <c r="O346" t="b">
        <f t="shared" si="45"/>
        <v>1</v>
      </c>
      <c r="P346" s="18" t="b">
        <f>SUMPRODUCT(COUNTIF(_xlfn.XLOOKUP(D346,BugList!C:C,BugList!P:P), "*SC*"))&gt;0</f>
        <v>0</v>
      </c>
    </row>
    <row r="347" spans="1:16">
      <c r="A347" t="s">
        <v>2736</v>
      </c>
      <c r="B347">
        <v>8</v>
      </c>
      <c r="C347" t="s">
        <v>200</v>
      </c>
      <c r="D347" t="s">
        <v>100</v>
      </c>
      <c r="E347">
        <v>1</v>
      </c>
      <c r="F347" s="43">
        <f t="shared" si="46"/>
        <v>0.99009900990099009</v>
      </c>
      <c r="G347" s="44">
        <f t="shared" si="47"/>
        <v>0</v>
      </c>
      <c r="H347" s="44">
        <f t="shared" si="48"/>
        <v>0.99009900990099009</v>
      </c>
      <c r="I347" cm="1">
        <f t="array" ref="I347">INT(F347)+IF(100-SUM(INT(F$343:F$351))&gt;=RANK(H347,H$343:H$351)+COUNTIF(H$343:H347,H347)-1,1,0)</f>
        <v>1</v>
      </c>
      <c r="J347" t="b">
        <f t="shared" si="42"/>
        <v>0</v>
      </c>
      <c r="K347" t="str">
        <f t="shared" si="43"/>
        <v/>
      </c>
      <c r="L347">
        <f>_xlfn.XLOOKUP(D347,BugList!C:C,BugList!N:N)</f>
        <v>4</v>
      </c>
      <c r="M347">
        <f t="shared" si="44"/>
        <v>4</v>
      </c>
      <c r="N347" t="b">
        <f>_xlfn.XLOOKUP(D347,BugList!C:C,BugList!L:L)</f>
        <v>1</v>
      </c>
      <c r="O347" t="b">
        <f t="shared" si="45"/>
        <v>0</v>
      </c>
      <c r="P347" s="18" t="b">
        <f>SUMPRODUCT(COUNTIF(_xlfn.XLOOKUP(D347,BugList!C:C,BugList!P:P), "*SC*"))&gt;0</f>
        <v>1</v>
      </c>
    </row>
    <row r="348" spans="1:16">
      <c r="A348" t="s">
        <v>2736</v>
      </c>
      <c r="B348">
        <v>8</v>
      </c>
      <c r="C348" t="s">
        <v>200</v>
      </c>
      <c r="D348" t="s">
        <v>98</v>
      </c>
      <c r="E348">
        <v>2</v>
      </c>
      <c r="F348" s="43">
        <f t="shared" si="46"/>
        <v>1.9801980198019802</v>
      </c>
      <c r="G348" s="44">
        <f t="shared" si="47"/>
        <v>1</v>
      </c>
      <c r="H348" s="44">
        <f t="shared" si="48"/>
        <v>0.98019801980198018</v>
      </c>
      <c r="I348" cm="1">
        <f t="array" ref="I348">INT(F348)+IF(100-SUM(INT(F$343:F$351))&gt;=RANK(H348,H$343:H$351)+COUNTIF(H$343:H348,H348)-1,1,0)</f>
        <v>2</v>
      </c>
      <c r="J348" t="b">
        <f t="shared" si="42"/>
        <v>0</v>
      </c>
      <c r="K348" t="str">
        <f t="shared" si="43"/>
        <v/>
      </c>
      <c r="L348">
        <f>_xlfn.XLOOKUP(D348,BugList!C:C,BugList!N:N)</f>
        <v>4</v>
      </c>
      <c r="M348">
        <f t="shared" si="44"/>
        <v>8</v>
      </c>
      <c r="N348" t="b">
        <f>_xlfn.XLOOKUP(D348,BugList!C:C,BugList!L:L)</f>
        <v>1</v>
      </c>
      <c r="O348" t="b">
        <f t="shared" si="45"/>
        <v>0</v>
      </c>
      <c r="P348" s="18" t="b">
        <f>SUMPRODUCT(COUNTIF(_xlfn.XLOOKUP(D348,BugList!C:C,BugList!P:P), "*SC*"))&gt;0</f>
        <v>1</v>
      </c>
    </row>
    <row r="349" spans="1:16">
      <c r="A349" t="s">
        <v>2736</v>
      </c>
      <c r="B349">
        <v>8</v>
      </c>
      <c r="C349" t="s">
        <v>201</v>
      </c>
      <c r="D349" s="85" t="s">
        <v>85</v>
      </c>
      <c r="E349">
        <v>6</v>
      </c>
      <c r="F349" s="43">
        <f t="shared" si="46"/>
        <v>5.9405940594059405</v>
      </c>
      <c r="G349" s="44">
        <f t="shared" si="47"/>
        <v>5</v>
      </c>
      <c r="H349" s="44">
        <f t="shared" si="48"/>
        <v>0.94059405940594054</v>
      </c>
      <c r="I349" cm="1">
        <f t="array" ref="I349">INT(F349)+IF(100-SUM(INT(F$343:F$351))&gt;=RANK(H349,H$343:H$351)+COUNTIF(H$343:H349,H349)-1,1,0)</f>
        <v>6</v>
      </c>
      <c r="J349" t="b">
        <f t="shared" si="42"/>
        <v>0</v>
      </c>
      <c r="K349" t="str">
        <f t="shared" si="43"/>
        <v/>
      </c>
      <c r="L349">
        <f>_xlfn.XLOOKUP(D349,BugList!C:C,BugList!N:N)</f>
        <v>4</v>
      </c>
      <c r="M349">
        <f t="shared" si="44"/>
        <v>24</v>
      </c>
      <c r="N349" t="b">
        <f>_xlfn.XLOOKUP(D349,BugList!C:C,BugList!L:L)</f>
        <v>0</v>
      </c>
      <c r="O349" t="b">
        <f t="shared" si="45"/>
        <v>0</v>
      </c>
      <c r="P349" s="18" t="b">
        <f>SUMPRODUCT(COUNTIF(_xlfn.XLOOKUP(D349,BugList!C:C,BugList!P:P), "*SC*"))&gt;0</f>
        <v>0</v>
      </c>
    </row>
    <row r="350" spans="1:16">
      <c r="A350" t="s">
        <v>2736</v>
      </c>
      <c r="B350">
        <v>8</v>
      </c>
      <c r="C350" t="s">
        <v>202</v>
      </c>
      <c r="D350" t="s">
        <v>203</v>
      </c>
      <c r="E350">
        <v>1</v>
      </c>
      <c r="F350" s="43">
        <f t="shared" si="46"/>
        <v>0.99009900990099009</v>
      </c>
      <c r="G350" s="44">
        <f t="shared" si="47"/>
        <v>0</v>
      </c>
      <c r="H350" s="44">
        <f t="shared" si="48"/>
        <v>0.99009900990099009</v>
      </c>
      <c r="I350" cm="1">
        <f t="array" ref="I350">INT(F350)+IF(100-SUM(INT(F$343:F$351))&gt;=RANK(H350,H$343:H$351)+COUNTIF(H$343:H350,H350)-1,1,0)</f>
        <v>1</v>
      </c>
      <c r="J350" t="b">
        <f t="shared" si="42"/>
        <v>0</v>
      </c>
      <c r="K350" t="str">
        <f t="shared" si="43"/>
        <v/>
      </c>
      <c r="L350" s="71">
        <v>5</v>
      </c>
      <c r="M350">
        <f t="shared" si="44"/>
        <v>5</v>
      </c>
      <c r="N350" s="71" t="b">
        <v>0</v>
      </c>
      <c r="O350" t="b">
        <f t="shared" si="45"/>
        <v>0</v>
      </c>
      <c r="P350" s="72" t="b">
        <v>0</v>
      </c>
    </row>
    <row r="351" spans="1:16">
      <c r="A351" t="s">
        <v>2736</v>
      </c>
      <c r="B351">
        <v>8</v>
      </c>
      <c r="C351" t="s">
        <v>2738</v>
      </c>
      <c r="D351" t="s">
        <v>181</v>
      </c>
      <c r="E351">
        <v>1</v>
      </c>
      <c r="F351" s="43">
        <f t="shared" si="46"/>
        <v>0.99009900990099009</v>
      </c>
      <c r="G351" s="44">
        <f t="shared" si="47"/>
        <v>0</v>
      </c>
      <c r="H351" s="44">
        <f t="shared" si="48"/>
        <v>0.99009900990099009</v>
      </c>
      <c r="I351" cm="1">
        <f t="array" ref="I351">INT(F351)+IF(100-SUM(INT(F$343:F$351))&gt;=RANK(H351,H$343:H$351)+COUNTIF(H$343:H351,H351)-1,1,0)</f>
        <v>1</v>
      </c>
      <c r="J351" t="b">
        <f t="shared" si="42"/>
        <v>0</v>
      </c>
      <c r="K351" t="str">
        <f t="shared" si="43"/>
        <v/>
      </c>
      <c r="L351">
        <f>_xlfn.XLOOKUP(D351,BugList!C:C,BugList!N:N)</f>
        <v>4</v>
      </c>
      <c r="M351">
        <f t="shared" si="44"/>
        <v>4</v>
      </c>
      <c r="N351" t="b">
        <f>_xlfn.XLOOKUP(D351,BugList!C:C,BugList!L:L)</f>
        <v>1</v>
      </c>
      <c r="O351" t="b">
        <f t="shared" si="45"/>
        <v>0</v>
      </c>
      <c r="P351" s="18" t="b">
        <f>SUMPRODUCT(COUNTIF(_xlfn.XLOOKUP(D351,BugList!C:C,BugList!P:P), "*SC*"))&gt;0</f>
        <v>0</v>
      </c>
    </row>
    <row r="352" spans="1:16">
      <c r="A352" t="s">
        <v>2737</v>
      </c>
      <c r="B352">
        <v>7</v>
      </c>
      <c r="C352" t="s">
        <v>194</v>
      </c>
      <c r="D352" t="s">
        <v>126</v>
      </c>
      <c r="E352">
        <v>18</v>
      </c>
      <c r="F352" s="43">
        <f t="shared" si="46"/>
        <v>18</v>
      </c>
      <c r="G352" s="44">
        <f t="shared" si="47"/>
        <v>18</v>
      </c>
      <c r="H352" s="44">
        <f t="shared" si="48"/>
        <v>0</v>
      </c>
      <c r="I352" cm="1">
        <f t="array" ref="I352">INT(F352)+IF(100-SUM(INT(F$352:F$367))&gt;=RANK(H352,H$352:H$367)+COUNTIF(H$352:H352,H352)-1,1,0)</f>
        <v>18</v>
      </c>
      <c r="J352" t="b">
        <f t="shared" si="42"/>
        <v>0</v>
      </c>
      <c r="K352" t="str">
        <f t="shared" si="43"/>
        <v/>
      </c>
      <c r="L352">
        <f>_xlfn.XLOOKUP(D352,BugList!C:C,BugList!N:N)</f>
        <v>8</v>
      </c>
      <c r="M352">
        <f t="shared" si="44"/>
        <v>144</v>
      </c>
      <c r="N352" t="b">
        <f>_xlfn.XLOOKUP(D352,BugList!C:C,BugList!L:L)</f>
        <v>1</v>
      </c>
      <c r="O352" t="b">
        <f t="shared" si="45"/>
        <v>0</v>
      </c>
      <c r="P352" s="18" t="b">
        <f>SUMPRODUCT(COUNTIF(_xlfn.XLOOKUP(D352,BugList!C:C,BugList!P:P), "*SC*"))&gt;0</f>
        <v>0</v>
      </c>
    </row>
    <row r="353" spans="1:16">
      <c r="A353" t="s">
        <v>2737</v>
      </c>
      <c r="B353">
        <v>7</v>
      </c>
      <c r="C353" t="s">
        <v>194</v>
      </c>
      <c r="D353" s="85" t="s">
        <v>90</v>
      </c>
      <c r="E353">
        <v>3</v>
      </c>
      <c r="F353" s="43">
        <f t="shared" si="46"/>
        <v>3</v>
      </c>
      <c r="G353" s="44">
        <f t="shared" si="47"/>
        <v>3</v>
      </c>
      <c r="H353" s="44">
        <f t="shared" si="48"/>
        <v>0</v>
      </c>
      <c r="I353" cm="1">
        <f t="array" ref="I353">INT(F353)+IF(100-SUM(INT(F$352:F$367))&gt;=RANK(H353,H$352:H$367)+COUNTIF(H$352:H353,H353)-1,1,0)</f>
        <v>3</v>
      </c>
      <c r="J353" t="b">
        <f t="shared" si="42"/>
        <v>0</v>
      </c>
      <c r="K353" t="str">
        <f t="shared" si="43"/>
        <v/>
      </c>
      <c r="L353">
        <f>_xlfn.XLOOKUP(D353,BugList!C:C,BugList!N:N)</f>
        <v>6</v>
      </c>
      <c r="M353">
        <f t="shared" si="44"/>
        <v>18</v>
      </c>
      <c r="N353" t="b">
        <f>_xlfn.XLOOKUP(D353,BugList!C:C,BugList!L:L)</f>
        <v>1</v>
      </c>
      <c r="O353" t="b">
        <f t="shared" ref="O353:O415" si="49">IF(J353=TRUE,IF(D353="Hydropsychidae", FALSE, TRUE), FALSE)</f>
        <v>0</v>
      </c>
      <c r="P353" s="18" t="b">
        <f>SUMPRODUCT(COUNTIF(_xlfn.XLOOKUP(D353,BugList!C:C,BugList!P:P), "*SC*"))&gt;0</f>
        <v>0</v>
      </c>
    </row>
    <row r="354" spans="1:16">
      <c r="A354" t="s">
        <v>2737</v>
      </c>
      <c r="B354">
        <v>7</v>
      </c>
      <c r="C354" t="s">
        <v>194</v>
      </c>
      <c r="D354" t="s">
        <v>108</v>
      </c>
      <c r="E354">
        <v>1</v>
      </c>
      <c r="F354" s="43">
        <f t="shared" si="46"/>
        <v>1</v>
      </c>
      <c r="G354" s="44">
        <f t="shared" si="47"/>
        <v>1</v>
      </c>
      <c r="H354" s="44">
        <f t="shared" si="48"/>
        <v>0</v>
      </c>
      <c r="I354" cm="1">
        <f t="array" ref="I354">INT(F354)+IF(100-SUM(INT(F$352:F$367))&gt;=RANK(H354,H$352:H$367)+COUNTIF(H$352:H354,H354)-1,1,0)</f>
        <v>1</v>
      </c>
      <c r="J354" t="b">
        <f t="shared" si="42"/>
        <v>0</v>
      </c>
      <c r="K354" t="str">
        <f t="shared" si="43"/>
        <v/>
      </c>
      <c r="L354">
        <f>_xlfn.XLOOKUP(D354,BugList!C:C,BugList!N:N)</f>
        <v>3</v>
      </c>
      <c r="M354">
        <f t="shared" si="44"/>
        <v>3</v>
      </c>
      <c r="N354" t="b">
        <f>_xlfn.XLOOKUP(D354,BugList!C:C,BugList!L:L)</f>
        <v>1</v>
      </c>
      <c r="O354" t="b">
        <f t="shared" si="49"/>
        <v>0</v>
      </c>
      <c r="P354" s="18" t="b">
        <f>SUMPRODUCT(COUNTIF(_xlfn.XLOOKUP(D354,BugList!C:C,BugList!P:P), "*SC*"))&gt;0</f>
        <v>0</v>
      </c>
    </row>
    <row r="355" spans="1:16">
      <c r="A355" t="s">
        <v>2737</v>
      </c>
      <c r="B355">
        <v>7</v>
      </c>
      <c r="C355" t="s">
        <v>198</v>
      </c>
      <c r="D355" t="s">
        <v>89</v>
      </c>
      <c r="E355">
        <v>3</v>
      </c>
      <c r="F355" s="43">
        <f t="shared" si="46"/>
        <v>3</v>
      </c>
      <c r="G355" s="44">
        <f t="shared" si="47"/>
        <v>3</v>
      </c>
      <c r="H355" s="44">
        <f t="shared" si="48"/>
        <v>0</v>
      </c>
      <c r="I355" cm="1">
        <f t="array" ref="I355">INT(F355)+IF(100-SUM(INT(F$352:F$367))&gt;=RANK(H355,H$352:H$367)+COUNTIF(H$352:H355,H355)-1,1,0)</f>
        <v>3</v>
      </c>
      <c r="J355" t="b">
        <f t="shared" si="42"/>
        <v>1</v>
      </c>
      <c r="K355" t="str">
        <f t="shared" si="43"/>
        <v>Trichoptera</v>
      </c>
      <c r="L355">
        <f>_xlfn.XLOOKUP(D355,BugList!C:C,BugList!N:N)</f>
        <v>4</v>
      </c>
      <c r="M355">
        <f t="shared" si="44"/>
        <v>12</v>
      </c>
      <c r="N355" t="b">
        <f>_xlfn.XLOOKUP(D355,BugList!C:C,BugList!L:L)</f>
        <v>1</v>
      </c>
      <c r="O355" t="b">
        <f t="shared" si="49"/>
        <v>0</v>
      </c>
      <c r="P355" s="18" t="b">
        <f>SUMPRODUCT(COUNTIF(_xlfn.XLOOKUP(D355,BugList!C:C,BugList!P:P), "*SC*"))&gt;0</f>
        <v>0</v>
      </c>
    </row>
    <row r="356" spans="1:16">
      <c r="A356" t="s">
        <v>2737</v>
      </c>
      <c r="B356">
        <v>7</v>
      </c>
      <c r="C356" t="s">
        <v>199</v>
      </c>
      <c r="D356" t="s">
        <v>154</v>
      </c>
      <c r="E356">
        <v>7</v>
      </c>
      <c r="F356" s="43">
        <f t="shared" si="46"/>
        <v>7.0000000000000009</v>
      </c>
      <c r="G356" s="44">
        <f t="shared" si="47"/>
        <v>7</v>
      </c>
      <c r="H356" s="44">
        <f t="shared" si="48"/>
        <v>0</v>
      </c>
      <c r="I356" cm="1">
        <f t="array" ref="I356">INT(F356)+IF(100-SUM(INT(F$352:F$367))&gt;=RANK(H356,H$352:H$367)+COUNTIF(H$352:H356,H356)-1,1,0)</f>
        <v>7</v>
      </c>
      <c r="J356" t="b">
        <f t="shared" si="42"/>
        <v>1</v>
      </c>
      <c r="K356" t="str">
        <f t="shared" si="43"/>
        <v>Ephemeroptera</v>
      </c>
      <c r="L356">
        <f>_xlfn.XLOOKUP(D356,BugList!C:C,BugList!N:N)</f>
        <v>7</v>
      </c>
      <c r="M356">
        <f t="shared" si="44"/>
        <v>49</v>
      </c>
      <c r="N356" t="b">
        <f>_xlfn.XLOOKUP(D356,BugList!C:C,BugList!L:L)</f>
        <v>1</v>
      </c>
      <c r="O356" t="b">
        <f t="shared" si="49"/>
        <v>1</v>
      </c>
      <c r="P356" s="18" t="b">
        <f>SUMPRODUCT(COUNTIF(_xlfn.XLOOKUP(D356,BugList!C:C,BugList!P:P), "*SC*"))&gt;0</f>
        <v>0</v>
      </c>
    </row>
    <row r="357" spans="1:16">
      <c r="A357" t="s">
        <v>2737</v>
      </c>
      <c r="B357">
        <v>7</v>
      </c>
      <c r="C357" t="s">
        <v>199</v>
      </c>
      <c r="D357" t="s">
        <v>111</v>
      </c>
      <c r="E357">
        <v>1</v>
      </c>
      <c r="F357" s="43">
        <f t="shared" si="46"/>
        <v>1</v>
      </c>
      <c r="G357" s="44">
        <f t="shared" si="47"/>
        <v>1</v>
      </c>
      <c r="H357" s="44">
        <f t="shared" si="48"/>
        <v>0</v>
      </c>
      <c r="I357" cm="1">
        <f t="array" ref="I357">INT(F357)+IF(100-SUM(INT(F$352:F$367))&gt;=RANK(H357,H$352:H$367)+COUNTIF(H$352:H357,H357)-1,1,0)</f>
        <v>1</v>
      </c>
      <c r="J357" t="b">
        <f t="shared" si="42"/>
        <v>1</v>
      </c>
      <c r="K357" t="str">
        <f t="shared" si="43"/>
        <v>Ephemeroptera</v>
      </c>
      <c r="L357">
        <f>_xlfn.XLOOKUP(D357,BugList!C:C,BugList!N:N)</f>
        <v>4</v>
      </c>
      <c r="M357">
        <f t="shared" si="44"/>
        <v>4</v>
      </c>
      <c r="N357" t="b">
        <f>_xlfn.XLOOKUP(D357,BugList!C:C,BugList!L:L)</f>
        <v>1</v>
      </c>
      <c r="O357" t="b">
        <f t="shared" si="49"/>
        <v>1</v>
      </c>
      <c r="P357" s="18" t="b">
        <f>SUMPRODUCT(COUNTIF(_xlfn.XLOOKUP(D357,BugList!C:C,BugList!P:P), "*SC*"))&gt;0</f>
        <v>0</v>
      </c>
    </row>
    <row r="358" spans="1:16">
      <c r="A358" t="s">
        <v>2737</v>
      </c>
      <c r="B358">
        <v>7</v>
      </c>
      <c r="C358" t="s">
        <v>200</v>
      </c>
      <c r="D358" t="s">
        <v>98</v>
      </c>
      <c r="E358">
        <v>22</v>
      </c>
      <c r="F358" s="43">
        <f t="shared" si="46"/>
        <v>22</v>
      </c>
      <c r="G358" s="44">
        <f t="shared" si="47"/>
        <v>22</v>
      </c>
      <c r="H358" s="44">
        <f t="shared" si="48"/>
        <v>0</v>
      </c>
      <c r="I358" cm="1">
        <f t="array" ref="I358">INT(F358)+IF(100-SUM(INT(F$352:F$367))&gt;=RANK(H358,H$352:H$367)+COUNTIF(H$352:H358,H358)-1,1,0)</f>
        <v>22</v>
      </c>
      <c r="J358" t="b">
        <f t="shared" si="42"/>
        <v>0</v>
      </c>
      <c r="K358" t="str">
        <f t="shared" si="43"/>
        <v/>
      </c>
      <c r="L358">
        <f>_xlfn.XLOOKUP(D358,BugList!C:C,BugList!N:N)</f>
        <v>4</v>
      </c>
      <c r="M358">
        <f t="shared" si="44"/>
        <v>88</v>
      </c>
      <c r="N358" t="b">
        <f>_xlfn.XLOOKUP(D358,BugList!C:C,BugList!L:L)</f>
        <v>1</v>
      </c>
      <c r="O358" t="b">
        <f t="shared" si="49"/>
        <v>0</v>
      </c>
      <c r="P358" s="18" t="b">
        <f>SUMPRODUCT(COUNTIF(_xlfn.XLOOKUP(D358,BugList!C:C,BugList!P:P), "*SC*"))&gt;0</f>
        <v>1</v>
      </c>
    </row>
    <row r="359" spans="1:16">
      <c r="A359" t="s">
        <v>2737</v>
      </c>
      <c r="B359">
        <v>7</v>
      </c>
      <c r="C359" t="s">
        <v>200</v>
      </c>
      <c r="D359" t="s">
        <v>100</v>
      </c>
      <c r="E359">
        <v>3</v>
      </c>
      <c r="F359" s="43">
        <f t="shared" ref="F359:F390" si="50">(E359/(SUMIFS(E:E,A:A,A359))*100)</f>
        <v>3</v>
      </c>
      <c r="G359" s="44">
        <f t="shared" si="47"/>
        <v>3</v>
      </c>
      <c r="H359" s="44">
        <f t="shared" si="48"/>
        <v>0</v>
      </c>
      <c r="I359" cm="1">
        <f t="array" ref="I359">INT(F359)+IF(100-SUM(INT(F$352:F$367))&gt;=RANK(H359,H$352:H$367)+COUNTIF(H$352:H359,H359)-1,1,0)</f>
        <v>3</v>
      </c>
      <c r="J359" t="b">
        <f t="shared" si="42"/>
        <v>0</v>
      </c>
      <c r="K359" t="str">
        <f t="shared" si="43"/>
        <v/>
      </c>
      <c r="L359">
        <f>_xlfn.XLOOKUP(D359,BugList!C:C,BugList!N:N)</f>
        <v>4</v>
      </c>
      <c r="M359">
        <f t="shared" si="44"/>
        <v>12</v>
      </c>
      <c r="N359" t="b">
        <f>_xlfn.XLOOKUP(D359,BugList!C:C,BugList!L:L)</f>
        <v>1</v>
      </c>
      <c r="O359" t="b">
        <f t="shared" si="49"/>
        <v>0</v>
      </c>
      <c r="P359" s="18" t="b">
        <f>SUMPRODUCT(COUNTIF(_xlfn.XLOOKUP(D359,BugList!C:C,BugList!P:P), "*SC*"))&gt;0</f>
        <v>1</v>
      </c>
    </row>
    <row r="360" spans="1:16">
      <c r="A360" t="s">
        <v>2737</v>
      </c>
      <c r="B360">
        <v>7</v>
      </c>
      <c r="C360" t="s">
        <v>205</v>
      </c>
      <c r="D360" t="s">
        <v>206</v>
      </c>
      <c r="E360">
        <v>1</v>
      </c>
      <c r="F360" s="43">
        <f t="shared" si="50"/>
        <v>1</v>
      </c>
      <c r="G360" s="44">
        <f t="shared" si="47"/>
        <v>1</v>
      </c>
      <c r="H360" s="44">
        <f t="shared" si="48"/>
        <v>0</v>
      </c>
      <c r="I360" cm="1">
        <f t="array" ref="I360">INT(F360)+IF(100-SUM(INT(F$352:F$367))&gt;=RANK(H360,H$352:H$367)+COUNTIF(H$352:H360,H360)-1,1,0)</f>
        <v>1</v>
      </c>
      <c r="J360" t="b">
        <f t="shared" si="42"/>
        <v>0</v>
      </c>
      <c r="K360" t="str">
        <f t="shared" si="43"/>
        <v/>
      </c>
      <c r="L360" s="71">
        <v>8</v>
      </c>
      <c r="M360">
        <f t="shared" si="44"/>
        <v>8</v>
      </c>
      <c r="N360" s="71" t="b">
        <v>0</v>
      </c>
      <c r="O360" t="b">
        <f t="shared" si="49"/>
        <v>0</v>
      </c>
      <c r="P360" s="72" t="b">
        <v>0</v>
      </c>
    </row>
    <row r="361" spans="1:16">
      <c r="A361" t="s">
        <v>2737</v>
      </c>
      <c r="B361">
        <v>7</v>
      </c>
      <c r="C361" t="s">
        <v>94</v>
      </c>
      <c r="D361" t="s">
        <v>94</v>
      </c>
      <c r="E361">
        <v>1</v>
      </c>
      <c r="F361" s="43">
        <f t="shared" si="50"/>
        <v>1</v>
      </c>
      <c r="G361" s="44">
        <f t="shared" si="47"/>
        <v>1</v>
      </c>
      <c r="H361" s="44">
        <f t="shared" si="48"/>
        <v>0</v>
      </c>
      <c r="I361" cm="1">
        <f t="array" ref="I361">INT(F361)+IF(100-SUM(INT(F$352:F$367))&gt;=RANK(H361,H$352:H$367)+COUNTIF(H$352:H361,H361)-1,1,0)</f>
        <v>1</v>
      </c>
      <c r="J361" t="b">
        <f t="shared" si="42"/>
        <v>0</v>
      </c>
      <c r="K361" t="str">
        <f t="shared" si="43"/>
        <v/>
      </c>
      <c r="L361">
        <f>_xlfn.XLOOKUP(D361,BugList!C:C,BugList!N:N)</f>
        <v>8</v>
      </c>
      <c r="M361">
        <f t="shared" si="44"/>
        <v>8</v>
      </c>
      <c r="N361" t="b">
        <f>_xlfn.XLOOKUP(D361,BugList!C:C,BugList!L:L)</f>
        <v>0</v>
      </c>
      <c r="O361" t="b">
        <f t="shared" si="49"/>
        <v>0</v>
      </c>
      <c r="P361" s="18" t="b">
        <f>SUMPRODUCT(COUNTIF(_xlfn.XLOOKUP(D361,BugList!C:C,BugList!P:P), "*SC*"))&gt;0</f>
        <v>0</v>
      </c>
    </row>
    <row r="362" spans="1:16">
      <c r="A362" t="s">
        <v>2737</v>
      </c>
      <c r="B362">
        <v>7</v>
      </c>
      <c r="C362" t="s">
        <v>201</v>
      </c>
      <c r="D362" t="s">
        <v>85</v>
      </c>
      <c r="E362">
        <v>31</v>
      </c>
      <c r="F362" s="43">
        <f t="shared" si="50"/>
        <v>31</v>
      </c>
      <c r="G362" s="44">
        <f t="shared" si="47"/>
        <v>31</v>
      </c>
      <c r="H362" s="44">
        <f t="shared" si="48"/>
        <v>0</v>
      </c>
      <c r="I362" cm="1">
        <f t="array" ref="I362">INT(F362)+IF(100-SUM(INT(F$352:F$367))&gt;=RANK(H362,H$352:H$367)+COUNTIF(H$352:H362,H362)-1,1,0)</f>
        <v>31</v>
      </c>
      <c r="J362" t="b">
        <f t="shared" si="42"/>
        <v>0</v>
      </c>
      <c r="K362" t="str">
        <f t="shared" si="43"/>
        <v/>
      </c>
      <c r="L362">
        <f>_xlfn.XLOOKUP(D362,BugList!C:C,BugList!N:N)</f>
        <v>4</v>
      </c>
      <c r="M362">
        <f t="shared" si="44"/>
        <v>124</v>
      </c>
      <c r="N362" t="b">
        <f>_xlfn.XLOOKUP(D362,BugList!C:C,BugList!L:L)</f>
        <v>0</v>
      </c>
      <c r="O362" t="b">
        <f t="shared" si="49"/>
        <v>0</v>
      </c>
      <c r="P362" s="18" t="b">
        <f>SUMPRODUCT(COUNTIF(_xlfn.XLOOKUP(D362,BugList!C:C,BugList!P:P), "*SC*"))&gt;0</f>
        <v>0</v>
      </c>
    </row>
    <row r="363" spans="1:16">
      <c r="A363" t="s">
        <v>2737</v>
      </c>
      <c r="B363">
        <v>7</v>
      </c>
      <c r="C363" t="s">
        <v>204</v>
      </c>
      <c r="D363" t="s">
        <v>84</v>
      </c>
      <c r="E363">
        <v>3</v>
      </c>
      <c r="F363" s="43">
        <f t="shared" si="50"/>
        <v>3</v>
      </c>
      <c r="G363" s="44">
        <f t="shared" si="47"/>
        <v>3</v>
      </c>
      <c r="H363" s="44">
        <f t="shared" si="48"/>
        <v>0</v>
      </c>
      <c r="I363" cm="1">
        <f t="array" ref="I363">INT(F363)+IF(100-SUM(INT(F$352:F$367))&gt;=RANK(H363,H$352:H$367)+COUNTIF(H$352:H363,H363)-1,1,0)</f>
        <v>3</v>
      </c>
      <c r="J363" t="b">
        <f t="shared" si="42"/>
        <v>0</v>
      </c>
      <c r="K363" t="str">
        <f t="shared" si="43"/>
        <v/>
      </c>
      <c r="L363">
        <f>_xlfn.XLOOKUP(D363,BugList!C:C,BugList!N:N)</f>
        <v>8</v>
      </c>
      <c r="M363">
        <f t="shared" si="44"/>
        <v>24</v>
      </c>
      <c r="N363" t="b">
        <f>_xlfn.XLOOKUP(D363,BugList!C:C,BugList!L:L)</f>
        <v>0</v>
      </c>
      <c r="O363" t="b">
        <f t="shared" si="49"/>
        <v>0</v>
      </c>
      <c r="P363" s="18" t="b">
        <f>SUMPRODUCT(COUNTIF(_xlfn.XLOOKUP(D363,BugList!C:C,BugList!P:P), "*SC*"))&gt;0</f>
        <v>0</v>
      </c>
    </row>
    <row r="364" spans="1:16">
      <c r="A364" t="s">
        <v>2737</v>
      </c>
      <c r="B364">
        <v>7</v>
      </c>
      <c r="C364" t="s">
        <v>2315</v>
      </c>
      <c r="D364" t="s">
        <v>2315</v>
      </c>
      <c r="E364">
        <v>1</v>
      </c>
      <c r="F364" s="43">
        <f t="shared" si="50"/>
        <v>1</v>
      </c>
      <c r="G364" s="44">
        <f t="shared" si="47"/>
        <v>1</v>
      </c>
      <c r="H364" s="44">
        <f t="shared" si="48"/>
        <v>0</v>
      </c>
      <c r="I364" cm="1">
        <f t="array" ref="I364">INT(F364)+IF(100-SUM(INT(F$352:F$367))&gt;=RANK(H364,H$352:H$367)+COUNTIF(H$352:H364,H364)-1,1,0)</f>
        <v>1</v>
      </c>
      <c r="J364" t="b">
        <f t="shared" si="42"/>
        <v>0</v>
      </c>
      <c r="K364" t="str">
        <f t="shared" si="43"/>
        <v/>
      </c>
      <c r="L364">
        <f>_xlfn.XLOOKUP(D364,BugList!C:C,BugList!N:N)</f>
        <v>7</v>
      </c>
      <c r="M364">
        <f t="shared" si="44"/>
        <v>7</v>
      </c>
      <c r="N364" t="b">
        <f>_xlfn.XLOOKUP(D364,BugList!C:C,BugList!L:L)</f>
        <v>0</v>
      </c>
      <c r="O364" t="b">
        <f t="shared" si="49"/>
        <v>0</v>
      </c>
      <c r="P364" s="18" t="b">
        <f>SUMPRODUCT(COUNTIF(_xlfn.XLOOKUP(D364,BugList!C:C,BugList!P:P), "*SC*"))&gt;0</f>
        <v>1</v>
      </c>
    </row>
    <row r="365" spans="1:16">
      <c r="A365" t="s">
        <v>2737</v>
      </c>
      <c r="B365">
        <v>7</v>
      </c>
      <c r="C365" t="s">
        <v>210</v>
      </c>
      <c r="D365" t="s">
        <v>210</v>
      </c>
      <c r="E365">
        <v>2</v>
      </c>
      <c r="F365" s="43">
        <f t="shared" si="50"/>
        <v>2</v>
      </c>
      <c r="G365" s="44">
        <f t="shared" si="47"/>
        <v>2</v>
      </c>
      <c r="H365" s="44">
        <f t="shared" si="48"/>
        <v>0</v>
      </c>
      <c r="I365" cm="1">
        <f t="array" ref="I365">INT(F365)+IF(100-SUM(INT(F$352:F$367))&gt;=RANK(H365,H$352:H$367)+COUNTIF(H$352:H365,H365)-1,1,0)</f>
        <v>2</v>
      </c>
      <c r="J365" t="b">
        <f t="shared" si="42"/>
        <v>0</v>
      </c>
      <c r="K365" t="str">
        <f t="shared" si="43"/>
        <v/>
      </c>
      <c r="L365" s="71">
        <v>8</v>
      </c>
      <c r="M365">
        <f t="shared" si="44"/>
        <v>16</v>
      </c>
      <c r="N365" s="71" t="b">
        <v>0</v>
      </c>
      <c r="O365" t="b">
        <f t="shared" si="49"/>
        <v>0</v>
      </c>
      <c r="P365" s="72" t="b">
        <v>0</v>
      </c>
    </row>
    <row r="366" spans="1:16">
      <c r="A366" t="s">
        <v>2737</v>
      </c>
      <c r="B366">
        <v>7</v>
      </c>
      <c r="C366" t="s">
        <v>2738</v>
      </c>
      <c r="D366" t="s">
        <v>181</v>
      </c>
      <c r="E366">
        <v>2</v>
      </c>
      <c r="F366" s="43">
        <f t="shared" si="50"/>
        <v>2</v>
      </c>
      <c r="G366" s="44">
        <f t="shared" si="47"/>
        <v>2</v>
      </c>
      <c r="H366" s="44">
        <f t="shared" si="48"/>
        <v>0</v>
      </c>
      <c r="I366" cm="1">
        <f t="array" ref="I366">INT(F366)+IF(100-SUM(INT(F$352:F$367))&gt;=RANK(H366,H$352:H$367)+COUNTIF(H$352:H366,H366)-1,1,0)</f>
        <v>2</v>
      </c>
      <c r="J366" t="b">
        <f t="shared" si="42"/>
        <v>0</v>
      </c>
      <c r="K366" t="str">
        <f t="shared" si="43"/>
        <v/>
      </c>
      <c r="L366">
        <f>_xlfn.XLOOKUP(D366,BugList!C:C,BugList!N:N)</f>
        <v>4</v>
      </c>
      <c r="M366">
        <f t="shared" si="44"/>
        <v>8</v>
      </c>
      <c r="N366" t="b">
        <f>_xlfn.XLOOKUP(D366,BugList!C:C,BugList!L:L)</f>
        <v>1</v>
      </c>
      <c r="O366" t="b">
        <f t="shared" si="49"/>
        <v>0</v>
      </c>
      <c r="P366" s="18" t="b">
        <f>SUMPRODUCT(COUNTIF(_xlfn.XLOOKUP(D366,BugList!C:C,BugList!P:P), "*SC*"))&gt;0</f>
        <v>0</v>
      </c>
    </row>
    <row r="367" spans="1:16">
      <c r="A367" t="s">
        <v>2737</v>
      </c>
      <c r="B367">
        <v>7</v>
      </c>
      <c r="C367" t="s">
        <v>194</v>
      </c>
      <c r="D367" t="s">
        <v>129</v>
      </c>
      <c r="E367">
        <v>1</v>
      </c>
      <c r="F367" s="43">
        <f t="shared" si="50"/>
        <v>1</v>
      </c>
      <c r="G367" s="44">
        <f t="shared" si="47"/>
        <v>1</v>
      </c>
      <c r="H367" s="44">
        <f t="shared" si="48"/>
        <v>0</v>
      </c>
      <c r="I367" cm="1">
        <f t="array" ref="I367">INT(F367)+IF(100-SUM(INT(F$352:F$367))&gt;=RANK(H367,H$352:H$367)+COUNTIF(H$352:H367,H367)-1,1,0)</f>
        <v>1</v>
      </c>
      <c r="J367" t="b">
        <f t="shared" si="42"/>
        <v>0</v>
      </c>
      <c r="K367" t="str">
        <f t="shared" si="43"/>
        <v/>
      </c>
      <c r="L367">
        <f>_xlfn.XLOOKUP(D367,BugList!C:C,BugList!N:N)</f>
        <v>2</v>
      </c>
      <c r="M367">
        <f t="shared" si="44"/>
        <v>2</v>
      </c>
      <c r="N367" t="b">
        <f>_xlfn.XLOOKUP(D367,BugList!C:C,BugList!L:L)</f>
        <v>1</v>
      </c>
      <c r="O367" t="b">
        <f t="shared" si="49"/>
        <v>0</v>
      </c>
      <c r="P367" s="18" t="b">
        <f>SUMPRODUCT(COUNTIF(_xlfn.XLOOKUP(D367,BugList!C:C,BugList!P:P), "*SC*"))&gt;0</f>
        <v>0</v>
      </c>
    </row>
    <row r="368" spans="1:16">
      <c r="A368" t="s">
        <v>2739</v>
      </c>
      <c r="B368">
        <v>2</v>
      </c>
      <c r="C368" s="75" t="s">
        <v>194</v>
      </c>
      <c r="D368" s="75" t="s">
        <v>203</v>
      </c>
      <c r="E368">
        <v>1</v>
      </c>
      <c r="F368" s="43">
        <f t="shared" si="50"/>
        <v>0.98039215686274506</v>
      </c>
      <c r="G368" s="44">
        <f t="shared" si="47"/>
        <v>0</v>
      </c>
      <c r="H368" s="44">
        <f t="shared" si="48"/>
        <v>0.98039215686274506</v>
      </c>
      <c r="I368" cm="1">
        <f t="array" ref="I368">INT(F368)+IF(100-SUM(INT(F$368:F$376))&gt;=RANK(H368,H$368:H$376)+COUNTIF(H$368:H368,H368)-1,1,0)</f>
        <v>1</v>
      </c>
      <c r="J368" t="b">
        <f t="shared" si="42"/>
        <v>0</v>
      </c>
      <c r="K368" t="str">
        <f t="shared" si="43"/>
        <v/>
      </c>
      <c r="L368" s="71">
        <v>5</v>
      </c>
      <c r="M368">
        <f t="shared" si="44"/>
        <v>5</v>
      </c>
      <c r="N368" s="71" t="b">
        <v>0</v>
      </c>
      <c r="O368" t="b">
        <f t="shared" si="49"/>
        <v>0</v>
      </c>
      <c r="P368" s="72" t="b">
        <v>0</v>
      </c>
    </row>
    <row r="369" spans="1:16">
      <c r="A369" t="s">
        <v>2739</v>
      </c>
      <c r="B369">
        <v>2</v>
      </c>
      <c r="C369" t="s">
        <v>195</v>
      </c>
      <c r="D369" t="s">
        <v>97</v>
      </c>
      <c r="E369">
        <v>1</v>
      </c>
      <c r="F369" s="43">
        <f t="shared" si="50"/>
        <v>0.98039215686274506</v>
      </c>
      <c r="G369" s="44">
        <f t="shared" si="47"/>
        <v>0</v>
      </c>
      <c r="H369" s="44">
        <f t="shared" si="48"/>
        <v>0.98039215686274506</v>
      </c>
      <c r="I369" cm="1">
        <f t="array" ref="I369">INT(F369)+IF(100-SUM(INT(F$368:F$376))&gt;=RANK(H369,H$368:H$376)+COUNTIF(H$368:H369,H369)-1,1,0)</f>
        <v>1</v>
      </c>
      <c r="J369" t="b">
        <f t="shared" si="42"/>
        <v>0</v>
      </c>
      <c r="K369" t="str">
        <f t="shared" si="43"/>
        <v/>
      </c>
      <c r="L369">
        <f>_xlfn.XLOOKUP(D369,BugList!C:C,BugList!N:N)</f>
        <v>9</v>
      </c>
      <c r="M369">
        <f t="shared" si="44"/>
        <v>9</v>
      </c>
      <c r="N369" t="b">
        <f>_xlfn.XLOOKUP(D369,BugList!C:C,BugList!L:L)</f>
        <v>1</v>
      </c>
      <c r="O369" t="b">
        <f t="shared" si="49"/>
        <v>0</v>
      </c>
      <c r="P369" s="18" t="b">
        <f>SUMPRODUCT(COUNTIF(_xlfn.XLOOKUP(D369,BugList!C:C,BugList!P:P), "*SC*"))&gt;0</f>
        <v>0</v>
      </c>
    </row>
    <row r="370" spans="1:16">
      <c r="A370" t="s">
        <v>2739</v>
      </c>
      <c r="B370">
        <v>2</v>
      </c>
      <c r="C370" t="s">
        <v>195</v>
      </c>
      <c r="D370" t="s">
        <v>113</v>
      </c>
      <c r="E370">
        <v>1</v>
      </c>
      <c r="F370" s="43">
        <f t="shared" si="50"/>
        <v>0.98039215686274506</v>
      </c>
      <c r="G370" s="44">
        <f t="shared" si="47"/>
        <v>0</v>
      </c>
      <c r="H370" s="44">
        <f t="shared" si="48"/>
        <v>0.98039215686274506</v>
      </c>
      <c r="I370" cm="1">
        <f t="array" ref="I370">INT(F370)+IF(100-SUM(INT(F$368:F$376))&gt;=RANK(H370,H$368:H$376)+COUNTIF(H$368:H370,H370)-1,1,0)</f>
        <v>1</v>
      </c>
      <c r="J370" t="b">
        <f t="shared" si="42"/>
        <v>0</v>
      </c>
      <c r="K370" t="str">
        <f t="shared" si="43"/>
        <v/>
      </c>
      <c r="L370">
        <f>_xlfn.XLOOKUP(D370,BugList!C:C,BugList!N:N)</f>
        <v>1</v>
      </c>
      <c r="M370">
        <f t="shared" si="44"/>
        <v>1</v>
      </c>
      <c r="N370" t="b">
        <f>_xlfn.XLOOKUP(D370,BugList!C:C,BugList!L:L)</f>
        <v>1</v>
      </c>
      <c r="O370" t="b">
        <f t="shared" si="49"/>
        <v>0</v>
      </c>
      <c r="P370" s="18" t="b">
        <f>SUMPRODUCT(COUNTIF(_xlfn.XLOOKUP(D370,BugList!C:C,BugList!P:P), "*SC*"))&gt;0</f>
        <v>0</v>
      </c>
    </row>
    <row r="371" spans="1:16">
      <c r="A371" t="s">
        <v>2739</v>
      </c>
      <c r="B371">
        <v>2</v>
      </c>
      <c r="C371" t="s">
        <v>200</v>
      </c>
      <c r="D371" t="s">
        <v>100</v>
      </c>
      <c r="E371">
        <v>4</v>
      </c>
      <c r="F371" s="43">
        <f t="shared" si="50"/>
        <v>3.9215686274509802</v>
      </c>
      <c r="G371" s="44">
        <f t="shared" si="47"/>
        <v>3</v>
      </c>
      <c r="H371" s="44">
        <f t="shared" si="48"/>
        <v>0.92156862745098023</v>
      </c>
      <c r="I371" cm="1">
        <f t="array" ref="I371">INT(F371)+IF(100-SUM(INT(F$368:F$376))&gt;=RANK(H371,H$368:H$376)+COUNTIF(H$368:H371,H371)-1,1,0)</f>
        <v>4</v>
      </c>
      <c r="J371" t="b">
        <f t="shared" ref="J371:J433" si="51">IF(OR(C371="Ephemeroptera", C371 ="Plecoptera", C371= "Trichoptera"), TRUE, FALSE)</f>
        <v>0</v>
      </c>
      <c r="K371" t="str">
        <f t="shared" ref="K371:K433" si="52">IF(J371=TRUE,C371,"")</f>
        <v/>
      </c>
      <c r="L371">
        <f>_xlfn.XLOOKUP(D371,BugList!C:C,BugList!N:N)</f>
        <v>4</v>
      </c>
      <c r="M371">
        <f t="shared" ref="M371:M433" si="53">L371*I371</f>
        <v>16</v>
      </c>
      <c r="N371" t="b">
        <f>_xlfn.XLOOKUP(D371,BugList!C:C,BugList!L:L)</f>
        <v>1</v>
      </c>
      <c r="O371" t="b">
        <f t="shared" si="49"/>
        <v>0</v>
      </c>
      <c r="P371" s="18" t="b">
        <f>SUMPRODUCT(COUNTIF(_xlfn.XLOOKUP(D371,BugList!C:C,BugList!P:P), "*SC*"))&gt;0</f>
        <v>1</v>
      </c>
    </row>
    <row r="372" spans="1:16">
      <c r="A372" t="s">
        <v>2739</v>
      </c>
      <c r="B372">
        <v>2</v>
      </c>
      <c r="C372" t="s">
        <v>200</v>
      </c>
      <c r="D372" t="s">
        <v>98</v>
      </c>
      <c r="E372">
        <v>2</v>
      </c>
      <c r="F372" s="43">
        <f t="shared" si="50"/>
        <v>1.9607843137254901</v>
      </c>
      <c r="G372" s="44">
        <f t="shared" si="47"/>
        <v>1</v>
      </c>
      <c r="H372" s="44">
        <f t="shared" si="48"/>
        <v>0.96078431372549011</v>
      </c>
      <c r="I372" cm="1">
        <f t="array" ref="I372">INT(F372)+IF(100-SUM(INT(F$368:F$376))&gt;=RANK(H372,H$368:H$376)+COUNTIF(H$368:H372,H372)-1,1,0)</f>
        <v>2</v>
      </c>
      <c r="J372" t="b">
        <f t="shared" si="51"/>
        <v>0</v>
      </c>
      <c r="K372" t="str">
        <f t="shared" si="52"/>
        <v/>
      </c>
      <c r="L372">
        <f>_xlfn.XLOOKUP(D372,BugList!C:C,BugList!N:N)</f>
        <v>4</v>
      </c>
      <c r="M372">
        <f t="shared" si="53"/>
        <v>8</v>
      </c>
      <c r="N372" t="b">
        <f>_xlfn.XLOOKUP(D372,BugList!C:C,BugList!L:L)</f>
        <v>1</v>
      </c>
      <c r="O372" t="b">
        <f t="shared" si="49"/>
        <v>0</v>
      </c>
      <c r="P372" s="18" t="b">
        <f>SUMPRODUCT(COUNTIF(_xlfn.XLOOKUP(D372,BugList!C:C,BugList!P:P), "*SC*"))&gt;0</f>
        <v>1</v>
      </c>
    </row>
    <row r="373" spans="1:16">
      <c r="A373" t="s">
        <v>2739</v>
      </c>
      <c r="B373">
        <v>2</v>
      </c>
      <c r="C373" t="s">
        <v>200</v>
      </c>
      <c r="D373" t="s">
        <v>1563</v>
      </c>
      <c r="E373">
        <v>2</v>
      </c>
      <c r="F373" s="43">
        <f t="shared" si="50"/>
        <v>1.9607843137254901</v>
      </c>
      <c r="G373" s="44">
        <f t="shared" si="47"/>
        <v>1</v>
      </c>
      <c r="H373" s="44">
        <f t="shared" si="48"/>
        <v>0.96078431372549011</v>
      </c>
      <c r="I373" cm="1">
        <f t="array" ref="I373">INT(F373)+IF(100-SUM(INT(F$368:F$376))&gt;=RANK(H373,H$368:H$376)+COUNTIF(H$368:H373,H373)-1,1,0)</f>
        <v>2</v>
      </c>
      <c r="J373" t="b">
        <f t="shared" si="51"/>
        <v>0</v>
      </c>
      <c r="K373" t="str">
        <f t="shared" si="52"/>
        <v/>
      </c>
      <c r="L373">
        <f>_xlfn.XLOOKUP(D373,BugList!C:C,BugList!N:N)</f>
        <v>5</v>
      </c>
      <c r="M373">
        <f t="shared" si="53"/>
        <v>10</v>
      </c>
      <c r="N373" t="b">
        <f>_xlfn.XLOOKUP(D373,BugList!C:C,BugList!L:L)</f>
        <v>1</v>
      </c>
      <c r="O373" t="b">
        <f t="shared" si="49"/>
        <v>0</v>
      </c>
      <c r="P373" s="18" t="b">
        <f>SUMPRODUCT(COUNTIF(_xlfn.XLOOKUP(D373,BugList!C:C,BugList!P:P), "*SC*"))&gt;0</f>
        <v>0</v>
      </c>
    </row>
    <row r="374" spans="1:16">
      <c r="A374" t="s">
        <v>2739</v>
      </c>
      <c r="B374">
        <v>2</v>
      </c>
      <c r="C374" t="s">
        <v>201</v>
      </c>
      <c r="D374" t="s">
        <v>85</v>
      </c>
      <c r="E374">
        <v>44</v>
      </c>
      <c r="F374" s="43">
        <f t="shared" si="50"/>
        <v>43.137254901960787</v>
      </c>
      <c r="G374" s="44">
        <f t="shared" si="47"/>
        <v>43</v>
      </c>
      <c r="H374" s="44">
        <f t="shared" si="48"/>
        <v>0.13725490196078738</v>
      </c>
      <c r="I374" cm="1">
        <f t="array" ref="I374">INT(F374)+IF(100-SUM(INT(F$368:F$376))&gt;=RANK(H374,H$368:H$376)+COUNTIF(H$368:H374,H374)-1,1,0)</f>
        <v>43</v>
      </c>
      <c r="J374" t="b">
        <f t="shared" si="51"/>
        <v>0</v>
      </c>
      <c r="K374" t="str">
        <f t="shared" si="52"/>
        <v/>
      </c>
      <c r="L374">
        <f>_xlfn.XLOOKUP(D374,BugList!C:C,BugList!N:N)</f>
        <v>4</v>
      </c>
      <c r="M374">
        <f t="shared" si="53"/>
        <v>172</v>
      </c>
      <c r="N374" t="b">
        <f>_xlfn.XLOOKUP(D374,BugList!C:C,BugList!L:L)</f>
        <v>0</v>
      </c>
      <c r="O374" t="b">
        <f t="shared" si="49"/>
        <v>0</v>
      </c>
      <c r="P374" s="18" t="b">
        <f>SUMPRODUCT(COUNTIF(_xlfn.XLOOKUP(D374,BugList!C:C,BugList!P:P), "*SC*"))&gt;0</f>
        <v>0</v>
      </c>
    </row>
    <row r="375" spans="1:16">
      <c r="A375" t="s">
        <v>2739</v>
      </c>
      <c r="B375">
        <v>2</v>
      </c>
      <c r="C375" t="s">
        <v>2738</v>
      </c>
      <c r="D375" t="s">
        <v>181</v>
      </c>
      <c r="E375">
        <v>44</v>
      </c>
      <c r="F375" s="43">
        <f t="shared" si="50"/>
        <v>43.137254901960787</v>
      </c>
      <c r="G375" s="44">
        <f t="shared" si="47"/>
        <v>43</v>
      </c>
      <c r="H375" s="44">
        <f t="shared" si="48"/>
        <v>0.13725490196078738</v>
      </c>
      <c r="I375" cm="1">
        <f t="array" ref="I375">INT(F375)+IF(100-SUM(INT(F$368:F$376))&gt;=RANK(H375,H$368:H$376)+COUNTIF(H$368:H375,H375)-1,1,0)</f>
        <v>43</v>
      </c>
      <c r="J375" t="b">
        <f t="shared" si="51"/>
        <v>0</v>
      </c>
      <c r="K375" t="str">
        <f t="shared" si="52"/>
        <v/>
      </c>
      <c r="L375">
        <f>_xlfn.XLOOKUP(D375,BugList!C:C,BugList!N:N)</f>
        <v>4</v>
      </c>
      <c r="M375">
        <f t="shared" si="53"/>
        <v>172</v>
      </c>
      <c r="N375" t="b">
        <f>_xlfn.XLOOKUP(D375,BugList!C:C,BugList!L:L)</f>
        <v>1</v>
      </c>
      <c r="O375" t="b">
        <f t="shared" si="49"/>
        <v>0</v>
      </c>
      <c r="P375" s="18" t="b">
        <f>SUMPRODUCT(COUNTIF(_xlfn.XLOOKUP(D375,BugList!C:C,BugList!P:P), "*SC*"))&gt;0</f>
        <v>0</v>
      </c>
    </row>
    <row r="376" spans="1:16">
      <c r="A376" t="s">
        <v>2739</v>
      </c>
      <c r="B376">
        <v>2</v>
      </c>
      <c r="C376" t="s">
        <v>210</v>
      </c>
      <c r="D376" t="s">
        <v>210</v>
      </c>
      <c r="E376">
        <v>3</v>
      </c>
      <c r="F376" s="43">
        <f t="shared" si="50"/>
        <v>2.9411764705882351</v>
      </c>
      <c r="G376" s="44">
        <f t="shared" si="47"/>
        <v>2</v>
      </c>
      <c r="H376" s="44">
        <f t="shared" si="48"/>
        <v>0.94117647058823506</v>
      </c>
      <c r="I376" cm="1">
        <f t="array" ref="I376">INT(F376)+IF(100-SUM(INT(F$368:F$376))&gt;=RANK(H376,H$368:H$376)+COUNTIF(H$368:H376,H376)-1,1,0)</f>
        <v>3</v>
      </c>
      <c r="J376" t="b">
        <f t="shared" si="51"/>
        <v>0</v>
      </c>
      <c r="K376" t="str">
        <f t="shared" si="52"/>
        <v/>
      </c>
      <c r="L376" s="71">
        <v>8</v>
      </c>
      <c r="M376">
        <f t="shared" si="53"/>
        <v>24</v>
      </c>
      <c r="N376" s="71" t="b">
        <v>0</v>
      </c>
      <c r="O376" t="b">
        <f t="shared" si="49"/>
        <v>0</v>
      </c>
      <c r="P376" s="72" t="b">
        <v>0</v>
      </c>
    </row>
    <row r="377" spans="1:16">
      <c r="A377" t="s">
        <v>2740</v>
      </c>
      <c r="B377">
        <v>45</v>
      </c>
      <c r="C377" t="s">
        <v>194</v>
      </c>
      <c r="D377" t="s">
        <v>108</v>
      </c>
      <c r="E377">
        <v>1</v>
      </c>
      <c r="F377" s="43">
        <f t="shared" si="50"/>
        <v>0.99009900990099009</v>
      </c>
      <c r="G377" s="44">
        <f t="shared" ref="G377:G386" si="54">INT(F377)</f>
        <v>0</v>
      </c>
      <c r="H377" s="44">
        <f t="shared" ref="H377:H386" si="55">F377-G377</f>
        <v>0.99009900990099009</v>
      </c>
      <c r="I377" cm="1">
        <f t="array" ref="I377">INT(F377)+IF(100-SUM(INT(F$377:F$386))&gt;=RANK(H377,H$377:H$386)+COUNTIF(H$377:H377,H377)-1,1,0)</f>
        <v>1</v>
      </c>
      <c r="J377" t="b">
        <f t="shared" ref="J377:J386" si="56">IF(OR(C377="Ephemeroptera", C377 ="Plecoptera", C377= "Trichoptera"), TRUE, FALSE)</f>
        <v>0</v>
      </c>
      <c r="K377" t="str">
        <f t="shared" ref="K377:K382" si="57">IF(J377=TRUE,C377,"")</f>
        <v/>
      </c>
      <c r="L377">
        <f>_xlfn.XLOOKUP(D377,BugList!C:C,BugList!N:N)</f>
        <v>3</v>
      </c>
      <c r="M377">
        <f t="shared" ref="M377:M386" si="58">L377*I377</f>
        <v>3</v>
      </c>
      <c r="N377" t="b">
        <f>_xlfn.XLOOKUP(D377,BugList!C:C,BugList!L:L)</f>
        <v>1</v>
      </c>
      <c r="O377" t="b">
        <f t="shared" ref="O377:O386" si="59">IF(J377=TRUE,IF(D377="Hydropsychidae", FALSE, TRUE), FALSE)</f>
        <v>0</v>
      </c>
      <c r="P377" s="18" t="b">
        <f>SUMPRODUCT(COUNTIF(_xlfn.XLOOKUP(D377,BugList!C:C,BugList!P:P), "*SC*"))&gt;0</f>
        <v>0</v>
      </c>
    </row>
    <row r="378" spans="1:16">
      <c r="A378" t="s">
        <v>2740</v>
      </c>
      <c r="B378">
        <v>45</v>
      </c>
      <c r="C378" t="s">
        <v>194</v>
      </c>
      <c r="D378" t="s">
        <v>126</v>
      </c>
      <c r="E378">
        <v>33</v>
      </c>
      <c r="F378" s="43">
        <f t="shared" si="50"/>
        <v>32.673267326732677</v>
      </c>
      <c r="G378" s="44">
        <f t="shared" si="54"/>
        <v>32</v>
      </c>
      <c r="H378" s="44">
        <f t="shared" si="55"/>
        <v>0.67326732673267742</v>
      </c>
      <c r="I378" cm="1">
        <f t="array" ref="I378">INT(F378)+IF(100-SUM(INT(F$377:F$386))&gt;=RANK(H378,H$377:H$386)+COUNTIF(H$377:H378,H378)-1,1,0)</f>
        <v>32</v>
      </c>
      <c r="J378" t="b">
        <f t="shared" si="56"/>
        <v>0</v>
      </c>
      <c r="K378" t="str">
        <f t="shared" si="57"/>
        <v/>
      </c>
      <c r="L378">
        <f>_xlfn.XLOOKUP(D378,BugList!C:C,BugList!N:N)</f>
        <v>8</v>
      </c>
      <c r="M378">
        <f t="shared" si="58"/>
        <v>256</v>
      </c>
      <c r="N378" t="b">
        <f>_xlfn.XLOOKUP(D378,BugList!C:C,BugList!L:L)</f>
        <v>1</v>
      </c>
      <c r="O378" t="b">
        <f t="shared" si="59"/>
        <v>0</v>
      </c>
      <c r="P378" s="18" t="b">
        <f>SUMPRODUCT(COUNTIF(_xlfn.XLOOKUP(D378,BugList!C:C,BugList!P:P), "*SC*"))&gt;0</f>
        <v>0</v>
      </c>
    </row>
    <row r="379" spans="1:16">
      <c r="A379" t="s">
        <v>2740</v>
      </c>
      <c r="B379">
        <v>45</v>
      </c>
      <c r="C379" t="s">
        <v>194</v>
      </c>
      <c r="D379" t="s">
        <v>1758</v>
      </c>
      <c r="E379">
        <v>3</v>
      </c>
      <c r="F379" s="43">
        <f t="shared" si="50"/>
        <v>2.9702970297029703</v>
      </c>
      <c r="G379" s="44">
        <f t="shared" si="54"/>
        <v>2</v>
      </c>
      <c r="H379" s="44">
        <f t="shared" si="55"/>
        <v>0.97029702970297027</v>
      </c>
      <c r="I379" cm="1">
        <f t="array" ref="I379">INT(F379)+IF(100-SUM(INT(F$377:F$386))&gt;=RANK(H379,H$377:H$386)+COUNTIF(H$377:H379,H379)-1,1,0)</f>
        <v>3</v>
      </c>
      <c r="J379" t="b">
        <f t="shared" si="56"/>
        <v>0</v>
      </c>
      <c r="K379" t="str">
        <f t="shared" si="57"/>
        <v/>
      </c>
      <c r="L379">
        <f>_xlfn.XLOOKUP(D379,BugList!C:C,BugList!N:N)</f>
        <v>6</v>
      </c>
      <c r="M379">
        <f t="shared" si="58"/>
        <v>18</v>
      </c>
      <c r="N379" t="b">
        <f>_xlfn.XLOOKUP(D379,BugList!C:C,BugList!L:L)</f>
        <v>1</v>
      </c>
      <c r="O379" t="b">
        <f t="shared" si="59"/>
        <v>0</v>
      </c>
      <c r="P379" s="18" t="b">
        <f>SUMPRODUCT(COUNTIF(_xlfn.XLOOKUP(D379,BugList!C:C,BugList!P:P), "*SC*"))&gt;0</f>
        <v>0</v>
      </c>
    </row>
    <row r="380" spans="1:16">
      <c r="A380" t="s">
        <v>2740</v>
      </c>
      <c r="B380">
        <v>45</v>
      </c>
      <c r="C380" t="s">
        <v>200</v>
      </c>
      <c r="D380" t="s">
        <v>98</v>
      </c>
      <c r="E380">
        <v>2</v>
      </c>
      <c r="F380" s="43">
        <f t="shared" si="50"/>
        <v>1.9801980198019802</v>
      </c>
      <c r="G380" s="44">
        <f t="shared" si="54"/>
        <v>1</v>
      </c>
      <c r="H380" s="44">
        <f t="shared" si="55"/>
        <v>0.98019801980198018</v>
      </c>
      <c r="I380" cm="1">
        <f t="array" ref="I380">INT(F380)+IF(100-SUM(INT(F$377:F$386))&gt;=RANK(H380,H$377:H$386)+COUNTIF(H$377:H380,H380)-1,1,0)</f>
        <v>2</v>
      </c>
      <c r="J380" t="b">
        <f t="shared" si="56"/>
        <v>0</v>
      </c>
      <c r="K380" t="str">
        <f t="shared" si="57"/>
        <v/>
      </c>
      <c r="L380">
        <f>_xlfn.XLOOKUP(D380,BugList!C:C,BugList!N:N)</f>
        <v>4</v>
      </c>
      <c r="M380">
        <f t="shared" si="58"/>
        <v>8</v>
      </c>
      <c r="N380" t="b">
        <f>_xlfn.XLOOKUP(D380,BugList!C:C,BugList!L:L)</f>
        <v>1</v>
      </c>
      <c r="O380" t="b">
        <f t="shared" si="59"/>
        <v>0</v>
      </c>
      <c r="P380" s="18" t="b">
        <f>SUMPRODUCT(COUNTIF(_xlfn.XLOOKUP(D380,BugList!C:C,BugList!P:P), "*SC*"))&gt;0</f>
        <v>1</v>
      </c>
    </row>
    <row r="381" spans="1:16">
      <c r="A381" t="s">
        <v>2740</v>
      </c>
      <c r="B381">
        <v>45</v>
      </c>
      <c r="C381" t="s">
        <v>200</v>
      </c>
      <c r="D381" t="s">
        <v>100</v>
      </c>
      <c r="E381">
        <v>2</v>
      </c>
      <c r="F381" s="76">
        <f t="shared" si="50"/>
        <v>1.9801980198019802</v>
      </c>
      <c r="G381" s="77">
        <f t="shared" si="54"/>
        <v>1</v>
      </c>
      <c r="H381" s="77">
        <f t="shared" si="55"/>
        <v>0.98019801980198018</v>
      </c>
      <c r="I381" cm="1">
        <f t="array" ref="I381">INT(F381)+IF(100-SUM(INT(F$377:F$386))&gt;=RANK(H381,H$377:H$386)+COUNTIF(H$377:H381,H381)-1,1,0)</f>
        <v>2</v>
      </c>
      <c r="J381" t="b">
        <f t="shared" si="56"/>
        <v>0</v>
      </c>
      <c r="K381" t="str">
        <f t="shared" si="57"/>
        <v/>
      </c>
      <c r="L381">
        <f>_xlfn.XLOOKUP(D381,BugList!C:C,BugList!N:N)</f>
        <v>4</v>
      </c>
      <c r="M381">
        <f t="shared" si="58"/>
        <v>8</v>
      </c>
      <c r="N381" t="b">
        <f>_xlfn.XLOOKUP(D381,BugList!C:C,BugList!L:L)</f>
        <v>1</v>
      </c>
      <c r="O381" t="b">
        <f t="shared" si="59"/>
        <v>0</v>
      </c>
      <c r="P381" s="18" t="b">
        <f>SUMPRODUCT(COUNTIF(_xlfn.XLOOKUP(D381,BugList!C:C,BugList!P:P), "*SC*"))&gt;0</f>
        <v>1</v>
      </c>
    </row>
    <row r="382" spans="1:16">
      <c r="A382" t="s">
        <v>2740</v>
      </c>
      <c r="B382">
        <v>45</v>
      </c>
      <c r="C382" t="s">
        <v>205</v>
      </c>
      <c r="D382" t="s">
        <v>206</v>
      </c>
      <c r="E382">
        <v>1</v>
      </c>
      <c r="F382" s="43">
        <f t="shared" si="50"/>
        <v>0.99009900990099009</v>
      </c>
      <c r="G382" s="44">
        <f t="shared" si="54"/>
        <v>0</v>
      </c>
      <c r="H382" s="44">
        <f t="shared" si="55"/>
        <v>0.99009900990099009</v>
      </c>
      <c r="I382" cm="1">
        <f t="array" ref="I382">INT(F382)+IF(100-SUM(INT(F$377:F$386))&gt;=RANK(H382,H$377:H$386)+COUNTIF(H$377:H382,H382)-1,1,0)</f>
        <v>1</v>
      </c>
      <c r="J382" t="b">
        <f t="shared" si="56"/>
        <v>0</v>
      </c>
      <c r="K382" t="str">
        <f t="shared" si="57"/>
        <v/>
      </c>
      <c r="L382" s="71">
        <v>8</v>
      </c>
      <c r="M382">
        <f t="shared" si="58"/>
        <v>8</v>
      </c>
      <c r="N382" s="71" t="b">
        <v>0</v>
      </c>
      <c r="O382" t="b">
        <f t="shared" si="59"/>
        <v>0</v>
      </c>
      <c r="P382" s="72" t="b">
        <v>0</v>
      </c>
    </row>
    <row r="383" spans="1:16">
      <c r="A383" t="s">
        <v>2740</v>
      </c>
      <c r="B383">
        <v>45</v>
      </c>
      <c r="C383" t="s">
        <v>94</v>
      </c>
      <c r="D383" t="s">
        <v>94</v>
      </c>
      <c r="E383">
        <v>13</v>
      </c>
      <c r="F383" s="43">
        <f t="shared" si="50"/>
        <v>12.871287128712872</v>
      </c>
      <c r="G383" s="44">
        <f t="shared" si="54"/>
        <v>12</v>
      </c>
      <c r="H383" s="44">
        <f t="shared" si="55"/>
        <v>0.87128712871287206</v>
      </c>
      <c r="I383" cm="1">
        <f t="array" ref="I383">INT(F383)+IF(100-SUM(INT(F$377:F$386))&gt;=RANK(H383,H$377:H$386)+COUNTIF(H$377:H383,H383)-1,1,0)</f>
        <v>13</v>
      </c>
      <c r="J383" t="b">
        <f t="shared" si="56"/>
        <v>0</v>
      </c>
      <c r="K383" t="str">
        <f t="shared" ref="K383:K386" si="60">IF(J383=TRUE,C383,"")</f>
        <v/>
      </c>
      <c r="L383">
        <f>_xlfn.XLOOKUP(D383,BugList!C:C,BugList!N:N)</f>
        <v>8</v>
      </c>
      <c r="M383">
        <f t="shared" si="58"/>
        <v>104</v>
      </c>
      <c r="N383" t="b">
        <f>_xlfn.XLOOKUP(D383,BugList!C:C,BugList!L:L)</f>
        <v>0</v>
      </c>
      <c r="O383" t="b">
        <f t="shared" si="59"/>
        <v>0</v>
      </c>
      <c r="P383" s="18" t="b">
        <f>SUMPRODUCT(COUNTIF(_xlfn.XLOOKUP(D383,BugList!C:C,BugList!P:P), "*SC*"))&gt;0</f>
        <v>0</v>
      </c>
    </row>
    <row r="384" spans="1:16">
      <c r="A384" t="s">
        <v>2740</v>
      </c>
      <c r="B384">
        <v>45</v>
      </c>
      <c r="C384" s="74" t="s">
        <v>2315</v>
      </c>
      <c r="D384" t="s">
        <v>2315</v>
      </c>
      <c r="E384">
        <v>2</v>
      </c>
      <c r="F384" s="43">
        <f t="shared" si="50"/>
        <v>1.9801980198019802</v>
      </c>
      <c r="G384" s="44">
        <f t="shared" si="54"/>
        <v>1</v>
      </c>
      <c r="H384" s="44">
        <f t="shared" si="55"/>
        <v>0.98019801980198018</v>
      </c>
      <c r="I384" cm="1">
        <f t="array" ref="I384">INT(F384)+IF(100-SUM(INT(F$377:F$386))&gt;=RANK(H384,H$377:H$386)+COUNTIF(H$377:H384,H384)-1,1,0)</f>
        <v>2</v>
      </c>
      <c r="J384" t="b">
        <f t="shared" si="56"/>
        <v>0</v>
      </c>
      <c r="K384" t="str">
        <f t="shared" si="60"/>
        <v/>
      </c>
      <c r="L384">
        <f>_xlfn.XLOOKUP(D384,BugList!C:C,BugList!N:N)</f>
        <v>7</v>
      </c>
      <c r="M384">
        <f t="shared" si="58"/>
        <v>14</v>
      </c>
      <c r="N384" t="b">
        <f>_xlfn.XLOOKUP(D384,BugList!C:C,BugList!L:L)</f>
        <v>0</v>
      </c>
      <c r="O384" t="b">
        <f t="shared" si="59"/>
        <v>0</v>
      </c>
      <c r="P384" s="18" t="b">
        <f>SUMPRODUCT(COUNTIF(_xlfn.XLOOKUP(D384,BugList!C:C,BugList!P:P), "*SC*"))&gt;0</f>
        <v>1</v>
      </c>
    </row>
    <row r="385" spans="1:16">
      <c r="A385" t="s">
        <v>2740</v>
      </c>
      <c r="B385">
        <v>45</v>
      </c>
      <c r="C385" t="s">
        <v>210</v>
      </c>
      <c r="D385" t="s">
        <v>210</v>
      </c>
      <c r="E385">
        <v>15</v>
      </c>
      <c r="F385" s="43">
        <f t="shared" si="50"/>
        <v>14.85148514851485</v>
      </c>
      <c r="G385" s="44">
        <f t="shared" si="54"/>
        <v>14</v>
      </c>
      <c r="H385" s="44">
        <f t="shared" si="55"/>
        <v>0.85148514851485047</v>
      </c>
      <c r="I385" cm="1">
        <f t="array" ref="I385">INT(F385)+IF(100-SUM(INT(F$377:F$386))&gt;=RANK(H385,H$377:H$386)+COUNTIF(H$377:H385,H385)-1,1,0)</f>
        <v>15</v>
      </c>
      <c r="J385" t="b">
        <f t="shared" si="56"/>
        <v>0</v>
      </c>
      <c r="K385" t="str">
        <f t="shared" si="60"/>
        <v/>
      </c>
      <c r="L385" s="71">
        <v>8</v>
      </c>
      <c r="M385">
        <f t="shared" si="58"/>
        <v>120</v>
      </c>
      <c r="N385" s="71" t="b">
        <v>0</v>
      </c>
      <c r="O385" t="b">
        <f t="shared" si="59"/>
        <v>0</v>
      </c>
      <c r="P385" s="72" t="b">
        <v>0</v>
      </c>
    </row>
    <row r="386" spans="1:16">
      <c r="A386" t="s">
        <v>2740</v>
      </c>
      <c r="B386">
        <v>45</v>
      </c>
      <c r="C386" t="s">
        <v>201</v>
      </c>
      <c r="D386" t="s">
        <v>85</v>
      </c>
      <c r="E386">
        <v>29</v>
      </c>
      <c r="F386" s="43">
        <f t="shared" si="50"/>
        <v>28.71287128712871</v>
      </c>
      <c r="G386" s="44">
        <f t="shared" si="54"/>
        <v>28</v>
      </c>
      <c r="H386" s="44">
        <f t="shared" si="55"/>
        <v>0.71287128712870995</v>
      </c>
      <c r="I386" cm="1">
        <f t="array" ref="I386">INT(F386)+IF(100-SUM(INT(F$377:F$386))&gt;=RANK(H386,H$377:H$386)+COUNTIF(H$377:H386,H386)-1,1,0)</f>
        <v>29</v>
      </c>
      <c r="J386" t="b">
        <f t="shared" si="56"/>
        <v>0</v>
      </c>
      <c r="K386" t="str">
        <f t="shared" si="60"/>
        <v/>
      </c>
      <c r="L386">
        <f>_xlfn.XLOOKUP(D386,BugList!C:C,BugList!N:N)</f>
        <v>4</v>
      </c>
      <c r="M386">
        <f t="shared" si="58"/>
        <v>116</v>
      </c>
      <c r="N386" t="b">
        <f>_xlfn.XLOOKUP(D386,BugList!C:C,BugList!L:L)</f>
        <v>0</v>
      </c>
      <c r="O386" t="b">
        <f t="shared" si="59"/>
        <v>0</v>
      </c>
      <c r="P386" s="18" t="b">
        <f>SUMPRODUCT(COUNTIF(_xlfn.XLOOKUP(D386,BugList!C:C,BugList!P:P), "*SC*"))&gt;0</f>
        <v>0</v>
      </c>
    </row>
    <row r="387" spans="1:16">
      <c r="A387" t="s">
        <v>2742</v>
      </c>
      <c r="B387">
        <v>39</v>
      </c>
      <c r="C387" t="s">
        <v>194</v>
      </c>
      <c r="D387" t="s">
        <v>126</v>
      </c>
      <c r="E387">
        <v>4</v>
      </c>
      <c r="F387" s="43">
        <f t="shared" si="50"/>
        <v>3.0534351145038165</v>
      </c>
      <c r="G387" s="44">
        <f t="shared" ref="G387:G397" si="61">INT(F387)</f>
        <v>3</v>
      </c>
      <c r="H387" s="44">
        <f t="shared" ref="H387:H397" si="62">F387-G387</f>
        <v>5.343511450381655E-2</v>
      </c>
      <c r="I387" cm="1">
        <f t="array" ref="I387">INT(F387)+IF(100-SUM(INT(F$387:F$397))&gt;=RANK(H387,H$387:H$397)+COUNTIF(H$387:H387,H387)-1,1,0)</f>
        <v>3</v>
      </c>
      <c r="J387" t="b">
        <f t="shared" si="51"/>
        <v>0</v>
      </c>
      <c r="K387" t="str">
        <f t="shared" si="52"/>
        <v/>
      </c>
      <c r="L387">
        <f>_xlfn.XLOOKUP(D387,BugList!C:C,BugList!N:N)</f>
        <v>8</v>
      </c>
      <c r="M387">
        <f t="shared" si="53"/>
        <v>24</v>
      </c>
      <c r="N387" t="b">
        <f>_xlfn.XLOOKUP(D387,BugList!C:C,BugList!L:L)</f>
        <v>1</v>
      </c>
      <c r="O387" t="b">
        <f t="shared" si="49"/>
        <v>0</v>
      </c>
      <c r="P387" s="18" t="b">
        <f>SUMPRODUCT(COUNTIF(_xlfn.XLOOKUP(D387,BugList!C:C,BugList!P:P), "*SC*"))&gt;0</f>
        <v>0</v>
      </c>
    </row>
    <row r="388" spans="1:16">
      <c r="A388" t="s">
        <v>2742</v>
      </c>
      <c r="B388">
        <v>39</v>
      </c>
      <c r="C388" t="s">
        <v>194</v>
      </c>
      <c r="D388" s="85" t="s">
        <v>90</v>
      </c>
      <c r="E388">
        <v>3</v>
      </c>
      <c r="F388" s="43">
        <f t="shared" si="50"/>
        <v>2.2900763358778624</v>
      </c>
      <c r="G388" s="44">
        <f t="shared" si="61"/>
        <v>2</v>
      </c>
      <c r="H388" s="44">
        <f t="shared" si="62"/>
        <v>0.29007633587786241</v>
      </c>
      <c r="I388" cm="1">
        <f t="array" ref="I388">INT(F388)+IF(100-SUM(INT(F$387:F$397))&gt;=RANK(H388,H$387:H$397)+COUNTIF(H$387:H388,H388)-1,1,0)</f>
        <v>2</v>
      </c>
      <c r="J388" t="b">
        <f t="shared" si="51"/>
        <v>0</v>
      </c>
      <c r="K388" t="str">
        <f t="shared" si="52"/>
        <v/>
      </c>
      <c r="L388">
        <f>_xlfn.XLOOKUP(D388,BugList!C:C,BugList!N:N)</f>
        <v>6</v>
      </c>
      <c r="M388">
        <f t="shared" si="53"/>
        <v>12</v>
      </c>
      <c r="N388" t="b">
        <f>_xlfn.XLOOKUP(D388,BugList!C:C,BugList!L:L)</f>
        <v>1</v>
      </c>
      <c r="O388" t="b">
        <f t="shared" si="49"/>
        <v>0</v>
      </c>
      <c r="P388" s="18" t="b">
        <f>SUMPRODUCT(COUNTIF(_xlfn.XLOOKUP(D388,BugList!C:C,BugList!P:P), "*SC*"))&gt;0</f>
        <v>0</v>
      </c>
    </row>
    <row r="389" spans="1:16">
      <c r="A389" t="s">
        <v>2742</v>
      </c>
      <c r="B389">
        <v>39</v>
      </c>
      <c r="C389" t="s">
        <v>198</v>
      </c>
      <c r="D389" t="s">
        <v>89</v>
      </c>
      <c r="E389">
        <v>40</v>
      </c>
      <c r="F389" s="43">
        <f t="shared" si="50"/>
        <v>30.534351145038169</v>
      </c>
      <c r="G389" s="44">
        <f t="shared" si="61"/>
        <v>30</v>
      </c>
      <c r="H389" s="44">
        <f t="shared" si="62"/>
        <v>0.53435114503816905</v>
      </c>
      <c r="I389" cm="1">
        <f t="array" ref="I389">INT(F389)+IF(100-SUM(INT(F$387:F$397))&gt;=RANK(H389,H$387:H$397)+COUNTIF(H$387:H389,H389)-1,1,0)</f>
        <v>31</v>
      </c>
      <c r="J389" t="b">
        <f t="shared" si="51"/>
        <v>1</v>
      </c>
      <c r="K389" t="str">
        <f t="shared" si="52"/>
        <v>Trichoptera</v>
      </c>
      <c r="L389">
        <f>_xlfn.XLOOKUP(D389,BugList!C:C,BugList!N:N)</f>
        <v>4</v>
      </c>
      <c r="M389">
        <f t="shared" si="53"/>
        <v>124</v>
      </c>
      <c r="N389" t="b">
        <f>_xlfn.XLOOKUP(D389,BugList!C:C,BugList!L:L)</f>
        <v>1</v>
      </c>
      <c r="O389" t="b">
        <f t="shared" si="49"/>
        <v>0</v>
      </c>
      <c r="P389" s="18" t="b">
        <f>SUMPRODUCT(COUNTIF(_xlfn.XLOOKUP(D389,BugList!C:C,BugList!P:P), "*SC*"))&gt;0</f>
        <v>0</v>
      </c>
    </row>
    <row r="390" spans="1:16">
      <c r="A390" t="s">
        <v>2742</v>
      </c>
      <c r="B390">
        <v>39</v>
      </c>
      <c r="C390" t="s">
        <v>199</v>
      </c>
      <c r="D390" t="s">
        <v>89</v>
      </c>
      <c r="E390">
        <v>1</v>
      </c>
      <c r="F390" s="43">
        <f t="shared" si="50"/>
        <v>0.76335877862595414</v>
      </c>
      <c r="G390" s="44">
        <f t="shared" si="61"/>
        <v>0</v>
      </c>
      <c r="H390" s="44">
        <f t="shared" si="62"/>
        <v>0.76335877862595414</v>
      </c>
      <c r="I390" cm="1">
        <f t="array" ref="I390">INT(F390)+IF(100-SUM(INT(F$387:F$397))&gt;=RANK(H390,H$387:H$397)+COUNTIF(H$387:H390,H390)-1,1,0)</f>
        <v>1</v>
      </c>
      <c r="J390" t="b">
        <f t="shared" si="51"/>
        <v>1</v>
      </c>
      <c r="K390" t="str">
        <f t="shared" si="52"/>
        <v>Ephemeroptera</v>
      </c>
      <c r="L390">
        <f>_xlfn.XLOOKUP(D390,BugList!C:C,BugList!N:N)</f>
        <v>4</v>
      </c>
      <c r="M390">
        <f t="shared" si="53"/>
        <v>4</v>
      </c>
      <c r="N390" t="b">
        <f>_xlfn.XLOOKUP(D390,BugList!C:C,BugList!L:L)</f>
        <v>1</v>
      </c>
      <c r="O390" t="b">
        <f t="shared" si="49"/>
        <v>0</v>
      </c>
      <c r="P390" s="18" t="b">
        <f>SUMPRODUCT(COUNTIF(_xlfn.XLOOKUP(D390,BugList!C:C,BugList!P:P), "*SC*"))&gt;0</f>
        <v>0</v>
      </c>
    </row>
    <row r="391" spans="1:16">
      <c r="A391" t="s">
        <v>2742</v>
      </c>
      <c r="B391">
        <v>39</v>
      </c>
      <c r="C391" t="s">
        <v>199</v>
      </c>
      <c r="D391" t="s">
        <v>154</v>
      </c>
      <c r="E391">
        <v>2</v>
      </c>
      <c r="F391" s="43">
        <f t="shared" ref="F391:F397" si="63">(E391/(SUMIFS(E:E,A:A,A391))*100)</f>
        <v>1.5267175572519083</v>
      </c>
      <c r="G391" s="44">
        <f t="shared" si="61"/>
        <v>1</v>
      </c>
      <c r="H391" s="44">
        <f t="shared" si="62"/>
        <v>0.52671755725190827</v>
      </c>
      <c r="I391" cm="1">
        <f t="array" ref="I391">INT(F391)+IF(100-SUM(INT(F$387:F$397))&gt;=RANK(H391,H$387:H$397)+COUNTIF(H$387:H391,H391)-1,1,0)</f>
        <v>1</v>
      </c>
      <c r="J391" t="b">
        <f t="shared" si="51"/>
        <v>1</v>
      </c>
      <c r="K391" t="str">
        <f t="shared" si="52"/>
        <v>Ephemeroptera</v>
      </c>
      <c r="L391">
        <f>_xlfn.XLOOKUP(D391,BugList!C:C,BugList!N:N)</f>
        <v>7</v>
      </c>
      <c r="M391">
        <f t="shared" si="53"/>
        <v>7</v>
      </c>
      <c r="N391" t="b">
        <f>_xlfn.XLOOKUP(D391,BugList!C:C,BugList!L:L)</f>
        <v>1</v>
      </c>
      <c r="O391" t="b">
        <f t="shared" si="49"/>
        <v>1</v>
      </c>
      <c r="P391" s="18" t="b">
        <f>SUMPRODUCT(COUNTIF(_xlfn.XLOOKUP(D391,BugList!C:C,BugList!P:P), "*SC*"))&gt;0</f>
        <v>0</v>
      </c>
    </row>
    <row r="392" spans="1:16">
      <c r="A392" t="s">
        <v>2742</v>
      </c>
      <c r="B392">
        <v>39</v>
      </c>
      <c r="C392" t="s">
        <v>200</v>
      </c>
      <c r="D392" t="s">
        <v>98</v>
      </c>
      <c r="E392">
        <v>20</v>
      </c>
      <c r="F392" s="43">
        <f t="shared" si="63"/>
        <v>15.267175572519085</v>
      </c>
      <c r="G392" s="44">
        <f t="shared" si="61"/>
        <v>15</v>
      </c>
      <c r="H392" s="44">
        <f t="shared" si="62"/>
        <v>0.26717557251908453</v>
      </c>
      <c r="I392" cm="1">
        <f t="array" ref="I392">INT(F392)+IF(100-SUM(INT(F$387:F$397))&gt;=RANK(H392,H$387:H$397)+COUNTIF(H$387:H392,H392)-1,1,0)</f>
        <v>15</v>
      </c>
      <c r="J392" t="b">
        <f t="shared" si="51"/>
        <v>0</v>
      </c>
      <c r="K392" t="str">
        <f t="shared" si="52"/>
        <v/>
      </c>
      <c r="L392">
        <f>_xlfn.XLOOKUP(D392,BugList!C:C,BugList!N:N)</f>
        <v>4</v>
      </c>
      <c r="M392">
        <f t="shared" si="53"/>
        <v>60</v>
      </c>
      <c r="N392" t="b">
        <f>_xlfn.XLOOKUP(D392,BugList!C:C,BugList!L:L)</f>
        <v>1</v>
      </c>
      <c r="O392" t="b">
        <f t="shared" si="49"/>
        <v>0</v>
      </c>
      <c r="P392" s="18" t="b">
        <f>SUMPRODUCT(COUNTIF(_xlfn.XLOOKUP(D392,BugList!C:C,BugList!P:P), "*SC*"))&gt;0</f>
        <v>1</v>
      </c>
    </row>
    <row r="393" spans="1:16">
      <c r="A393" t="s">
        <v>2742</v>
      </c>
      <c r="B393">
        <v>39</v>
      </c>
      <c r="C393" t="s">
        <v>200</v>
      </c>
      <c r="D393" t="s">
        <v>100</v>
      </c>
      <c r="E393">
        <v>7</v>
      </c>
      <c r="F393" s="43">
        <f t="shared" si="63"/>
        <v>5.343511450381679</v>
      </c>
      <c r="G393" s="44">
        <f t="shared" si="61"/>
        <v>5</v>
      </c>
      <c r="H393" s="44">
        <f t="shared" si="62"/>
        <v>0.34351145038167896</v>
      </c>
      <c r="I393" cm="1">
        <f t="array" ref="I393">INT(F393)+IF(100-SUM(INT(F$387:F$397))&gt;=RANK(H393,H$387:H$397)+COUNTIF(H$387:H393,H393)-1,1,0)</f>
        <v>5</v>
      </c>
      <c r="J393" t="b">
        <f t="shared" si="51"/>
        <v>0</v>
      </c>
      <c r="K393" t="str">
        <f t="shared" si="52"/>
        <v/>
      </c>
      <c r="L393">
        <f>_xlfn.XLOOKUP(D393,BugList!C:C,BugList!N:N)</f>
        <v>4</v>
      </c>
      <c r="M393">
        <f t="shared" si="53"/>
        <v>20</v>
      </c>
      <c r="N393" t="b">
        <f>_xlfn.XLOOKUP(D393,BugList!C:C,BugList!L:L)</f>
        <v>1</v>
      </c>
      <c r="O393" t="b">
        <f t="shared" si="49"/>
        <v>0</v>
      </c>
      <c r="P393" s="18" t="b">
        <f>SUMPRODUCT(COUNTIF(_xlfn.XLOOKUP(D393,BugList!C:C,BugList!P:P), "*SC*"))&gt;0</f>
        <v>1</v>
      </c>
    </row>
    <row r="394" spans="1:16">
      <c r="A394" t="s">
        <v>2742</v>
      </c>
      <c r="B394">
        <v>39</v>
      </c>
      <c r="C394" t="s">
        <v>200</v>
      </c>
      <c r="D394" t="s">
        <v>1563</v>
      </c>
      <c r="E394">
        <v>1</v>
      </c>
      <c r="F394" s="43">
        <f t="shared" si="63"/>
        <v>0.76335877862595414</v>
      </c>
      <c r="G394" s="44">
        <f t="shared" si="61"/>
        <v>0</v>
      </c>
      <c r="H394" s="44">
        <f t="shared" si="62"/>
        <v>0.76335877862595414</v>
      </c>
      <c r="I394" cm="1">
        <f t="array" ref="I394">INT(F394)+IF(100-SUM(INT(F$387:F$397))&gt;=RANK(H394,H$387:H$397)+COUNTIF(H$387:H394,H394)-1,1,0)</f>
        <v>1</v>
      </c>
      <c r="J394" t="b">
        <f t="shared" si="51"/>
        <v>0</v>
      </c>
      <c r="K394" t="str">
        <f t="shared" si="52"/>
        <v/>
      </c>
      <c r="L394">
        <f>_xlfn.XLOOKUP(D394,BugList!C:C,BugList!N:N)</f>
        <v>5</v>
      </c>
      <c r="M394">
        <f t="shared" si="53"/>
        <v>5</v>
      </c>
      <c r="N394" t="b">
        <f>_xlfn.XLOOKUP(D394,BugList!C:C,BugList!L:L)</f>
        <v>1</v>
      </c>
      <c r="O394" t="b">
        <f t="shared" si="49"/>
        <v>0</v>
      </c>
      <c r="P394" s="18" t="b">
        <f>SUMPRODUCT(COUNTIF(_xlfn.XLOOKUP(D394,BugList!C:C,BugList!P:P), "*SC*"))&gt;0</f>
        <v>0</v>
      </c>
    </row>
    <row r="395" spans="1:16">
      <c r="A395" t="s">
        <v>2742</v>
      </c>
      <c r="B395">
        <v>39</v>
      </c>
      <c r="C395" t="s">
        <v>202</v>
      </c>
      <c r="D395" t="s">
        <v>203</v>
      </c>
      <c r="E395">
        <v>1</v>
      </c>
      <c r="F395" s="43">
        <f t="shared" si="63"/>
        <v>0.76335877862595414</v>
      </c>
      <c r="G395" s="44">
        <f t="shared" si="61"/>
        <v>0</v>
      </c>
      <c r="H395" s="44">
        <f t="shared" si="62"/>
        <v>0.76335877862595414</v>
      </c>
      <c r="I395" cm="1">
        <f t="array" ref="I395">INT(F395)+IF(100-SUM(INT(F$387:F$397))&gt;=RANK(H395,H$387:H$397)+COUNTIF(H$387:H395,H395)-1,1,0)</f>
        <v>1</v>
      </c>
      <c r="J395" t="b">
        <f t="shared" si="51"/>
        <v>0</v>
      </c>
      <c r="K395" t="str">
        <f t="shared" si="52"/>
        <v/>
      </c>
      <c r="L395" s="71">
        <v>5</v>
      </c>
      <c r="M395">
        <f t="shared" si="53"/>
        <v>5</v>
      </c>
      <c r="N395" s="71" t="b">
        <v>0</v>
      </c>
      <c r="O395" t="b">
        <f t="shared" si="49"/>
        <v>0</v>
      </c>
      <c r="P395" s="72" t="b">
        <v>0</v>
      </c>
    </row>
    <row r="396" spans="1:16">
      <c r="A396" t="s">
        <v>2742</v>
      </c>
      <c r="B396">
        <v>39</v>
      </c>
      <c r="C396" t="s">
        <v>2315</v>
      </c>
      <c r="D396" t="s">
        <v>2315</v>
      </c>
      <c r="E396">
        <v>1</v>
      </c>
      <c r="F396" s="43">
        <f t="shared" si="63"/>
        <v>0.76335877862595414</v>
      </c>
      <c r="G396" s="44">
        <f t="shared" si="61"/>
        <v>0</v>
      </c>
      <c r="H396" s="44">
        <f t="shared" si="62"/>
        <v>0.76335877862595414</v>
      </c>
      <c r="I396" cm="1">
        <f t="array" ref="I396">INT(F396)+IF(100-SUM(INT(F$387:F$397))&gt;=RANK(H396,H$387:H$397)+COUNTIF(H$387:H396,H396)-1,1,0)</f>
        <v>1</v>
      </c>
      <c r="J396" t="b">
        <f t="shared" si="51"/>
        <v>0</v>
      </c>
      <c r="K396" t="str">
        <f t="shared" si="52"/>
        <v/>
      </c>
      <c r="L396">
        <f>_xlfn.XLOOKUP(D396,BugList!C:C,BugList!N:N)</f>
        <v>7</v>
      </c>
      <c r="M396">
        <f t="shared" si="53"/>
        <v>7</v>
      </c>
      <c r="N396" t="b">
        <f>_xlfn.XLOOKUP(D396,BugList!C:C,BugList!L:L)</f>
        <v>0</v>
      </c>
      <c r="O396" t="b">
        <f t="shared" si="49"/>
        <v>0</v>
      </c>
      <c r="P396" s="18" t="b">
        <f>SUMPRODUCT(COUNTIF(_xlfn.XLOOKUP(D396,BugList!C:C,BugList!P:P), "*SC*"))&gt;0</f>
        <v>1</v>
      </c>
    </row>
    <row r="397" spans="1:16">
      <c r="A397" t="s">
        <v>2742</v>
      </c>
      <c r="B397">
        <v>39</v>
      </c>
      <c r="C397" t="s">
        <v>201</v>
      </c>
      <c r="D397" t="s">
        <v>85</v>
      </c>
      <c r="E397">
        <v>51</v>
      </c>
      <c r="F397" s="43">
        <f t="shared" si="63"/>
        <v>38.931297709923662</v>
      </c>
      <c r="G397" s="44">
        <f t="shared" si="61"/>
        <v>38</v>
      </c>
      <c r="H397" s="44">
        <f t="shared" si="62"/>
        <v>0.9312977099236619</v>
      </c>
      <c r="I397" cm="1">
        <f t="array" ref="I397">INT(F397)+IF(100-SUM(INT(F$387:F$397))&gt;=RANK(H397,H$387:H$397)+COUNTIF(H$387:H397,H397)-1,1,0)</f>
        <v>39</v>
      </c>
      <c r="J397" t="b">
        <f t="shared" si="51"/>
        <v>0</v>
      </c>
      <c r="K397" t="str">
        <f t="shared" si="52"/>
        <v/>
      </c>
      <c r="L397">
        <f>_xlfn.XLOOKUP(D397,BugList!C:C,BugList!N:N)</f>
        <v>4</v>
      </c>
      <c r="M397">
        <f t="shared" si="53"/>
        <v>156</v>
      </c>
      <c r="N397" t="b">
        <f>_xlfn.XLOOKUP(D397,BugList!C:C,BugList!L:L)</f>
        <v>0</v>
      </c>
      <c r="O397" t="b">
        <f t="shared" si="49"/>
        <v>0</v>
      </c>
      <c r="P397" s="18" t="b">
        <f>SUMPRODUCT(COUNTIF(_xlfn.XLOOKUP(D397,BugList!C:C,BugList!P:P), "*SC*"))&gt;0</f>
        <v>0</v>
      </c>
    </row>
    <row r="398" spans="1:16" ht="14" customHeight="1">
      <c r="A398" t="s">
        <v>2743</v>
      </c>
      <c r="B398">
        <v>43</v>
      </c>
      <c r="C398" t="s">
        <v>194</v>
      </c>
      <c r="D398" t="s">
        <v>126</v>
      </c>
      <c r="E398">
        <v>5</v>
      </c>
      <c r="F398" s="43"/>
      <c r="G398" s="44"/>
      <c r="H398" s="44"/>
      <c r="J398" t="b">
        <f t="shared" si="51"/>
        <v>0</v>
      </c>
      <c r="K398" t="str">
        <f t="shared" si="52"/>
        <v/>
      </c>
      <c r="L398">
        <f>_xlfn.XLOOKUP(D398,BugList!C:C,BugList!N:N)</f>
        <v>8</v>
      </c>
      <c r="N398" t="b">
        <f>_xlfn.XLOOKUP(D398,BugList!C:C,BugList!L:L)</f>
        <v>1</v>
      </c>
      <c r="O398" t="b">
        <f t="shared" si="49"/>
        <v>0</v>
      </c>
      <c r="P398" s="18" t="b">
        <f>SUMPRODUCT(COUNTIF(_xlfn.XLOOKUP(D398,BugList!C:C,BugList!P:P), "*SC*"))&gt;0</f>
        <v>0</v>
      </c>
    </row>
    <row r="399" spans="1:16">
      <c r="A399" t="s">
        <v>2743</v>
      </c>
      <c r="B399">
        <v>43</v>
      </c>
      <c r="C399" t="s">
        <v>200</v>
      </c>
      <c r="D399" t="s">
        <v>98</v>
      </c>
      <c r="E399">
        <v>3</v>
      </c>
      <c r="F399" s="43"/>
      <c r="G399" s="44"/>
      <c r="H399" s="44"/>
      <c r="J399" t="b">
        <f t="shared" si="51"/>
        <v>0</v>
      </c>
      <c r="K399" t="str">
        <f t="shared" si="52"/>
        <v/>
      </c>
      <c r="L399">
        <f>_xlfn.XLOOKUP(D399,BugList!C:C,BugList!N:N)</f>
        <v>4</v>
      </c>
      <c r="N399" t="b">
        <f>_xlfn.XLOOKUP(D399,BugList!C:C,BugList!L:L)</f>
        <v>1</v>
      </c>
      <c r="O399" t="b">
        <f t="shared" si="49"/>
        <v>0</v>
      </c>
      <c r="P399" s="18" t="b">
        <f>SUMPRODUCT(COUNTIF(_xlfn.XLOOKUP(D399,BugList!C:C,BugList!P:P), "*SC*"))&gt;0</f>
        <v>1</v>
      </c>
    </row>
    <row r="400" spans="1:16">
      <c r="A400" t="s">
        <v>2743</v>
      </c>
      <c r="B400">
        <v>43</v>
      </c>
      <c r="C400" t="s">
        <v>200</v>
      </c>
      <c r="D400" t="s">
        <v>100</v>
      </c>
      <c r="E400">
        <v>5</v>
      </c>
      <c r="F400" s="43"/>
      <c r="G400" s="44"/>
      <c r="H400" s="44"/>
      <c r="J400" t="b">
        <f t="shared" si="51"/>
        <v>0</v>
      </c>
      <c r="K400" t="str">
        <f t="shared" si="52"/>
        <v/>
      </c>
      <c r="L400">
        <f>_xlfn.XLOOKUP(D400,BugList!C:C,BugList!N:N)</f>
        <v>4</v>
      </c>
      <c r="N400" t="b">
        <f>_xlfn.XLOOKUP(D400,BugList!C:C,BugList!L:L)</f>
        <v>1</v>
      </c>
      <c r="O400" t="b">
        <f t="shared" si="49"/>
        <v>0</v>
      </c>
      <c r="P400" s="18" t="b">
        <f>SUMPRODUCT(COUNTIF(_xlfn.XLOOKUP(D400,BugList!C:C,BugList!P:P), "*SC*"))&gt;0</f>
        <v>1</v>
      </c>
    </row>
    <row r="401" spans="1:16">
      <c r="A401" t="s">
        <v>2743</v>
      </c>
      <c r="B401">
        <v>43</v>
      </c>
      <c r="C401" t="s">
        <v>200</v>
      </c>
      <c r="D401" t="s">
        <v>1563</v>
      </c>
      <c r="E401">
        <v>2</v>
      </c>
      <c r="F401" s="43"/>
      <c r="G401" s="44"/>
      <c r="H401" s="44"/>
      <c r="J401" t="b">
        <f t="shared" si="51"/>
        <v>0</v>
      </c>
      <c r="K401" t="str">
        <f t="shared" si="52"/>
        <v/>
      </c>
      <c r="L401">
        <f>_xlfn.XLOOKUP(D401,BugList!C:C,BugList!N:N)</f>
        <v>5</v>
      </c>
      <c r="N401" t="b">
        <f>_xlfn.XLOOKUP(D401,BugList!C:C,BugList!L:L)</f>
        <v>1</v>
      </c>
      <c r="O401" t="b">
        <f t="shared" si="49"/>
        <v>0</v>
      </c>
      <c r="P401" s="18" t="b">
        <f>SUMPRODUCT(COUNTIF(_xlfn.XLOOKUP(D401,BugList!C:C,BugList!P:P), "*SC*"))&gt;0</f>
        <v>0</v>
      </c>
    </row>
    <row r="402" spans="1:16">
      <c r="A402" t="s">
        <v>2743</v>
      </c>
      <c r="B402">
        <v>43</v>
      </c>
      <c r="C402" t="s">
        <v>205</v>
      </c>
      <c r="D402" t="s">
        <v>206</v>
      </c>
      <c r="E402">
        <v>1</v>
      </c>
      <c r="F402" s="43"/>
      <c r="G402" s="44"/>
      <c r="H402" s="44"/>
      <c r="J402" t="b">
        <f t="shared" si="51"/>
        <v>0</v>
      </c>
      <c r="K402" t="str">
        <f t="shared" si="52"/>
        <v/>
      </c>
      <c r="L402">
        <v>8</v>
      </c>
      <c r="N402" s="71" t="b">
        <v>0</v>
      </c>
      <c r="O402" t="b">
        <f t="shared" si="49"/>
        <v>0</v>
      </c>
      <c r="P402" s="72" t="b">
        <v>0</v>
      </c>
    </row>
    <row r="403" spans="1:16">
      <c r="A403" t="s">
        <v>2743</v>
      </c>
      <c r="B403">
        <v>43</v>
      </c>
      <c r="C403" t="s">
        <v>201</v>
      </c>
      <c r="D403" s="85" t="s">
        <v>85</v>
      </c>
      <c r="E403">
        <v>20</v>
      </c>
      <c r="F403" s="43"/>
      <c r="G403" s="44"/>
      <c r="H403" s="44"/>
      <c r="J403" t="b">
        <f t="shared" si="51"/>
        <v>0</v>
      </c>
      <c r="K403" t="str">
        <f t="shared" si="52"/>
        <v/>
      </c>
      <c r="L403">
        <f>_xlfn.XLOOKUP(D403,BugList!C:C,BugList!N:N)</f>
        <v>4</v>
      </c>
      <c r="N403" t="b">
        <f>_xlfn.XLOOKUP(D403,BugList!C:C,BugList!L:L)</f>
        <v>0</v>
      </c>
      <c r="O403" t="b">
        <f t="shared" si="49"/>
        <v>0</v>
      </c>
      <c r="P403" s="18" t="b">
        <f>SUMPRODUCT(COUNTIF(_xlfn.XLOOKUP(D403,BugList!C:C,BugList!P:P), "*SC*"))&gt;0</f>
        <v>0</v>
      </c>
    </row>
    <row r="404" spans="1:16">
      <c r="A404" t="s">
        <v>2743</v>
      </c>
      <c r="B404">
        <v>43</v>
      </c>
      <c r="C404" t="s">
        <v>2315</v>
      </c>
      <c r="D404" t="s">
        <v>210</v>
      </c>
      <c r="E404">
        <v>18</v>
      </c>
      <c r="F404" s="43"/>
      <c r="G404" s="44"/>
      <c r="H404" s="44"/>
      <c r="J404" t="b">
        <f t="shared" si="51"/>
        <v>0</v>
      </c>
      <c r="K404" t="str">
        <f t="shared" si="52"/>
        <v/>
      </c>
      <c r="L404" s="71">
        <v>8</v>
      </c>
      <c r="N404" s="71" t="b">
        <v>0</v>
      </c>
      <c r="O404" t="b">
        <f t="shared" si="49"/>
        <v>0</v>
      </c>
      <c r="P404" s="72" t="b">
        <v>0</v>
      </c>
    </row>
    <row r="405" spans="1:16">
      <c r="A405" t="s">
        <v>2744</v>
      </c>
      <c r="B405">
        <v>53</v>
      </c>
      <c r="C405" t="s">
        <v>200</v>
      </c>
      <c r="D405" t="s">
        <v>98</v>
      </c>
      <c r="E405">
        <v>3</v>
      </c>
      <c r="F405" s="43">
        <f t="shared" ref="F405:F436" si="64">(E405/(SUMIFS(E:E,A:A,A405))*100)</f>
        <v>2.9411764705882351</v>
      </c>
      <c r="G405" s="44">
        <f t="shared" ref="G405:G424" si="65">INT(F405)</f>
        <v>2</v>
      </c>
      <c r="H405" s="44">
        <f t="shared" ref="H405:H424" si="66">F405-G405</f>
        <v>0.94117647058823506</v>
      </c>
      <c r="I405" cm="1">
        <f t="array" ref="I405">INT(F405)+IF(100-SUM(INT(F$405:F$414))&gt;=RANK(H405,H$405:H$414)+COUNTIF(H$405:H405,H405)-1,1,0)</f>
        <v>3</v>
      </c>
      <c r="J405" t="b">
        <f t="shared" si="51"/>
        <v>0</v>
      </c>
      <c r="K405" t="str">
        <f t="shared" si="52"/>
        <v/>
      </c>
      <c r="L405">
        <f>_xlfn.XLOOKUP(D405,BugList!C:C,BugList!N:N)</f>
        <v>4</v>
      </c>
      <c r="M405">
        <f t="shared" si="53"/>
        <v>12</v>
      </c>
      <c r="N405" t="b">
        <f>_xlfn.XLOOKUP(D405,BugList!C:C,BugList!L:L)</f>
        <v>1</v>
      </c>
      <c r="O405" t="b">
        <f t="shared" si="49"/>
        <v>0</v>
      </c>
      <c r="P405" s="18" t="b">
        <f>SUMPRODUCT(COUNTIF(_xlfn.XLOOKUP(D405,BugList!C:C,BugList!P:P), "*SC*"))&gt;0</f>
        <v>1</v>
      </c>
    </row>
    <row r="406" spans="1:16">
      <c r="A406" t="s">
        <v>2744</v>
      </c>
      <c r="B406">
        <v>53</v>
      </c>
      <c r="C406" t="s">
        <v>200</v>
      </c>
      <c r="D406" t="s">
        <v>100</v>
      </c>
      <c r="E406">
        <v>4</v>
      </c>
      <c r="F406" s="43">
        <f t="shared" si="64"/>
        <v>3.9215686274509802</v>
      </c>
      <c r="G406" s="44">
        <f t="shared" si="65"/>
        <v>3</v>
      </c>
      <c r="H406" s="44">
        <f t="shared" si="66"/>
        <v>0.92156862745098023</v>
      </c>
      <c r="I406" cm="1">
        <f t="array" ref="I406">INT(F406)+IF(100-SUM(INT(F$405:F$414))&gt;=RANK(H406,H$405:H$414)+COUNTIF(H$405:H406,H406)-1,1,0)</f>
        <v>4</v>
      </c>
      <c r="J406" t="b">
        <f t="shared" si="51"/>
        <v>0</v>
      </c>
      <c r="K406" t="str">
        <f t="shared" si="52"/>
        <v/>
      </c>
      <c r="L406">
        <f>_xlfn.XLOOKUP(D406,BugList!C:C,BugList!N:N)</f>
        <v>4</v>
      </c>
      <c r="M406">
        <f t="shared" si="53"/>
        <v>16</v>
      </c>
      <c r="N406" t="b">
        <f>_xlfn.XLOOKUP(D406,BugList!C:C,BugList!L:L)</f>
        <v>1</v>
      </c>
      <c r="O406" t="b">
        <f t="shared" si="49"/>
        <v>0</v>
      </c>
      <c r="P406" s="18" t="b">
        <f>SUMPRODUCT(COUNTIF(_xlfn.XLOOKUP(D406,BugList!C:C,BugList!P:P), "*SC*"))&gt;0</f>
        <v>1</v>
      </c>
    </row>
    <row r="407" spans="1:16">
      <c r="A407" t="s">
        <v>2744</v>
      </c>
      <c r="B407">
        <v>53</v>
      </c>
      <c r="C407" t="s">
        <v>194</v>
      </c>
      <c r="D407" t="s">
        <v>126</v>
      </c>
      <c r="E407">
        <v>1</v>
      </c>
      <c r="F407" s="43">
        <f t="shared" si="64"/>
        <v>0.98039215686274506</v>
      </c>
      <c r="G407" s="44">
        <f t="shared" si="65"/>
        <v>0</v>
      </c>
      <c r="H407" s="44">
        <f t="shared" si="66"/>
        <v>0.98039215686274506</v>
      </c>
      <c r="I407" cm="1">
        <f t="array" ref="I407">INT(F407)+IF(100-SUM(INT(F$405:F$414))&gt;=RANK(H407,H$405:H$414)+COUNTIF(H$405:H407,H407)-1,1,0)</f>
        <v>1</v>
      </c>
      <c r="J407" t="b">
        <f t="shared" si="51"/>
        <v>0</v>
      </c>
      <c r="K407" t="str">
        <f t="shared" si="52"/>
        <v/>
      </c>
      <c r="L407">
        <f>_xlfn.XLOOKUP(D407,BugList!C:C,BugList!N:N)</f>
        <v>8</v>
      </c>
      <c r="M407">
        <f t="shared" si="53"/>
        <v>8</v>
      </c>
      <c r="N407" t="b">
        <f>_xlfn.XLOOKUP(D407,BugList!C:C,BugList!L:L)</f>
        <v>1</v>
      </c>
      <c r="O407" t="b">
        <f t="shared" si="49"/>
        <v>0</v>
      </c>
      <c r="P407" s="18" t="b">
        <f>SUMPRODUCT(COUNTIF(_xlfn.XLOOKUP(D407,BugList!C:C,BugList!P:P), "*SC*"))&gt;0</f>
        <v>0</v>
      </c>
    </row>
    <row r="408" spans="1:16">
      <c r="A408" t="s">
        <v>2744</v>
      </c>
      <c r="B408">
        <v>53</v>
      </c>
      <c r="C408" t="s">
        <v>194</v>
      </c>
      <c r="D408" s="85" t="s">
        <v>90</v>
      </c>
      <c r="E408">
        <v>1</v>
      </c>
      <c r="F408" s="43">
        <f t="shared" si="64"/>
        <v>0.98039215686274506</v>
      </c>
      <c r="G408" s="44">
        <f t="shared" si="65"/>
        <v>0</v>
      </c>
      <c r="H408" s="44">
        <f t="shared" si="66"/>
        <v>0.98039215686274506</v>
      </c>
      <c r="I408" cm="1">
        <f t="array" ref="I408">INT(F408)+IF(100-SUM(INT(F$405:F$414))&gt;=RANK(H408,H$405:H$414)+COUNTIF(H$405:H408,H408)-1,1,0)</f>
        <v>1</v>
      </c>
      <c r="J408" t="b">
        <f t="shared" si="51"/>
        <v>0</v>
      </c>
      <c r="K408" t="str">
        <f t="shared" si="52"/>
        <v/>
      </c>
      <c r="L408">
        <f>_xlfn.XLOOKUP(D408,BugList!C:C,BugList!N:N)</f>
        <v>6</v>
      </c>
      <c r="M408">
        <f t="shared" si="53"/>
        <v>6</v>
      </c>
      <c r="N408" t="b">
        <f>_xlfn.XLOOKUP(D408,BugList!C:C,BugList!L:L)</f>
        <v>1</v>
      </c>
      <c r="O408" t="b">
        <f t="shared" si="49"/>
        <v>0</v>
      </c>
      <c r="P408" s="18" t="b">
        <f>SUMPRODUCT(COUNTIF(_xlfn.XLOOKUP(D408,BugList!C:C,BugList!P:P), "*SC*"))&gt;0</f>
        <v>0</v>
      </c>
    </row>
    <row r="409" spans="1:16">
      <c r="A409" t="s">
        <v>2744</v>
      </c>
      <c r="B409">
        <v>53</v>
      </c>
      <c r="C409" t="s">
        <v>199</v>
      </c>
      <c r="D409" t="s">
        <v>96</v>
      </c>
      <c r="E409">
        <v>1</v>
      </c>
      <c r="F409" s="43">
        <f t="shared" si="64"/>
        <v>0.98039215686274506</v>
      </c>
      <c r="G409" s="44">
        <f t="shared" si="65"/>
        <v>0</v>
      </c>
      <c r="H409" s="44">
        <f t="shared" si="66"/>
        <v>0.98039215686274506</v>
      </c>
      <c r="I409" cm="1">
        <f t="array" ref="I409">INT(F409)+IF(100-SUM(INT(F$405:F$414))&gt;=RANK(H409,H$405:H$414)+COUNTIF(H$405:H409,H409)-1,1,0)</f>
        <v>1</v>
      </c>
      <c r="J409" t="b">
        <f t="shared" si="51"/>
        <v>1</v>
      </c>
      <c r="K409" t="str">
        <f t="shared" si="52"/>
        <v>Ephemeroptera</v>
      </c>
      <c r="L409">
        <f>_xlfn.XLOOKUP(D409,BugList!C:C,BugList!N:N)</f>
        <v>4</v>
      </c>
      <c r="M409">
        <f t="shared" si="53"/>
        <v>4</v>
      </c>
      <c r="N409" t="b">
        <f>_xlfn.XLOOKUP(D409,BugList!C:C,BugList!L:L)</f>
        <v>1</v>
      </c>
      <c r="O409" t="b">
        <f t="shared" si="49"/>
        <v>1</v>
      </c>
      <c r="P409" s="18" t="b">
        <f>SUMPRODUCT(COUNTIF(_xlfn.XLOOKUP(D409,BugList!C:C,BugList!P:P), "*SC*"))&gt;0</f>
        <v>1</v>
      </c>
    </row>
    <row r="410" spans="1:16">
      <c r="A410" t="s">
        <v>2744</v>
      </c>
      <c r="B410">
        <v>53</v>
      </c>
      <c r="C410" t="s">
        <v>199</v>
      </c>
      <c r="D410" t="s">
        <v>111</v>
      </c>
      <c r="E410">
        <v>1</v>
      </c>
      <c r="F410" s="43">
        <f t="shared" si="64"/>
        <v>0.98039215686274506</v>
      </c>
      <c r="G410" s="44">
        <f t="shared" si="65"/>
        <v>0</v>
      </c>
      <c r="H410" s="44">
        <f t="shared" si="66"/>
        <v>0.98039215686274506</v>
      </c>
      <c r="I410" cm="1">
        <f t="array" ref="I410">INT(F410)+IF(100-SUM(INT(F$405:F$414))&gt;=RANK(H410,H$405:H$414)+COUNTIF(H$405:H410,H410)-1,1,0)</f>
        <v>1</v>
      </c>
      <c r="J410" t="b">
        <f t="shared" si="51"/>
        <v>1</v>
      </c>
      <c r="K410" t="str">
        <f t="shared" si="52"/>
        <v>Ephemeroptera</v>
      </c>
      <c r="L410">
        <f>_xlfn.XLOOKUP(D410,BugList!C:C,BugList!N:N)</f>
        <v>4</v>
      </c>
      <c r="M410">
        <f t="shared" si="53"/>
        <v>4</v>
      </c>
      <c r="N410" t="b">
        <f>_xlfn.XLOOKUP(D410,BugList!C:C,BugList!L:L)</f>
        <v>1</v>
      </c>
      <c r="O410" t="b">
        <f t="shared" si="49"/>
        <v>1</v>
      </c>
      <c r="P410" s="18" t="b">
        <f>SUMPRODUCT(COUNTIF(_xlfn.XLOOKUP(D410,BugList!C:C,BugList!P:P), "*SC*"))&gt;0</f>
        <v>0</v>
      </c>
    </row>
    <row r="411" spans="1:16">
      <c r="A411" t="s">
        <v>2744</v>
      </c>
      <c r="B411">
        <v>53</v>
      </c>
      <c r="C411" t="s">
        <v>198</v>
      </c>
      <c r="D411" t="s">
        <v>89</v>
      </c>
      <c r="E411">
        <v>69</v>
      </c>
      <c r="F411" s="43">
        <f t="shared" si="64"/>
        <v>67.64705882352942</v>
      </c>
      <c r="G411" s="44">
        <f t="shared" si="65"/>
        <v>67</v>
      </c>
      <c r="H411" s="44">
        <f t="shared" si="66"/>
        <v>0.64705882352942012</v>
      </c>
      <c r="I411" cm="1">
        <f t="array" ref="I411">INT(F411)+IF(100-SUM(INT(F$405:F$414))&gt;=RANK(H411,H$405:H$414)+COUNTIF(H$405:H411,H411)-1,1,0)</f>
        <v>68</v>
      </c>
      <c r="J411" t="b">
        <f t="shared" si="51"/>
        <v>1</v>
      </c>
      <c r="K411" t="str">
        <f t="shared" si="52"/>
        <v>Trichoptera</v>
      </c>
      <c r="L411">
        <f>_xlfn.XLOOKUP(D411,BugList!C:C,BugList!N:N)</f>
        <v>4</v>
      </c>
      <c r="M411">
        <f t="shared" si="53"/>
        <v>272</v>
      </c>
      <c r="N411" t="b">
        <f>_xlfn.XLOOKUP(D411,BugList!C:C,BugList!L:L)</f>
        <v>1</v>
      </c>
      <c r="O411" t="b">
        <f t="shared" si="49"/>
        <v>0</v>
      </c>
      <c r="P411" s="18" t="b">
        <f>SUMPRODUCT(COUNTIF(_xlfn.XLOOKUP(D411,BugList!C:C,BugList!P:P), "*SC*"))&gt;0</f>
        <v>0</v>
      </c>
    </row>
    <row r="412" spans="1:16">
      <c r="A412" t="s">
        <v>2744</v>
      </c>
      <c r="B412">
        <v>53</v>
      </c>
      <c r="C412" t="s">
        <v>201</v>
      </c>
      <c r="D412" s="85" t="s">
        <v>85</v>
      </c>
      <c r="E412">
        <v>19</v>
      </c>
      <c r="F412" s="43">
        <f t="shared" si="64"/>
        <v>18.627450980392158</v>
      </c>
      <c r="G412" s="44">
        <f t="shared" si="65"/>
        <v>18</v>
      </c>
      <c r="H412" s="44">
        <f t="shared" si="66"/>
        <v>0.62745098039215819</v>
      </c>
      <c r="I412" cm="1">
        <f t="array" ref="I412">INT(F412)+IF(100-SUM(INT(F$405:F$414))&gt;=RANK(H412,H$405:H$414)+COUNTIF(H$405:H412,H412)-1,1,0)</f>
        <v>18</v>
      </c>
      <c r="J412" t="b">
        <f t="shared" si="51"/>
        <v>0</v>
      </c>
      <c r="K412" t="str">
        <f t="shared" si="52"/>
        <v/>
      </c>
      <c r="L412">
        <f>_xlfn.XLOOKUP(D412,BugList!C:C,BugList!N:N)</f>
        <v>4</v>
      </c>
      <c r="M412">
        <f t="shared" si="53"/>
        <v>72</v>
      </c>
      <c r="N412" t="b">
        <f>_xlfn.XLOOKUP(D412,BugList!C:C,BugList!L:L)</f>
        <v>0</v>
      </c>
      <c r="O412" t="b">
        <f t="shared" si="49"/>
        <v>0</v>
      </c>
      <c r="P412" s="18" t="b">
        <f>SUMPRODUCT(COUNTIF(_xlfn.XLOOKUP(D412,BugList!C:C,BugList!P:P), "*SC*"))&gt;0</f>
        <v>0</v>
      </c>
    </row>
    <row r="413" spans="1:16">
      <c r="A413" t="s">
        <v>2744</v>
      </c>
      <c r="B413">
        <v>53</v>
      </c>
      <c r="C413" t="s">
        <v>210</v>
      </c>
      <c r="D413" t="s">
        <v>210</v>
      </c>
      <c r="E413">
        <v>2</v>
      </c>
      <c r="F413" s="43">
        <f t="shared" si="64"/>
        <v>1.9607843137254901</v>
      </c>
      <c r="G413" s="44">
        <f t="shared" si="65"/>
        <v>1</v>
      </c>
      <c r="H413" s="44">
        <f t="shared" si="66"/>
        <v>0.96078431372549011</v>
      </c>
      <c r="I413" cm="1">
        <f t="array" ref="I413">INT(F413)+IF(100-SUM(INT(F$405:F$414))&gt;=RANK(H413,H$405:H$414)+COUNTIF(H$405:H413,H413)-1,1,0)</f>
        <v>2</v>
      </c>
      <c r="J413" t="b">
        <f t="shared" si="51"/>
        <v>0</v>
      </c>
      <c r="K413" t="str">
        <f t="shared" si="52"/>
        <v/>
      </c>
      <c r="L413" s="71">
        <v>8</v>
      </c>
      <c r="M413">
        <f t="shared" si="53"/>
        <v>16</v>
      </c>
      <c r="N413" s="71" t="b">
        <v>0</v>
      </c>
      <c r="O413" t="b">
        <f t="shared" si="49"/>
        <v>0</v>
      </c>
      <c r="P413" s="72" t="b">
        <v>0</v>
      </c>
    </row>
    <row r="414" spans="1:16">
      <c r="A414" t="s">
        <v>2744</v>
      </c>
      <c r="B414">
        <v>53</v>
      </c>
      <c r="C414" t="s">
        <v>205</v>
      </c>
      <c r="D414" t="s">
        <v>206</v>
      </c>
      <c r="E414">
        <v>1</v>
      </c>
      <c r="F414" s="43">
        <f t="shared" si="64"/>
        <v>0.98039215686274506</v>
      </c>
      <c r="G414" s="44">
        <f t="shared" si="65"/>
        <v>0</v>
      </c>
      <c r="H414" s="44">
        <f t="shared" si="66"/>
        <v>0.98039215686274506</v>
      </c>
      <c r="I414" cm="1">
        <f t="array" ref="I414">INT(F414)+IF(100-SUM(INT(F$405:F$414))&gt;=RANK(H414,H$405:H$414)+COUNTIF(H$405:H414,H414)-1,1,0)</f>
        <v>1</v>
      </c>
      <c r="J414" t="b">
        <f t="shared" si="51"/>
        <v>0</v>
      </c>
      <c r="K414" t="str">
        <f t="shared" si="52"/>
        <v/>
      </c>
      <c r="L414" s="71">
        <v>8</v>
      </c>
      <c r="M414">
        <f t="shared" si="53"/>
        <v>8</v>
      </c>
      <c r="N414" s="71" t="b">
        <v>0</v>
      </c>
      <c r="O414" t="b">
        <f t="shared" si="49"/>
        <v>0</v>
      </c>
      <c r="P414" s="72" t="b">
        <v>0</v>
      </c>
    </row>
    <row r="415" spans="1:16">
      <c r="A415" t="s">
        <v>2745</v>
      </c>
      <c r="B415">
        <v>64</v>
      </c>
      <c r="C415" t="s">
        <v>194</v>
      </c>
      <c r="D415" s="85" t="s">
        <v>90</v>
      </c>
      <c r="E415">
        <v>3</v>
      </c>
      <c r="F415" s="43">
        <f t="shared" si="64"/>
        <v>2.912621359223301</v>
      </c>
      <c r="G415" s="44">
        <f t="shared" si="65"/>
        <v>2</v>
      </c>
      <c r="H415" s="44">
        <f t="shared" si="66"/>
        <v>0.91262135922330101</v>
      </c>
      <c r="I415" cm="1">
        <f t="array" ref="I415">INT(F415)+IF(100-SUM(INT(F$415:F$424))&gt;=RANK(H415,H$415:H$424)+COUNTIF(H$415:H415,H415)-1,1,0)</f>
        <v>3</v>
      </c>
      <c r="J415" t="b">
        <f t="shared" si="51"/>
        <v>0</v>
      </c>
      <c r="K415" t="str">
        <f t="shared" si="52"/>
        <v/>
      </c>
      <c r="L415">
        <f>_xlfn.XLOOKUP(D415,BugList!C:C,BugList!N:N)</f>
        <v>6</v>
      </c>
      <c r="M415">
        <f t="shared" si="53"/>
        <v>18</v>
      </c>
      <c r="N415" t="b">
        <f>_xlfn.XLOOKUP(D415,BugList!C:C,BugList!L:L)</f>
        <v>1</v>
      </c>
      <c r="O415" t="b">
        <f t="shared" si="49"/>
        <v>0</v>
      </c>
      <c r="P415" s="18" t="b">
        <f>SUMPRODUCT(COUNTIF(_xlfn.XLOOKUP(D415,BugList!C:C,BugList!P:P), "*SC*"))&gt;0</f>
        <v>0</v>
      </c>
    </row>
    <row r="416" spans="1:16">
      <c r="A416" t="s">
        <v>2745</v>
      </c>
      <c r="B416">
        <v>64</v>
      </c>
      <c r="C416" t="s">
        <v>197</v>
      </c>
      <c r="D416" t="s">
        <v>153</v>
      </c>
      <c r="E416">
        <v>10</v>
      </c>
      <c r="F416" s="43">
        <f t="shared" si="64"/>
        <v>9.7087378640776691</v>
      </c>
      <c r="G416" s="44">
        <f t="shared" si="65"/>
        <v>9</v>
      </c>
      <c r="H416" s="44">
        <f t="shared" si="66"/>
        <v>0.70873786407766914</v>
      </c>
      <c r="I416" cm="1">
        <f t="array" ref="I416">INT(F416)+IF(100-SUM(INT(F$415:F$424))&gt;=RANK(H416,H$415:H$424)+COUNTIF(H$415:H416,H416)-1,1,0)</f>
        <v>10</v>
      </c>
      <c r="J416" t="b">
        <f t="shared" si="51"/>
        <v>1</v>
      </c>
      <c r="K416" t="str">
        <f t="shared" si="52"/>
        <v>Plecoptera</v>
      </c>
      <c r="L416">
        <f>_xlfn.XLOOKUP(D416,BugList!C:C,BugList!N:N)</f>
        <v>2</v>
      </c>
      <c r="M416">
        <f t="shared" si="53"/>
        <v>20</v>
      </c>
      <c r="N416" t="b">
        <f>_xlfn.XLOOKUP(D416,BugList!C:C,BugList!L:L)</f>
        <v>1</v>
      </c>
      <c r="O416" t="b">
        <f t="shared" ref="O416:O469" si="67">IF(J416=TRUE,IF(D416="Hydropsychidae", FALSE, TRUE), FALSE)</f>
        <v>1</v>
      </c>
      <c r="P416" s="18" t="b">
        <f>SUMPRODUCT(COUNTIF(_xlfn.XLOOKUP(D416,BugList!C:C,BugList!P:P), "*SC*"))&gt;0</f>
        <v>0</v>
      </c>
    </row>
    <row r="417" spans="1:16">
      <c r="A417" t="s">
        <v>2745</v>
      </c>
      <c r="B417">
        <v>64</v>
      </c>
      <c r="C417" t="s">
        <v>198</v>
      </c>
      <c r="D417" t="s">
        <v>89</v>
      </c>
      <c r="E417">
        <v>14</v>
      </c>
      <c r="F417" s="43">
        <f t="shared" si="64"/>
        <v>13.592233009708737</v>
      </c>
      <c r="G417" s="44">
        <f t="shared" si="65"/>
        <v>13</v>
      </c>
      <c r="H417" s="44">
        <f t="shared" si="66"/>
        <v>0.59223300970873716</v>
      </c>
      <c r="I417" cm="1">
        <f t="array" ref="I417">INT(F417)+IF(100-SUM(INT(F$415:F$424))&gt;=RANK(H417,H$415:H$424)+COUNTIF(H$415:H417,H417)-1,1,0)</f>
        <v>13</v>
      </c>
      <c r="J417" t="b">
        <f t="shared" si="51"/>
        <v>1</v>
      </c>
      <c r="K417" t="str">
        <f t="shared" si="52"/>
        <v>Trichoptera</v>
      </c>
      <c r="L417">
        <f>_xlfn.XLOOKUP(D417,BugList!C:C,BugList!N:N)</f>
        <v>4</v>
      </c>
      <c r="M417">
        <f t="shared" si="53"/>
        <v>52</v>
      </c>
      <c r="N417" t="b">
        <f>_xlfn.XLOOKUP(D417,BugList!C:C,BugList!L:L)</f>
        <v>1</v>
      </c>
      <c r="O417" t="b">
        <f t="shared" si="67"/>
        <v>0</v>
      </c>
      <c r="P417" s="18" t="b">
        <f>SUMPRODUCT(COUNTIF(_xlfn.XLOOKUP(D417,BugList!C:C,BugList!P:P), "*SC*"))&gt;0</f>
        <v>0</v>
      </c>
    </row>
    <row r="418" spans="1:16">
      <c r="A418" t="s">
        <v>2745</v>
      </c>
      <c r="B418">
        <v>64</v>
      </c>
      <c r="C418" t="s">
        <v>199</v>
      </c>
      <c r="D418" t="s">
        <v>111</v>
      </c>
      <c r="E418">
        <v>5</v>
      </c>
      <c r="F418" s="43">
        <f t="shared" si="64"/>
        <v>4.8543689320388346</v>
      </c>
      <c r="G418" s="44">
        <f t="shared" si="65"/>
        <v>4</v>
      </c>
      <c r="H418" s="44">
        <f t="shared" si="66"/>
        <v>0.85436893203883457</v>
      </c>
      <c r="I418" cm="1">
        <f t="array" ref="I418">INT(F418)+IF(100-SUM(INT(F$415:F$424))&gt;=RANK(H418,H$415:H$424)+COUNTIF(H$415:H418,H418)-1,1,0)</f>
        <v>5</v>
      </c>
      <c r="J418" t="b">
        <f t="shared" si="51"/>
        <v>1</v>
      </c>
      <c r="K418" t="str">
        <f t="shared" si="52"/>
        <v>Ephemeroptera</v>
      </c>
      <c r="L418">
        <f>_xlfn.XLOOKUP(D418,BugList!C:C,BugList!N:N)</f>
        <v>4</v>
      </c>
      <c r="M418">
        <f t="shared" si="53"/>
        <v>20</v>
      </c>
      <c r="N418" t="b">
        <f>_xlfn.XLOOKUP(D418,BugList!C:C,BugList!L:L)</f>
        <v>1</v>
      </c>
      <c r="O418" t="b">
        <f t="shared" si="67"/>
        <v>1</v>
      </c>
      <c r="P418" s="18" t="b">
        <f>SUMPRODUCT(COUNTIF(_xlfn.XLOOKUP(D418,BugList!C:C,BugList!P:P), "*SC*"))&gt;0</f>
        <v>0</v>
      </c>
    </row>
    <row r="419" spans="1:16">
      <c r="A419" t="s">
        <v>2745</v>
      </c>
      <c r="B419">
        <v>64</v>
      </c>
      <c r="C419" t="s">
        <v>2738</v>
      </c>
      <c r="D419" t="s">
        <v>181</v>
      </c>
      <c r="E419">
        <v>1</v>
      </c>
      <c r="F419" s="43">
        <f t="shared" si="64"/>
        <v>0.97087378640776689</v>
      </c>
      <c r="G419" s="44">
        <f t="shared" si="65"/>
        <v>0</v>
      </c>
      <c r="H419" s="44">
        <f t="shared" si="66"/>
        <v>0.97087378640776689</v>
      </c>
      <c r="I419" cm="1">
        <f t="array" ref="I419">INT(F419)+IF(100-SUM(INT(F$415:F$424))&gt;=RANK(H419,H$415:H$424)+COUNTIF(H$415:H419,H419)-1,1,0)</f>
        <v>1</v>
      </c>
      <c r="J419" t="b">
        <f t="shared" si="51"/>
        <v>0</v>
      </c>
      <c r="K419" t="str">
        <f t="shared" si="52"/>
        <v/>
      </c>
      <c r="L419">
        <f>_xlfn.XLOOKUP(D419,BugList!C:C,BugList!N:N)</f>
        <v>4</v>
      </c>
      <c r="M419">
        <f t="shared" si="53"/>
        <v>4</v>
      </c>
      <c r="N419" t="b">
        <f>_xlfn.XLOOKUP(D419,BugList!C:C,BugList!L:L)</f>
        <v>1</v>
      </c>
      <c r="O419" t="b">
        <f t="shared" si="67"/>
        <v>0</v>
      </c>
      <c r="P419" s="18" t="b">
        <f>SUMPRODUCT(COUNTIF(_xlfn.XLOOKUP(D419,BugList!C:C,BugList!P:P), "*SC*"))&gt;0</f>
        <v>0</v>
      </c>
    </row>
    <row r="420" spans="1:16">
      <c r="A420" t="s">
        <v>2745</v>
      </c>
      <c r="B420">
        <v>64</v>
      </c>
      <c r="C420" t="s">
        <v>200</v>
      </c>
      <c r="D420" t="s">
        <v>100</v>
      </c>
      <c r="E420">
        <v>34</v>
      </c>
      <c r="F420" s="43">
        <f t="shared" si="64"/>
        <v>33.009708737864081</v>
      </c>
      <c r="G420" s="44">
        <f t="shared" si="65"/>
        <v>33</v>
      </c>
      <c r="H420" s="44">
        <f t="shared" si="66"/>
        <v>9.7087378640807742E-3</v>
      </c>
      <c r="I420" cm="1">
        <f t="array" ref="I420">INT(F420)+IF(100-SUM(INT(F$415:F$424))&gt;=RANK(H420,H$415:H$424)+COUNTIF(H$415:H420,H420)-1,1,0)</f>
        <v>33</v>
      </c>
      <c r="J420" t="b">
        <f t="shared" si="51"/>
        <v>0</v>
      </c>
      <c r="K420" t="str">
        <f t="shared" si="52"/>
        <v/>
      </c>
      <c r="L420">
        <f>_xlfn.XLOOKUP(D420,BugList!C:C,BugList!N:N)</f>
        <v>4</v>
      </c>
      <c r="M420">
        <f t="shared" si="53"/>
        <v>132</v>
      </c>
      <c r="N420" t="b">
        <f>_xlfn.XLOOKUP(D420,BugList!C:C,BugList!L:L)</f>
        <v>1</v>
      </c>
      <c r="O420" t="b">
        <f t="shared" si="67"/>
        <v>0</v>
      </c>
      <c r="P420" s="18" t="b">
        <f>SUMPRODUCT(COUNTIF(_xlfn.XLOOKUP(D420,BugList!C:C,BugList!P:P), "*SC*"))&gt;0</f>
        <v>1</v>
      </c>
    </row>
    <row r="421" spans="1:16">
      <c r="A421" t="s">
        <v>2745</v>
      </c>
      <c r="B421">
        <v>64</v>
      </c>
      <c r="C421" t="s">
        <v>200</v>
      </c>
      <c r="D421" t="s">
        <v>98</v>
      </c>
      <c r="E421">
        <v>8</v>
      </c>
      <c r="F421" s="43">
        <f t="shared" si="64"/>
        <v>7.7669902912621351</v>
      </c>
      <c r="G421" s="44">
        <f t="shared" si="65"/>
        <v>7</v>
      </c>
      <c r="H421" s="44">
        <f t="shared" si="66"/>
        <v>0.76699029126213514</v>
      </c>
      <c r="I421" cm="1">
        <f t="array" ref="I421">INT(F421)+IF(100-SUM(INT(F$415:F$424))&gt;=RANK(H421,H$415:H$424)+COUNTIF(H$415:H421,H421)-1,1,0)</f>
        <v>8</v>
      </c>
      <c r="J421" t="b">
        <f t="shared" si="51"/>
        <v>0</v>
      </c>
      <c r="K421" t="str">
        <f t="shared" si="52"/>
        <v/>
      </c>
      <c r="L421">
        <f>_xlfn.XLOOKUP(D421,BugList!C:C,BugList!N:N)</f>
        <v>4</v>
      </c>
      <c r="M421">
        <f t="shared" si="53"/>
        <v>32</v>
      </c>
      <c r="N421" t="b">
        <f>_xlfn.XLOOKUP(D421,BugList!C:C,BugList!L:L)</f>
        <v>1</v>
      </c>
      <c r="O421" t="b">
        <f t="shared" si="67"/>
        <v>0</v>
      </c>
      <c r="P421" s="18" t="b">
        <f>SUMPRODUCT(COUNTIF(_xlfn.XLOOKUP(D421,BugList!C:C,BugList!P:P), "*SC*"))&gt;0</f>
        <v>1</v>
      </c>
    </row>
    <row r="422" spans="1:16">
      <c r="A422" t="s">
        <v>2745</v>
      </c>
      <c r="B422">
        <v>64</v>
      </c>
      <c r="C422" t="s">
        <v>205</v>
      </c>
      <c r="D422" t="s">
        <v>206</v>
      </c>
      <c r="E422">
        <v>1</v>
      </c>
      <c r="F422" s="43">
        <f t="shared" si="64"/>
        <v>0.97087378640776689</v>
      </c>
      <c r="G422" s="44">
        <f t="shared" si="65"/>
        <v>0</v>
      </c>
      <c r="H422" s="44">
        <f t="shared" si="66"/>
        <v>0.97087378640776689</v>
      </c>
      <c r="I422" cm="1">
        <f t="array" ref="I422">INT(F422)+IF(100-SUM(INT(F$415:F$424))&gt;=RANK(H422,H$415:H$424)+COUNTIF(H$415:H422,H422)-1,1,0)</f>
        <v>1</v>
      </c>
      <c r="J422" t="b">
        <f t="shared" si="51"/>
        <v>0</v>
      </c>
      <c r="K422" t="str">
        <f t="shared" si="52"/>
        <v/>
      </c>
      <c r="L422" s="71">
        <v>8</v>
      </c>
      <c r="M422">
        <f t="shared" si="53"/>
        <v>8</v>
      </c>
      <c r="N422" s="71" t="b">
        <v>0</v>
      </c>
      <c r="O422" t="b">
        <f t="shared" si="67"/>
        <v>0</v>
      </c>
      <c r="P422" s="72" t="b">
        <v>0</v>
      </c>
    </row>
    <row r="423" spans="1:16">
      <c r="A423" t="s">
        <v>2745</v>
      </c>
      <c r="B423">
        <v>64</v>
      </c>
      <c r="C423" t="s">
        <v>201</v>
      </c>
      <c r="D423" t="s">
        <v>85</v>
      </c>
      <c r="E423">
        <v>23</v>
      </c>
      <c r="F423" s="43">
        <f t="shared" si="64"/>
        <v>22.330097087378643</v>
      </c>
      <c r="G423" s="44">
        <f t="shared" si="65"/>
        <v>22</v>
      </c>
      <c r="H423" s="44">
        <f t="shared" si="66"/>
        <v>0.33009708737864329</v>
      </c>
      <c r="I423" cm="1">
        <f t="array" ref="I423">INT(F423)+IF(100-SUM(INT(F$415:F$424))&gt;=RANK(H423,H$415:H$424)+COUNTIF(H$415:H423,H423)-1,1,0)</f>
        <v>22</v>
      </c>
      <c r="J423" t="b">
        <f t="shared" si="51"/>
        <v>0</v>
      </c>
      <c r="K423" t="str">
        <f t="shared" si="52"/>
        <v/>
      </c>
      <c r="L423">
        <f>_xlfn.XLOOKUP(D423,BugList!C:C,BugList!N:N)</f>
        <v>4</v>
      </c>
      <c r="M423">
        <f t="shared" si="53"/>
        <v>88</v>
      </c>
      <c r="N423" t="b">
        <f>_xlfn.XLOOKUP(D423,BugList!C:C,BugList!L:L)</f>
        <v>0</v>
      </c>
      <c r="O423" t="b">
        <f t="shared" si="67"/>
        <v>0</v>
      </c>
      <c r="P423" s="18" t="b">
        <f>SUMPRODUCT(COUNTIF(_xlfn.XLOOKUP(D423,BugList!C:C,BugList!P:P), "*SC*"))&gt;0</f>
        <v>0</v>
      </c>
    </row>
    <row r="424" spans="1:16">
      <c r="A424" t="s">
        <v>2745</v>
      </c>
      <c r="B424">
        <v>64</v>
      </c>
      <c r="C424" t="s">
        <v>210</v>
      </c>
      <c r="D424" t="s">
        <v>210</v>
      </c>
      <c r="E424">
        <v>4</v>
      </c>
      <c r="F424" s="43">
        <f t="shared" si="64"/>
        <v>3.8834951456310676</v>
      </c>
      <c r="G424" s="44">
        <f t="shared" si="65"/>
        <v>3</v>
      </c>
      <c r="H424" s="44">
        <f t="shared" si="66"/>
        <v>0.88349514563106757</v>
      </c>
      <c r="I424" cm="1">
        <f t="array" ref="I424">INT(F424)+IF(100-SUM(INT(F$415:F$424))&gt;=RANK(H424,H$415:H$424)+COUNTIF(H$415:H424,H424)-1,1,0)</f>
        <v>4</v>
      </c>
      <c r="J424" t="b">
        <f t="shared" si="51"/>
        <v>0</v>
      </c>
      <c r="K424" t="str">
        <f t="shared" si="52"/>
        <v/>
      </c>
      <c r="L424" s="71">
        <v>8</v>
      </c>
      <c r="M424">
        <f t="shared" si="53"/>
        <v>32</v>
      </c>
      <c r="N424" s="71" t="b">
        <v>0</v>
      </c>
      <c r="O424" t="b">
        <f t="shared" si="67"/>
        <v>0</v>
      </c>
      <c r="P424" s="72" t="b">
        <v>0</v>
      </c>
    </row>
    <row r="425" spans="1:16">
      <c r="A425" t="s">
        <v>2746</v>
      </c>
      <c r="B425">
        <v>88</v>
      </c>
      <c r="C425" t="s">
        <v>200</v>
      </c>
      <c r="D425" t="s">
        <v>98</v>
      </c>
      <c r="E425">
        <v>8</v>
      </c>
      <c r="F425" s="43">
        <f t="shared" si="64"/>
        <v>7.4766355140186906</v>
      </c>
      <c r="G425" s="44">
        <f t="shared" ref="G425:G469" si="68">INT(F425)</f>
        <v>7</v>
      </c>
      <c r="H425" s="44">
        <f t="shared" ref="H425:H469" si="69">F425-G425</f>
        <v>0.47663551401869064</v>
      </c>
      <c r="I425" cm="1">
        <f t="array" ref="I425">INT(F425)+IF(100-SUM(INT(F$425:F$431))&gt;=RANK(H425,H$425:H$431)+COUNTIF(H$425:H425,H425)-1,1,0)</f>
        <v>7</v>
      </c>
      <c r="J425" t="b">
        <f t="shared" si="51"/>
        <v>0</v>
      </c>
      <c r="K425" t="str">
        <f t="shared" si="52"/>
        <v/>
      </c>
      <c r="L425">
        <f>_xlfn.XLOOKUP(D425,BugList!C:C,BugList!N:N)</f>
        <v>4</v>
      </c>
      <c r="M425">
        <f t="shared" si="53"/>
        <v>28</v>
      </c>
      <c r="N425" t="b">
        <f>_xlfn.XLOOKUP(D425,BugList!C:C,BugList!L:L)</f>
        <v>1</v>
      </c>
      <c r="O425" t="b">
        <f t="shared" si="67"/>
        <v>0</v>
      </c>
      <c r="P425" s="18" t="b">
        <f>SUMPRODUCT(COUNTIF(_xlfn.XLOOKUP(D425,BugList!C:C,BugList!P:P), "*SC*"))&gt;0</f>
        <v>1</v>
      </c>
    </row>
    <row r="426" spans="1:16">
      <c r="A426" t="s">
        <v>2746</v>
      </c>
      <c r="B426">
        <v>88</v>
      </c>
      <c r="C426" t="s">
        <v>200</v>
      </c>
      <c r="D426" t="s">
        <v>100</v>
      </c>
      <c r="E426">
        <v>2</v>
      </c>
      <c r="F426" s="43">
        <f t="shared" si="64"/>
        <v>1.8691588785046727</v>
      </c>
      <c r="G426" s="44">
        <f t="shared" si="68"/>
        <v>1</v>
      </c>
      <c r="H426" s="44">
        <f t="shared" si="69"/>
        <v>0.86915887850467266</v>
      </c>
      <c r="I426" cm="1">
        <f t="array" ref="I426">INT(F426)+IF(100-SUM(INT(F$425:F$431))&gt;=RANK(H426,H$425:H$431)+COUNTIF(H$425:H426,H426)-1,1,0)</f>
        <v>2</v>
      </c>
      <c r="J426" t="b">
        <f t="shared" si="51"/>
        <v>0</v>
      </c>
      <c r="K426" t="str">
        <f t="shared" si="52"/>
        <v/>
      </c>
      <c r="L426">
        <f>_xlfn.XLOOKUP(D426,BugList!C:C,BugList!N:N)</f>
        <v>4</v>
      </c>
      <c r="M426">
        <f t="shared" si="53"/>
        <v>8</v>
      </c>
      <c r="N426" t="b">
        <f>_xlfn.XLOOKUP(D426,BugList!C:C,BugList!L:L)</f>
        <v>1</v>
      </c>
      <c r="O426" t="b">
        <f t="shared" si="67"/>
        <v>0</v>
      </c>
      <c r="P426" s="18" t="b">
        <f>SUMPRODUCT(COUNTIF(_xlfn.XLOOKUP(D426,BugList!C:C,BugList!P:P), "*SC*"))&gt;0</f>
        <v>1</v>
      </c>
    </row>
    <row r="427" spans="1:16">
      <c r="A427" t="s">
        <v>2746</v>
      </c>
      <c r="B427">
        <v>88</v>
      </c>
      <c r="C427" t="s">
        <v>194</v>
      </c>
      <c r="D427" t="s">
        <v>126</v>
      </c>
      <c r="E427">
        <v>1</v>
      </c>
      <c r="F427" s="43">
        <f t="shared" si="64"/>
        <v>0.93457943925233633</v>
      </c>
      <c r="G427" s="44">
        <f t="shared" si="68"/>
        <v>0</v>
      </c>
      <c r="H427" s="44">
        <f t="shared" si="69"/>
        <v>0.93457943925233633</v>
      </c>
      <c r="I427" cm="1">
        <f t="array" ref="I427">INT(F427)+IF(100-SUM(INT(F$425:F$431))&gt;=RANK(H427,H$425:H$431)+COUNTIF(H$425:H427,H427)-1,1,0)</f>
        <v>1</v>
      </c>
      <c r="J427" t="b">
        <f t="shared" si="51"/>
        <v>0</v>
      </c>
      <c r="K427" t="str">
        <f t="shared" si="52"/>
        <v/>
      </c>
      <c r="L427">
        <f>_xlfn.XLOOKUP(D427,BugList!C:C,BugList!N:N)</f>
        <v>8</v>
      </c>
      <c r="M427">
        <f t="shared" si="53"/>
        <v>8</v>
      </c>
      <c r="N427" t="b">
        <f>_xlfn.XLOOKUP(D427,BugList!C:C,BugList!L:L)</f>
        <v>1</v>
      </c>
      <c r="O427" t="b">
        <f t="shared" si="67"/>
        <v>0</v>
      </c>
      <c r="P427" s="18" t="b">
        <f>SUMPRODUCT(COUNTIF(_xlfn.XLOOKUP(D427,BugList!C:C,BugList!P:P), "*SC*"))&gt;0</f>
        <v>0</v>
      </c>
    </row>
    <row r="428" spans="1:16">
      <c r="A428" t="s">
        <v>2746</v>
      </c>
      <c r="B428">
        <v>88</v>
      </c>
      <c r="C428" t="s">
        <v>199</v>
      </c>
      <c r="D428" t="s">
        <v>151</v>
      </c>
      <c r="E428">
        <v>7</v>
      </c>
      <c r="F428" s="43">
        <f t="shared" si="64"/>
        <v>6.5420560747663545</v>
      </c>
      <c r="G428" s="44">
        <f t="shared" si="68"/>
        <v>6</v>
      </c>
      <c r="H428" s="44">
        <f t="shared" si="69"/>
        <v>0.54205607476635453</v>
      </c>
      <c r="I428" cm="1">
        <f t="array" ref="I428">INT(F428)+IF(100-SUM(INT(F$425:F$431))&gt;=RANK(H428,H$425:H$431)+COUNTIF(H$425:H428,H428)-1,1,0)</f>
        <v>7</v>
      </c>
      <c r="J428" t="b">
        <f t="shared" si="51"/>
        <v>1</v>
      </c>
      <c r="K428" t="str">
        <f t="shared" si="52"/>
        <v>Ephemeroptera</v>
      </c>
      <c r="L428">
        <f>_xlfn.XLOOKUP(D428,BugList!C:C,BugList!N:N)</f>
        <v>1</v>
      </c>
      <c r="M428">
        <f t="shared" si="53"/>
        <v>7</v>
      </c>
      <c r="N428" t="b">
        <f>_xlfn.XLOOKUP(D428,BugList!C:C,BugList!L:L)</f>
        <v>1</v>
      </c>
      <c r="O428" t="b">
        <f t="shared" si="67"/>
        <v>1</v>
      </c>
      <c r="P428" s="18" t="b">
        <f>SUMPRODUCT(COUNTIF(_xlfn.XLOOKUP(D428,BugList!C:C,BugList!P:P), "*SC*"))&gt;0</f>
        <v>0</v>
      </c>
    </row>
    <row r="429" spans="1:16">
      <c r="A429" t="s">
        <v>2746</v>
      </c>
      <c r="B429">
        <v>88</v>
      </c>
      <c r="C429" t="s">
        <v>198</v>
      </c>
      <c r="D429" t="s">
        <v>89</v>
      </c>
      <c r="E429">
        <v>54</v>
      </c>
      <c r="F429" s="43">
        <f t="shared" si="64"/>
        <v>50.467289719626166</v>
      </c>
      <c r="G429" s="44">
        <f t="shared" si="68"/>
        <v>50</v>
      </c>
      <c r="H429" s="44">
        <f t="shared" si="69"/>
        <v>0.46728971962616583</v>
      </c>
      <c r="I429" cm="1">
        <f t="array" ref="I429">INT(F429)+IF(100-SUM(INT(F$425:F$431))&gt;=RANK(H429,H$425:H$431)+COUNTIF(H$425:H429,H429)-1,1,0)</f>
        <v>50</v>
      </c>
      <c r="J429" t="b">
        <f t="shared" si="51"/>
        <v>1</v>
      </c>
      <c r="K429" t="str">
        <f t="shared" si="52"/>
        <v>Trichoptera</v>
      </c>
      <c r="L429">
        <f>_xlfn.XLOOKUP(D429,BugList!C:C,BugList!N:N)</f>
        <v>4</v>
      </c>
      <c r="M429">
        <f t="shared" si="53"/>
        <v>200</v>
      </c>
      <c r="N429" t="b">
        <f>_xlfn.XLOOKUP(D429,BugList!C:C,BugList!L:L)</f>
        <v>1</v>
      </c>
      <c r="O429" t="b">
        <f t="shared" si="67"/>
        <v>0</v>
      </c>
      <c r="P429" s="18" t="b">
        <f>SUMPRODUCT(COUNTIF(_xlfn.XLOOKUP(D429,BugList!C:C,BugList!P:P), "*SC*"))&gt;0</f>
        <v>0</v>
      </c>
    </row>
    <row r="430" spans="1:16">
      <c r="A430" t="s">
        <v>2746</v>
      </c>
      <c r="B430">
        <v>88</v>
      </c>
      <c r="C430" t="s">
        <v>201</v>
      </c>
      <c r="D430" t="s">
        <v>85</v>
      </c>
      <c r="E430">
        <v>34</v>
      </c>
      <c r="F430" s="43">
        <f t="shared" si="64"/>
        <v>31.775700934579437</v>
      </c>
      <c r="G430" s="44">
        <f t="shared" si="68"/>
        <v>31</v>
      </c>
      <c r="H430" s="44">
        <f t="shared" si="69"/>
        <v>0.77570093457943656</v>
      </c>
      <c r="I430" cm="1">
        <f t="array" ref="I430">INT(F430)+IF(100-SUM(INT(F$425:F$431))&gt;=RANK(H430,H$425:H$431)+COUNTIF(H$425:H430,H430)-1,1,0)</f>
        <v>32</v>
      </c>
      <c r="J430" t="b">
        <f t="shared" si="51"/>
        <v>0</v>
      </c>
      <c r="K430" t="str">
        <f t="shared" si="52"/>
        <v/>
      </c>
      <c r="L430">
        <f>_xlfn.XLOOKUP(D430,BugList!C:C,BugList!N:N)</f>
        <v>4</v>
      </c>
      <c r="M430">
        <f t="shared" si="53"/>
        <v>128</v>
      </c>
      <c r="N430" t="b">
        <f>_xlfn.XLOOKUP(D430,BugList!C:C,BugList!L:L)</f>
        <v>0</v>
      </c>
      <c r="O430" t="b">
        <f t="shared" si="67"/>
        <v>0</v>
      </c>
      <c r="P430" s="18" t="b">
        <f>SUMPRODUCT(COUNTIF(_xlfn.XLOOKUP(D430,BugList!C:C,BugList!P:P), "*SC*"))&gt;0</f>
        <v>0</v>
      </c>
    </row>
    <row r="431" spans="1:16">
      <c r="A431" t="s">
        <v>2746</v>
      </c>
      <c r="B431">
        <v>88</v>
      </c>
      <c r="C431" t="s">
        <v>210</v>
      </c>
      <c r="D431" t="s">
        <v>210</v>
      </c>
      <c r="E431">
        <v>1</v>
      </c>
      <c r="F431" s="43">
        <f t="shared" si="64"/>
        <v>0.93457943925233633</v>
      </c>
      <c r="G431" s="44">
        <f t="shared" si="68"/>
        <v>0</v>
      </c>
      <c r="H431" s="44">
        <f t="shared" si="69"/>
        <v>0.93457943925233633</v>
      </c>
      <c r="I431" cm="1">
        <f t="array" ref="I431">INT(F431)+IF(100-SUM(INT(F$425:F$431))&gt;=RANK(H431,H$425:H$431)+COUNTIF(H$425:H431,H431)-1,1,0)</f>
        <v>1</v>
      </c>
      <c r="J431" t="b">
        <f t="shared" si="51"/>
        <v>0</v>
      </c>
      <c r="K431" t="str">
        <f t="shared" si="52"/>
        <v/>
      </c>
      <c r="L431" s="71">
        <v>8</v>
      </c>
      <c r="M431">
        <f t="shared" si="53"/>
        <v>8</v>
      </c>
      <c r="N431" s="71" t="b">
        <v>0</v>
      </c>
      <c r="O431" t="b">
        <f t="shared" si="67"/>
        <v>0</v>
      </c>
      <c r="P431" s="72" t="b">
        <v>0</v>
      </c>
    </row>
    <row r="432" spans="1:16">
      <c r="A432" t="s">
        <v>2747</v>
      </c>
      <c r="B432">
        <v>98</v>
      </c>
      <c r="C432" t="s">
        <v>200</v>
      </c>
      <c r="D432" t="s">
        <v>98</v>
      </c>
      <c r="E432">
        <v>3</v>
      </c>
      <c r="F432" s="43">
        <f t="shared" si="64"/>
        <v>2.3622047244094486</v>
      </c>
      <c r="G432" s="44">
        <f t="shared" si="68"/>
        <v>2</v>
      </c>
      <c r="H432" s="44">
        <f t="shared" si="69"/>
        <v>0.36220472440944862</v>
      </c>
      <c r="I432" cm="1">
        <f t="array" ref="I432">INT(F432)+IF(100-SUM(INT(F$432:F$440))&gt;=RANK(H432,H$432:H$440)+COUNTIF(H$432:H432,H432)-1,1,0)</f>
        <v>2</v>
      </c>
      <c r="J432" t="b">
        <f t="shared" si="51"/>
        <v>0</v>
      </c>
      <c r="K432" t="str">
        <f t="shared" si="52"/>
        <v/>
      </c>
      <c r="L432">
        <f>_xlfn.XLOOKUP(D432,BugList!C:C,BugList!N:N)</f>
        <v>4</v>
      </c>
      <c r="M432">
        <f t="shared" si="53"/>
        <v>8</v>
      </c>
      <c r="N432" t="b">
        <f>_xlfn.XLOOKUP(D432,BugList!C:C,BugList!L:L)</f>
        <v>1</v>
      </c>
      <c r="O432" t="b">
        <f t="shared" si="67"/>
        <v>0</v>
      </c>
      <c r="P432" s="18" t="b">
        <f>SUMPRODUCT(COUNTIF(_xlfn.XLOOKUP(D432,BugList!C:C,BugList!P:P), "*SC*"))&gt;0</f>
        <v>1</v>
      </c>
    </row>
    <row r="433" spans="1:16">
      <c r="A433" t="s">
        <v>2747</v>
      </c>
      <c r="B433">
        <v>98</v>
      </c>
      <c r="C433" t="s">
        <v>200</v>
      </c>
      <c r="D433" t="s">
        <v>1536</v>
      </c>
      <c r="E433">
        <v>1</v>
      </c>
      <c r="F433" s="43">
        <f t="shared" si="64"/>
        <v>0.78740157480314954</v>
      </c>
      <c r="G433" s="44">
        <f t="shared" si="68"/>
        <v>0</v>
      </c>
      <c r="H433" s="44">
        <f t="shared" si="69"/>
        <v>0.78740157480314954</v>
      </c>
      <c r="I433" cm="1">
        <f t="array" ref="I433">INT(F433)+IF(100-SUM(INT(F$432:F$440))&gt;=RANK(H433,H$432:H$440)+COUNTIF(H$432:H433,H433)-1,1,0)</f>
        <v>1</v>
      </c>
      <c r="J433" t="b">
        <f t="shared" si="51"/>
        <v>0</v>
      </c>
      <c r="K433" t="str">
        <f t="shared" si="52"/>
        <v/>
      </c>
      <c r="L433">
        <f>_xlfn.XLOOKUP(D433,BugList!C:C,BugList!N:N)</f>
        <v>3</v>
      </c>
      <c r="M433">
        <f t="shared" si="53"/>
        <v>3</v>
      </c>
      <c r="N433" t="b">
        <f>_xlfn.XLOOKUP(D433,BugList!C:C,BugList!L:L)</f>
        <v>1</v>
      </c>
      <c r="O433" t="b">
        <f t="shared" si="67"/>
        <v>0</v>
      </c>
      <c r="P433" s="18" t="b">
        <f>SUMPRODUCT(COUNTIF(_xlfn.XLOOKUP(D433,BugList!C:C,BugList!P:P), "*SC*"))&gt;0</f>
        <v>0</v>
      </c>
    </row>
    <row r="434" spans="1:16">
      <c r="A434" t="s">
        <v>2747</v>
      </c>
      <c r="B434">
        <v>98</v>
      </c>
      <c r="C434" t="s">
        <v>200</v>
      </c>
      <c r="D434" t="s">
        <v>100</v>
      </c>
      <c r="E434">
        <v>8</v>
      </c>
      <c r="F434" s="43">
        <f t="shared" si="64"/>
        <v>6.2992125984251963</v>
      </c>
      <c r="G434" s="44">
        <f t="shared" si="68"/>
        <v>6</v>
      </c>
      <c r="H434" s="44">
        <f t="shared" si="69"/>
        <v>0.29921259842519632</v>
      </c>
      <c r="I434" cm="1">
        <f t="array" ref="I434">INT(F434)+IF(100-SUM(INT(F$432:F$440))&gt;=RANK(H434,H$432:H$440)+COUNTIF(H$432:H434,H434)-1,1,0)</f>
        <v>6</v>
      </c>
      <c r="J434" t="b">
        <f t="shared" ref="J434:J469" si="70">IF(OR(C434="Ephemeroptera", C434 ="Plecoptera", C434= "Trichoptera"), TRUE, FALSE)</f>
        <v>0</v>
      </c>
      <c r="K434" t="str">
        <f t="shared" ref="K434:K469" si="71">IF(J434=TRUE,C434,"")</f>
        <v/>
      </c>
      <c r="L434">
        <f>_xlfn.XLOOKUP(D434,BugList!C:C,BugList!N:N)</f>
        <v>4</v>
      </c>
      <c r="M434">
        <f t="shared" ref="M434:M469" si="72">L434*I434</f>
        <v>24</v>
      </c>
      <c r="N434" t="b">
        <f>_xlfn.XLOOKUP(D434,BugList!C:C,BugList!L:L)</f>
        <v>1</v>
      </c>
      <c r="O434" t="b">
        <f t="shared" si="67"/>
        <v>0</v>
      </c>
      <c r="P434" s="18" t="b">
        <f>SUMPRODUCT(COUNTIF(_xlfn.XLOOKUP(D434,BugList!C:C,BugList!P:P), "*SC*"))&gt;0</f>
        <v>1</v>
      </c>
    </row>
    <row r="435" spans="1:16">
      <c r="A435" t="s">
        <v>2747</v>
      </c>
      <c r="B435">
        <v>98</v>
      </c>
      <c r="C435" t="s">
        <v>199</v>
      </c>
      <c r="D435" t="s">
        <v>111</v>
      </c>
      <c r="E435">
        <v>9</v>
      </c>
      <c r="F435" s="43">
        <f t="shared" si="64"/>
        <v>7.0866141732283463</v>
      </c>
      <c r="G435" s="44">
        <f t="shared" si="68"/>
        <v>7</v>
      </c>
      <c r="H435" s="44">
        <f t="shared" si="69"/>
        <v>8.6614173228346303E-2</v>
      </c>
      <c r="I435" cm="1">
        <f t="array" ref="I435">INT(F435)+IF(100-SUM(INT(F$432:F$440))&gt;=RANK(H435,H$432:H$440)+COUNTIF(H$432:H435,H435)-1,1,0)</f>
        <v>7</v>
      </c>
      <c r="J435" t="b">
        <f t="shared" si="70"/>
        <v>1</v>
      </c>
      <c r="K435" t="str">
        <f t="shared" si="71"/>
        <v>Ephemeroptera</v>
      </c>
      <c r="L435">
        <f>_xlfn.XLOOKUP(D435,BugList!C:C,BugList!N:N)</f>
        <v>4</v>
      </c>
      <c r="M435">
        <f t="shared" si="72"/>
        <v>28</v>
      </c>
      <c r="N435" t="b">
        <f>_xlfn.XLOOKUP(D435,BugList!C:C,BugList!L:L)</f>
        <v>1</v>
      </c>
      <c r="O435" t="b">
        <f t="shared" si="67"/>
        <v>1</v>
      </c>
      <c r="P435" s="18" t="b">
        <f>SUMPRODUCT(COUNTIF(_xlfn.XLOOKUP(D435,BugList!C:C,BugList!P:P), "*SC*"))&gt;0</f>
        <v>0</v>
      </c>
    </row>
    <row r="436" spans="1:16">
      <c r="A436" t="s">
        <v>2747</v>
      </c>
      <c r="B436">
        <v>98</v>
      </c>
      <c r="C436" t="s">
        <v>198</v>
      </c>
      <c r="D436" t="s">
        <v>89</v>
      </c>
      <c r="E436">
        <v>82</v>
      </c>
      <c r="F436" s="43">
        <f t="shared" si="64"/>
        <v>64.566929133858267</v>
      </c>
      <c r="G436" s="44">
        <f t="shared" si="68"/>
        <v>64</v>
      </c>
      <c r="H436" s="44">
        <f t="shared" si="69"/>
        <v>0.56692913385826671</v>
      </c>
      <c r="I436" cm="1">
        <f t="array" ref="I436">INT(F436)+IF(100-SUM(INT(F$432:F$440))&gt;=RANK(H436,H$432:H$440)+COUNTIF(H$432:H436,H436)-1,1,0)</f>
        <v>65</v>
      </c>
      <c r="J436" t="b">
        <f t="shared" si="70"/>
        <v>1</v>
      </c>
      <c r="K436" t="str">
        <f t="shared" si="71"/>
        <v>Trichoptera</v>
      </c>
      <c r="L436">
        <f>_xlfn.XLOOKUP(D436,BugList!C:C,BugList!N:N)</f>
        <v>4</v>
      </c>
      <c r="M436">
        <f t="shared" si="72"/>
        <v>260</v>
      </c>
      <c r="N436" t="b">
        <f>_xlfn.XLOOKUP(D436,BugList!C:C,BugList!L:L)</f>
        <v>1</v>
      </c>
      <c r="O436" t="b">
        <f t="shared" si="67"/>
        <v>0</v>
      </c>
      <c r="P436" s="18" t="b">
        <f>SUMPRODUCT(COUNTIF(_xlfn.XLOOKUP(D436,BugList!C:C,BugList!P:P), "*SC*"))&gt;0</f>
        <v>0</v>
      </c>
    </row>
    <row r="437" spans="1:16">
      <c r="A437" t="s">
        <v>2747</v>
      </c>
      <c r="B437">
        <v>98</v>
      </c>
      <c r="C437" t="s">
        <v>198</v>
      </c>
      <c r="D437" t="s">
        <v>107</v>
      </c>
      <c r="E437">
        <v>13</v>
      </c>
      <c r="F437" s="43">
        <f t="shared" ref="F437:F468" si="73">(E437/(SUMIFS(E:E,A:A,A437))*100)</f>
        <v>10.236220472440944</v>
      </c>
      <c r="G437" s="44">
        <f t="shared" si="68"/>
        <v>10</v>
      </c>
      <c r="H437" s="44">
        <f t="shared" si="69"/>
        <v>0.23622047244094446</v>
      </c>
      <c r="I437" cm="1">
        <f t="array" ref="I437">INT(F437)+IF(100-SUM(INT(F$432:F$440))&gt;=RANK(H437,H$432:H$440)+COUNTIF(H$432:H437,H437)-1,1,0)</f>
        <v>10</v>
      </c>
      <c r="J437" t="b">
        <f t="shared" si="70"/>
        <v>1</v>
      </c>
      <c r="K437" t="str">
        <f t="shared" si="71"/>
        <v>Trichoptera</v>
      </c>
      <c r="L437">
        <f>_xlfn.XLOOKUP(D437,BugList!C:C,BugList!N:N)</f>
        <v>3</v>
      </c>
      <c r="M437">
        <f t="shared" si="72"/>
        <v>30</v>
      </c>
      <c r="N437" t="b">
        <f>_xlfn.XLOOKUP(D437,BugList!C:C,BugList!L:L)</f>
        <v>1</v>
      </c>
      <c r="O437" t="b">
        <f t="shared" si="67"/>
        <v>1</v>
      </c>
      <c r="P437" s="18" t="b">
        <f>SUMPRODUCT(COUNTIF(_xlfn.XLOOKUP(D437,BugList!C:C,BugList!P:P), "*SC*"))&gt;0</f>
        <v>0</v>
      </c>
    </row>
    <row r="438" spans="1:16">
      <c r="A438" t="s">
        <v>2747</v>
      </c>
      <c r="B438">
        <v>98</v>
      </c>
      <c r="C438" t="s">
        <v>198</v>
      </c>
      <c r="D438" t="s">
        <v>163</v>
      </c>
      <c r="E438">
        <v>1</v>
      </c>
      <c r="F438" s="43">
        <f t="shared" si="73"/>
        <v>0.78740157480314954</v>
      </c>
      <c r="G438" s="44">
        <f t="shared" si="68"/>
        <v>0</v>
      </c>
      <c r="H438" s="44">
        <f t="shared" si="69"/>
        <v>0.78740157480314954</v>
      </c>
      <c r="I438" cm="1">
        <f t="array" ref="I438">INT(F438)+IF(100-SUM(INT(F$432:F$440))&gt;=RANK(H438,H$432:H$440)+COUNTIF(H$432:H438,H438)-1,1,0)</f>
        <v>1</v>
      </c>
      <c r="J438" t="b">
        <f t="shared" si="70"/>
        <v>1</v>
      </c>
      <c r="K438" t="str">
        <f t="shared" si="71"/>
        <v>Trichoptera</v>
      </c>
      <c r="L438">
        <f>_xlfn.XLOOKUP(D438,BugList!C:C,BugList!N:N)</f>
        <v>6</v>
      </c>
      <c r="M438">
        <f t="shared" si="72"/>
        <v>6</v>
      </c>
      <c r="N438" t="b">
        <f>_xlfn.XLOOKUP(D438,BugList!C:C,BugList!L:L)</f>
        <v>1</v>
      </c>
      <c r="O438" t="b">
        <f t="shared" si="67"/>
        <v>1</v>
      </c>
      <c r="P438" s="18" t="b">
        <f>SUMPRODUCT(COUNTIF(_xlfn.XLOOKUP(D438,BugList!C:C,BugList!P:P), "*SC*"))&gt;0</f>
        <v>0</v>
      </c>
    </row>
    <row r="439" spans="1:16">
      <c r="A439" t="s">
        <v>2747</v>
      </c>
      <c r="B439">
        <v>98</v>
      </c>
      <c r="C439" t="s">
        <v>201</v>
      </c>
      <c r="D439" t="s">
        <v>85</v>
      </c>
      <c r="E439">
        <v>8</v>
      </c>
      <c r="F439" s="43">
        <f t="shared" si="73"/>
        <v>6.2992125984251963</v>
      </c>
      <c r="G439" s="44">
        <f t="shared" si="68"/>
        <v>6</v>
      </c>
      <c r="H439" s="44">
        <f t="shared" si="69"/>
        <v>0.29921259842519632</v>
      </c>
      <c r="I439" cm="1">
        <f t="array" ref="I439">INT(F439)+IF(100-SUM(INT(F$432:F$440))&gt;=RANK(H439,H$432:H$440)+COUNTIF(H$432:H439,H439)-1,1,0)</f>
        <v>6</v>
      </c>
      <c r="J439" t="b">
        <f t="shared" si="70"/>
        <v>0</v>
      </c>
      <c r="K439" t="str">
        <f t="shared" si="71"/>
        <v/>
      </c>
      <c r="L439">
        <f>_xlfn.XLOOKUP(D439,BugList!C:C,BugList!N:N)</f>
        <v>4</v>
      </c>
      <c r="M439">
        <f t="shared" si="72"/>
        <v>24</v>
      </c>
      <c r="N439" t="b">
        <f>_xlfn.XLOOKUP(D439,BugList!C:C,BugList!L:L)</f>
        <v>0</v>
      </c>
      <c r="O439" t="b">
        <f t="shared" si="67"/>
        <v>0</v>
      </c>
      <c r="P439" s="18" t="b">
        <f>SUMPRODUCT(COUNTIF(_xlfn.XLOOKUP(D439,BugList!C:C,BugList!P:P), "*SC*"))&gt;0</f>
        <v>0</v>
      </c>
    </row>
    <row r="440" spans="1:16">
      <c r="A440" t="s">
        <v>2747</v>
      </c>
      <c r="B440">
        <v>98</v>
      </c>
      <c r="C440" t="s">
        <v>94</v>
      </c>
      <c r="D440" t="s">
        <v>94</v>
      </c>
      <c r="E440">
        <v>2</v>
      </c>
      <c r="F440" s="43">
        <f t="shared" si="73"/>
        <v>1.5748031496062991</v>
      </c>
      <c r="G440" s="44">
        <f t="shared" si="68"/>
        <v>1</v>
      </c>
      <c r="H440" s="44">
        <f t="shared" si="69"/>
        <v>0.57480314960629908</v>
      </c>
      <c r="I440" cm="1">
        <f t="array" ref="I440">INT(F440)+IF(100-SUM(INT(F$432:F$440))&gt;=RANK(H440,H$432:H$440)+COUNTIF(H$432:H440,H440)-1,1,0)</f>
        <v>2</v>
      </c>
      <c r="J440" t="b">
        <f t="shared" si="70"/>
        <v>0</v>
      </c>
      <c r="K440" t="str">
        <f t="shared" si="71"/>
        <v/>
      </c>
      <c r="L440">
        <f>_xlfn.XLOOKUP(D440,BugList!C:C,BugList!N:N)</f>
        <v>8</v>
      </c>
      <c r="M440">
        <f t="shared" si="72"/>
        <v>16</v>
      </c>
      <c r="N440" t="b">
        <f>_xlfn.XLOOKUP(D440,BugList!C:C,BugList!L:L)</f>
        <v>0</v>
      </c>
      <c r="O440" t="b">
        <f t="shared" si="67"/>
        <v>0</v>
      </c>
      <c r="P440" s="18" t="b">
        <f>SUMPRODUCT(COUNTIF(_xlfn.XLOOKUP(D440,BugList!C:C,BugList!P:P), "*SC*"))&gt;0</f>
        <v>0</v>
      </c>
    </row>
    <row r="441" spans="1:16">
      <c r="A441" t="s">
        <v>2748</v>
      </c>
      <c r="B441">
        <v>101</v>
      </c>
      <c r="C441" t="s">
        <v>200</v>
      </c>
      <c r="D441" t="s">
        <v>100</v>
      </c>
      <c r="E441">
        <v>4</v>
      </c>
      <c r="F441" s="43">
        <f t="shared" si="73"/>
        <v>3.0769230769230771</v>
      </c>
      <c r="G441" s="44">
        <f t="shared" si="68"/>
        <v>3</v>
      </c>
      <c r="H441" s="44">
        <f t="shared" si="69"/>
        <v>7.6923076923077094E-2</v>
      </c>
      <c r="I441" cm="1">
        <f t="array" ref="I441">INT(F441)+IF(100-SUM(INT(F$441:F$449))&gt;=RANK(H441,H$441:H$449)+COUNTIF(H$441:H441,H441)-1,1,0)</f>
        <v>3</v>
      </c>
      <c r="J441" t="b">
        <f t="shared" si="70"/>
        <v>0</v>
      </c>
      <c r="K441" t="str">
        <f t="shared" si="71"/>
        <v/>
      </c>
      <c r="L441">
        <f>_xlfn.XLOOKUP(D441,BugList!C:C,BugList!N:N)</f>
        <v>4</v>
      </c>
      <c r="M441">
        <f t="shared" si="72"/>
        <v>12</v>
      </c>
      <c r="N441" t="b">
        <f>_xlfn.XLOOKUP(D441,BugList!C:C,BugList!L:L)</f>
        <v>1</v>
      </c>
      <c r="O441" t="b">
        <f t="shared" si="67"/>
        <v>0</v>
      </c>
      <c r="P441" s="18" t="b">
        <f>SUMPRODUCT(COUNTIF(_xlfn.XLOOKUP(D441,BugList!C:C,BugList!P:P), "*SC*"))&gt;0</f>
        <v>1</v>
      </c>
    </row>
    <row r="442" spans="1:16">
      <c r="A442" t="s">
        <v>2748</v>
      </c>
      <c r="B442">
        <v>101</v>
      </c>
      <c r="C442" t="s">
        <v>194</v>
      </c>
      <c r="D442" s="85" t="s">
        <v>90</v>
      </c>
      <c r="E442">
        <v>86</v>
      </c>
      <c r="F442" s="43">
        <f t="shared" si="73"/>
        <v>66.153846153846146</v>
      </c>
      <c r="G442" s="44">
        <f t="shared" si="68"/>
        <v>66</v>
      </c>
      <c r="H442" s="44">
        <f t="shared" si="69"/>
        <v>0.15384615384614619</v>
      </c>
      <c r="I442" cm="1">
        <f t="array" ref="I442">INT(F442)+IF(100-SUM(INT(F$441:F$449))&gt;=RANK(H442,H$441:H$449)+COUNTIF(H$441:H442,H442)-1,1,0)</f>
        <v>66</v>
      </c>
      <c r="J442" t="b">
        <f t="shared" si="70"/>
        <v>0</v>
      </c>
      <c r="K442" t="str">
        <f t="shared" si="71"/>
        <v/>
      </c>
      <c r="L442">
        <f>_xlfn.XLOOKUP(D442,BugList!C:C,BugList!N:N)</f>
        <v>6</v>
      </c>
      <c r="M442">
        <f t="shared" si="72"/>
        <v>396</v>
      </c>
      <c r="N442" t="b">
        <f>_xlfn.XLOOKUP(D442,BugList!C:C,BugList!L:L)</f>
        <v>1</v>
      </c>
      <c r="O442" t="b">
        <f t="shared" si="67"/>
        <v>0</v>
      </c>
      <c r="P442" s="18" t="b">
        <f>SUMPRODUCT(COUNTIF(_xlfn.XLOOKUP(D442,BugList!C:C,BugList!P:P), "*SC*"))&gt;0</f>
        <v>0</v>
      </c>
    </row>
    <row r="443" spans="1:16">
      <c r="A443" t="s">
        <v>2748</v>
      </c>
      <c r="B443">
        <v>101</v>
      </c>
      <c r="C443" t="s">
        <v>199</v>
      </c>
      <c r="D443" t="s">
        <v>151</v>
      </c>
      <c r="E443">
        <v>2</v>
      </c>
      <c r="F443" s="43">
        <f t="shared" si="73"/>
        <v>1.5384615384615385</v>
      </c>
      <c r="G443" s="44">
        <f t="shared" si="68"/>
        <v>1</v>
      </c>
      <c r="H443" s="44">
        <f t="shared" si="69"/>
        <v>0.53846153846153855</v>
      </c>
      <c r="I443" cm="1">
        <f t="array" ref="I443">INT(F443)+IF(100-SUM(INT(F$441:F$449))&gt;=RANK(H443,H$441:H$449)+COUNTIF(H$441:H443,H443)-1,1,0)</f>
        <v>2</v>
      </c>
      <c r="J443" t="b">
        <f t="shared" si="70"/>
        <v>1</v>
      </c>
      <c r="K443" t="str">
        <f t="shared" si="71"/>
        <v>Ephemeroptera</v>
      </c>
      <c r="L443">
        <f>_xlfn.XLOOKUP(D443,BugList!C:C,BugList!N:N)</f>
        <v>1</v>
      </c>
      <c r="M443">
        <f t="shared" si="72"/>
        <v>2</v>
      </c>
      <c r="N443" t="b">
        <f>_xlfn.XLOOKUP(D443,BugList!C:C,BugList!L:L)</f>
        <v>1</v>
      </c>
      <c r="O443" t="b">
        <f t="shared" si="67"/>
        <v>1</v>
      </c>
      <c r="P443" s="18" t="b">
        <f>SUMPRODUCT(COUNTIF(_xlfn.XLOOKUP(D443,BugList!C:C,BugList!P:P), "*SC*"))&gt;0</f>
        <v>0</v>
      </c>
    </row>
    <row r="444" spans="1:16">
      <c r="A444" t="s">
        <v>2748</v>
      </c>
      <c r="B444">
        <v>101</v>
      </c>
      <c r="C444" t="s">
        <v>199</v>
      </c>
      <c r="D444" t="s">
        <v>1004</v>
      </c>
      <c r="E444">
        <v>1</v>
      </c>
      <c r="F444" s="43">
        <f t="shared" si="73"/>
        <v>0.76923076923076927</v>
      </c>
      <c r="G444" s="44">
        <f t="shared" si="68"/>
        <v>0</v>
      </c>
      <c r="H444" s="44">
        <f t="shared" si="69"/>
        <v>0.76923076923076927</v>
      </c>
      <c r="I444" cm="1">
        <f t="array" ref="I444">INT(F444)+IF(100-SUM(INT(F$441:F$449))&gt;=RANK(H444,H$441:H$449)+COUNTIF(H$441:H444,H444)-1,1,0)</f>
        <v>1</v>
      </c>
      <c r="J444" t="b">
        <f t="shared" si="70"/>
        <v>1</v>
      </c>
      <c r="K444" t="str">
        <f t="shared" si="71"/>
        <v>Ephemeroptera</v>
      </c>
      <c r="L444">
        <f>_xlfn.XLOOKUP(D444,BugList!C:C,BugList!N:N)</f>
        <v>4</v>
      </c>
      <c r="M444">
        <f t="shared" si="72"/>
        <v>4</v>
      </c>
      <c r="N444" t="b">
        <f>_xlfn.XLOOKUP(D444,BugList!C:C,BugList!L:L)</f>
        <v>1</v>
      </c>
      <c r="O444" t="b">
        <f t="shared" si="67"/>
        <v>1</v>
      </c>
      <c r="P444" s="18" t="b">
        <f>SUMPRODUCT(COUNTIF(_xlfn.XLOOKUP(D444,BugList!C:C,BugList!P:P), "*SC*"))&gt;0</f>
        <v>0</v>
      </c>
    </row>
    <row r="445" spans="1:16">
      <c r="A445" t="s">
        <v>2748</v>
      </c>
      <c r="B445">
        <v>101</v>
      </c>
      <c r="C445" t="s">
        <v>198</v>
      </c>
      <c r="D445" t="s">
        <v>89</v>
      </c>
      <c r="E445">
        <v>28</v>
      </c>
      <c r="F445" s="43">
        <f t="shared" si="73"/>
        <v>21.53846153846154</v>
      </c>
      <c r="G445" s="44">
        <f t="shared" si="68"/>
        <v>21</v>
      </c>
      <c r="H445" s="44">
        <f t="shared" si="69"/>
        <v>0.5384615384615401</v>
      </c>
      <c r="I445" cm="1">
        <f t="array" ref="I445">INT(F445)+IF(100-SUM(INT(F$441:F$449))&gt;=RANK(H445,H$441:H$449)+COUNTIF(H$441:H445,H445)-1,1,0)</f>
        <v>22</v>
      </c>
      <c r="J445" t="b">
        <f t="shared" si="70"/>
        <v>1</v>
      </c>
      <c r="K445" t="str">
        <f t="shared" si="71"/>
        <v>Trichoptera</v>
      </c>
      <c r="L445">
        <f>_xlfn.XLOOKUP(D445,BugList!C:C,BugList!N:N)</f>
        <v>4</v>
      </c>
      <c r="M445">
        <f t="shared" si="72"/>
        <v>88</v>
      </c>
      <c r="N445" t="b">
        <f>_xlfn.XLOOKUP(D445,BugList!C:C,BugList!L:L)</f>
        <v>1</v>
      </c>
      <c r="O445" t="b">
        <f t="shared" si="67"/>
        <v>0</v>
      </c>
      <c r="P445" s="18" t="b">
        <f>SUMPRODUCT(COUNTIF(_xlfn.XLOOKUP(D445,BugList!C:C,BugList!P:P), "*SC*"))&gt;0</f>
        <v>0</v>
      </c>
    </row>
    <row r="446" spans="1:16">
      <c r="A446" t="s">
        <v>2748</v>
      </c>
      <c r="B446">
        <v>101</v>
      </c>
      <c r="C446" t="s">
        <v>198</v>
      </c>
      <c r="D446" t="s">
        <v>163</v>
      </c>
      <c r="E446">
        <v>1</v>
      </c>
      <c r="F446" s="43">
        <f t="shared" si="73"/>
        <v>0.76923076923076927</v>
      </c>
      <c r="G446" s="44">
        <f t="shared" si="68"/>
        <v>0</v>
      </c>
      <c r="H446" s="44">
        <f t="shared" si="69"/>
        <v>0.76923076923076927</v>
      </c>
      <c r="I446" cm="1">
        <f t="array" ref="I446">INT(F446)+IF(100-SUM(INT(F$441:F$449))&gt;=RANK(H446,H$441:H$449)+COUNTIF(H$441:H446,H446)-1,1,0)</f>
        <v>1</v>
      </c>
      <c r="J446" t="b">
        <f t="shared" si="70"/>
        <v>1</v>
      </c>
      <c r="K446" t="str">
        <f t="shared" si="71"/>
        <v>Trichoptera</v>
      </c>
      <c r="L446">
        <f>_xlfn.XLOOKUP(D446,BugList!C:C,BugList!N:N)</f>
        <v>6</v>
      </c>
      <c r="M446">
        <f t="shared" si="72"/>
        <v>6</v>
      </c>
      <c r="N446" t="b">
        <f>_xlfn.XLOOKUP(D446,BugList!C:C,BugList!L:L)</f>
        <v>1</v>
      </c>
      <c r="O446" t="b">
        <f t="shared" si="67"/>
        <v>1</v>
      </c>
      <c r="P446" s="18" t="b">
        <f>SUMPRODUCT(COUNTIF(_xlfn.XLOOKUP(D446,BugList!C:C,BugList!P:P), "*SC*"))&gt;0</f>
        <v>0</v>
      </c>
    </row>
    <row r="447" spans="1:16">
      <c r="A447" t="s">
        <v>2748</v>
      </c>
      <c r="B447">
        <v>101</v>
      </c>
      <c r="C447" t="s">
        <v>201</v>
      </c>
      <c r="D447" t="s">
        <v>85</v>
      </c>
      <c r="E447">
        <v>4</v>
      </c>
      <c r="F447" s="43">
        <f t="shared" si="73"/>
        <v>3.0769230769230771</v>
      </c>
      <c r="G447" s="44">
        <f t="shared" si="68"/>
        <v>3</v>
      </c>
      <c r="H447" s="44">
        <f t="shared" si="69"/>
        <v>7.6923076923077094E-2</v>
      </c>
      <c r="I447" cm="1">
        <f t="array" ref="I447">INT(F447)+IF(100-SUM(INT(F$441:F$449))&gt;=RANK(H447,H$441:H$449)+COUNTIF(H$441:H447,H447)-1,1,0)</f>
        <v>3</v>
      </c>
      <c r="J447" t="b">
        <f t="shared" si="70"/>
        <v>0</v>
      </c>
      <c r="K447" t="str">
        <f t="shared" si="71"/>
        <v/>
      </c>
      <c r="L447">
        <f>_xlfn.XLOOKUP(D447,BugList!C:C,BugList!N:N)</f>
        <v>4</v>
      </c>
      <c r="M447">
        <f t="shared" si="72"/>
        <v>12</v>
      </c>
      <c r="N447" t="b">
        <f>_xlfn.XLOOKUP(D447,BugList!C:C,BugList!L:L)</f>
        <v>0</v>
      </c>
      <c r="O447" t="b">
        <f t="shared" si="67"/>
        <v>0</v>
      </c>
      <c r="P447" s="18" t="b">
        <f>SUMPRODUCT(COUNTIF(_xlfn.XLOOKUP(D447,BugList!C:C,BugList!P:P), "*SC*"))&gt;0</f>
        <v>0</v>
      </c>
    </row>
    <row r="448" spans="1:16">
      <c r="A448" t="s">
        <v>2748</v>
      </c>
      <c r="B448">
        <v>101</v>
      </c>
      <c r="C448" t="s">
        <v>210</v>
      </c>
      <c r="D448" t="s">
        <v>210</v>
      </c>
      <c r="E448">
        <v>2</v>
      </c>
      <c r="F448" s="43">
        <f t="shared" si="73"/>
        <v>1.5384615384615385</v>
      </c>
      <c r="G448" s="44">
        <f t="shared" si="68"/>
        <v>1</v>
      </c>
      <c r="H448" s="44">
        <f t="shared" si="69"/>
        <v>0.53846153846153855</v>
      </c>
      <c r="I448" cm="1">
        <f t="array" ref="I448">INT(F448)+IF(100-SUM(INT(F$441:F$449))&gt;=RANK(H448,H$441:H$449)+COUNTIF(H$441:H448,H448)-1,1,0)</f>
        <v>1</v>
      </c>
      <c r="J448" t="b">
        <f t="shared" si="70"/>
        <v>0</v>
      </c>
      <c r="K448" t="str">
        <f t="shared" si="71"/>
        <v/>
      </c>
      <c r="L448" s="71">
        <v>8</v>
      </c>
      <c r="M448">
        <f t="shared" si="72"/>
        <v>8</v>
      </c>
      <c r="N448" s="71" t="b">
        <v>0</v>
      </c>
      <c r="O448" t="b">
        <f t="shared" si="67"/>
        <v>0</v>
      </c>
      <c r="P448" s="72" t="b">
        <v>0</v>
      </c>
    </row>
    <row r="449" spans="1:16">
      <c r="A449" t="s">
        <v>2748</v>
      </c>
      <c r="B449">
        <v>101</v>
      </c>
      <c r="C449" t="s">
        <v>94</v>
      </c>
      <c r="D449" t="s">
        <v>94</v>
      </c>
      <c r="E449">
        <v>2</v>
      </c>
      <c r="F449" s="43">
        <f t="shared" si="73"/>
        <v>1.5384615384615385</v>
      </c>
      <c r="G449" s="44">
        <f t="shared" si="68"/>
        <v>1</v>
      </c>
      <c r="H449" s="44">
        <f t="shared" si="69"/>
        <v>0.53846153846153855</v>
      </c>
      <c r="I449" cm="1">
        <f t="array" ref="I449">INT(F449)+IF(100-SUM(INT(F$441:F$449))&gt;=RANK(H449,H$441:H$449)+COUNTIF(H$441:H449,H449)-1,1,0)</f>
        <v>1</v>
      </c>
      <c r="J449" t="b">
        <f t="shared" si="70"/>
        <v>0</v>
      </c>
      <c r="K449" t="str">
        <f t="shared" si="71"/>
        <v/>
      </c>
      <c r="L449">
        <f>_xlfn.XLOOKUP(D449,BugList!C:C,BugList!N:N)</f>
        <v>8</v>
      </c>
      <c r="M449">
        <f t="shared" si="72"/>
        <v>8</v>
      </c>
      <c r="N449" t="b">
        <f>_xlfn.XLOOKUP(D449,BugList!C:C,BugList!L:L)</f>
        <v>0</v>
      </c>
      <c r="O449" t="b">
        <f t="shared" si="67"/>
        <v>0</v>
      </c>
      <c r="P449" s="18" t="b">
        <f>SUMPRODUCT(COUNTIF(_xlfn.XLOOKUP(D449,BugList!C:C,BugList!P:P), "*SC*"))&gt;0</f>
        <v>0</v>
      </c>
    </row>
    <row r="450" spans="1:16">
      <c r="A450" t="s">
        <v>2749</v>
      </c>
      <c r="B450">
        <v>117</v>
      </c>
      <c r="C450" t="s">
        <v>200</v>
      </c>
      <c r="D450" t="s">
        <v>98</v>
      </c>
      <c r="E450">
        <v>13</v>
      </c>
      <c r="F450" s="43">
        <f t="shared" si="73"/>
        <v>12.037037037037036</v>
      </c>
      <c r="G450" s="44">
        <f t="shared" si="68"/>
        <v>12</v>
      </c>
      <c r="H450" s="44">
        <f t="shared" si="69"/>
        <v>3.7037037037036313E-2</v>
      </c>
      <c r="I450" cm="1">
        <f t="array" ref="I450">INT(F450)+IF(100-SUM(INT(F$450:F$458))&gt;=RANK(H450,H$450:H$458)+COUNTIF(H$450:H450,H450)-1,1,0)</f>
        <v>12</v>
      </c>
      <c r="J450" t="b">
        <f t="shared" si="70"/>
        <v>0</v>
      </c>
      <c r="K450" t="str">
        <f t="shared" si="71"/>
        <v/>
      </c>
      <c r="L450">
        <f>_xlfn.XLOOKUP(D450,BugList!C:C,BugList!N:N)</f>
        <v>4</v>
      </c>
      <c r="M450">
        <f t="shared" si="72"/>
        <v>48</v>
      </c>
      <c r="N450" t="b">
        <f>_xlfn.XLOOKUP(D450,BugList!C:C,BugList!L:L)</f>
        <v>1</v>
      </c>
      <c r="O450" t="b">
        <f t="shared" si="67"/>
        <v>0</v>
      </c>
      <c r="P450" s="18" t="b">
        <f>SUMPRODUCT(COUNTIF(_xlfn.XLOOKUP(D450,BugList!C:C,BugList!P:P), "*SC*"))&gt;0</f>
        <v>1</v>
      </c>
    </row>
    <row r="451" spans="1:16">
      <c r="A451" t="s">
        <v>2749</v>
      </c>
      <c r="B451">
        <v>117</v>
      </c>
      <c r="C451" t="s">
        <v>199</v>
      </c>
      <c r="D451" t="s">
        <v>151</v>
      </c>
      <c r="E451">
        <v>1</v>
      </c>
      <c r="F451" s="43">
        <f t="shared" si="73"/>
        <v>0.92592592592592582</v>
      </c>
      <c r="G451" s="44">
        <f t="shared" si="68"/>
        <v>0</v>
      </c>
      <c r="H451" s="44">
        <f t="shared" si="69"/>
        <v>0.92592592592592582</v>
      </c>
      <c r="I451" cm="1">
        <f t="array" ref="I451">INT(F451)+IF(100-SUM(INT(F$450:F$458))&gt;=RANK(H451,H$450:H$458)+COUNTIF(H$450:H451,H451)-1,1,0)</f>
        <v>1</v>
      </c>
      <c r="J451" t="b">
        <f t="shared" si="70"/>
        <v>1</v>
      </c>
      <c r="K451" t="str">
        <f t="shared" si="71"/>
        <v>Ephemeroptera</v>
      </c>
      <c r="L451">
        <f>_xlfn.XLOOKUP(D451,BugList!C:C,BugList!N:N)</f>
        <v>1</v>
      </c>
      <c r="M451">
        <f t="shared" si="72"/>
        <v>1</v>
      </c>
      <c r="N451" t="b">
        <f>_xlfn.XLOOKUP(D451,BugList!C:C,BugList!L:L)</f>
        <v>1</v>
      </c>
      <c r="O451" t="b">
        <f t="shared" si="67"/>
        <v>1</v>
      </c>
      <c r="P451" s="18" t="b">
        <f>SUMPRODUCT(COUNTIF(_xlfn.XLOOKUP(D451,BugList!C:C,BugList!P:P), "*SC*"))&gt;0</f>
        <v>0</v>
      </c>
    </row>
    <row r="452" spans="1:16">
      <c r="A452" t="s">
        <v>2749</v>
      </c>
      <c r="B452">
        <v>117</v>
      </c>
      <c r="C452" t="s">
        <v>199</v>
      </c>
      <c r="D452" t="s">
        <v>111</v>
      </c>
      <c r="E452">
        <v>3</v>
      </c>
      <c r="F452" s="43">
        <f t="shared" si="73"/>
        <v>2.7777777777777777</v>
      </c>
      <c r="G452" s="44">
        <f t="shared" si="68"/>
        <v>2</v>
      </c>
      <c r="H452" s="44">
        <f t="shared" si="69"/>
        <v>0.77777777777777768</v>
      </c>
      <c r="I452" cm="1">
        <f t="array" ref="I452">INT(F452)+IF(100-SUM(INT(F$450:F$458))&gt;=RANK(H452,H$450:H$458)+COUNTIF(H$450:H452,H452)-1,1,0)</f>
        <v>3</v>
      </c>
      <c r="J452" t="b">
        <f t="shared" si="70"/>
        <v>1</v>
      </c>
      <c r="K452" t="str">
        <f t="shared" si="71"/>
        <v>Ephemeroptera</v>
      </c>
      <c r="L452">
        <f>_xlfn.XLOOKUP(D452,BugList!C:C,BugList!N:N)</f>
        <v>4</v>
      </c>
      <c r="M452">
        <f t="shared" si="72"/>
        <v>12</v>
      </c>
      <c r="N452" t="b">
        <f>_xlfn.XLOOKUP(D452,BugList!C:C,BugList!L:L)</f>
        <v>1</v>
      </c>
      <c r="O452" t="b">
        <f t="shared" si="67"/>
        <v>1</v>
      </c>
      <c r="P452" s="18" t="b">
        <f>SUMPRODUCT(COUNTIF(_xlfn.XLOOKUP(D452,BugList!C:C,BugList!P:P), "*SC*"))&gt;0</f>
        <v>0</v>
      </c>
    </row>
    <row r="453" spans="1:16">
      <c r="A453" t="s">
        <v>2749</v>
      </c>
      <c r="B453">
        <v>117</v>
      </c>
      <c r="C453" t="s">
        <v>198</v>
      </c>
      <c r="D453" t="s">
        <v>89</v>
      </c>
      <c r="E453">
        <v>74</v>
      </c>
      <c r="F453" s="43">
        <f t="shared" si="73"/>
        <v>68.518518518518519</v>
      </c>
      <c r="G453" s="44">
        <f t="shared" si="68"/>
        <v>68</v>
      </c>
      <c r="H453" s="44">
        <f t="shared" si="69"/>
        <v>0.51851851851851904</v>
      </c>
      <c r="I453" cm="1">
        <f t="array" ref="I453">INT(F453)+IF(100-SUM(INT(F$450:F$458))&gt;=RANK(H453,H$450:H$458)+COUNTIF(H$450:H453,H453)-1,1,0)</f>
        <v>68</v>
      </c>
      <c r="J453" t="b">
        <f t="shared" si="70"/>
        <v>1</v>
      </c>
      <c r="K453" t="str">
        <f t="shared" si="71"/>
        <v>Trichoptera</v>
      </c>
      <c r="L453">
        <f>_xlfn.XLOOKUP(D453,BugList!C:C,BugList!N:N)</f>
        <v>4</v>
      </c>
      <c r="M453">
        <f t="shared" si="72"/>
        <v>272</v>
      </c>
      <c r="N453" t="b">
        <f>_xlfn.XLOOKUP(D453,BugList!C:C,BugList!L:L)</f>
        <v>1</v>
      </c>
      <c r="O453" t="b">
        <f t="shared" si="67"/>
        <v>0</v>
      </c>
      <c r="P453" s="18" t="b">
        <f>SUMPRODUCT(COUNTIF(_xlfn.XLOOKUP(D453,BugList!C:C,BugList!P:P), "*SC*"))&gt;0</f>
        <v>0</v>
      </c>
    </row>
    <row r="454" spans="1:16">
      <c r="A454" t="s">
        <v>2749</v>
      </c>
      <c r="B454">
        <v>117</v>
      </c>
      <c r="C454" t="s">
        <v>198</v>
      </c>
      <c r="D454" t="s">
        <v>107</v>
      </c>
      <c r="E454">
        <v>4</v>
      </c>
      <c r="F454" s="43">
        <f t="shared" si="73"/>
        <v>3.7037037037037033</v>
      </c>
      <c r="G454" s="44">
        <f t="shared" si="68"/>
        <v>3</v>
      </c>
      <c r="H454" s="44">
        <f t="shared" si="69"/>
        <v>0.70370370370370328</v>
      </c>
      <c r="I454" cm="1">
        <f t="array" ref="I454">INT(F454)+IF(100-SUM(INT(F$450:F$458))&gt;=RANK(H454,H$450:H$458)+COUNTIF(H$450:H454,H454)-1,1,0)</f>
        <v>4</v>
      </c>
      <c r="J454" t="b">
        <f t="shared" si="70"/>
        <v>1</v>
      </c>
      <c r="K454" t="str">
        <f t="shared" si="71"/>
        <v>Trichoptera</v>
      </c>
      <c r="L454">
        <f>_xlfn.XLOOKUP(D454,BugList!C:C,BugList!N:N)</f>
        <v>3</v>
      </c>
      <c r="M454">
        <f t="shared" si="72"/>
        <v>12</v>
      </c>
      <c r="N454" t="b">
        <f>_xlfn.XLOOKUP(D454,BugList!C:C,BugList!L:L)</f>
        <v>1</v>
      </c>
      <c r="O454" t="b">
        <f t="shared" si="67"/>
        <v>1</v>
      </c>
      <c r="P454" s="18" t="b">
        <f>SUMPRODUCT(COUNTIF(_xlfn.XLOOKUP(D454,BugList!C:C,BugList!P:P), "*SC*"))&gt;0</f>
        <v>0</v>
      </c>
    </row>
    <row r="455" spans="1:16">
      <c r="A455" t="s">
        <v>2749</v>
      </c>
      <c r="B455">
        <v>117</v>
      </c>
      <c r="C455" t="s">
        <v>198</v>
      </c>
      <c r="D455" t="s">
        <v>163</v>
      </c>
      <c r="E455">
        <v>1</v>
      </c>
      <c r="F455" s="43">
        <f t="shared" si="73"/>
        <v>0.92592592592592582</v>
      </c>
      <c r="G455" s="44">
        <f t="shared" si="68"/>
        <v>0</v>
      </c>
      <c r="H455" s="44">
        <f t="shared" si="69"/>
        <v>0.92592592592592582</v>
      </c>
      <c r="I455" cm="1">
        <f t="array" ref="I455">INT(F455)+IF(100-SUM(INT(F$450:F$458))&gt;=RANK(H455,H$450:H$458)+COUNTIF(H$450:H455,H455)-1,1,0)</f>
        <v>1</v>
      </c>
      <c r="J455" t="b">
        <f t="shared" si="70"/>
        <v>1</v>
      </c>
      <c r="K455" t="str">
        <f t="shared" si="71"/>
        <v>Trichoptera</v>
      </c>
      <c r="L455">
        <f>_xlfn.XLOOKUP(D455,BugList!C:C,BugList!N:N)</f>
        <v>6</v>
      </c>
      <c r="M455">
        <f t="shared" si="72"/>
        <v>6</v>
      </c>
      <c r="N455" t="b">
        <f>_xlfn.XLOOKUP(D455,BugList!C:C,BugList!L:L)</f>
        <v>1</v>
      </c>
      <c r="O455" t="b">
        <f t="shared" si="67"/>
        <v>1</v>
      </c>
      <c r="P455" s="18" t="b">
        <f>SUMPRODUCT(COUNTIF(_xlfn.XLOOKUP(D455,BugList!C:C,BugList!P:P), "*SC*"))&gt;0</f>
        <v>0</v>
      </c>
    </row>
    <row r="456" spans="1:16">
      <c r="A456" t="s">
        <v>2749</v>
      </c>
      <c r="B456">
        <v>117</v>
      </c>
      <c r="C456" t="s">
        <v>201</v>
      </c>
      <c r="D456" t="s">
        <v>85</v>
      </c>
      <c r="E456">
        <v>10</v>
      </c>
      <c r="F456" s="43">
        <f t="shared" si="73"/>
        <v>9.2592592592592595</v>
      </c>
      <c r="G456" s="44">
        <f t="shared" si="68"/>
        <v>9</v>
      </c>
      <c r="H456" s="44">
        <f t="shared" si="69"/>
        <v>0.25925925925925952</v>
      </c>
      <c r="I456" cm="1">
        <f t="array" ref="I456">INT(F456)+IF(100-SUM(INT(F$450:F$458))&gt;=RANK(H456,H$450:H$458)+COUNTIF(H$450:H456,H456)-1,1,0)</f>
        <v>9</v>
      </c>
      <c r="J456" t="b">
        <f t="shared" si="70"/>
        <v>0</v>
      </c>
      <c r="K456" t="str">
        <f t="shared" si="71"/>
        <v/>
      </c>
      <c r="L456">
        <f>_xlfn.XLOOKUP(D456,BugList!C:C,BugList!N:N)</f>
        <v>4</v>
      </c>
      <c r="M456">
        <f t="shared" si="72"/>
        <v>36</v>
      </c>
      <c r="N456" t="b">
        <f>_xlfn.XLOOKUP(D456,BugList!C:C,BugList!L:L)</f>
        <v>0</v>
      </c>
      <c r="O456" t="b">
        <f t="shared" si="67"/>
        <v>0</v>
      </c>
      <c r="P456" s="18" t="b">
        <f>SUMPRODUCT(COUNTIF(_xlfn.XLOOKUP(D456,BugList!C:C,BugList!P:P), "*SC*"))&gt;0</f>
        <v>0</v>
      </c>
    </row>
    <row r="457" spans="1:16">
      <c r="A457" t="s">
        <v>2749</v>
      </c>
      <c r="B457">
        <v>117</v>
      </c>
      <c r="C457" t="s">
        <v>210</v>
      </c>
      <c r="D457" t="s">
        <v>210</v>
      </c>
      <c r="E457">
        <v>1</v>
      </c>
      <c r="F457" s="43">
        <f t="shared" si="73"/>
        <v>0.92592592592592582</v>
      </c>
      <c r="G457" s="44">
        <f t="shared" si="68"/>
        <v>0</v>
      </c>
      <c r="H457" s="44">
        <f t="shared" si="69"/>
        <v>0.92592592592592582</v>
      </c>
      <c r="I457" cm="1">
        <f t="array" ref="I457">INT(F457)+IF(100-SUM(INT(F$450:F$458))&gt;=RANK(H457,H$450:H$458)+COUNTIF(H$450:H457,H457)-1,1,0)</f>
        <v>1</v>
      </c>
      <c r="J457" t="b">
        <f t="shared" si="70"/>
        <v>0</v>
      </c>
      <c r="K457" t="str">
        <f t="shared" si="71"/>
        <v/>
      </c>
      <c r="L457" s="71">
        <v>8</v>
      </c>
      <c r="M457">
        <f t="shared" ref="M457" si="74">L457*I457</f>
        <v>8</v>
      </c>
      <c r="N457" s="71" t="b">
        <v>0</v>
      </c>
      <c r="O457" t="b">
        <f t="shared" ref="O457" si="75">IF(J457=TRUE,IF(D457="Hydropsychidae", FALSE, TRUE), FALSE)</f>
        <v>0</v>
      </c>
      <c r="P457" s="72" t="b">
        <v>0</v>
      </c>
    </row>
    <row r="458" spans="1:16">
      <c r="A458" t="s">
        <v>2749</v>
      </c>
      <c r="B458">
        <v>117</v>
      </c>
      <c r="C458" s="74" t="s">
        <v>119</v>
      </c>
      <c r="D458" t="s">
        <v>542</v>
      </c>
      <c r="E458">
        <v>1</v>
      </c>
      <c r="F458" s="43">
        <f t="shared" si="73"/>
        <v>0.92592592592592582</v>
      </c>
      <c r="G458" s="44">
        <f t="shared" si="68"/>
        <v>0</v>
      </c>
      <c r="H458" s="44">
        <f t="shared" si="69"/>
        <v>0.92592592592592582</v>
      </c>
      <c r="I458" cm="1">
        <f t="array" ref="I458">INT(F458)+IF(100-SUM(INT(F$450:F$458))&gt;=RANK(H458,H$450:H$458)+COUNTIF(H$450:H458,H458)-1,1,0)</f>
        <v>1</v>
      </c>
      <c r="J458" t="b">
        <f t="shared" si="70"/>
        <v>0</v>
      </c>
      <c r="K458" t="str">
        <f t="shared" si="71"/>
        <v/>
      </c>
      <c r="L458" s="71">
        <v>4</v>
      </c>
      <c r="M458">
        <f t="shared" si="72"/>
        <v>4</v>
      </c>
      <c r="N458" s="71" t="b">
        <v>0</v>
      </c>
      <c r="O458" t="b">
        <f t="shared" si="67"/>
        <v>0</v>
      </c>
      <c r="P458" s="72" t="b">
        <v>0</v>
      </c>
    </row>
    <row r="459" spans="1:16">
      <c r="A459" t="s">
        <v>2750</v>
      </c>
      <c r="B459">
        <v>125</v>
      </c>
      <c r="C459" t="s">
        <v>200</v>
      </c>
      <c r="D459" t="s">
        <v>98</v>
      </c>
      <c r="E459">
        <v>10</v>
      </c>
      <c r="F459" s="43">
        <f t="shared" si="73"/>
        <v>8.695652173913043</v>
      </c>
      <c r="G459" s="44">
        <f t="shared" si="68"/>
        <v>8</v>
      </c>
      <c r="H459" s="44">
        <f t="shared" si="69"/>
        <v>0.69565217391304301</v>
      </c>
      <c r="I459" cm="1">
        <f t="array" ref="I459">INT(F459)+IF(100-SUM(INT(F$459:F$469))&gt;=RANK(H459,H$459:H$469)+COUNTIF(H$459:H459,H459)-1,1,0)</f>
        <v>9</v>
      </c>
      <c r="J459" t="b">
        <f t="shared" si="70"/>
        <v>0</v>
      </c>
      <c r="K459" t="str">
        <f t="shared" si="71"/>
        <v/>
      </c>
      <c r="L459">
        <f>_xlfn.XLOOKUP(D459,BugList!C:C,BugList!N:N)</f>
        <v>4</v>
      </c>
      <c r="M459">
        <f t="shared" si="72"/>
        <v>36</v>
      </c>
      <c r="N459" t="b">
        <f>_xlfn.XLOOKUP(D459,BugList!C:C,BugList!L:L)</f>
        <v>1</v>
      </c>
      <c r="O459" t="b">
        <f t="shared" si="67"/>
        <v>0</v>
      </c>
      <c r="P459" s="18" t="b">
        <f>SUMPRODUCT(COUNTIF(_xlfn.XLOOKUP(D459,BugList!C:C,BugList!P:P), "*SC*"))&gt;0</f>
        <v>1</v>
      </c>
    </row>
    <row r="460" spans="1:16">
      <c r="A460" t="s">
        <v>2750</v>
      </c>
      <c r="B460">
        <v>125</v>
      </c>
      <c r="C460" t="s">
        <v>200</v>
      </c>
      <c r="D460" t="s">
        <v>100</v>
      </c>
      <c r="E460">
        <v>45</v>
      </c>
      <c r="F460" s="43">
        <f t="shared" si="73"/>
        <v>39.130434782608695</v>
      </c>
      <c r="G460" s="44">
        <f t="shared" si="68"/>
        <v>39</v>
      </c>
      <c r="H460" s="44">
        <f t="shared" si="69"/>
        <v>0.13043478260869534</v>
      </c>
      <c r="I460" cm="1">
        <f t="array" ref="I460">INT(F460)+IF(100-SUM(INT(F$459:F$469))&gt;=RANK(H460,H$459:H$469)+COUNTIF(H$459:H460,H460)-1,1,0)</f>
        <v>39</v>
      </c>
      <c r="J460" t="b">
        <f t="shared" si="70"/>
        <v>0</v>
      </c>
      <c r="K460" t="str">
        <f t="shared" si="71"/>
        <v/>
      </c>
      <c r="L460">
        <f>_xlfn.XLOOKUP(D460,BugList!C:C,BugList!N:N)</f>
        <v>4</v>
      </c>
      <c r="M460">
        <f t="shared" si="72"/>
        <v>156</v>
      </c>
      <c r="N460" t="b">
        <f>_xlfn.XLOOKUP(D460,BugList!C:C,BugList!L:L)</f>
        <v>1</v>
      </c>
      <c r="O460" t="b">
        <f t="shared" si="67"/>
        <v>0</v>
      </c>
      <c r="P460" s="18" t="b">
        <f>SUMPRODUCT(COUNTIF(_xlfn.XLOOKUP(D460,BugList!C:C,BugList!P:P), "*SC*"))&gt;0</f>
        <v>1</v>
      </c>
    </row>
    <row r="461" spans="1:16">
      <c r="A461" t="s">
        <v>2750</v>
      </c>
      <c r="B461">
        <v>125</v>
      </c>
      <c r="C461" t="s">
        <v>194</v>
      </c>
      <c r="D461" t="s">
        <v>126</v>
      </c>
      <c r="E461">
        <v>5</v>
      </c>
      <c r="F461" s="43">
        <f t="shared" si="73"/>
        <v>4.3478260869565215</v>
      </c>
      <c r="G461" s="44">
        <f t="shared" si="68"/>
        <v>4</v>
      </c>
      <c r="H461" s="44">
        <f t="shared" si="69"/>
        <v>0.34782608695652151</v>
      </c>
      <c r="I461" cm="1">
        <f t="array" ref="I461">INT(F461)+IF(100-SUM(INT(F$459:F$469))&gt;=RANK(H461,H$459:H$469)+COUNTIF(H$459:H461,H461)-1,1,0)</f>
        <v>4</v>
      </c>
      <c r="J461" t="b">
        <f t="shared" si="70"/>
        <v>0</v>
      </c>
      <c r="K461" t="str">
        <f t="shared" si="71"/>
        <v/>
      </c>
      <c r="L461">
        <f>_xlfn.XLOOKUP(D461,BugList!C:C,BugList!N:N)</f>
        <v>8</v>
      </c>
      <c r="M461">
        <f t="shared" si="72"/>
        <v>32</v>
      </c>
      <c r="N461" t="b">
        <f>_xlfn.XLOOKUP(D461,BugList!C:C,BugList!L:L)</f>
        <v>1</v>
      </c>
      <c r="O461" t="b">
        <f t="shared" si="67"/>
        <v>0</v>
      </c>
      <c r="P461" s="18" t="b">
        <f>SUMPRODUCT(COUNTIF(_xlfn.XLOOKUP(D461,BugList!C:C,BugList!P:P), "*SC*"))&gt;0</f>
        <v>0</v>
      </c>
    </row>
    <row r="462" spans="1:16">
      <c r="A462" t="s">
        <v>2750</v>
      </c>
      <c r="B462">
        <v>125</v>
      </c>
      <c r="C462" t="s">
        <v>199</v>
      </c>
      <c r="D462" t="s">
        <v>111</v>
      </c>
      <c r="E462">
        <v>3</v>
      </c>
      <c r="F462" s="43">
        <f t="shared" si="73"/>
        <v>2.6086956521739131</v>
      </c>
      <c r="G462" s="44">
        <f t="shared" si="68"/>
        <v>2</v>
      </c>
      <c r="H462" s="44">
        <f t="shared" si="69"/>
        <v>0.60869565217391308</v>
      </c>
      <c r="I462" cm="1">
        <f t="array" ref="I462">INT(F462)+IF(100-SUM(INT(F$459:F$469))&gt;=RANK(H462,H$459:H$469)+COUNTIF(H$459:H462,H462)-1,1,0)</f>
        <v>3</v>
      </c>
      <c r="J462" t="b">
        <f t="shared" si="70"/>
        <v>1</v>
      </c>
      <c r="K462" t="str">
        <f t="shared" si="71"/>
        <v>Ephemeroptera</v>
      </c>
      <c r="L462">
        <f>_xlfn.XLOOKUP(D462,BugList!C:C,BugList!N:N)</f>
        <v>4</v>
      </c>
      <c r="M462">
        <f t="shared" si="72"/>
        <v>12</v>
      </c>
      <c r="N462" t="b">
        <f>_xlfn.XLOOKUP(D462,BugList!C:C,BugList!L:L)</f>
        <v>1</v>
      </c>
      <c r="O462" t="b">
        <f t="shared" si="67"/>
        <v>1</v>
      </c>
      <c r="P462" s="18" t="b">
        <f>SUMPRODUCT(COUNTIF(_xlfn.XLOOKUP(D462,BugList!C:C,BugList!P:P), "*SC*"))&gt;0</f>
        <v>0</v>
      </c>
    </row>
    <row r="463" spans="1:16">
      <c r="A463" t="s">
        <v>2750</v>
      </c>
      <c r="B463">
        <v>125</v>
      </c>
      <c r="C463" t="s">
        <v>198</v>
      </c>
      <c r="D463" t="s">
        <v>89</v>
      </c>
      <c r="E463">
        <v>28</v>
      </c>
      <c r="F463" s="43">
        <f t="shared" si="73"/>
        <v>24.347826086956523</v>
      </c>
      <c r="G463" s="44">
        <f t="shared" si="68"/>
        <v>24</v>
      </c>
      <c r="H463" s="44">
        <f t="shared" si="69"/>
        <v>0.34782608695652328</v>
      </c>
      <c r="I463" cm="1">
        <f t="array" ref="I463">INT(F463)+IF(100-SUM(INT(F$459:F$469))&gt;=RANK(H463,H$459:H$469)+COUNTIF(H$459:H463,H463)-1,1,0)</f>
        <v>24</v>
      </c>
      <c r="J463" t="b">
        <f t="shared" si="70"/>
        <v>1</v>
      </c>
      <c r="K463" t="str">
        <f t="shared" si="71"/>
        <v>Trichoptera</v>
      </c>
      <c r="L463">
        <f>_xlfn.XLOOKUP(D463,BugList!C:C,BugList!N:N)</f>
        <v>4</v>
      </c>
      <c r="M463">
        <f t="shared" si="72"/>
        <v>96</v>
      </c>
      <c r="N463" t="b">
        <f>_xlfn.XLOOKUP(D463,BugList!C:C,BugList!L:L)</f>
        <v>1</v>
      </c>
      <c r="O463" t="b">
        <f t="shared" si="67"/>
        <v>0</v>
      </c>
      <c r="P463" s="18" t="b">
        <f>SUMPRODUCT(COUNTIF(_xlfn.XLOOKUP(D463,BugList!C:C,BugList!P:P), "*SC*"))&gt;0</f>
        <v>0</v>
      </c>
    </row>
    <row r="464" spans="1:16">
      <c r="A464" t="s">
        <v>2750</v>
      </c>
      <c r="B464">
        <v>125</v>
      </c>
      <c r="C464" t="s">
        <v>198</v>
      </c>
      <c r="D464" t="s">
        <v>163</v>
      </c>
      <c r="E464">
        <v>2</v>
      </c>
      <c r="F464" s="43">
        <f t="shared" si="73"/>
        <v>1.7391304347826086</v>
      </c>
      <c r="G464" s="44">
        <f t="shared" si="68"/>
        <v>1</v>
      </c>
      <c r="H464" s="44">
        <f t="shared" si="69"/>
        <v>0.73913043478260865</v>
      </c>
      <c r="I464" cm="1">
        <f t="array" ref="I464">INT(F464)+IF(100-SUM(INT(F$459:F$469))&gt;=RANK(H464,H$459:H$469)+COUNTIF(H$459:H464,H464)-1,1,0)</f>
        <v>2</v>
      </c>
      <c r="J464" t="b">
        <f t="shared" si="70"/>
        <v>1</v>
      </c>
      <c r="K464" t="str">
        <f t="shared" si="71"/>
        <v>Trichoptera</v>
      </c>
      <c r="L464">
        <f>_xlfn.XLOOKUP(D464,BugList!C:C,BugList!N:N)</f>
        <v>6</v>
      </c>
      <c r="M464">
        <f t="shared" si="72"/>
        <v>12</v>
      </c>
      <c r="N464" t="b">
        <f>_xlfn.XLOOKUP(D464,BugList!C:C,BugList!L:L)</f>
        <v>1</v>
      </c>
      <c r="O464" t="b">
        <f t="shared" si="67"/>
        <v>1</v>
      </c>
      <c r="P464" s="18" t="b">
        <f>SUMPRODUCT(COUNTIF(_xlfn.XLOOKUP(D464,BugList!C:C,BugList!P:P), "*SC*"))&gt;0</f>
        <v>0</v>
      </c>
    </row>
    <row r="465" spans="1:16">
      <c r="A465" t="s">
        <v>2750</v>
      </c>
      <c r="B465">
        <v>125</v>
      </c>
      <c r="C465" t="s">
        <v>204</v>
      </c>
      <c r="D465" t="s">
        <v>84</v>
      </c>
      <c r="E465">
        <v>4</v>
      </c>
      <c r="F465" s="43">
        <f t="shared" si="73"/>
        <v>3.4782608695652173</v>
      </c>
      <c r="G465" s="44">
        <f t="shared" si="68"/>
        <v>3</v>
      </c>
      <c r="H465" s="44">
        <f t="shared" si="69"/>
        <v>0.47826086956521729</v>
      </c>
      <c r="I465" cm="1">
        <f t="array" ref="I465">INT(F465)+IF(100-SUM(INT(F$459:F$469))&gt;=RANK(H465,H$459:H$469)+COUNTIF(H$459:H465,H465)-1,1,0)</f>
        <v>3</v>
      </c>
      <c r="J465" t="b">
        <f t="shared" si="70"/>
        <v>0</v>
      </c>
      <c r="K465" t="str">
        <f t="shared" si="71"/>
        <v/>
      </c>
      <c r="L465">
        <f>_xlfn.XLOOKUP(D465,BugList!C:C,BugList!N:N)</f>
        <v>8</v>
      </c>
      <c r="M465">
        <f t="shared" si="72"/>
        <v>24</v>
      </c>
      <c r="N465" t="b">
        <f>_xlfn.XLOOKUP(D465,BugList!C:C,BugList!L:L)</f>
        <v>0</v>
      </c>
      <c r="O465" t="b">
        <f t="shared" si="67"/>
        <v>0</v>
      </c>
      <c r="P465" s="18" t="b">
        <f>SUMPRODUCT(COUNTIF(_xlfn.XLOOKUP(D465,BugList!C:C,BugList!P:P), "*SC*"))&gt;0</f>
        <v>0</v>
      </c>
    </row>
    <row r="466" spans="1:16">
      <c r="A466" t="s">
        <v>2750</v>
      </c>
      <c r="B466">
        <v>125</v>
      </c>
      <c r="C466" t="s">
        <v>201</v>
      </c>
      <c r="D466" t="s">
        <v>85</v>
      </c>
      <c r="E466">
        <v>4</v>
      </c>
      <c r="F466" s="43">
        <f t="shared" si="73"/>
        <v>3.4782608695652173</v>
      </c>
      <c r="G466" s="44">
        <f t="shared" si="68"/>
        <v>3</v>
      </c>
      <c r="H466" s="44">
        <f t="shared" si="69"/>
        <v>0.47826086956521729</v>
      </c>
      <c r="I466" cm="1">
        <f t="array" ref="I466">INT(F466)+IF(100-SUM(INT(F$459:F$469))&gt;=RANK(H466,H$459:H$469)+COUNTIF(H$459:H466,H466)-1,1,0)</f>
        <v>3</v>
      </c>
      <c r="J466" t="b">
        <f t="shared" si="70"/>
        <v>0</v>
      </c>
      <c r="K466" t="str">
        <f t="shared" si="71"/>
        <v/>
      </c>
      <c r="L466">
        <f>_xlfn.XLOOKUP(D466,BugList!C:C,BugList!N:N)</f>
        <v>4</v>
      </c>
      <c r="M466">
        <f t="shared" si="72"/>
        <v>12</v>
      </c>
      <c r="N466" t="b">
        <f>_xlfn.XLOOKUP(D466,BugList!C:C,BugList!L:L)</f>
        <v>0</v>
      </c>
      <c r="O466" t="b">
        <f t="shared" si="67"/>
        <v>0</v>
      </c>
      <c r="P466" s="18" t="b">
        <f>SUMPRODUCT(COUNTIF(_xlfn.XLOOKUP(D466,BugList!C:C,BugList!P:P), "*SC*"))&gt;0</f>
        <v>0</v>
      </c>
    </row>
    <row r="467" spans="1:16">
      <c r="A467" t="s">
        <v>2750</v>
      </c>
      <c r="B467">
        <v>125</v>
      </c>
      <c r="C467" t="s">
        <v>210</v>
      </c>
      <c r="D467" t="s">
        <v>210</v>
      </c>
      <c r="E467">
        <v>3</v>
      </c>
      <c r="F467" s="43">
        <f t="shared" si="73"/>
        <v>2.6086956521739131</v>
      </c>
      <c r="G467" s="44">
        <f t="shared" si="68"/>
        <v>2</v>
      </c>
      <c r="H467" s="44">
        <f t="shared" si="69"/>
        <v>0.60869565217391308</v>
      </c>
      <c r="I467" cm="1">
        <f t="array" ref="I467">INT(F467)+IF(100-SUM(INT(F$459:F$469))&gt;=RANK(H467,H$459:H$469)+COUNTIF(H$459:H467,H467)-1,1,0)</f>
        <v>3</v>
      </c>
      <c r="J467" t="b">
        <f t="shared" si="70"/>
        <v>0</v>
      </c>
      <c r="K467" t="str">
        <f t="shared" si="71"/>
        <v/>
      </c>
      <c r="L467" s="71">
        <v>8</v>
      </c>
      <c r="M467">
        <f t="shared" si="72"/>
        <v>24</v>
      </c>
      <c r="N467" s="71" t="b">
        <v>0</v>
      </c>
      <c r="O467" t="b">
        <f t="shared" si="67"/>
        <v>0</v>
      </c>
      <c r="P467" s="72" t="b">
        <v>0</v>
      </c>
    </row>
    <row r="468" spans="1:16">
      <c r="A468" t="s">
        <v>2750</v>
      </c>
      <c r="B468">
        <v>125</v>
      </c>
      <c r="C468" t="s">
        <v>2315</v>
      </c>
      <c r="D468" t="s">
        <v>2315</v>
      </c>
      <c r="E468">
        <v>1</v>
      </c>
      <c r="F468" s="43">
        <f t="shared" si="73"/>
        <v>0.86956521739130432</v>
      </c>
      <c r="G468" s="44">
        <f t="shared" si="68"/>
        <v>0</v>
      </c>
      <c r="H468" s="44">
        <f t="shared" si="69"/>
        <v>0.86956521739130432</v>
      </c>
      <c r="I468" cm="1">
        <f t="array" ref="I468">INT(F468)+IF(100-SUM(INT(F$459:F$469))&gt;=RANK(H468,H$459:H$469)+COUNTIF(H$459:H468,H468)-1,1,0)</f>
        <v>1</v>
      </c>
      <c r="J468" t="b">
        <f t="shared" si="70"/>
        <v>0</v>
      </c>
      <c r="K468" t="str">
        <f t="shared" si="71"/>
        <v/>
      </c>
      <c r="L468">
        <f>_xlfn.XLOOKUP(D468,BugList!C:C,BugList!N:N)</f>
        <v>7</v>
      </c>
      <c r="M468">
        <f t="shared" si="72"/>
        <v>7</v>
      </c>
      <c r="N468" t="b">
        <f>_xlfn.XLOOKUP(D468,BugList!C:C,BugList!L:L)</f>
        <v>0</v>
      </c>
      <c r="O468" t="b">
        <f t="shared" si="67"/>
        <v>0</v>
      </c>
      <c r="P468" s="18" t="b">
        <f>SUMPRODUCT(COUNTIF(_xlfn.XLOOKUP(D468,BugList!C:C,BugList!P:P), "*SC*"))&gt;0</f>
        <v>1</v>
      </c>
    </row>
    <row r="469" spans="1:16">
      <c r="A469" t="s">
        <v>2750</v>
      </c>
      <c r="B469">
        <v>125</v>
      </c>
      <c r="C469" t="s">
        <v>119</v>
      </c>
      <c r="D469" t="s">
        <v>87</v>
      </c>
      <c r="E469">
        <v>10</v>
      </c>
      <c r="F469" s="43">
        <f t="shared" ref="F469:F500" si="76">(E469/(SUMIFS(E:E,A:A,A469))*100)</f>
        <v>8.695652173913043</v>
      </c>
      <c r="G469" s="44">
        <f t="shared" si="68"/>
        <v>8</v>
      </c>
      <c r="H469" s="44">
        <f t="shared" si="69"/>
        <v>0.69565217391304301</v>
      </c>
      <c r="I469" cm="1">
        <f t="array" ref="I469">INT(F469)+IF(100-SUM(INT(F$459:F$469))&gt;=RANK(H469,H$459:H$469)+COUNTIF(H$459:H469,H469)-1,1,0)</f>
        <v>9</v>
      </c>
      <c r="J469" t="b">
        <f t="shared" si="70"/>
        <v>0</v>
      </c>
      <c r="K469" t="str">
        <f t="shared" si="71"/>
        <v/>
      </c>
      <c r="L469">
        <f>_xlfn.XLOOKUP(D469,BugList!C:C,BugList!N:N)</f>
        <v>4</v>
      </c>
      <c r="M469">
        <f t="shared" si="72"/>
        <v>36</v>
      </c>
      <c r="N469" t="b">
        <f>_xlfn.XLOOKUP(D469,BugList!C:C,BugList!L:L)</f>
        <v>0</v>
      </c>
      <c r="O469" t="b">
        <f t="shared" si="67"/>
        <v>0</v>
      </c>
      <c r="P469" s="18" t="b">
        <f>SUMPRODUCT(COUNTIF(_xlfn.XLOOKUP(D469,BugList!C:C,BugList!P:P), "*SC*"))&gt;0</f>
        <v>0</v>
      </c>
    </row>
    <row r="470" spans="1:16">
      <c r="A470" t="s">
        <v>2751</v>
      </c>
      <c r="B470">
        <v>139</v>
      </c>
      <c r="C470" t="s">
        <v>200</v>
      </c>
      <c r="D470" t="s">
        <v>98</v>
      </c>
      <c r="E470">
        <v>1</v>
      </c>
      <c r="F470" s="43">
        <f t="shared" si="76"/>
        <v>0.97087378640776689</v>
      </c>
      <c r="G470" s="44">
        <f t="shared" ref="G470:G500" si="77">INT(F470)</f>
        <v>0</v>
      </c>
      <c r="H470" s="44">
        <f t="shared" ref="H470:H500" si="78">F470-G470</f>
        <v>0.97087378640776689</v>
      </c>
      <c r="I470" cm="1">
        <f t="array" ref="I470">INT(F470)+IF(100-SUM(INT(F$470:F$480))&gt;=RANK(H470,H$470:H$480)+COUNTIF(H$470:H470,H470)-1,1,0)</f>
        <v>1</v>
      </c>
      <c r="J470" t="b">
        <f t="shared" ref="J470:J500" si="79">IF(OR(C470="Ephemeroptera", C470 ="Plecoptera", C470= "Trichoptera"), TRUE, FALSE)</f>
        <v>0</v>
      </c>
      <c r="K470" t="str">
        <f t="shared" ref="K470:K533" si="80">IF(J470=TRUE,C470,"")</f>
        <v/>
      </c>
      <c r="L470">
        <f>_xlfn.XLOOKUP(D470,BugList!C:C,BugList!N:N)</f>
        <v>4</v>
      </c>
      <c r="M470">
        <f t="shared" ref="M470:M500" si="81">L470*I470</f>
        <v>4</v>
      </c>
      <c r="N470" t="b">
        <f>_xlfn.XLOOKUP(D470,BugList!C:C,BugList!L:L)</f>
        <v>1</v>
      </c>
      <c r="O470" t="b">
        <f t="shared" ref="O470:O500" si="82">IF(J470=TRUE,IF(D470="Hydropsychidae", FALSE, TRUE), FALSE)</f>
        <v>0</v>
      </c>
      <c r="P470" s="18" t="b">
        <f>SUMPRODUCT(COUNTIF(_xlfn.XLOOKUP(D470,BugList!C:C,BugList!P:P), "*SC*"))&gt;0</f>
        <v>1</v>
      </c>
    </row>
    <row r="471" spans="1:16">
      <c r="A471" t="s">
        <v>2751</v>
      </c>
      <c r="B471">
        <v>139</v>
      </c>
      <c r="C471" t="s">
        <v>200</v>
      </c>
      <c r="D471" t="s">
        <v>100</v>
      </c>
      <c r="E471">
        <v>4</v>
      </c>
      <c r="F471" s="43">
        <f t="shared" si="76"/>
        <v>3.8834951456310676</v>
      </c>
      <c r="G471" s="44">
        <f t="shared" si="77"/>
        <v>3</v>
      </c>
      <c r="H471" s="44">
        <f t="shared" si="78"/>
        <v>0.88349514563106757</v>
      </c>
      <c r="I471" cm="1">
        <f t="array" ref="I471">INT(F471)+IF(100-SUM(INT(F$470:F$480))&gt;=RANK(H471,H$470:H$480)+COUNTIF(H$470:H471,H471)-1,1,0)</f>
        <v>4</v>
      </c>
      <c r="J471" t="b">
        <f t="shared" si="79"/>
        <v>0</v>
      </c>
      <c r="K471" t="str">
        <f t="shared" si="80"/>
        <v/>
      </c>
      <c r="L471">
        <f>_xlfn.XLOOKUP(D471,BugList!C:C,BugList!N:N)</f>
        <v>4</v>
      </c>
      <c r="M471">
        <f t="shared" si="81"/>
        <v>16</v>
      </c>
      <c r="N471" t="b">
        <f>_xlfn.XLOOKUP(D471,BugList!C:C,BugList!L:L)</f>
        <v>1</v>
      </c>
      <c r="O471" t="b">
        <f t="shared" si="82"/>
        <v>0</v>
      </c>
      <c r="P471" s="18" t="b">
        <f>SUMPRODUCT(COUNTIF(_xlfn.XLOOKUP(D471,BugList!C:C,BugList!P:P), "*SC*"))&gt;0</f>
        <v>1</v>
      </c>
    </row>
    <row r="472" spans="1:16">
      <c r="A472" t="s">
        <v>2751</v>
      </c>
      <c r="B472">
        <v>139</v>
      </c>
      <c r="C472" t="s">
        <v>194</v>
      </c>
      <c r="D472" s="85" t="s">
        <v>90</v>
      </c>
      <c r="E472">
        <v>83</v>
      </c>
      <c r="F472" s="43">
        <f t="shared" si="76"/>
        <v>80.582524271844662</v>
      </c>
      <c r="G472" s="44">
        <f t="shared" si="77"/>
        <v>80</v>
      </c>
      <c r="H472" s="44">
        <f t="shared" si="78"/>
        <v>0.58252427184466171</v>
      </c>
      <c r="I472" cm="1">
        <f t="array" ref="I472">INT(F472)+IF(100-SUM(INT(F$470:F$480))&gt;=RANK(H472,H$470:H$480)+COUNTIF(H$470:H472,H472)-1,1,0)</f>
        <v>80</v>
      </c>
      <c r="J472" t="b">
        <f t="shared" si="79"/>
        <v>0</v>
      </c>
      <c r="K472" t="str">
        <f t="shared" si="80"/>
        <v/>
      </c>
      <c r="L472">
        <f>_xlfn.XLOOKUP(D472,BugList!C:C,BugList!N:N)</f>
        <v>6</v>
      </c>
      <c r="M472">
        <f t="shared" si="81"/>
        <v>480</v>
      </c>
      <c r="N472" t="b">
        <f>_xlfn.XLOOKUP(D472,BugList!C:C,BugList!L:L)</f>
        <v>1</v>
      </c>
      <c r="O472" t="b">
        <f t="shared" si="82"/>
        <v>0</v>
      </c>
      <c r="P472" s="18" t="b">
        <f>SUMPRODUCT(COUNTIF(_xlfn.XLOOKUP(D472,BugList!C:C,BugList!P:P), "*SC*"))&gt;0</f>
        <v>0</v>
      </c>
    </row>
    <row r="473" spans="1:16">
      <c r="A473" t="s">
        <v>2751</v>
      </c>
      <c r="B473">
        <v>139</v>
      </c>
      <c r="C473" t="s">
        <v>199</v>
      </c>
      <c r="D473" t="s">
        <v>111</v>
      </c>
      <c r="E473">
        <v>1</v>
      </c>
      <c r="F473" s="43">
        <f t="shared" si="76"/>
        <v>0.97087378640776689</v>
      </c>
      <c r="G473" s="44">
        <f t="shared" si="77"/>
        <v>0</v>
      </c>
      <c r="H473" s="44">
        <f t="shared" si="78"/>
        <v>0.97087378640776689</v>
      </c>
      <c r="I473" cm="1">
        <f t="array" ref="I473">INT(F473)+IF(100-SUM(INT(F$470:F$480))&gt;=RANK(H473,H$470:H$480)+COUNTIF(H$470:H473,H473)-1,1,0)</f>
        <v>1</v>
      </c>
      <c r="J473" t="b">
        <f t="shared" si="79"/>
        <v>1</v>
      </c>
      <c r="K473" t="str">
        <f t="shared" si="80"/>
        <v>Ephemeroptera</v>
      </c>
      <c r="L473">
        <f>_xlfn.XLOOKUP(D473,BugList!C:C,BugList!N:N)</f>
        <v>4</v>
      </c>
      <c r="M473">
        <f t="shared" si="81"/>
        <v>4</v>
      </c>
      <c r="N473" t="b">
        <f>_xlfn.XLOOKUP(D473,BugList!C:C,BugList!L:L)</f>
        <v>1</v>
      </c>
      <c r="O473" t="b">
        <f t="shared" si="82"/>
        <v>1</v>
      </c>
      <c r="P473" s="18" t="b">
        <f>SUMPRODUCT(COUNTIF(_xlfn.XLOOKUP(D473,BugList!C:C,BugList!P:P), "*SC*"))&gt;0</f>
        <v>0</v>
      </c>
    </row>
    <row r="474" spans="1:16">
      <c r="A474" t="s">
        <v>2751</v>
      </c>
      <c r="B474">
        <v>139</v>
      </c>
      <c r="C474" t="s">
        <v>195</v>
      </c>
      <c r="D474" t="s">
        <v>113</v>
      </c>
      <c r="E474">
        <v>1</v>
      </c>
      <c r="F474" s="43">
        <f t="shared" si="76"/>
        <v>0.97087378640776689</v>
      </c>
      <c r="G474" s="44">
        <f t="shared" si="77"/>
        <v>0</v>
      </c>
      <c r="H474" s="44">
        <f t="shared" si="78"/>
        <v>0.97087378640776689</v>
      </c>
      <c r="I474" cm="1">
        <f t="array" ref="I474">INT(F474)+IF(100-SUM(INT(F$470:F$480))&gt;=RANK(H474,H$470:H$480)+COUNTIF(H$470:H474,H474)-1,1,0)</f>
        <v>1</v>
      </c>
      <c r="J474" t="b">
        <f t="shared" si="79"/>
        <v>0</v>
      </c>
      <c r="K474" t="str">
        <f t="shared" si="80"/>
        <v/>
      </c>
      <c r="L474">
        <f>_xlfn.XLOOKUP(D474,BugList!C:C,BugList!N:N)</f>
        <v>1</v>
      </c>
      <c r="M474">
        <f t="shared" si="81"/>
        <v>1</v>
      </c>
      <c r="N474" t="b">
        <f>_xlfn.XLOOKUP(D474,BugList!C:C,BugList!L:L)</f>
        <v>1</v>
      </c>
      <c r="O474" t="b">
        <f t="shared" si="82"/>
        <v>0</v>
      </c>
      <c r="P474" s="18" t="b">
        <f>SUMPRODUCT(COUNTIF(_xlfn.XLOOKUP(D474,BugList!C:C,BugList!P:P), "*SC*"))&gt;0</f>
        <v>0</v>
      </c>
    </row>
    <row r="475" spans="1:16">
      <c r="A475" t="s">
        <v>2751</v>
      </c>
      <c r="B475">
        <v>139</v>
      </c>
      <c r="C475" t="s">
        <v>197</v>
      </c>
      <c r="D475" t="s">
        <v>153</v>
      </c>
      <c r="E475">
        <v>1</v>
      </c>
      <c r="F475" s="43">
        <f t="shared" si="76"/>
        <v>0.97087378640776689</v>
      </c>
      <c r="G475" s="44">
        <f t="shared" si="77"/>
        <v>0</v>
      </c>
      <c r="H475" s="44">
        <f t="shared" si="78"/>
        <v>0.97087378640776689</v>
      </c>
      <c r="I475" cm="1">
        <f t="array" ref="I475">INT(F475)+IF(100-SUM(INT(F$470:F$480))&gt;=RANK(H475,H$470:H$480)+COUNTIF(H$470:H475,H475)-1,1,0)</f>
        <v>1</v>
      </c>
      <c r="J475" t="b">
        <f t="shared" si="79"/>
        <v>1</v>
      </c>
      <c r="K475" t="str">
        <f t="shared" si="80"/>
        <v>Plecoptera</v>
      </c>
      <c r="L475">
        <f>_xlfn.XLOOKUP(D475,BugList!C:C,BugList!N:N)</f>
        <v>2</v>
      </c>
      <c r="M475">
        <f t="shared" si="81"/>
        <v>2</v>
      </c>
      <c r="N475" t="b">
        <f>_xlfn.XLOOKUP(D475,BugList!C:C,BugList!L:L)</f>
        <v>1</v>
      </c>
      <c r="O475" t="b">
        <f t="shared" si="82"/>
        <v>1</v>
      </c>
      <c r="P475" s="18" t="b">
        <f>SUMPRODUCT(COUNTIF(_xlfn.XLOOKUP(D475,BugList!C:C,BugList!P:P), "*SC*"))&gt;0</f>
        <v>0</v>
      </c>
    </row>
    <row r="476" spans="1:16">
      <c r="A476" t="s">
        <v>2751</v>
      </c>
      <c r="B476">
        <v>139</v>
      </c>
      <c r="C476" t="s">
        <v>204</v>
      </c>
      <c r="D476" t="s">
        <v>84</v>
      </c>
      <c r="E476">
        <v>1</v>
      </c>
      <c r="F476" s="43">
        <f t="shared" si="76"/>
        <v>0.97087378640776689</v>
      </c>
      <c r="G476" s="44">
        <f t="shared" si="77"/>
        <v>0</v>
      </c>
      <c r="H476" s="44">
        <f t="shared" si="78"/>
        <v>0.97087378640776689</v>
      </c>
      <c r="I476" cm="1">
        <f t="array" ref="I476">INT(F476)+IF(100-SUM(INT(F$470:F$480))&gt;=RANK(H476,H$470:H$480)+COUNTIF(H$470:H476,H476)-1,1,0)</f>
        <v>1</v>
      </c>
      <c r="J476" t="b">
        <f t="shared" si="79"/>
        <v>0</v>
      </c>
      <c r="K476" t="str">
        <f t="shared" si="80"/>
        <v/>
      </c>
      <c r="L476">
        <f>_xlfn.XLOOKUP(D476,BugList!C:C,BugList!N:N)</f>
        <v>8</v>
      </c>
      <c r="M476">
        <f t="shared" si="81"/>
        <v>8</v>
      </c>
      <c r="N476" t="b">
        <f>_xlfn.XLOOKUP(D476,BugList!C:C,BugList!L:L)</f>
        <v>0</v>
      </c>
      <c r="O476" t="b">
        <f t="shared" si="82"/>
        <v>0</v>
      </c>
      <c r="P476" s="18" t="b">
        <f>SUMPRODUCT(COUNTIF(_xlfn.XLOOKUP(D476,BugList!C:C,BugList!P:P), "*SC*"))&gt;0</f>
        <v>0</v>
      </c>
    </row>
    <row r="477" spans="1:16">
      <c r="A477" t="s">
        <v>2751</v>
      </c>
      <c r="B477">
        <v>139</v>
      </c>
      <c r="C477" t="s">
        <v>201</v>
      </c>
      <c r="D477" t="s">
        <v>85</v>
      </c>
      <c r="E477">
        <v>2</v>
      </c>
      <c r="F477" s="43">
        <f t="shared" si="76"/>
        <v>1.9417475728155338</v>
      </c>
      <c r="G477" s="44">
        <f t="shared" si="77"/>
        <v>1</v>
      </c>
      <c r="H477" s="44">
        <f t="shared" si="78"/>
        <v>0.94174757281553378</v>
      </c>
      <c r="I477" cm="1">
        <f t="array" ref="I477">INT(F477)+IF(100-SUM(INT(F$470:F$480))&gt;=RANK(H477,H$470:H$480)+COUNTIF(H$470:H477,H477)-1,1,0)</f>
        <v>2</v>
      </c>
      <c r="J477" t="b">
        <f t="shared" si="79"/>
        <v>0</v>
      </c>
      <c r="K477" t="str">
        <f t="shared" si="80"/>
        <v/>
      </c>
      <c r="L477">
        <f>_xlfn.XLOOKUP(D477,BugList!C:C,BugList!N:N)</f>
        <v>4</v>
      </c>
      <c r="M477">
        <f t="shared" si="81"/>
        <v>8</v>
      </c>
      <c r="N477" t="b">
        <f>_xlfn.XLOOKUP(D477,BugList!C:C,BugList!L:L)</f>
        <v>0</v>
      </c>
      <c r="O477" t="b">
        <f t="shared" si="82"/>
        <v>0</v>
      </c>
      <c r="P477" s="18" t="b">
        <f>SUMPRODUCT(COUNTIF(_xlfn.XLOOKUP(D477,BugList!C:C,BugList!P:P), "*SC*"))&gt;0</f>
        <v>0</v>
      </c>
    </row>
    <row r="478" spans="1:16">
      <c r="A478" t="s">
        <v>2751</v>
      </c>
      <c r="B478">
        <v>139</v>
      </c>
      <c r="C478" t="s">
        <v>210</v>
      </c>
      <c r="D478" t="s">
        <v>210</v>
      </c>
      <c r="E478">
        <v>4</v>
      </c>
      <c r="F478" s="43">
        <f t="shared" si="76"/>
        <v>3.8834951456310676</v>
      </c>
      <c r="G478" s="44">
        <f t="shared" si="77"/>
        <v>3</v>
      </c>
      <c r="H478" s="44">
        <f t="shared" si="78"/>
        <v>0.88349514563106757</v>
      </c>
      <c r="I478" cm="1">
        <f t="array" ref="I478">INT(F478)+IF(100-SUM(INT(F$470:F$480))&gt;=RANK(H478,H$470:H$480)+COUNTIF(H$470:H478,H478)-1,1,0)</f>
        <v>4</v>
      </c>
      <c r="J478" t="b">
        <f t="shared" si="79"/>
        <v>0</v>
      </c>
      <c r="K478" t="str">
        <f t="shared" si="80"/>
        <v/>
      </c>
      <c r="L478" s="71">
        <v>8</v>
      </c>
      <c r="M478">
        <f t="shared" si="81"/>
        <v>32</v>
      </c>
      <c r="N478" s="71" t="b">
        <v>0</v>
      </c>
      <c r="O478" t="b">
        <f t="shared" si="82"/>
        <v>0</v>
      </c>
      <c r="P478" s="72" t="b">
        <v>0</v>
      </c>
    </row>
    <row r="479" spans="1:16">
      <c r="A479" t="s">
        <v>2751</v>
      </c>
      <c r="B479">
        <v>139</v>
      </c>
      <c r="C479" t="s">
        <v>2315</v>
      </c>
      <c r="D479" t="s">
        <v>2315</v>
      </c>
      <c r="E479">
        <v>2</v>
      </c>
      <c r="F479" s="43">
        <f t="shared" si="76"/>
        <v>1.9417475728155338</v>
      </c>
      <c r="G479" s="44">
        <f t="shared" si="77"/>
        <v>1</v>
      </c>
      <c r="H479" s="44">
        <f t="shared" si="78"/>
        <v>0.94174757281553378</v>
      </c>
      <c r="I479" cm="1">
        <f t="array" ref="I479">INT(F479)+IF(100-SUM(INT(F$470:F$480))&gt;=RANK(H479,H$470:H$480)+COUNTIF(H$470:H479,H479)-1,1,0)</f>
        <v>2</v>
      </c>
      <c r="J479" t="b">
        <f t="shared" si="79"/>
        <v>0</v>
      </c>
      <c r="K479" t="str">
        <f t="shared" si="80"/>
        <v/>
      </c>
      <c r="L479">
        <f>_xlfn.XLOOKUP(D479,BugList!C:C,BugList!N:N)</f>
        <v>7</v>
      </c>
      <c r="M479">
        <f t="shared" si="81"/>
        <v>14</v>
      </c>
      <c r="N479" t="b">
        <f>_xlfn.XLOOKUP(D479,BugList!C:C,BugList!L:L)</f>
        <v>0</v>
      </c>
      <c r="O479" t="b">
        <f t="shared" si="82"/>
        <v>0</v>
      </c>
      <c r="P479" s="18" t="b">
        <f>SUMPRODUCT(COUNTIF(_xlfn.XLOOKUP(D479,BugList!C:C,BugList!P:P), "*SC*"))&gt;0</f>
        <v>1</v>
      </c>
    </row>
    <row r="480" spans="1:16">
      <c r="A480" t="s">
        <v>2751</v>
      </c>
      <c r="B480">
        <v>139</v>
      </c>
      <c r="C480" t="s">
        <v>94</v>
      </c>
      <c r="D480" t="s">
        <v>94</v>
      </c>
      <c r="E480">
        <v>3</v>
      </c>
      <c r="F480" s="43">
        <f t="shared" si="76"/>
        <v>2.912621359223301</v>
      </c>
      <c r="G480" s="44">
        <f t="shared" si="77"/>
        <v>2</v>
      </c>
      <c r="H480" s="44">
        <f t="shared" si="78"/>
        <v>0.91262135922330101</v>
      </c>
      <c r="I480" cm="1">
        <f t="array" ref="I480">INT(F480)+IF(100-SUM(INT(F$470:F$480))&gt;=RANK(H480,H$470:H$480)+COUNTIF(H$470:H480,H480)-1,1,0)</f>
        <v>3</v>
      </c>
      <c r="J480" t="b">
        <f t="shared" si="79"/>
        <v>0</v>
      </c>
      <c r="K480" t="str">
        <f t="shared" si="80"/>
        <v/>
      </c>
      <c r="L480">
        <f>_xlfn.XLOOKUP(D480,BugList!C:C,BugList!N:N)</f>
        <v>8</v>
      </c>
      <c r="M480">
        <f t="shared" si="81"/>
        <v>24</v>
      </c>
      <c r="N480" t="b">
        <f>_xlfn.XLOOKUP(D480,BugList!C:C,BugList!L:L)</f>
        <v>0</v>
      </c>
      <c r="O480" t="b">
        <f t="shared" si="82"/>
        <v>0</v>
      </c>
      <c r="P480" s="18" t="b">
        <f>SUMPRODUCT(COUNTIF(_xlfn.XLOOKUP(D480,BugList!C:C,BugList!P:P), "*SC*"))&gt;0</f>
        <v>0</v>
      </c>
    </row>
    <row r="481" spans="1:16">
      <c r="A481" t="s">
        <v>2752</v>
      </c>
      <c r="B481">
        <v>150</v>
      </c>
      <c r="C481" t="s">
        <v>200</v>
      </c>
      <c r="D481" t="s">
        <v>98</v>
      </c>
      <c r="E481">
        <v>41</v>
      </c>
      <c r="F481" s="43">
        <f t="shared" si="76"/>
        <v>31.060606060606062</v>
      </c>
      <c r="G481" s="44">
        <f t="shared" si="77"/>
        <v>31</v>
      </c>
      <c r="H481" s="44">
        <f t="shared" si="78"/>
        <v>6.0606060606062329E-2</v>
      </c>
      <c r="I481" cm="1">
        <f t="array" ref="I481">INT(F481)+IF(100-SUM(INT(F$481:F$491))&gt;=RANK(H481,H$481:H$491)+COUNTIF(H$481:H481,H481)-1,1,0)</f>
        <v>31</v>
      </c>
      <c r="J481" t="b">
        <f t="shared" si="79"/>
        <v>0</v>
      </c>
      <c r="K481" t="str">
        <f t="shared" si="80"/>
        <v/>
      </c>
      <c r="L481">
        <f>_xlfn.XLOOKUP(D481,BugList!C:C,BugList!N:N)</f>
        <v>4</v>
      </c>
      <c r="M481">
        <f t="shared" si="81"/>
        <v>124</v>
      </c>
      <c r="N481" t="b">
        <f>_xlfn.XLOOKUP(D481,BugList!C:C,BugList!L:L)</f>
        <v>1</v>
      </c>
      <c r="O481" t="b">
        <f t="shared" si="82"/>
        <v>0</v>
      </c>
      <c r="P481" s="18" t="b">
        <f>SUMPRODUCT(COUNTIF(_xlfn.XLOOKUP(D481,BugList!C:C,BugList!P:P), "*SC*"))&gt;0</f>
        <v>1</v>
      </c>
    </row>
    <row r="482" spans="1:16">
      <c r="A482" t="s">
        <v>2752</v>
      </c>
      <c r="B482">
        <v>150</v>
      </c>
      <c r="C482" t="s">
        <v>200</v>
      </c>
      <c r="D482" t="s">
        <v>100</v>
      </c>
      <c r="E482">
        <v>22</v>
      </c>
      <c r="F482" s="43">
        <f t="shared" si="76"/>
        <v>16.666666666666664</v>
      </c>
      <c r="G482" s="44">
        <f t="shared" si="77"/>
        <v>16</v>
      </c>
      <c r="H482" s="44">
        <f t="shared" si="78"/>
        <v>0.6666666666666643</v>
      </c>
      <c r="I482" cm="1">
        <f t="array" ref="I482">INT(F482)+IF(100-SUM(INT(F$481:F$491))&gt;=RANK(H482,H$481:H$491)+COUNTIF(H$481:H482,H482)-1,1,0)</f>
        <v>17</v>
      </c>
      <c r="J482" t="b">
        <f t="shared" si="79"/>
        <v>0</v>
      </c>
      <c r="K482" t="str">
        <f t="shared" si="80"/>
        <v/>
      </c>
      <c r="L482">
        <f>_xlfn.XLOOKUP(D482,BugList!C:C,BugList!N:N)</f>
        <v>4</v>
      </c>
      <c r="M482">
        <f t="shared" si="81"/>
        <v>68</v>
      </c>
      <c r="N482" t="b">
        <f>_xlfn.XLOOKUP(D482,BugList!C:C,BugList!L:L)</f>
        <v>1</v>
      </c>
      <c r="O482" t="b">
        <f t="shared" si="82"/>
        <v>0</v>
      </c>
      <c r="P482" s="18" t="b">
        <f>SUMPRODUCT(COUNTIF(_xlfn.XLOOKUP(D482,BugList!C:C,BugList!P:P), "*SC*"))&gt;0</f>
        <v>1</v>
      </c>
    </row>
    <row r="483" spans="1:16">
      <c r="A483" t="s">
        <v>2752</v>
      </c>
      <c r="B483">
        <v>150</v>
      </c>
      <c r="C483" t="s">
        <v>194</v>
      </c>
      <c r="D483" s="85" t="s">
        <v>90</v>
      </c>
      <c r="E483">
        <v>12</v>
      </c>
      <c r="F483" s="43">
        <f t="shared" si="76"/>
        <v>9.0909090909090917</v>
      </c>
      <c r="G483" s="44">
        <f t="shared" si="77"/>
        <v>9</v>
      </c>
      <c r="H483" s="44">
        <f t="shared" si="78"/>
        <v>9.0909090909091717E-2</v>
      </c>
      <c r="I483" cm="1">
        <f t="array" ref="I483">INT(F483)+IF(100-SUM(INT(F$481:F$491))&gt;=RANK(H483,H$481:H$491)+COUNTIF(H$481:H483,H483)-1,1,0)</f>
        <v>9</v>
      </c>
      <c r="J483" t="b">
        <f t="shared" si="79"/>
        <v>0</v>
      </c>
      <c r="K483" t="str">
        <f t="shared" si="80"/>
        <v/>
      </c>
      <c r="L483">
        <f>_xlfn.XLOOKUP(D483,BugList!C:C,BugList!N:N)</f>
        <v>6</v>
      </c>
      <c r="M483">
        <f t="shared" si="81"/>
        <v>54</v>
      </c>
      <c r="N483" t="b">
        <f>_xlfn.XLOOKUP(D483,BugList!C:C,BugList!L:L)</f>
        <v>1</v>
      </c>
      <c r="O483" t="b">
        <f t="shared" si="82"/>
        <v>0</v>
      </c>
      <c r="P483" s="18" t="b">
        <f>SUMPRODUCT(COUNTIF(_xlfn.XLOOKUP(D483,BugList!C:C,BugList!P:P), "*SC*"))&gt;0</f>
        <v>0</v>
      </c>
    </row>
    <row r="484" spans="1:16">
      <c r="A484" t="s">
        <v>2752</v>
      </c>
      <c r="B484">
        <v>150</v>
      </c>
      <c r="C484" t="s">
        <v>194</v>
      </c>
      <c r="D484" t="s">
        <v>108</v>
      </c>
      <c r="E484">
        <v>2</v>
      </c>
      <c r="F484" s="43">
        <f t="shared" si="76"/>
        <v>1.5151515151515151</v>
      </c>
      <c r="G484" s="44">
        <f t="shared" si="77"/>
        <v>1</v>
      </c>
      <c r="H484" s="44">
        <f t="shared" si="78"/>
        <v>0.51515151515151514</v>
      </c>
      <c r="I484" cm="1">
        <f t="array" ref="I484">INT(F484)+IF(100-SUM(INT(F$481:F$491))&gt;=RANK(H484,H$481:H$491)+COUNTIF(H$481:H484,H484)-1,1,0)</f>
        <v>2</v>
      </c>
      <c r="J484" t="b">
        <f t="shared" si="79"/>
        <v>0</v>
      </c>
      <c r="K484" t="str">
        <f t="shared" si="80"/>
        <v/>
      </c>
      <c r="L484">
        <f>_xlfn.XLOOKUP(D484,BugList!C:C,BugList!N:N)</f>
        <v>3</v>
      </c>
      <c r="M484">
        <f t="shared" si="81"/>
        <v>6</v>
      </c>
      <c r="N484" t="b">
        <f>_xlfn.XLOOKUP(D484,BugList!C:C,BugList!L:L)</f>
        <v>1</v>
      </c>
      <c r="O484" t="b">
        <f t="shared" si="82"/>
        <v>0</v>
      </c>
      <c r="P484" s="18" t="b">
        <f>SUMPRODUCT(COUNTIF(_xlfn.XLOOKUP(D484,BugList!C:C,BugList!P:P), "*SC*"))&gt;0</f>
        <v>0</v>
      </c>
    </row>
    <row r="485" spans="1:16">
      <c r="A485" t="s">
        <v>2752</v>
      </c>
      <c r="B485">
        <v>150</v>
      </c>
      <c r="C485" t="s">
        <v>199</v>
      </c>
      <c r="D485" t="s">
        <v>151</v>
      </c>
      <c r="E485">
        <v>10</v>
      </c>
      <c r="F485" s="43">
        <f t="shared" si="76"/>
        <v>7.5757575757575761</v>
      </c>
      <c r="G485" s="44">
        <f t="shared" si="77"/>
        <v>7</v>
      </c>
      <c r="H485" s="44">
        <f t="shared" si="78"/>
        <v>0.57575757575757613</v>
      </c>
      <c r="I485" cm="1">
        <f t="array" ref="I485">INT(F485)+IF(100-SUM(INT(F$481:F$491))&gt;=RANK(H485,H$481:H$491)+COUNTIF(H$481:H485,H485)-1,1,0)</f>
        <v>8</v>
      </c>
      <c r="J485" t="b">
        <f t="shared" si="79"/>
        <v>1</v>
      </c>
      <c r="K485" t="str">
        <f t="shared" si="80"/>
        <v>Ephemeroptera</v>
      </c>
      <c r="L485">
        <f>_xlfn.XLOOKUP(D485,BugList!C:C,BugList!N:N)</f>
        <v>1</v>
      </c>
      <c r="M485">
        <f t="shared" si="81"/>
        <v>8</v>
      </c>
      <c r="N485" t="b">
        <f>_xlfn.XLOOKUP(D485,BugList!C:C,BugList!L:L)</f>
        <v>1</v>
      </c>
      <c r="O485" t="b">
        <f t="shared" si="82"/>
        <v>1</v>
      </c>
      <c r="P485" s="18" t="b">
        <f>SUMPRODUCT(COUNTIF(_xlfn.XLOOKUP(D485,BugList!C:C,BugList!P:P), "*SC*"))&gt;0</f>
        <v>0</v>
      </c>
    </row>
    <row r="486" spans="1:16">
      <c r="A486" t="s">
        <v>2752</v>
      </c>
      <c r="B486">
        <v>150</v>
      </c>
      <c r="C486" t="s">
        <v>199</v>
      </c>
      <c r="D486" t="s">
        <v>111</v>
      </c>
      <c r="E486">
        <v>2</v>
      </c>
      <c r="F486" s="43">
        <f t="shared" si="76"/>
        <v>1.5151515151515151</v>
      </c>
      <c r="G486" s="44">
        <f t="shared" si="77"/>
        <v>1</v>
      </c>
      <c r="H486" s="44">
        <f t="shared" si="78"/>
        <v>0.51515151515151514</v>
      </c>
      <c r="I486" cm="1">
        <f t="array" ref="I486">INT(F486)+IF(100-SUM(INT(F$481:F$491))&gt;=RANK(H486,H$481:H$491)+COUNTIF(H$481:H486,H486)-1,1,0)</f>
        <v>1</v>
      </c>
      <c r="J486" t="b">
        <f t="shared" si="79"/>
        <v>1</v>
      </c>
      <c r="K486" t="str">
        <f t="shared" si="80"/>
        <v>Ephemeroptera</v>
      </c>
      <c r="L486">
        <f>_xlfn.XLOOKUP(D486,BugList!C:C,BugList!N:N)</f>
        <v>4</v>
      </c>
      <c r="M486">
        <f t="shared" si="81"/>
        <v>4</v>
      </c>
      <c r="N486" t="b">
        <f>_xlfn.XLOOKUP(D486,BugList!C:C,BugList!L:L)</f>
        <v>1</v>
      </c>
      <c r="O486" t="b">
        <f t="shared" si="82"/>
        <v>1</v>
      </c>
      <c r="P486" s="18" t="b">
        <f>SUMPRODUCT(COUNTIF(_xlfn.XLOOKUP(D486,BugList!C:C,BugList!P:P), "*SC*"))&gt;0</f>
        <v>0</v>
      </c>
    </row>
    <row r="487" spans="1:16">
      <c r="A487" t="s">
        <v>2752</v>
      </c>
      <c r="B487">
        <v>150</v>
      </c>
      <c r="C487" t="s">
        <v>198</v>
      </c>
      <c r="D487" t="s">
        <v>89</v>
      </c>
      <c r="E487">
        <v>13</v>
      </c>
      <c r="F487" s="43">
        <f t="shared" si="76"/>
        <v>9.8484848484848477</v>
      </c>
      <c r="G487" s="44">
        <f t="shared" si="77"/>
        <v>9</v>
      </c>
      <c r="H487" s="44">
        <f t="shared" si="78"/>
        <v>0.84848484848484773</v>
      </c>
      <c r="I487" cm="1">
        <f t="array" ref="I487">INT(F487)+IF(100-SUM(INT(F$481:F$491))&gt;=RANK(H487,H$481:H$491)+COUNTIF(H$481:H487,H487)-1,1,0)</f>
        <v>10</v>
      </c>
      <c r="J487" t="b">
        <f t="shared" si="79"/>
        <v>1</v>
      </c>
      <c r="K487" t="str">
        <f t="shared" si="80"/>
        <v>Trichoptera</v>
      </c>
      <c r="L487">
        <f>_xlfn.XLOOKUP(D487,BugList!C:C,BugList!N:N)</f>
        <v>4</v>
      </c>
      <c r="M487">
        <f t="shared" si="81"/>
        <v>40</v>
      </c>
      <c r="N487" t="b">
        <f>_xlfn.XLOOKUP(D487,BugList!C:C,BugList!L:L)</f>
        <v>1</v>
      </c>
      <c r="O487" t="b">
        <f t="shared" si="82"/>
        <v>0</v>
      </c>
      <c r="P487" s="18" t="b">
        <f>SUMPRODUCT(COUNTIF(_xlfn.XLOOKUP(D487,BugList!C:C,BugList!P:P), "*SC*"))&gt;0</f>
        <v>0</v>
      </c>
    </row>
    <row r="488" spans="1:16">
      <c r="A488" t="s">
        <v>2752</v>
      </c>
      <c r="B488">
        <v>150</v>
      </c>
      <c r="C488" t="s">
        <v>204</v>
      </c>
      <c r="D488" t="s">
        <v>84</v>
      </c>
      <c r="E488">
        <v>2</v>
      </c>
      <c r="F488" s="43">
        <f t="shared" si="76"/>
        <v>1.5151515151515151</v>
      </c>
      <c r="G488" s="44">
        <f t="shared" si="77"/>
        <v>1</v>
      </c>
      <c r="H488" s="44">
        <f t="shared" si="78"/>
        <v>0.51515151515151514</v>
      </c>
      <c r="I488" cm="1">
        <f t="array" ref="I488">INT(F488)+IF(100-SUM(INT(F$481:F$491))&gt;=RANK(H488,H$481:H$491)+COUNTIF(H$481:H488,H488)-1,1,0)</f>
        <v>1</v>
      </c>
      <c r="J488" t="b">
        <f t="shared" si="79"/>
        <v>0</v>
      </c>
      <c r="K488" t="str">
        <f t="shared" si="80"/>
        <v/>
      </c>
      <c r="L488">
        <f>_xlfn.XLOOKUP(D488,BugList!C:C,BugList!N:N)</f>
        <v>8</v>
      </c>
      <c r="M488">
        <f t="shared" si="81"/>
        <v>8</v>
      </c>
      <c r="N488" t="b">
        <f>_xlfn.XLOOKUP(D488,BugList!C:C,BugList!L:L)</f>
        <v>0</v>
      </c>
      <c r="O488" t="b">
        <f t="shared" si="82"/>
        <v>0</v>
      </c>
      <c r="P488" s="18" t="b">
        <f>SUMPRODUCT(COUNTIF(_xlfn.XLOOKUP(D488,BugList!C:C,BugList!P:P), "*SC*"))&gt;0</f>
        <v>0</v>
      </c>
    </row>
    <row r="489" spans="1:16">
      <c r="A489" t="s">
        <v>2752</v>
      </c>
      <c r="B489">
        <v>150</v>
      </c>
      <c r="C489" t="s">
        <v>201</v>
      </c>
      <c r="D489" t="s">
        <v>85</v>
      </c>
      <c r="E489">
        <v>9</v>
      </c>
      <c r="F489" s="43">
        <f t="shared" si="76"/>
        <v>6.8181818181818175</v>
      </c>
      <c r="G489" s="44">
        <f t="shared" si="77"/>
        <v>6</v>
      </c>
      <c r="H489" s="44">
        <f t="shared" si="78"/>
        <v>0.81818181818181746</v>
      </c>
      <c r="I489" cm="1">
        <f t="array" ref="I489">INT(F489)+IF(100-SUM(INT(F$481:F$491))&gt;=RANK(H489,H$481:H$491)+COUNTIF(H$481:H489,H489)-1,1,0)</f>
        <v>7</v>
      </c>
      <c r="J489" t="b">
        <f t="shared" si="79"/>
        <v>0</v>
      </c>
      <c r="K489" t="str">
        <f t="shared" si="80"/>
        <v/>
      </c>
      <c r="L489">
        <f>_xlfn.XLOOKUP(D489,BugList!C:C,BugList!N:N)</f>
        <v>4</v>
      </c>
      <c r="M489">
        <f t="shared" si="81"/>
        <v>28</v>
      </c>
      <c r="N489" t="b">
        <f>_xlfn.XLOOKUP(D489,BugList!C:C,BugList!L:L)</f>
        <v>0</v>
      </c>
      <c r="O489" t="b">
        <f t="shared" si="82"/>
        <v>0</v>
      </c>
      <c r="P489" s="18" t="b">
        <f>SUMPRODUCT(COUNTIF(_xlfn.XLOOKUP(D489,BugList!C:C,BugList!P:P), "*SC*"))&gt;0</f>
        <v>0</v>
      </c>
    </row>
    <row r="490" spans="1:16">
      <c r="A490" t="s">
        <v>2752</v>
      </c>
      <c r="B490">
        <v>150</v>
      </c>
      <c r="C490" t="s">
        <v>210</v>
      </c>
      <c r="D490" t="s">
        <v>210</v>
      </c>
      <c r="E490">
        <v>8</v>
      </c>
      <c r="F490" s="43">
        <f t="shared" si="76"/>
        <v>6.0606060606060606</v>
      </c>
      <c r="G490" s="44">
        <f t="shared" si="77"/>
        <v>6</v>
      </c>
      <c r="H490" s="44">
        <f t="shared" si="78"/>
        <v>6.0606060606060552E-2</v>
      </c>
      <c r="I490" cm="1">
        <f t="array" ref="I490">INT(F490)+IF(100-SUM(INT(F$481:F$491))&gt;=RANK(H490,H$481:H$491)+COUNTIF(H$481:H490,H490)-1,1,0)</f>
        <v>6</v>
      </c>
      <c r="J490" t="b">
        <f t="shared" si="79"/>
        <v>0</v>
      </c>
      <c r="K490" t="str">
        <f t="shared" si="80"/>
        <v/>
      </c>
      <c r="L490" s="71">
        <v>8</v>
      </c>
      <c r="M490">
        <f t="shared" si="81"/>
        <v>48</v>
      </c>
      <c r="N490" s="71" t="b">
        <v>0</v>
      </c>
      <c r="O490" t="b">
        <f t="shared" si="82"/>
        <v>0</v>
      </c>
      <c r="P490" s="72" t="b">
        <v>0</v>
      </c>
    </row>
    <row r="491" spans="1:16">
      <c r="A491" t="s">
        <v>2752</v>
      </c>
      <c r="B491">
        <v>150</v>
      </c>
      <c r="C491" t="s">
        <v>94</v>
      </c>
      <c r="D491" t="s">
        <v>94</v>
      </c>
      <c r="E491">
        <v>11</v>
      </c>
      <c r="F491" s="43">
        <f t="shared" si="76"/>
        <v>8.3333333333333321</v>
      </c>
      <c r="G491" s="44">
        <f t="shared" si="77"/>
        <v>8</v>
      </c>
      <c r="H491" s="44">
        <f t="shared" si="78"/>
        <v>0.33333333333333215</v>
      </c>
      <c r="I491" cm="1">
        <f t="array" ref="I491">INT(F491)+IF(100-SUM(INT(F$481:F$491))&gt;=RANK(H491,H$481:H$491)+COUNTIF(H$481:H491,H491)-1,1,0)</f>
        <v>8</v>
      </c>
      <c r="J491" t="b">
        <f t="shared" si="79"/>
        <v>0</v>
      </c>
      <c r="K491" t="str">
        <f t="shared" si="80"/>
        <v/>
      </c>
      <c r="L491">
        <f>_xlfn.XLOOKUP(D491,BugList!C:C,BugList!N:N)</f>
        <v>8</v>
      </c>
      <c r="M491">
        <f t="shared" si="81"/>
        <v>64</v>
      </c>
      <c r="N491" t="b">
        <f>_xlfn.XLOOKUP(D491,BugList!C:C,BugList!L:L)</f>
        <v>0</v>
      </c>
      <c r="O491" t="b">
        <f t="shared" si="82"/>
        <v>0</v>
      </c>
      <c r="P491" s="18" t="b">
        <f>SUMPRODUCT(COUNTIF(_xlfn.XLOOKUP(D491,BugList!C:C,BugList!P:P), "*SC*"))&gt;0</f>
        <v>0</v>
      </c>
    </row>
    <row r="492" spans="1:16">
      <c r="A492" t="s">
        <v>2753</v>
      </c>
      <c r="B492">
        <v>161</v>
      </c>
      <c r="C492" t="s">
        <v>200</v>
      </c>
      <c r="D492" t="s">
        <v>98</v>
      </c>
      <c r="E492">
        <v>3</v>
      </c>
      <c r="F492" s="43">
        <f t="shared" si="76"/>
        <v>2.054794520547945</v>
      </c>
      <c r="G492" s="44">
        <f t="shared" si="77"/>
        <v>2</v>
      </c>
      <c r="H492" s="44">
        <f t="shared" si="78"/>
        <v>5.479452054794498E-2</v>
      </c>
      <c r="I492" cm="1">
        <f t="array" ref="I492">INT(F492)+IF(100-SUM(INT(F$492:F$501))&gt;=RANK(H492,H$492:H$501)+COUNTIF(H$492:H492,H492)-1,1,0)</f>
        <v>2</v>
      </c>
      <c r="J492" t="b">
        <f t="shared" si="79"/>
        <v>0</v>
      </c>
      <c r="K492" t="str">
        <f t="shared" si="80"/>
        <v/>
      </c>
      <c r="L492">
        <f>_xlfn.XLOOKUP(D492,BugList!C:C,BugList!N:N)</f>
        <v>4</v>
      </c>
      <c r="M492">
        <f t="shared" si="81"/>
        <v>8</v>
      </c>
      <c r="N492" t="b">
        <f>_xlfn.XLOOKUP(D492,BugList!C:C,BugList!L:L)</f>
        <v>1</v>
      </c>
      <c r="O492" t="b">
        <f t="shared" si="82"/>
        <v>0</v>
      </c>
      <c r="P492" s="18" t="b">
        <f>SUMPRODUCT(COUNTIF(_xlfn.XLOOKUP(D492,BugList!C:C,BugList!P:P), "*SC*"))&gt;0</f>
        <v>1</v>
      </c>
    </row>
    <row r="493" spans="1:16">
      <c r="A493" t="s">
        <v>2753</v>
      </c>
      <c r="B493">
        <v>161</v>
      </c>
      <c r="C493" t="s">
        <v>200</v>
      </c>
      <c r="D493" t="s">
        <v>100</v>
      </c>
      <c r="E493">
        <v>66</v>
      </c>
      <c r="F493" s="43">
        <f t="shared" si="76"/>
        <v>45.205479452054789</v>
      </c>
      <c r="G493" s="44">
        <f t="shared" si="77"/>
        <v>45</v>
      </c>
      <c r="H493" s="44">
        <f t="shared" si="78"/>
        <v>0.20547945205478868</v>
      </c>
      <c r="I493" cm="1">
        <f t="array" ref="I493">INT(F493)+IF(100-SUM(INT(F$492:F$501))&gt;=RANK(H493,H$492:H$501)+COUNTIF(H$492:H493,H493)-1,1,0)</f>
        <v>45</v>
      </c>
      <c r="J493" t="b">
        <f t="shared" si="79"/>
        <v>0</v>
      </c>
      <c r="K493" t="str">
        <f t="shared" si="80"/>
        <v/>
      </c>
      <c r="L493">
        <f>_xlfn.XLOOKUP(D493,BugList!C:C,BugList!N:N)</f>
        <v>4</v>
      </c>
      <c r="M493">
        <f t="shared" si="81"/>
        <v>180</v>
      </c>
      <c r="N493" t="b">
        <f>_xlfn.XLOOKUP(D493,BugList!C:C,BugList!L:L)</f>
        <v>1</v>
      </c>
      <c r="O493" t="b">
        <f t="shared" si="82"/>
        <v>0</v>
      </c>
      <c r="P493" s="18" t="b">
        <f>SUMPRODUCT(COUNTIF(_xlfn.XLOOKUP(D493,BugList!C:C,BugList!P:P), "*SC*"))&gt;0</f>
        <v>1</v>
      </c>
    </row>
    <row r="494" spans="1:16">
      <c r="A494" t="s">
        <v>2753</v>
      </c>
      <c r="B494">
        <v>161</v>
      </c>
      <c r="C494" t="s">
        <v>194</v>
      </c>
      <c r="D494" t="s">
        <v>108</v>
      </c>
      <c r="E494">
        <v>2</v>
      </c>
      <c r="F494" s="43">
        <f t="shared" si="76"/>
        <v>1.3698630136986301</v>
      </c>
      <c r="G494" s="44">
        <f t="shared" si="77"/>
        <v>1</v>
      </c>
      <c r="H494" s="44">
        <f t="shared" si="78"/>
        <v>0.36986301369863006</v>
      </c>
      <c r="I494" cm="1">
        <f t="array" ref="I494">INT(F494)+IF(100-SUM(INT(F$492:F$501))&gt;=RANK(H494,H$492:H$501)+COUNTIF(H$492:H494,H494)-1,1,0)</f>
        <v>1</v>
      </c>
      <c r="J494" t="b">
        <f t="shared" si="79"/>
        <v>0</v>
      </c>
      <c r="K494" t="str">
        <f t="shared" si="80"/>
        <v/>
      </c>
      <c r="L494">
        <f>_xlfn.XLOOKUP(D494,BugList!C:C,BugList!N:N)</f>
        <v>3</v>
      </c>
      <c r="M494">
        <f t="shared" si="81"/>
        <v>3</v>
      </c>
      <c r="N494" t="b">
        <f>_xlfn.XLOOKUP(D494,BugList!C:C,BugList!L:L)</f>
        <v>1</v>
      </c>
      <c r="O494" t="b">
        <f t="shared" si="82"/>
        <v>0</v>
      </c>
      <c r="P494" s="18" t="b">
        <f>SUMPRODUCT(COUNTIF(_xlfn.XLOOKUP(D494,BugList!C:C,BugList!P:P), "*SC*"))&gt;0</f>
        <v>0</v>
      </c>
    </row>
    <row r="495" spans="1:16">
      <c r="A495" t="s">
        <v>2753</v>
      </c>
      <c r="B495">
        <v>161</v>
      </c>
      <c r="C495" t="s">
        <v>199</v>
      </c>
      <c r="D495" t="s">
        <v>111</v>
      </c>
      <c r="E495">
        <v>2</v>
      </c>
      <c r="F495" s="43">
        <f t="shared" si="76"/>
        <v>1.3698630136986301</v>
      </c>
      <c r="G495" s="44">
        <f t="shared" si="77"/>
        <v>1</v>
      </c>
      <c r="H495" s="44">
        <f t="shared" si="78"/>
        <v>0.36986301369863006</v>
      </c>
      <c r="I495" cm="1">
        <f t="array" ref="I495">INT(F495)+IF(100-SUM(INT(F$492:F$501))&gt;=RANK(H495,H$492:H$501)+COUNTIF(H$492:H495,H495)-1,1,0)</f>
        <v>1</v>
      </c>
      <c r="J495" t="b">
        <f t="shared" si="79"/>
        <v>1</v>
      </c>
      <c r="K495" t="str">
        <f t="shared" si="80"/>
        <v>Ephemeroptera</v>
      </c>
      <c r="L495">
        <f>_xlfn.XLOOKUP(D495,BugList!C:C,BugList!N:N)</f>
        <v>4</v>
      </c>
      <c r="M495">
        <f t="shared" si="81"/>
        <v>4</v>
      </c>
      <c r="N495" t="b">
        <f>_xlfn.XLOOKUP(D495,BugList!C:C,BugList!L:L)</f>
        <v>1</v>
      </c>
      <c r="O495" t="b">
        <f t="shared" si="82"/>
        <v>1</v>
      </c>
      <c r="P495" s="18" t="b">
        <f>SUMPRODUCT(COUNTIF(_xlfn.XLOOKUP(D495,BugList!C:C,BugList!P:P), "*SC*"))&gt;0</f>
        <v>0</v>
      </c>
    </row>
    <row r="496" spans="1:16">
      <c r="A496" t="s">
        <v>2753</v>
      </c>
      <c r="B496">
        <v>161</v>
      </c>
      <c r="C496" t="s">
        <v>195</v>
      </c>
      <c r="D496" t="s">
        <v>97</v>
      </c>
      <c r="E496">
        <v>1</v>
      </c>
      <c r="F496" s="43">
        <f t="shared" si="76"/>
        <v>0.68493150684931503</v>
      </c>
      <c r="G496" s="44">
        <f t="shared" si="77"/>
        <v>0</v>
      </c>
      <c r="H496" s="44">
        <f t="shared" si="78"/>
        <v>0.68493150684931503</v>
      </c>
      <c r="I496" cm="1">
        <f t="array" ref="I496">INT(F496)+IF(100-SUM(INT(F$492:F$501))&gt;=RANK(H496,H$492:H$501)+COUNTIF(H$492:H496,H496)-1,1,0)</f>
        <v>1</v>
      </c>
      <c r="J496" t="b">
        <f t="shared" si="79"/>
        <v>0</v>
      </c>
      <c r="K496" t="str">
        <f t="shared" si="80"/>
        <v/>
      </c>
      <c r="L496">
        <f>_xlfn.XLOOKUP(D496,BugList!C:C,BugList!N:N)</f>
        <v>9</v>
      </c>
      <c r="M496">
        <f t="shared" si="81"/>
        <v>9</v>
      </c>
      <c r="N496" t="b">
        <f>_xlfn.XLOOKUP(D496,BugList!C:C,BugList!L:L)</f>
        <v>1</v>
      </c>
      <c r="O496" t="b">
        <f t="shared" si="82"/>
        <v>0</v>
      </c>
      <c r="P496" s="18" t="b">
        <f>SUMPRODUCT(COUNTIF(_xlfn.XLOOKUP(D496,BugList!C:C,BugList!P:P), "*SC*"))&gt;0</f>
        <v>0</v>
      </c>
    </row>
    <row r="497" spans="1:16">
      <c r="A497" t="s">
        <v>2753</v>
      </c>
      <c r="B497">
        <v>161</v>
      </c>
      <c r="C497" t="s">
        <v>198</v>
      </c>
      <c r="D497" t="s">
        <v>89</v>
      </c>
      <c r="E497">
        <v>20</v>
      </c>
      <c r="F497" s="43">
        <f t="shared" si="76"/>
        <v>13.698630136986301</v>
      </c>
      <c r="G497" s="44">
        <f t="shared" si="77"/>
        <v>13</v>
      </c>
      <c r="H497" s="44">
        <f t="shared" si="78"/>
        <v>0.69863013698630105</v>
      </c>
      <c r="I497" cm="1">
        <f t="array" ref="I497">INT(F497)+IF(100-SUM(INT(F$492:F$501))&gt;=RANK(H497,H$492:H$501)+COUNTIF(H$492:H497,H497)-1,1,0)</f>
        <v>14</v>
      </c>
      <c r="J497" t="b">
        <f t="shared" si="79"/>
        <v>1</v>
      </c>
      <c r="K497" t="str">
        <f t="shared" si="80"/>
        <v>Trichoptera</v>
      </c>
      <c r="L497">
        <f>_xlfn.XLOOKUP(D497,BugList!C:C,BugList!N:N)</f>
        <v>4</v>
      </c>
      <c r="M497">
        <f t="shared" si="81"/>
        <v>56</v>
      </c>
      <c r="N497" t="b">
        <f>_xlfn.XLOOKUP(D497,BugList!C:C,BugList!L:L)</f>
        <v>1</v>
      </c>
      <c r="O497" t="b">
        <f t="shared" si="82"/>
        <v>0</v>
      </c>
      <c r="P497" s="18" t="b">
        <f>SUMPRODUCT(COUNTIF(_xlfn.XLOOKUP(D497,BugList!C:C,BugList!P:P), "*SC*"))&gt;0</f>
        <v>0</v>
      </c>
    </row>
    <row r="498" spans="1:16">
      <c r="A498" t="s">
        <v>2753</v>
      </c>
      <c r="B498">
        <v>161</v>
      </c>
      <c r="C498" t="s">
        <v>204</v>
      </c>
      <c r="D498" t="s">
        <v>84</v>
      </c>
      <c r="E498">
        <v>2</v>
      </c>
      <c r="F498" s="43">
        <f t="shared" si="76"/>
        <v>1.3698630136986301</v>
      </c>
      <c r="G498" s="44">
        <f t="shared" si="77"/>
        <v>1</v>
      </c>
      <c r="H498" s="44">
        <f t="shared" si="78"/>
        <v>0.36986301369863006</v>
      </c>
      <c r="I498" cm="1">
        <f t="array" ref="I498">INT(F498)+IF(100-SUM(INT(F$492:F$501))&gt;=RANK(H498,H$492:H$501)+COUNTIF(H$492:H498,H498)-1,1,0)</f>
        <v>1</v>
      </c>
      <c r="J498" t="b">
        <f t="shared" si="79"/>
        <v>0</v>
      </c>
      <c r="K498" t="str">
        <f t="shared" si="80"/>
        <v/>
      </c>
      <c r="L498">
        <f>_xlfn.XLOOKUP(D498,BugList!C:C,BugList!N:N)</f>
        <v>8</v>
      </c>
      <c r="M498">
        <f t="shared" si="81"/>
        <v>8</v>
      </c>
      <c r="N498" t="b">
        <f>_xlfn.XLOOKUP(D498,BugList!C:C,BugList!L:L)</f>
        <v>0</v>
      </c>
      <c r="O498" t="b">
        <f t="shared" si="82"/>
        <v>0</v>
      </c>
      <c r="P498" s="18" t="b">
        <f>SUMPRODUCT(COUNTIF(_xlfn.XLOOKUP(D498,BugList!C:C,BugList!P:P), "*SC*"))&gt;0</f>
        <v>0</v>
      </c>
    </row>
    <row r="499" spans="1:16">
      <c r="A499" t="s">
        <v>2753</v>
      </c>
      <c r="B499">
        <v>161</v>
      </c>
      <c r="C499" t="s">
        <v>201</v>
      </c>
      <c r="D499" t="s">
        <v>85</v>
      </c>
      <c r="E499">
        <v>44</v>
      </c>
      <c r="F499" s="43">
        <f t="shared" si="76"/>
        <v>30.136986301369863</v>
      </c>
      <c r="G499" s="44">
        <f t="shared" si="77"/>
        <v>30</v>
      </c>
      <c r="H499" s="44">
        <f t="shared" si="78"/>
        <v>0.13698630136986267</v>
      </c>
      <c r="I499" cm="1">
        <f t="array" ref="I499">INT(F499)+IF(100-SUM(INT(F$492:F$501))&gt;=RANK(H499,H$492:H$501)+COUNTIF(H$492:H499,H499)-1,1,0)</f>
        <v>30</v>
      </c>
      <c r="J499" t="b">
        <f t="shared" si="79"/>
        <v>0</v>
      </c>
      <c r="K499" t="str">
        <f t="shared" si="80"/>
        <v/>
      </c>
      <c r="L499">
        <f>_xlfn.XLOOKUP(D499,BugList!C:C,BugList!N:N)</f>
        <v>4</v>
      </c>
      <c r="M499">
        <f t="shared" si="81"/>
        <v>120</v>
      </c>
      <c r="N499" t="b">
        <f>_xlfn.XLOOKUP(D499,BugList!C:C,BugList!L:L)</f>
        <v>0</v>
      </c>
      <c r="O499" t="b">
        <f t="shared" si="82"/>
        <v>0</v>
      </c>
      <c r="P499" s="18" t="b">
        <f>SUMPRODUCT(COUNTIF(_xlfn.XLOOKUP(D499,BugList!C:C,BugList!P:P), "*SC*"))&gt;0</f>
        <v>0</v>
      </c>
    </row>
    <row r="500" spans="1:16">
      <c r="A500" t="s">
        <v>2753</v>
      </c>
      <c r="B500">
        <v>161</v>
      </c>
      <c r="C500" t="s">
        <v>94</v>
      </c>
      <c r="D500" t="s">
        <v>94</v>
      </c>
      <c r="E500">
        <v>1</v>
      </c>
      <c r="F500" s="43">
        <f t="shared" si="76"/>
        <v>0.68493150684931503</v>
      </c>
      <c r="G500" s="44">
        <f t="shared" si="77"/>
        <v>0</v>
      </c>
      <c r="H500" s="44">
        <f t="shared" si="78"/>
        <v>0.68493150684931503</v>
      </c>
      <c r="I500" cm="1">
        <f t="array" ref="I500">INT(F500)+IF(100-SUM(INT(F$492:F$501))&gt;=RANK(H500,H$492:H$501)+COUNTIF(H$492:H500,H500)-1,1,0)</f>
        <v>1</v>
      </c>
      <c r="J500" t="b">
        <f t="shared" si="79"/>
        <v>0</v>
      </c>
      <c r="K500" t="str">
        <f t="shared" si="80"/>
        <v/>
      </c>
      <c r="L500">
        <f>_xlfn.XLOOKUP(D500,BugList!C:C,BugList!N:N)</f>
        <v>8</v>
      </c>
      <c r="M500">
        <f t="shared" si="81"/>
        <v>8</v>
      </c>
      <c r="N500" t="b">
        <f>_xlfn.XLOOKUP(D500,BugList!C:C,BugList!L:L)</f>
        <v>0</v>
      </c>
      <c r="O500" t="b">
        <f t="shared" si="82"/>
        <v>0</v>
      </c>
      <c r="P500" s="18" t="b">
        <f>SUMPRODUCT(COUNTIF(_xlfn.XLOOKUP(D500,BugList!C:C,BugList!P:P), "*SC*"))&gt;0</f>
        <v>0</v>
      </c>
    </row>
    <row r="501" spans="1:16">
      <c r="A501" t="s">
        <v>2753</v>
      </c>
      <c r="B501">
        <v>161</v>
      </c>
      <c r="C501" t="s">
        <v>119</v>
      </c>
      <c r="D501" t="s">
        <v>87</v>
      </c>
      <c r="E501">
        <v>5</v>
      </c>
      <c r="F501" s="43">
        <f t="shared" ref="F501:F522" si="83">(E501/(SUMIFS(E:E,A:A,A501))*100)</f>
        <v>3.4246575342465753</v>
      </c>
      <c r="G501" s="44">
        <f>INT(F501)</f>
        <v>3</v>
      </c>
      <c r="H501" s="44">
        <f>F501-G501</f>
        <v>0.42465753424657526</v>
      </c>
      <c r="I501" cm="1">
        <f t="array" ref="I501">INT(F501)+IF(100-SUM(INT(F$492:F$501))&gt;=RANK(H501,H$492:H$501)+COUNTIF(H$492:H501,H501)-1,1,0)</f>
        <v>4</v>
      </c>
      <c r="J501" t="b">
        <f>IF(OR(C501="Ephemeroptera", C501 ="Plecoptera", C501= "Trichoptera"), TRUE, FALSE)</f>
        <v>0</v>
      </c>
      <c r="K501" t="str">
        <f t="shared" si="80"/>
        <v/>
      </c>
      <c r="L501">
        <f>_xlfn.XLOOKUP(D501,BugList!C:C,BugList!N:N)</f>
        <v>4</v>
      </c>
      <c r="M501">
        <f>L501*I501</f>
        <v>16</v>
      </c>
      <c r="N501" t="b">
        <f>_xlfn.XLOOKUP(D501,BugList!C:C,BugList!L:L)</f>
        <v>0</v>
      </c>
      <c r="O501" t="b">
        <f>IF(J501=TRUE,IF(D501="Hydropsychidae", FALSE, TRUE), FALSE)</f>
        <v>0</v>
      </c>
      <c r="P501" s="18" t="b">
        <f>SUMPRODUCT(COUNTIF(_xlfn.XLOOKUP(D501,BugList!C:C,BugList!P:P), "*SC*"))&gt;0</f>
        <v>0</v>
      </c>
    </row>
    <row r="502" spans="1:16">
      <c r="A502" t="s">
        <v>2754</v>
      </c>
      <c r="B502">
        <v>196</v>
      </c>
      <c r="C502" t="s">
        <v>200</v>
      </c>
      <c r="D502" t="s">
        <v>98</v>
      </c>
      <c r="E502">
        <v>17</v>
      </c>
      <c r="F502" s="43">
        <f t="shared" si="83"/>
        <v>16.831683168316832</v>
      </c>
      <c r="G502" s="44">
        <f t="shared" ref="G502:G645" si="84">INT(F502)</f>
        <v>16</v>
      </c>
      <c r="H502" s="44">
        <f t="shared" ref="H502:H514" si="85">F502-G502</f>
        <v>0.83168316831683242</v>
      </c>
      <c r="I502" cm="1">
        <f t="array" ref="I502">INT(F502)+IF(100-SUM(INT(F$502:F$515))&gt;=RANK(H502,H$502:H$515)+COUNTIF(H$502:H502,H502)-1,1,0)</f>
        <v>17</v>
      </c>
      <c r="J502" t="b">
        <f t="shared" ref="J502:J546" si="86">IF(OR(C502="Ephemeroptera", C502 ="Plecoptera", C502= "Trichoptera"), TRUE, FALSE)</f>
        <v>0</v>
      </c>
      <c r="K502" t="str">
        <f t="shared" si="80"/>
        <v/>
      </c>
      <c r="L502">
        <f>_xlfn.XLOOKUP(D502,BugList!C:C,BugList!N:N)</f>
        <v>4</v>
      </c>
      <c r="M502">
        <f t="shared" ref="M502:M546" si="87">L502*I502</f>
        <v>68</v>
      </c>
      <c r="N502" t="b">
        <f>_xlfn.XLOOKUP(D502,BugList!C:C,BugList!L:L)</f>
        <v>1</v>
      </c>
      <c r="O502" t="b">
        <f t="shared" ref="O502:O546" si="88">IF(J502=TRUE,IF(D502="Hydropsychidae", FALSE, TRUE), FALSE)</f>
        <v>0</v>
      </c>
      <c r="P502" s="18" t="b">
        <f>SUMPRODUCT(COUNTIF(_xlfn.XLOOKUP(D502,BugList!C:C,BugList!P:P), "*SC*"))&gt;0</f>
        <v>1</v>
      </c>
    </row>
    <row r="503" spans="1:16">
      <c r="A503" t="s">
        <v>2754</v>
      </c>
      <c r="B503">
        <v>196</v>
      </c>
      <c r="C503" t="s">
        <v>200</v>
      </c>
      <c r="D503" t="s">
        <v>100</v>
      </c>
      <c r="E503">
        <v>22</v>
      </c>
      <c r="F503" s="43">
        <f t="shared" si="83"/>
        <v>21.782178217821784</v>
      </c>
      <c r="G503" s="44">
        <f t="shared" si="84"/>
        <v>21</v>
      </c>
      <c r="H503" s="44">
        <f t="shared" si="85"/>
        <v>0.78217821782178376</v>
      </c>
      <c r="I503" cm="1">
        <f t="array" ref="I503">INT(F503)+IF(100-SUM(INT(F$502:F$515))&gt;=RANK(H503,H$502:H$515)+COUNTIF(H$502:H503,H503)-1,1,0)</f>
        <v>22</v>
      </c>
      <c r="J503" t="b">
        <f t="shared" si="86"/>
        <v>0</v>
      </c>
      <c r="K503" t="str">
        <f t="shared" si="80"/>
        <v/>
      </c>
      <c r="L503">
        <f>_xlfn.XLOOKUP(D503,BugList!C:C,BugList!N:N)</f>
        <v>4</v>
      </c>
      <c r="M503">
        <f t="shared" si="87"/>
        <v>88</v>
      </c>
      <c r="N503" t="b">
        <f>_xlfn.XLOOKUP(D503,BugList!C:C,BugList!L:L)</f>
        <v>1</v>
      </c>
      <c r="O503" t="b">
        <f t="shared" si="88"/>
        <v>0</v>
      </c>
      <c r="P503" s="18" t="b">
        <f>SUMPRODUCT(COUNTIF(_xlfn.XLOOKUP(D503,BugList!C:C,BugList!P:P), "*SC*"))&gt;0</f>
        <v>1</v>
      </c>
    </row>
    <row r="504" spans="1:16">
      <c r="A504" t="s">
        <v>2754</v>
      </c>
      <c r="B504">
        <v>196</v>
      </c>
      <c r="C504" t="s">
        <v>194</v>
      </c>
      <c r="D504" t="s">
        <v>1758</v>
      </c>
      <c r="E504">
        <v>3</v>
      </c>
      <c r="F504" s="43">
        <f t="shared" si="83"/>
        <v>2.9702970297029703</v>
      </c>
      <c r="G504" s="44">
        <f t="shared" si="84"/>
        <v>2</v>
      </c>
      <c r="H504" s="44">
        <f t="shared" si="85"/>
        <v>0.97029702970297027</v>
      </c>
      <c r="I504" cm="1">
        <f t="array" ref="I504">INT(F504)+IF(100-SUM(INT(F$502:F$515))&gt;=RANK(H504,H$502:H$515)+COUNTIF(H$502:H504,H504)-1,1,0)</f>
        <v>3</v>
      </c>
      <c r="J504" t="b">
        <f t="shared" si="86"/>
        <v>0</v>
      </c>
      <c r="K504" t="str">
        <f t="shared" si="80"/>
        <v/>
      </c>
      <c r="L504">
        <f>_xlfn.XLOOKUP(D504,BugList!C:C,BugList!N:N)</f>
        <v>6</v>
      </c>
      <c r="M504">
        <f t="shared" si="87"/>
        <v>18</v>
      </c>
      <c r="N504" t="b">
        <f>_xlfn.XLOOKUP(D504,BugList!C:C,BugList!L:L)</f>
        <v>1</v>
      </c>
      <c r="O504" t="b">
        <f t="shared" si="88"/>
        <v>0</v>
      </c>
      <c r="P504" s="18" t="b">
        <f>SUMPRODUCT(COUNTIF(_xlfn.XLOOKUP(D504,BugList!C:C,BugList!P:P), "*SC*"))&gt;0</f>
        <v>0</v>
      </c>
    </row>
    <row r="505" spans="1:16">
      <c r="A505" t="s">
        <v>2754</v>
      </c>
      <c r="B505">
        <v>196</v>
      </c>
      <c r="C505" t="s">
        <v>194</v>
      </c>
      <c r="D505" t="s">
        <v>108</v>
      </c>
      <c r="E505">
        <v>1</v>
      </c>
      <c r="F505" s="43">
        <f t="shared" si="83"/>
        <v>0.99009900990099009</v>
      </c>
      <c r="G505" s="44">
        <f t="shared" si="84"/>
        <v>0</v>
      </c>
      <c r="H505" s="44">
        <f t="shared" si="85"/>
        <v>0.99009900990099009</v>
      </c>
      <c r="I505" cm="1">
        <f t="array" ref="I505">INT(F505)+IF(100-SUM(INT(F$502:F$515))&gt;=RANK(H505,H$502:H$515)+COUNTIF(H$502:H505,H505)-1,1,0)</f>
        <v>1</v>
      </c>
      <c r="J505" t="b">
        <f t="shared" si="86"/>
        <v>0</v>
      </c>
      <c r="K505" t="str">
        <f t="shared" si="80"/>
        <v/>
      </c>
      <c r="L505">
        <f>_xlfn.XLOOKUP(D505,BugList!C:C,BugList!N:N)</f>
        <v>3</v>
      </c>
      <c r="M505">
        <f t="shared" si="87"/>
        <v>3</v>
      </c>
      <c r="N505" t="b">
        <f>_xlfn.XLOOKUP(D505,BugList!C:C,BugList!L:L)</f>
        <v>1</v>
      </c>
      <c r="O505" t="b">
        <f t="shared" si="88"/>
        <v>0</v>
      </c>
      <c r="P505" s="18" t="b">
        <f>SUMPRODUCT(COUNTIF(_xlfn.XLOOKUP(D505,BugList!C:C,BugList!P:P), "*SC*"))&gt;0</f>
        <v>0</v>
      </c>
    </row>
    <row r="506" spans="1:16">
      <c r="A506" t="s">
        <v>2754</v>
      </c>
      <c r="B506">
        <v>196</v>
      </c>
      <c r="C506" t="s">
        <v>199</v>
      </c>
      <c r="D506" t="s">
        <v>96</v>
      </c>
      <c r="E506">
        <v>1</v>
      </c>
      <c r="F506" s="43">
        <f t="shared" si="83"/>
        <v>0.99009900990099009</v>
      </c>
      <c r="G506" s="44">
        <f t="shared" si="84"/>
        <v>0</v>
      </c>
      <c r="H506" s="44">
        <f t="shared" si="85"/>
        <v>0.99009900990099009</v>
      </c>
      <c r="I506" cm="1">
        <f t="array" ref="I506">INT(F506)+IF(100-SUM(INT(F$502:F$515))&gt;=RANK(H506,H$502:H$515)+COUNTIF(H$502:H506,H506)-1,1,0)</f>
        <v>1</v>
      </c>
      <c r="J506" t="b">
        <f t="shared" si="86"/>
        <v>1</v>
      </c>
      <c r="K506" t="str">
        <f t="shared" si="80"/>
        <v>Ephemeroptera</v>
      </c>
      <c r="L506">
        <f>_xlfn.XLOOKUP(D506,BugList!C:C,BugList!N:N)</f>
        <v>4</v>
      </c>
      <c r="M506">
        <f t="shared" si="87"/>
        <v>4</v>
      </c>
      <c r="N506" t="b">
        <f>_xlfn.XLOOKUP(D506,BugList!C:C,BugList!L:L)</f>
        <v>1</v>
      </c>
      <c r="O506" t="b">
        <f t="shared" si="88"/>
        <v>1</v>
      </c>
      <c r="P506" s="18" t="b">
        <f>SUMPRODUCT(COUNTIF(_xlfn.XLOOKUP(D506,BugList!C:C,BugList!P:P), "*SC*"))&gt;0</f>
        <v>1</v>
      </c>
    </row>
    <row r="507" spans="1:16">
      <c r="A507" t="s">
        <v>2754</v>
      </c>
      <c r="B507">
        <v>196</v>
      </c>
      <c r="C507" t="s">
        <v>199</v>
      </c>
      <c r="D507" t="s">
        <v>111</v>
      </c>
      <c r="E507">
        <v>4</v>
      </c>
      <c r="F507" s="43">
        <f t="shared" si="83"/>
        <v>3.9603960396039604</v>
      </c>
      <c r="G507" s="44">
        <f t="shared" si="84"/>
        <v>3</v>
      </c>
      <c r="H507" s="44">
        <f t="shared" si="85"/>
        <v>0.96039603960396036</v>
      </c>
      <c r="I507" cm="1">
        <f t="array" ref="I507">INT(F507)+IF(100-SUM(INT(F$502:F$515))&gt;=RANK(H507,H$502:H$515)+COUNTIF(H$502:H507,H507)-1,1,0)</f>
        <v>4</v>
      </c>
      <c r="J507" t="b">
        <f t="shared" si="86"/>
        <v>1</v>
      </c>
      <c r="K507" t="str">
        <f t="shared" si="80"/>
        <v>Ephemeroptera</v>
      </c>
      <c r="L507">
        <f>_xlfn.XLOOKUP(D507,BugList!C:C,BugList!N:N)</f>
        <v>4</v>
      </c>
      <c r="M507">
        <f t="shared" si="87"/>
        <v>16</v>
      </c>
      <c r="N507" t="b">
        <f>_xlfn.XLOOKUP(D507,BugList!C:C,BugList!L:L)</f>
        <v>1</v>
      </c>
      <c r="O507" t="b">
        <f t="shared" si="88"/>
        <v>1</v>
      </c>
      <c r="P507" s="18" t="b">
        <f>SUMPRODUCT(COUNTIF(_xlfn.XLOOKUP(D507,BugList!C:C,BugList!P:P), "*SC*"))&gt;0</f>
        <v>0</v>
      </c>
    </row>
    <row r="508" spans="1:16">
      <c r="A508" t="s">
        <v>2754</v>
      </c>
      <c r="B508">
        <v>196</v>
      </c>
      <c r="C508" t="s">
        <v>199</v>
      </c>
      <c r="D508" t="s">
        <v>969</v>
      </c>
      <c r="E508">
        <v>1</v>
      </c>
      <c r="F508" s="43">
        <f t="shared" si="83"/>
        <v>0.99009900990099009</v>
      </c>
      <c r="G508" s="44">
        <f t="shared" si="84"/>
        <v>0</v>
      </c>
      <c r="H508" s="44">
        <f t="shared" si="85"/>
        <v>0.99009900990099009</v>
      </c>
      <c r="I508" cm="1">
        <f t="array" ref="I508">INT(F508)+IF(100-SUM(INT(F$502:F$515))&gt;=RANK(H508,H$502:H$515)+COUNTIF(H$502:H508,H508)-1,1,0)</f>
        <v>1</v>
      </c>
      <c r="J508" t="b">
        <f t="shared" si="86"/>
        <v>1</v>
      </c>
      <c r="K508" t="str">
        <f t="shared" si="80"/>
        <v>Ephemeroptera</v>
      </c>
      <c r="L508">
        <f>_xlfn.XLOOKUP(D508,BugList!C:C,BugList!N:N)</f>
        <v>7</v>
      </c>
      <c r="M508">
        <f t="shared" si="87"/>
        <v>7</v>
      </c>
      <c r="N508" t="b">
        <f>_xlfn.XLOOKUP(D508,BugList!C:C,BugList!L:L)</f>
        <v>1</v>
      </c>
      <c r="O508" t="b">
        <f t="shared" si="88"/>
        <v>1</v>
      </c>
      <c r="P508" s="18" t="b">
        <f>SUMPRODUCT(COUNTIF(_xlfn.XLOOKUP(D508,BugList!C:C,BugList!P:P), "*SC*"))&gt;0</f>
        <v>0</v>
      </c>
    </row>
    <row r="509" spans="1:16">
      <c r="A509" t="s">
        <v>2754</v>
      </c>
      <c r="B509">
        <v>196</v>
      </c>
      <c r="C509" t="s">
        <v>1225</v>
      </c>
      <c r="D509" t="s">
        <v>181</v>
      </c>
      <c r="E509">
        <v>2</v>
      </c>
      <c r="F509" s="43">
        <f t="shared" si="83"/>
        <v>1.9801980198019802</v>
      </c>
      <c r="G509" s="44">
        <f t="shared" si="84"/>
        <v>1</v>
      </c>
      <c r="H509" s="44">
        <f t="shared" si="85"/>
        <v>0.98019801980198018</v>
      </c>
      <c r="I509" cm="1">
        <f t="array" ref="I509">INT(F509)+IF(100-SUM(INT(F$502:F$515))&gt;=RANK(H509,H$502:H$515)+COUNTIF(H$502:H509,H509)-1,1,0)</f>
        <v>2</v>
      </c>
      <c r="J509" t="b">
        <f t="shared" si="86"/>
        <v>0</v>
      </c>
      <c r="K509" t="str">
        <f t="shared" si="80"/>
        <v/>
      </c>
      <c r="L509">
        <f>_xlfn.XLOOKUP(D509,BugList!C:C,BugList!N:N)</f>
        <v>4</v>
      </c>
      <c r="M509">
        <f t="shared" si="87"/>
        <v>8</v>
      </c>
      <c r="N509" t="b">
        <f>_xlfn.XLOOKUP(D509,BugList!C:C,BugList!L:L)</f>
        <v>1</v>
      </c>
      <c r="O509" t="b">
        <f t="shared" si="88"/>
        <v>0</v>
      </c>
      <c r="P509" s="18" t="b">
        <f>SUMPRODUCT(COUNTIF(_xlfn.XLOOKUP(D509,BugList!C:C,BugList!P:P), "*SC*"))&gt;0</f>
        <v>0</v>
      </c>
    </row>
    <row r="510" spans="1:16">
      <c r="A510" t="s">
        <v>2754</v>
      </c>
      <c r="B510">
        <v>196</v>
      </c>
      <c r="C510" t="s">
        <v>198</v>
      </c>
      <c r="D510" t="s">
        <v>89</v>
      </c>
      <c r="E510">
        <v>9</v>
      </c>
      <c r="F510" s="43">
        <f t="shared" si="83"/>
        <v>8.9108910891089099</v>
      </c>
      <c r="G510" s="44">
        <f t="shared" si="84"/>
        <v>8</v>
      </c>
      <c r="H510" s="44">
        <f t="shared" si="85"/>
        <v>0.91089108910890992</v>
      </c>
      <c r="I510" cm="1">
        <f t="array" ref="I510">INT(F510)+IF(100-SUM(INT(F$502:F$515))&gt;=RANK(H510,H$502:H$515)+COUNTIF(H$502:H510,H510)-1,1,0)</f>
        <v>9</v>
      </c>
      <c r="J510" t="b">
        <f t="shared" si="86"/>
        <v>1</v>
      </c>
      <c r="K510" t="str">
        <f t="shared" si="80"/>
        <v>Trichoptera</v>
      </c>
      <c r="L510">
        <f>_xlfn.XLOOKUP(D510,BugList!C:C,BugList!N:N)</f>
        <v>4</v>
      </c>
      <c r="M510">
        <f t="shared" si="87"/>
        <v>36</v>
      </c>
      <c r="N510" t="b">
        <f>_xlfn.XLOOKUP(D510,BugList!C:C,BugList!L:L)</f>
        <v>1</v>
      </c>
      <c r="O510" t="b">
        <f t="shared" si="88"/>
        <v>0</v>
      </c>
      <c r="P510" s="18" t="b">
        <f>SUMPRODUCT(COUNTIF(_xlfn.XLOOKUP(D510,BugList!C:C,BugList!P:P), "*SC*"))&gt;0</f>
        <v>0</v>
      </c>
    </row>
    <row r="511" spans="1:16">
      <c r="A511" t="s">
        <v>2754</v>
      </c>
      <c r="B511">
        <v>196</v>
      </c>
      <c r="C511" t="s">
        <v>201</v>
      </c>
      <c r="D511" t="s">
        <v>85</v>
      </c>
      <c r="E511">
        <v>36</v>
      </c>
      <c r="F511" s="43">
        <f t="shared" si="83"/>
        <v>35.64356435643564</v>
      </c>
      <c r="G511" s="44">
        <f t="shared" si="84"/>
        <v>35</v>
      </c>
      <c r="H511" s="44">
        <f t="shared" si="85"/>
        <v>0.6435643564356397</v>
      </c>
      <c r="I511" cm="1">
        <f t="array" ref="I511">INT(F511)+IF(100-SUM(INT(F$502:F$515))&gt;=RANK(H511,H$502:H$515)+COUNTIF(H$502:H511,H511)-1,1,0)</f>
        <v>35</v>
      </c>
      <c r="J511" t="b">
        <f t="shared" si="86"/>
        <v>0</v>
      </c>
      <c r="K511" t="str">
        <f t="shared" si="80"/>
        <v/>
      </c>
      <c r="L511">
        <f>_xlfn.XLOOKUP(D511,BugList!C:C,BugList!N:N)</f>
        <v>4</v>
      </c>
      <c r="M511">
        <f t="shared" si="87"/>
        <v>140</v>
      </c>
      <c r="N511" t="b">
        <f>_xlfn.XLOOKUP(D511,BugList!C:C,BugList!L:L)</f>
        <v>0</v>
      </c>
      <c r="O511" t="b">
        <f t="shared" si="88"/>
        <v>0</v>
      </c>
      <c r="P511" s="18" t="b">
        <f>SUMPRODUCT(COUNTIF(_xlfn.XLOOKUP(D511,BugList!C:C,BugList!P:P), "*SC*"))&gt;0</f>
        <v>0</v>
      </c>
    </row>
    <row r="512" spans="1:16">
      <c r="A512" t="s">
        <v>2754</v>
      </c>
      <c r="B512">
        <v>196</v>
      </c>
      <c r="D512" t="s">
        <v>210</v>
      </c>
      <c r="E512">
        <v>2</v>
      </c>
      <c r="F512" s="43">
        <f t="shared" si="83"/>
        <v>1.9801980198019802</v>
      </c>
      <c r="G512" s="44">
        <f t="shared" si="84"/>
        <v>1</v>
      </c>
      <c r="H512" s="44">
        <f t="shared" si="85"/>
        <v>0.98019801980198018</v>
      </c>
      <c r="I512" cm="1">
        <f t="array" ref="I512">INT(F512)+IF(100-SUM(INT(F$502:F$515))&gt;=RANK(H512,H$502:H$515)+COUNTIF(H$502:H512,H512)-1,1,0)</f>
        <v>2</v>
      </c>
      <c r="J512" t="b">
        <f t="shared" si="86"/>
        <v>0</v>
      </c>
      <c r="K512" t="str">
        <f t="shared" si="80"/>
        <v/>
      </c>
      <c r="L512" s="71">
        <v>8</v>
      </c>
      <c r="M512">
        <f t="shared" si="87"/>
        <v>16</v>
      </c>
      <c r="N512" s="71" t="b">
        <v>0</v>
      </c>
      <c r="O512" t="b">
        <f t="shared" si="88"/>
        <v>0</v>
      </c>
      <c r="P512" s="72" t="b">
        <v>0</v>
      </c>
    </row>
    <row r="513" spans="1:16">
      <c r="A513" t="s">
        <v>2754</v>
      </c>
      <c r="B513">
        <v>196</v>
      </c>
      <c r="C513" t="s">
        <v>205</v>
      </c>
      <c r="D513" t="s">
        <v>206</v>
      </c>
      <c r="E513">
        <v>1</v>
      </c>
      <c r="F513" s="43">
        <f t="shared" si="83"/>
        <v>0.99009900990099009</v>
      </c>
      <c r="G513" s="44">
        <f t="shared" si="84"/>
        <v>0</v>
      </c>
      <c r="H513" s="44">
        <f t="shared" si="85"/>
        <v>0.99009900990099009</v>
      </c>
      <c r="I513" cm="1">
        <f t="array" ref="I513">INT(F513)+IF(100-SUM(INT(F$502:F$515))&gt;=RANK(H513,H$502:H$515)+COUNTIF(H$502:H513,H513)-1,1,0)</f>
        <v>1</v>
      </c>
      <c r="J513" t="b">
        <f t="shared" si="86"/>
        <v>0</v>
      </c>
      <c r="K513" t="str">
        <f t="shared" si="80"/>
        <v/>
      </c>
      <c r="L513" s="71">
        <v>8</v>
      </c>
      <c r="M513">
        <f t="shared" si="87"/>
        <v>8</v>
      </c>
      <c r="N513" s="71" t="b">
        <v>0</v>
      </c>
      <c r="O513" t="b">
        <f t="shared" si="88"/>
        <v>0</v>
      </c>
      <c r="P513" s="72" t="b">
        <v>0</v>
      </c>
    </row>
    <row r="514" spans="1:16">
      <c r="A514" t="s">
        <v>2754</v>
      </c>
      <c r="B514">
        <v>196</v>
      </c>
      <c r="C514" t="s">
        <v>94</v>
      </c>
      <c r="D514" t="s">
        <v>94</v>
      </c>
      <c r="E514">
        <v>1</v>
      </c>
      <c r="F514" s="43">
        <f t="shared" si="83"/>
        <v>0.99009900990099009</v>
      </c>
      <c r="G514" s="44">
        <f t="shared" si="84"/>
        <v>0</v>
      </c>
      <c r="H514" s="44">
        <f t="shared" si="85"/>
        <v>0.99009900990099009</v>
      </c>
      <c r="I514" cm="1">
        <f t="array" ref="I514">INT(F514)+IF(100-SUM(INT(F$502:F$515))&gt;=RANK(H514,H$502:H$515)+COUNTIF(H$502:H514,H514)-1,1,0)</f>
        <v>1</v>
      </c>
      <c r="J514" t="b">
        <f t="shared" si="86"/>
        <v>0</v>
      </c>
      <c r="K514" t="str">
        <f t="shared" si="80"/>
        <v/>
      </c>
      <c r="L514">
        <f>_xlfn.XLOOKUP(D514,BugList!C:C,BugList!N:N)</f>
        <v>8</v>
      </c>
      <c r="M514">
        <f t="shared" si="87"/>
        <v>8</v>
      </c>
      <c r="N514" t="b">
        <f>_xlfn.XLOOKUP(D514,BugList!C:C,BugList!L:L)</f>
        <v>0</v>
      </c>
      <c r="O514" t="b">
        <f t="shared" si="88"/>
        <v>0</v>
      </c>
      <c r="P514" s="18" t="b">
        <f>SUMPRODUCT(COUNTIF(_xlfn.XLOOKUP(D514,BugList!C:C,BugList!P:P), "*SC*"))&gt;0</f>
        <v>0</v>
      </c>
    </row>
    <row r="515" spans="1:16">
      <c r="A515" t="s">
        <v>2754</v>
      </c>
      <c r="B515">
        <v>196</v>
      </c>
      <c r="D515" t="s">
        <v>1715</v>
      </c>
      <c r="E515">
        <v>1</v>
      </c>
      <c r="F515" s="43">
        <f t="shared" si="83"/>
        <v>0.99009900990099009</v>
      </c>
      <c r="G515" s="44">
        <f t="shared" si="84"/>
        <v>0</v>
      </c>
      <c r="H515" s="44">
        <f t="shared" ref="H515:H546" si="89">F515-G515</f>
        <v>0.99009900990099009</v>
      </c>
      <c r="I515" cm="1">
        <f t="array" ref="I515">INT(F515)+IF(100-SUM(INT(F$502:F$515))&gt;=RANK(H515,H$502:H$515)+COUNTIF(H$502:H515,H515)-1,1,0)</f>
        <v>1</v>
      </c>
      <c r="J515" t="b">
        <f t="shared" si="86"/>
        <v>0</v>
      </c>
      <c r="K515" t="str">
        <f t="shared" si="80"/>
        <v/>
      </c>
      <c r="L515">
        <f>_xlfn.XLOOKUP(D515,BugList!C:C,BugList!N:N)</f>
        <v>6</v>
      </c>
      <c r="M515">
        <f t="shared" si="87"/>
        <v>6</v>
      </c>
      <c r="N515" t="b">
        <f>_xlfn.XLOOKUP(D515,BugList!C:C,BugList!L:L)</f>
        <v>1</v>
      </c>
      <c r="O515" t="b">
        <f t="shared" si="88"/>
        <v>0</v>
      </c>
      <c r="P515" s="18" t="b">
        <f>SUMPRODUCT(COUNTIF(_xlfn.XLOOKUP(D515,BugList!C:C,BugList!P:P), "*SC*"))&gt;0</f>
        <v>0</v>
      </c>
    </row>
    <row r="516" spans="1:16">
      <c r="A516" t="s">
        <v>2755</v>
      </c>
      <c r="B516">
        <v>209</v>
      </c>
      <c r="C516" t="s">
        <v>200</v>
      </c>
      <c r="D516" t="s">
        <v>100</v>
      </c>
      <c r="E516">
        <v>1</v>
      </c>
      <c r="F516" s="43">
        <f t="shared" si="83"/>
        <v>0.90909090909090906</v>
      </c>
      <c r="G516" s="44">
        <f t="shared" si="84"/>
        <v>0</v>
      </c>
      <c r="H516" s="44">
        <f t="shared" si="89"/>
        <v>0.90909090909090906</v>
      </c>
      <c r="I516" cm="1">
        <f t="array" ref="I516">INT(F516)+IF(100-SUM(INT(F$516:F$522))&gt;=RANK(H516,H$516:H$522)+COUNTIF(H$516:H516,H516)-1,1,0)</f>
        <v>1</v>
      </c>
      <c r="J516" t="b">
        <f t="shared" si="86"/>
        <v>0</v>
      </c>
      <c r="K516" t="str">
        <f t="shared" si="80"/>
        <v/>
      </c>
      <c r="L516">
        <f>_xlfn.XLOOKUP(D516,BugList!C:C,BugList!N:N)</f>
        <v>4</v>
      </c>
      <c r="M516">
        <f t="shared" si="87"/>
        <v>4</v>
      </c>
      <c r="N516" t="b">
        <f>_xlfn.XLOOKUP(D516,BugList!C:C,BugList!L:L)</f>
        <v>1</v>
      </c>
      <c r="O516" t="b">
        <f t="shared" si="88"/>
        <v>0</v>
      </c>
      <c r="P516" s="18" t="b">
        <f>SUMPRODUCT(COUNTIF(_xlfn.XLOOKUP(D516,BugList!C:C,BugList!P:P), "*SC*"))&gt;0</f>
        <v>1</v>
      </c>
    </row>
    <row r="517" spans="1:16">
      <c r="A517" t="s">
        <v>2755</v>
      </c>
      <c r="B517">
        <v>209</v>
      </c>
      <c r="C517" t="s">
        <v>194</v>
      </c>
      <c r="D517" t="s">
        <v>126</v>
      </c>
      <c r="E517">
        <v>2</v>
      </c>
      <c r="F517" s="43">
        <f t="shared" si="83"/>
        <v>1.8181818181818181</v>
      </c>
      <c r="G517" s="44">
        <f t="shared" si="84"/>
        <v>1</v>
      </c>
      <c r="H517" s="44">
        <f t="shared" si="89"/>
        <v>0.81818181818181812</v>
      </c>
      <c r="I517" cm="1">
        <f t="array" ref="I517">INT(F517)+IF(100-SUM(INT(F$516:F$522))&gt;=RANK(H517,H$516:H$522)+COUNTIF(H$516:H517,H517)-1,1,0)</f>
        <v>2</v>
      </c>
      <c r="J517" t="b">
        <f t="shared" si="86"/>
        <v>0</v>
      </c>
      <c r="K517" t="str">
        <f t="shared" si="80"/>
        <v/>
      </c>
      <c r="L517">
        <f>_xlfn.XLOOKUP(D517,BugList!C:C,BugList!N:N)</f>
        <v>8</v>
      </c>
      <c r="M517">
        <f t="shared" si="87"/>
        <v>16</v>
      </c>
      <c r="N517" t="b">
        <f>_xlfn.XLOOKUP(D517,BugList!C:C,BugList!L:L)</f>
        <v>1</v>
      </c>
      <c r="O517" t="b">
        <f t="shared" si="88"/>
        <v>0</v>
      </c>
      <c r="P517" s="18" t="b">
        <f>SUMPRODUCT(COUNTIF(_xlfn.XLOOKUP(D517,BugList!C:C,BugList!P:P), "*SC*"))&gt;0</f>
        <v>0</v>
      </c>
    </row>
    <row r="518" spans="1:16">
      <c r="A518" t="s">
        <v>2755</v>
      </c>
      <c r="B518">
        <v>209</v>
      </c>
      <c r="C518" t="s">
        <v>194</v>
      </c>
      <c r="D518" s="85" t="s">
        <v>90</v>
      </c>
      <c r="E518">
        <v>74</v>
      </c>
      <c r="F518" s="43">
        <f t="shared" si="83"/>
        <v>67.272727272727266</v>
      </c>
      <c r="G518" s="44">
        <f t="shared" si="84"/>
        <v>67</v>
      </c>
      <c r="H518" s="44">
        <f t="shared" si="89"/>
        <v>0.27272727272726627</v>
      </c>
      <c r="I518" cm="1">
        <f t="array" ref="I518">INT(F518)+IF(100-SUM(INT(F$516:F$522))&gt;=RANK(H518,H$516:H$522)+COUNTIF(H$516:H518,H518)-1,1,0)</f>
        <v>67</v>
      </c>
      <c r="J518" t="b">
        <f t="shared" si="86"/>
        <v>0</v>
      </c>
      <c r="K518" t="str">
        <f t="shared" si="80"/>
        <v/>
      </c>
      <c r="L518">
        <f>_xlfn.XLOOKUP(D518,BugList!C:C,BugList!N:N)</f>
        <v>6</v>
      </c>
      <c r="M518">
        <f t="shared" si="87"/>
        <v>402</v>
      </c>
      <c r="N518" t="b">
        <f>_xlfn.XLOOKUP(D518,BugList!C:C,BugList!L:L)</f>
        <v>1</v>
      </c>
      <c r="O518" t="b">
        <f t="shared" si="88"/>
        <v>0</v>
      </c>
      <c r="P518" s="18" t="b">
        <f>SUMPRODUCT(COUNTIF(_xlfn.XLOOKUP(D518,BugList!C:C,BugList!P:P), "*SC*"))&gt;0</f>
        <v>0</v>
      </c>
    </row>
    <row r="519" spans="1:16">
      <c r="A519" t="s">
        <v>2755</v>
      </c>
      <c r="B519">
        <v>209</v>
      </c>
      <c r="C519" t="s">
        <v>201</v>
      </c>
      <c r="D519" t="s">
        <v>85</v>
      </c>
      <c r="E519">
        <v>21</v>
      </c>
      <c r="F519" s="43">
        <f t="shared" si="83"/>
        <v>19.090909090909093</v>
      </c>
      <c r="G519" s="44">
        <f t="shared" si="84"/>
        <v>19</v>
      </c>
      <c r="H519" s="44">
        <f t="shared" si="89"/>
        <v>9.0909090909093493E-2</v>
      </c>
      <c r="I519" cm="1">
        <f t="array" ref="I519">INT(F519)+IF(100-SUM(INT(F$516:F$522))&gt;=RANK(H519,H$516:H$522)+COUNTIF(H$516:H519,H519)-1,1,0)</f>
        <v>19</v>
      </c>
      <c r="J519" t="b">
        <f t="shared" si="86"/>
        <v>0</v>
      </c>
      <c r="K519" t="str">
        <f t="shared" si="80"/>
        <v/>
      </c>
      <c r="L519">
        <f>_xlfn.XLOOKUP(D519,BugList!C:C,BugList!N:N)</f>
        <v>4</v>
      </c>
      <c r="M519">
        <f t="shared" si="87"/>
        <v>76</v>
      </c>
      <c r="N519" t="b">
        <f>_xlfn.XLOOKUP(D519,BugList!C:C,BugList!L:L)</f>
        <v>0</v>
      </c>
      <c r="O519" t="b">
        <f t="shared" si="88"/>
        <v>0</v>
      </c>
      <c r="P519" s="18" t="b">
        <f>SUMPRODUCT(COUNTIF(_xlfn.XLOOKUP(D519,BugList!C:C,BugList!P:P), "*SC*"))&gt;0</f>
        <v>0</v>
      </c>
    </row>
    <row r="520" spans="1:16">
      <c r="A520" t="s">
        <v>2755</v>
      </c>
      <c r="B520">
        <v>209</v>
      </c>
      <c r="C520" t="s">
        <v>210</v>
      </c>
      <c r="D520" t="s">
        <v>210</v>
      </c>
      <c r="E520">
        <v>2</v>
      </c>
      <c r="F520" s="43">
        <f t="shared" si="83"/>
        <v>1.8181818181818181</v>
      </c>
      <c r="G520" s="44">
        <f t="shared" si="84"/>
        <v>1</v>
      </c>
      <c r="H520" s="44">
        <f t="shared" si="89"/>
        <v>0.81818181818181812</v>
      </c>
      <c r="I520" cm="1">
        <f t="array" ref="I520">INT(F520)+IF(100-SUM(INT(F$516:F$522))&gt;=RANK(H520,H$516:H$522)+COUNTIF(H$516:H520,H520)-1,1,0)</f>
        <v>2</v>
      </c>
      <c r="J520" t="b">
        <f t="shared" si="86"/>
        <v>0</v>
      </c>
      <c r="K520" t="str">
        <f t="shared" si="80"/>
        <v/>
      </c>
      <c r="L520" s="71">
        <v>8</v>
      </c>
      <c r="M520">
        <f t="shared" si="87"/>
        <v>16</v>
      </c>
      <c r="N520" s="71" t="b">
        <v>0</v>
      </c>
      <c r="O520" t="b">
        <f t="shared" si="88"/>
        <v>0</v>
      </c>
      <c r="P520" s="72" t="b">
        <v>0</v>
      </c>
    </row>
    <row r="521" spans="1:16">
      <c r="A521" t="s">
        <v>2755</v>
      </c>
      <c r="B521">
        <v>209</v>
      </c>
      <c r="C521" t="s">
        <v>2315</v>
      </c>
      <c r="D521" t="s">
        <v>2315</v>
      </c>
      <c r="E521">
        <v>1</v>
      </c>
      <c r="F521" s="43">
        <f t="shared" si="83"/>
        <v>0.90909090909090906</v>
      </c>
      <c r="G521" s="44">
        <f t="shared" si="84"/>
        <v>0</v>
      </c>
      <c r="H521" s="44">
        <f t="shared" si="89"/>
        <v>0.90909090909090906</v>
      </c>
      <c r="I521" cm="1">
        <f t="array" ref="I521">INT(F521)+IF(100-SUM(INT(F$516:F$522))&gt;=RANK(H521,H$516:H$522)+COUNTIF(H$516:H521,H521)-1,1,0)</f>
        <v>1</v>
      </c>
      <c r="J521" t="b">
        <f t="shared" si="86"/>
        <v>0</v>
      </c>
      <c r="K521" t="str">
        <f t="shared" si="80"/>
        <v/>
      </c>
      <c r="L521">
        <f>_xlfn.XLOOKUP(D521,BugList!C:C,BugList!N:N)</f>
        <v>7</v>
      </c>
      <c r="M521">
        <f t="shared" si="87"/>
        <v>7</v>
      </c>
      <c r="N521" t="b">
        <f>_xlfn.XLOOKUP(D521,BugList!C:C,BugList!L:L)</f>
        <v>0</v>
      </c>
      <c r="O521" t="b">
        <f t="shared" si="88"/>
        <v>0</v>
      </c>
      <c r="P521" s="18" t="b">
        <f>SUMPRODUCT(COUNTIF(_xlfn.XLOOKUP(D521,BugList!C:C,BugList!P:P), "*SC*"))&gt;0</f>
        <v>1</v>
      </c>
    </row>
    <row r="522" spans="1:16">
      <c r="A522" t="s">
        <v>2755</v>
      </c>
      <c r="B522">
        <v>209</v>
      </c>
      <c r="C522" t="s">
        <v>94</v>
      </c>
      <c r="D522" t="s">
        <v>94</v>
      </c>
      <c r="E522">
        <v>9</v>
      </c>
      <c r="F522" s="43">
        <f t="shared" si="83"/>
        <v>8.1818181818181817</v>
      </c>
      <c r="G522" s="44">
        <f t="shared" si="84"/>
        <v>8</v>
      </c>
      <c r="H522" s="44">
        <f t="shared" si="89"/>
        <v>0.18181818181818166</v>
      </c>
      <c r="I522" cm="1">
        <f t="array" ref="I522">INT(F522)+IF(100-SUM(INT(F$516:F$522))&gt;=RANK(H522,H$516:H$522)+COUNTIF(H$516:H522,H522)-1,1,0)</f>
        <v>8</v>
      </c>
      <c r="J522" t="b">
        <f t="shared" si="86"/>
        <v>0</v>
      </c>
      <c r="K522" t="str">
        <f t="shared" si="80"/>
        <v/>
      </c>
      <c r="L522">
        <f>_xlfn.XLOOKUP(D522,BugList!C:C,BugList!N:N)</f>
        <v>8</v>
      </c>
      <c r="M522">
        <f t="shared" si="87"/>
        <v>64</v>
      </c>
      <c r="N522" t="b">
        <f>_xlfn.XLOOKUP(D522,BugList!C:C,BugList!L:L)</f>
        <v>0</v>
      </c>
      <c r="O522" t="b">
        <f t="shared" si="88"/>
        <v>0</v>
      </c>
      <c r="P522" s="18" t="b">
        <f>SUMPRODUCT(COUNTIF(_xlfn.XLOOKUP(D522,BugList!C:C,BugList!P:P), "*SC*"))&gt;0</f>
        <v>0</v>
      </c>
    </row>
    <row r="523" spans="1:16">
      <c r="A523" t="s">
        <v>2756</v>
      </c>
      <c r="B523">
        <v>223</v>
      </c>
      <c r="C523" t="s">
        <v>200</v>
      </c>
      <c r="D523" t="s">
        <v>98</v>
      </c>
      <c r="E523">
        <v>23</v>
      </c>
      <c r="F523" s="43"/>
      <c r="G523" s="44"/>
      <c r="H523" s="44"/>
      <c r="J523" t="b">
        <f t="shared" si="86"/>
        <v>0</v>
      </c>
      <c r="K523" t="str">
        <f t="shared" si="80"/>
        <v/>
      </c>
      <c r="L523">
        <f>_xlfn.XLOOKUP(D523,BugList!C:C,BugList!N:N)</f>
        <v>4</v>
      </c>
      <c r="N523" t="b">
        <f>_xlfn.XLOOKUP(D523,BugList!C:C,BugList!L:L)</f>
        <v>1</v>
      </c>
      <c r="O523" t="b">
        <f t="shared" si="88"/>
        <v>0</v>
      </c>
      <c r="P523" s="18" t="b">
        <f>SUMPRODUCT(COUNTIF(_xlfn.XLOOKUP(D523,BugList!C:C,BugList!P:P), "*SC*"))&gt;0</f>
        <v>1</v>
      </c>
    </row>
    <row r="524" spans="1:16">
      <c r="A524" t="s">
        <v>2756</v>
      </c>
      <c r="B524">
        <v>223</v>
      </c>
      <c r="C524" t="s">
        <v>194</v>
      </c>
      <c r="D524" t="s">
        <v>108</v>
      </c>
      <c r="E524">
        <v>1</v>
      </c>
      <c r="F524" s="43"/>
      <c r="G524" s="44"/>
      <c r="H524" s="44"/>
      <c r="J524" t="b">
        <f t="shared" si="86"/>
        <v>0</v>
      </c>
      <c r="K524" t="str">
        <f t="shared" si="80"/>
        <v/>
      </c>
      <c r="L524">
        <f>_xlfn.XLOOKUP(D524,BugList!C:C,BugList!N:N)</f>
        <v>3</v>
      </c>
      <c r="N524" t="b">
        <f>_xlfn.XLOOKUP(D524,BugList!C:C,BugList!L:L)</f>
        <v>1</v>
      </c>
      <c r="O524" t="b">
        <f t="shared" si="88"/>
        <v>0</v>
      </c>
      <c r="P524" s="18" t="b">
        <f>SUMPRODUCT(COUNTIF(_xlfn.XLOOKUP(D524,BugList!C:C,BugList!P:P), "*SC*"))&gt;0</f>
        <v>0</v>
      </c>
    </row>
    <row r="525" spans="1:16">
      <c r="A525" t="s">
        <v>2756</v>
      </c>
      <c r="B525">
        <v>223</v>
      </c>
      <c r="C525" t="s">
        <v>194</v>
      </c>
      <c r="D525" t="s">
        <v>126</v>
      </c>
      <c r="E525">
        <v>9</v>
      </c>
      <c r="F525" s="43"/>
      <c r="G525" s="44"/>
      <c r="H525" s="44"/>
      <c r="J525" t="b">
        <f t="shared" si="86"/>
        <v>0</v>
      </c>
      <c r="K525" t="str">
        <f t="shared" si="80"/>
        <v/>
      </c>
      <c r="L525">
        <f>_xlfn.XLOOKUP(D525,BugList!C:C,BugList!N:N)</f>
        <v>8</v>
      </c>
      <c r="N525" t="b">
        <f>_xlfn.XLOOKUP(D525,BugList!C:C,BugList!L:L)</f>
        <v>1</v>
      </c>
      <c r="O525" t="b">
        <f t="shared" si="88"/>
        <v>0</v>
      </c>
      <c r="P525" s="18" t="b">
        <f>SUMPRODUCT(COUNTIF(_xlfn.XLOOKUP(D525,BugList!C:C,BugList!P:P), "*SC*"))&gt;0</f>
        <v>0</v>
      </c>
    </row>
    <row r="526" spans="1:16">
      <c r="A526" t="s">
        <v>2756</v>
      </c>
      <c r="B526">
        <v>223</v>
      </c>
      <c r="C526" t="s">
        <v>194</v>
      </c>
      <c r="D526" s="85" t="s">
        <v>90</v>
      </c>
      <c r="E526">
        <v>1</v>
      </c>
      <c r="F526" s="43"/>
      <c r="G526" s="44"/>
      <c r="H526" s="44"/>
      <c r="J526" t="b">
        <f t="shared" si="86"/>
        <v>0</v>
      </c>
      <c r="K526" t="str">
        <f t="shared" si="80"/>
        <v/>
      </c>
      <c r="L526">
        <f>_xlfn.XLOOKUP(D526,BugList!C:C,BugList!N:N)</f>
        <v>6</v>
      </c>
      <c r="N526" t="b">
        <f>_xlfn.XLOOKUP(D526,BugList!C:C,BugList!L:L)</f>
        <v>1</v>
      </c>
      <c r="O526" t="b">
        <f t="shared" si="88"/>
        <v>0</v>
      </c>
      <c r="P526" s="18" t="b">
        <f>SUMPRODUCT(COUNTIF(_xlfn.XLOOKUP(D526,BugList!C:C,BugList!P:P), "*SC*"))&gt;0</f>
        <v>0</v>
      </c>
    </row>
    <row r="527" spans="1:16">
      <c r="A527" t="s">
        <v>2756</v>
      </c>
      <c r="B527">
        <v>223</v>
      </c>
      <c r="C527" t="s">
        <v>199</v>
      </c>
      <c r="D527" t="s">
        <v>111</v>
      </c>
      <c r="E527">
        <v>8</v>
      </c>
      <c r="F527" s="43"/>
      <c r="G527" s="44"/>
      <c r="H527" s="44"/>
      <c r="J527" t="b">
        <f t="shared" si="86"/>
        <v>1</v>
      </c>
      <c r="K527" t="str">
        <f t="shared" si="80"/>
        <v>Ephemeroptera</v>
      </c>
      <c r="L527">
        <f>_xlfn.XLOOKUP(D527,BugList!C:C,BugList!N:N)</f>
        <v>4</v>
      </c>
      <c r="N527" t="b">
        <f>_xlfn.XLOOKUP(D527,BugList!C:C,BugList!L:L)</f>
        <v>1</v>
      </c>
      <c r="O527" t="b">
        <f t="shared" si="88"/>
        <v>1</v>
      </c>
      <c r="P527" s="18" t="b">
        <f>SUMPRODUCT(COUNTIF(_xlfn.XLOOKUP(D527,BugList!C:C,BugList!P:P), "*SC*"))&gt;0</f>
        <v>0</v>
      </c>
    </row>
    <row r="528" spans="1:16">
      <c r="A528" t="s">
        <v>2756</v>
      </c>
      <c r="B528">
        <v>223</v>
      </c>
      <c r="C528" t="s">
        <v>195</v>
      </c>
      <c r="D528" t="s">
        <v>1056</v>
      </c>
      <c r="E528">
        <v>1</v>
      </c>
      <c r="F528" s="43"/>
      <c r="G528" s="44"/>
      <c r="H528" s="44"/>
      <c r="J528" t="b">
        <f t="shared" si="86"/>
        <v>0</v>
      </c>
      <c r="K528" t="str">
        <f t="shared" si="80"/>
        <v/>
      </c>
      <c r="L528">
        <f>_xlfn.XLOOKUP(D528,BugList!C:C,BugList!N:N)</f>
        <v>5</v>
      </c>
      <c r="N528" t="b">
        <f>_xlfn.XLOOKUP(D528,BugList!C:C,BugList!L:L)</f>
        <v>1</v>
      </c>
      <c r="O528" t="b">
        <f t="shared" si="88"/>
        <v>0</v>
      </c>
      <c r="P528" s="18" t="b">
        <f>SUMPRODUCT(COUNTIF(_xlfn.XLOOKUP(D528,BugList!C:C,BugList!P:P), "*SC*"))&gt;0</f>
        <v>0</v>
      </c>
    </row>
    <row r="529" spans="1:16">
      <c r="A529" t="s">
        <v>2756</v>
      </c>
      <c r="B529">
        <v>223</v>
      </c>
      <c r="C529" t="s">
        <v>201</v>
      </c>
      <c r="D529" t="s">
        <v>85</v>
      </c>
      <c r="E529">
        <v>15</v>
      </c>
      <c r="F529" s="43"/>
      <c r="G529" s="44"/>
      <c r="H529" s="44"/>
      <c r="J529" t="b">
        <f t="shared" si="86"/>
        <v>0</v>
      </c>
      <c r="K529" t="str">
        <f t="shared" si="80"/>
        <v/>
      </c>
      <c r="L529">
        <f>_xlfn.XLOOKUP(D529,BugList!C:C,BugList!N:N)</f>
        <v>4</v>
      </c>
      <c r="N529" t="b">
        <f>_xlfn.XLOOKUP(D529,BugList!C:C,BugList!L:L)</f>
        <v>0</v>
      </c>
      <c r="O529" t="b">
        <f t="shared" si="88"/>
        <v>0</v>
      </c>
      <c r="P529" s="18" t="b">
        <f>SUMPRODUCT(COUNTIF(_xlfn.XLOOKUP(D529,BugList!C:C,BugList!P:P), "*SC*"))&gt;0</f>
        <v>0</v>
      </c>
    </row>
    <row r="530" spans="1:16">
      <c r="A530" t="s">
        <v>2756</v>
      </c>
      <c r="B530">
        <v>223</v>
      </c>
      <c r="C530" t="s">
        <v>210</v>
      </c>
      <c r="D530" t="s">
        <v>210</v>
      </c>
      <c r="E530">
        <v>7</v>
      </c>
      <c r="F530" s="43"/>
      <c r="G530" s="44"/>
      <c r="H530" s="44"/>
      <c r="J530" t="b">
        <f t="shared" si="86"/>
        <v>0</v>
      </c>
      <c r="K530" t="str">
        <f t="shared" si="80"/>
        <v/>
      </c>
      <c r="L530" s="71">
        <v>8</v>
      </c>
      <c r="N530" s="71" t="b">
        <v>0</v>
      </c>
      <c r="O530" t="b">
        <f t="shared" si="88"/>
        <v>0</v>
      </c>
      <c r="P530" s="72" t="b">
        <v>0</v>
      </c>
    </row>
    <row r="531" spans="1:16">
      <c r="A531" t="s">
        <v>2756</v>
      </c>
      <c r="B531">
        <v>223</v>
      </c>
      <c r="C531" t="s">
        <v>2315</v>
      </c>
      <c r="D531" t="s">
        <v>2315</v>
      </c>
      <c r="E531">
        <v>1</v>
      </c>
      <c r="F531" s="43"/>
      <c r="G531" s="44"/>
      <c r="H531" s="44"/>
      <c r="J531" t="b">
        <f t="shared" si="86"/>
        <v>0</v>
      </c>
      <c r="K531" t="str">
        <f t="shared" si="80"/>
        <v/>
      </c>
      <c r="L531">
        <f>_xlfn.XLOOKUP(D531,BugList!C:C,BugList!N:N)</f>
        <v>7</v>
      </c>
      <c r="N531" t="b">
        <f>_xlfn.XLOOKUP(D531,BugList!C:C,BugList!L:L)</f>
        <v>0</v>
      </c>
      <c r="O531" t="b">
        <f t="shared" si="88"/>
        <v>0</v>
      </c>
      <c r="P531" s="18" t="b">
        <f>SUMPRODUCT(COUNTIF(_xlfn.XLOOKUP(D531,BugList!C:C,BugList!P:P), "*SC*"))&gt;0</f>
        <v>1</v>
      </c>
    </row>
    <row r="532" spans="1:16">
      <c r="A532" t="s">
        <v>2756</v>
      </c>
      <c r="B532">
        <v>223</v>
      </c>
      <c r="C532" t="s">
        <v>205</v>
      </c>
      <c r="D532" t="s">
        <v>206</v>
      </c>
      <c r="E532">
        <v>3</v>
      </c>
      <c r="F532" s="43"/>
      <c r="G532" s="44"/>
      <c r="H532" s="44"/>
      <c r="J532" t="b">
        <f t="shared" si="86"/>
        <v>0</v>
      </c>
      <c r="K532" t="str">
        <f t="shared" si="80"/>
        <v/>
      </c>
      <c r="L532" s="71">
        <v>8</v>
      </c>
      <c r="N532" s="71" t="b">
        <v>0</v>
      </c>
      <c r="O532" t="b">
        <f t="shared" si="88"/>
        <v>0</v>
      </c>
      <c r="P532" s="72" t="b">
        <v>0</v>
      </c>
    </row>
    <row r="533" spans="1:16">
      <c r="A533" t="s">
        <v>2756</v>
      </c>
      <c r="B533">
        <v>223</v>
      </c>
      <c r="C533" t="s">
        <v>94</v>
      </c>
      <c r="D533" t="s">
        <v>94</v>
      </c>
      <c r="E533">
        <v>6</v>
      </c>
      <c r="F533" s="43"/>
      <c r="G533" s="44"/>
      <c r="H533" s="44"/>
      <c r="J533" t="b">
        <f t="shared" si="86"/>
        <v>0</v>
      </c>
      <c r="K533" t="str">
        <f t="shared" si="80"/>
        <v/>
      </c>
      <c r="L533">
        <f>_xlfn.XLOOKUP(D533,BugList!C:C,BugList!N:N)</f>
        <v>8</v>
      </c>
      <c r="N533" t="b">
        <f>_xlfn.XLOOKUP(D533,BugList!C:C,BugList!L:L)</f>
        <v>0</v>
      </c>
      <c r="O533" t="b">
        <f t="shared" si="88"/>
        <v>0</v>
      </c>
      <c r="P533" s="18" t="b">
        <f>SUMPRODUCT(COUNTIF(_xlfn.XLOOKUP(D533,BugList!C:C,BugList!P:P), "*SC*"))&gt;0</f>
        <v>0</v>
      </c>
    </row>
    <row r="534" spans="1:16">
      <c r="A534" t="s">
        <v>2757</v>
      </c>
      <c r="B534">
        <v>225</v>
      </c>
      <c r="C534" t="s">
        <v>200</v>
      </c>
      <c r="D534" t="s">
        <v>98</v>
      </c>
      <c r="E534">
        <v>3</v>
      </c>
      <c r="F534" s="43">
        <f t="shared" ref="F534:F565" si="90">(E534/(SUMIFS(E:E,A:A,A534))*100)</f>
        <v>2.7027027027027026</v>
      </c>
      <c r="G534" s="44">
        <f t="shared" si="84"/>
        <v>2</v>
      </c>
      <c r="H534" s="44">
        <f t="shared" si="89"/>
        <v>0.70270270270270263</v>
      </c>
      <c r="I534" cm="1">
        <f t="array" ref="I534">INT(F534)+IF(100-SUM(INT(F$534:F$546))&gt;=RANK(H534,H$534:H$546)+COUNTIF(H$534:H534,H534)-1,1,0)</f>
        <v>3</v>
      </c>
      <c r="J534" t="b">
        <f t="shared" si="86"/>
        <v>0</v>
      </c>
      <c r="K534" t="str">
        <f t="shared" ref="K534:K546" si="91">IF(J534=TRUE,C534,"")</f>
        <v/>
      </c>
      <c r="L534">
        <f>_xlfn.XLOOKUP(D534,BugList!C:C,BugList!N:N)</f>
        <v>4</v>
      </c>
      <c r="M534">
        <f t="shared" si="87"/>
        <v>12</v>
      </c>
      <c r="N534" t="b">
        <f>_xlfn.XLOOKUP(D534,BugList!C:C,BugList!L:L)</f>
        <v>1</v>
      </c>
      <c r="O534" t="b">
        <f t="shared" si="88"/>
        <v>0</v>
      </c>
      <c r="P534" s="18" t="b">
        <f>SUMPRODUCT(COUNTIF(_xlfn.XLOOKUP(D534,BugList!C:C,BugList!P:P), "*SC*"))&gt;0</f>
        <v>1</v>
      </c>
    </row>
    <row r="535" spans="1:16">
      <c r="A535" t="s">
        <v>2757</v>
      </c>
      <c r="B535">
        <v>225</v>
      </c>
      <c r="C535" t="s">
        <v>200</v>
      </c>
      <c r="D535" t="s">
        <v>1563</v>
      </c>
      <c r="E535">
        <v>1</v>
      </c>
      <c r="F535" s="43">
        <f t="shared" si="90"/>
        <v>0.90090090090090091</v>
      </c>
      <c r="G535" s="44">
        <f t="shared" si="84"/>
        <v>0</v>
      </c>
      <c r="H535" s="44">
        <f t="shared" si="89"/>
        <v>0.90090090090090091</v>
      </c>
      <c r="I535" cm="1">
        <f t="array" ref="I535">INT(F535)+IF(100-SUM(INT(F$534:F$546))&gt;=RANK(H535,H$534:H$546)+COUNTIF(H$534:H535,H535)-1,1,0)</f>
        <v>1</v>
      </c>
      <c r="J535" t="b">
        <f t="shared" si="86"/>
        <v>0</v>
      </c>
      <c r="K535" t="str">
        <f t="shared" si="91"/>
        <v/>
      </c>
      <c r="L535">
        <f>_xlfn.XLOOKUP(D535,BugList!C:C,BugList!N:N)</f>
        <v>5</v>
      </c>
      <c r="M535">
        <f t="shared" si="87"/>
        <v>5</v>
      </c>
      <c r="N535" t="b">
        <f>_xlfn.XLOOKUP(D535,BugList!C:C,BugList!L:L)</f>
        <v>1</v>
      </c>
      <c r="O535" t="b">
        <f t="shared" si="88"/>
        <v>0</v>
      </c>
      <c r="P535" s="18" t="b">
        <f>SUMPRODUCT(COUNTIF(_xlfn.XLOOKUP(D535,BugList!C:C,BugList!P:P), "*SC*"))&gt;0</f>
        <v>0</v>
      </c>
    </row>
    <row r="536" spans="1:16">
      <c r="A536" t="s">
        <v>2757</v>
      </c>
      <c r="B536">
        <v>225</v>
      </c>
      <c r="C536" t="s">
        <v>200</v>
      </c>
      <c r="D536" t="s">
        <v>100</v>
      </c>
      <c r="E536">
        <v>43</v>
      </c>
      <c r="F536" s="43">
        <f t="shared" si="90"/>
        <v>38.738738738738739</v>
      </c>
      <c r="G536" s="44">
        <f t="shared" si="84"/>
        <v>38</v>
      </c>
      <c r="H536" s="44">
        <f t="shared" si="89"/>
        <v>0.73873873873873919</v>
      </c>
      <c r="I536" cm="1">
        <f t="array" ref="I536">INT(F536)+IF(100-SUM(INT(F$534:F$546))&gt;=RANK(H536,H$534:H$546)+COUNTIF(H$534:H536,H536)-1,1,0)</f>
        <v>39</v>
      </c>
      <c r="J536" t="b">
        <f t="shared" si="86"/>
        <v>0</v>
      </c>
      <c r="K536" t="str">
        <f t="shared" si="91"/>
        <v/>
      </c>
      <c r="L536">
        <f>_xlfn.XLOOKUP(D536,BugList!C:C,BugList!N:N)</f>
        <v>4</v>
      </c>
      <c r="M536">
        <f t="shared" si="87"/>
        <v>156</v>
      </c>
      <c r="N536" t="b">
        <f>_xlfn.XLOOKUP(D536,BugList!C:C,BugList!L:L)</f>
        <v>1</v>
      </c>
      <c r="O536" t="b">
        <f t="shared" si="88"/>
        <v>0</v>
      </c>
      <c r="P536" s="18" t="b">
        <f>SUMPRODUCT(COUNTIF(_xlfn.XLOOKUP(D536,BugList!C:C,BugList!P:P), "*SC*"))&gt;0</f>
        <v>1</v>
      </c>
    </row>
    <row r="537" spans="1:16">
      <c r="A537" t="s">
        <v>2757</v>
      </c>
      <c r="B537">
        <v>225</v>
      </c>
      <c r="C537" t="s">
        <v>194</v>
      </c>
      <c r="D537" t="s">
        <v>108</v>
      </c>
      <c r="E537">
        <v>4</v>
      </c>
      <c r="F537" s="43">
        <f t="shared" si="90"/>
        <v>3.6036036036036037</v>
      </c>
      <c r="G537" s="44">
        <f t="shared" si="84"/>
        <v>3</v>
      </c>
      <c r="H537" s="44">
        <f t="shared" si="89"/>
        <v>0.60360360360360366</v>
      </c>
      <c r="I537" cm="1">
        <f t="array" ref="I537">INT(F537)+IF(100-SUM(INT(F$534:F$546))&gt;=RANK(H537,H$534:H$546)+COUNTIF(H$534:H537,H537)-1,1,0)</f>
        <v>3</v>
      </c>
      <c r="J537" t="b">
        <f t="shared" si="86"/>
        <v>0</v>
      </c>
      <c r="K537" t="str">
        <f t="shared" si="91"/>
        <v/>
      </c>
      <c r="L537">
        <f>_xlfn.XLOOKUP(D537,BugList!C:C,BugList!N:N)</f>
        <v>3</v>
      </c>
      <c r="M537">
        <f t="shared" si="87"/>
        <v>9</v>
      </c>
      <c r="N537" t="b">
        <f>_xlfn.XLOOKUP(D537,BugList!C:C,BugList!L:L)</f>
        <v>1</v>
      </c>
      <c r="O537" t="b">
        <f t="shared" si="88"/>
        <v>0</v>
      </c>
      <c r="P537" s="18" t="b">
        <f>SUMPRODUCT(COUNTIF(_xlfn.XLOOKUP(D537,BugList!C:C,BugList!P:P), "*SC*"))&gt;0</f>
        <v>0</v>
      </c>
    </row>
    <row r="538" spans="1:16">
      <c r="A538" t="s">
        <v>2757</v>
      </c>
      <c r="B538">
        <v>225</v>
      </c>
      <c r="C538" t="s">
        <v>199</v>
      </c>
      <c r="D538" t="s">
        <v>111</v>
      </c>
      <c r="E538">
        <v>4</v>
      </c>
      <c r="F538" s="43">
        <f t="shared" si="90"/>
        <v>3.6036036036036037</v>
      </c>
      <c r="G538" s="44">
        <f t="shared" si="84"/>
        <v>3</v>
      </c>
      <c r="H538" s="44">
        <f t="shared" si="89"/>
        <v>0.60360360360360366</v>
      </c>
      <c r="I538" cm="1">
        <f t="array" ref="I538">INT(F538)+IF(100-SUM(INT(F$534:F$546))&gt;=RANK(H538,H$534:H$546)+COUNTIF(H$534:H538,H538)-1,1,0)</f>
        <v>3</v>
      </c>
      <c r="J538" t="b">
        <f t="shared" si="86"/>
        <v>1</v>
      </c>
      <c r="K538" t="str">
        <f t="shared" si="91"/>
        <v>Ephemeroptera</v>
      </c>
      <c r="L538">
        <f>_xlfn.XLOOKUP(D538,BugList!C:C,BugList!N:N)</f>
        <v>4</v>
      </c>
      <c r="M538">
        <f t="shared" si="87"/>
        <v>12</v>
      </c>
      <c r="N538" t="b">
        <f>_xlfn.XLOOKUP(D538,BugList!C:C,BugList!L:L)</f>
        <v>1</v>
      </c>
      <c r="O538" t="b">
        <f t="shared" si="88"/>
        <v>1</v>
      </c>
      <c r="P538" s="18" t="b">
        <f>SUMPRODUCT(COUNTIF(_xlfn.XLOOKUP(D538,BugList!C:C,BugList!P:P), "*SC*"))&gt;0</f>
        <v>0</v>
      </c>
    </row>
    <row r="539" spans="1:16">
      <c r="A539" t="s">
        <v>2757</v>
      </c>
      <c r="B539">
        <v>225</v>
      </c>
      <c r="C539" t="s">
        <v>195</v>
      </c>
      <c r="D539" t="s">
        <v>97</v>
      </c>
      <c r="E539">
        <v>2</v>
      </c>
      <c r="F539" s="43">
        <f t="shared" si="90"/>
        <v>1.8018018018018018</v>
      </c>
      <c r="G539" s="44">
        <f t="shared" si="84"/>
        <v>1</v>
      </c>
      <c r="H539" s="44">
        <f t="shared" si="89"/>
        <v>0.80180180180180183</v>
      </c>
      <c r="I539" cm="1">
        <f t="array" ref="I539">INT(F539)+IF(100-SUM(INT(F$534:F$546))&gt;=RANK(H539,H$534:H$546)+COUNTIF(H$534:H539,H539)-1,1,0)</f>
        <v>2</v>
      </c>
      <c r="J539" t="b">
        <f t="shared" si="86"/>
        <v>0</v>
      </c>
      <c r="K539" t="str">
        <f t="shared" si="91"/>
        <v/>
      </c>
      <c r="L539">
        <f>_xlfn.XLOOKUP(D539,BugList!C:C,BugList!N:N)</f>
        <v>9</v>
      </c>
      <c r="M539">
        <f t="shared" si="87"/>
        <v>18</v>
      </c>
      <c r="N539" t="b">
        <f>_xlfn.XLOOKUP(D539,BugList!C:C,BugList!L:L)</f>
        <v>1</v>
      </c>
      <c r="O539" t="b">
        <f t="shared" si="88"/>
        <v>0</v>
      </c>
      <c r="P539" s="18" t="b">
        <f>SUMPRODUCT(COUNTIF(_xlfn.XLOOKUP(D539,BugList!C:C,BugList!P:P), "*SC*"))&gt;0</f>
        <v>0</v>
      </c>
    </row>
    <row r="540" spans="1:16">
      <c r="A540" t="s">
        <v>2757</v>
      </c>
      <c r="B540">
        <v>225</v>
      </c>
      <c r="C540" t="s">
        <v>211</v>
      </c>
      <c r="D540" t="s">
        <v>87</v>
      </c>
      <c r="E540">
        <v>3</v>
      </c>
      <c r="F540" s="43">
        <f t="shared" si="90"/>
        <v>2.7027027027027026</v>
      </c>
      <c r="G540" s="44">
        <f t="shared" si="84"/>
        <v>2</v>
      </c>
      <c r="H540" s="44">
        <f t="shared" si="89"/>
        <v>0.70270270270270263</v>
      </c>
      <c r="I540" cm="1">
        <f t="array" ref="I540">INT(F540)+IF(100-SUM(INT(F$534:F$546))&gt;=RANK(H540,H$534:H$546)+COUNTIF(H$534:H540,H540)-1,1,0)</f>
        <v>3</v>
      </c>
      <c r="J540" t="b">
        <f t="shared" si="86"/>
        <v>0</v>
      </c>
      <c r="K540" t="str">
        <f t="shared" si="91"/>
        <v/>
      </c>
      <c r="L540">
        <f>_xlfn.XLOOKUP(D540,BugList!C:C,BugList!N:N)</f>
        <v>4</v>
      </c>
      <c r="M540">
        <f t="shared" si="87"/>
        <v>12</v>
      </c>
      <c r="N540" t="b">
        <f>_xlfn.XLOOKUP(D540,BugList!C:C,BugList!L:L)</f>
        <v>0</v>
      </c>
      <c r="O540" t="b">
        <f t="shared" si="88"/>
        <v>0</v>
      </c>
      <c r="P540" s="18" t="b">
        <f>SUMPRODUCT(COUNTIF(_xlfn.XLOOKUP(D540,BugList!C:C,BugList!P:P), "*SC*"))&gt;0</f>
        <v>0</v>
      </c>
    </row>
    <row r="541" spans="1:16">
      <c r="A541" t="s">
        <v>2757</v>
      </c>
      <c r="B541">
        <v>225</v>
      </c>
      <c r="C541" t="s">
        <v>204</v>
      </c>
      <c r="D541" t="s">
        <v>84</v>
      </c>
      <c r="E541">
        <v>1</v>
      </c>
      <c r="F541" s="43">
        <f t="shared" si="90"/>
        <v>0.90090090090090091</v>
      </c>
      <c r="G541" s="44">
        <f t="shared" si="84"/>
        <v>0</v>
      </c>
      <c r="H541" s="44">
        <f t="shared" si="89"/>
        <v>0.90090090090090091</v>
      </c>
      <c r="I541" cm="1">
        <f t="array" ref="I541">INT(F541)+IF(100-SUM(INT(F$534:F$546))&gt;=RANK(H541,H$534:H$546)+COUNTIF(H$534:H541,H541)-1,1,0)</f>
        <v>1</v>
      </c>
      <c r="J541" t="b">
        <f t="shared" si="86"/>
        <v>0</v>
      </c>
      <c r="K541" t="str">
        <f t="shared" si="91"/>
        <v/>
      </c>
      <c r="L541">
        <f>_xlfn.XLOOKUP(D541,BugList!C:C,BugList!N:N)</f>
        <v>8</v>
      </c>
      <c r="M541">
        <f t="shared" si="87"/>
        <v>8</v>
      </c>
      <c r="N541" t="b">
        <f>_xlfn.XLOOKUP(D541,BugList!C:C,BugList!L:L)</f>
        <v>0</v>
      </c>
      <c r="O541" t="b">
        <f t="shared" si="88"/>
        <v>0</v>
      </c>
      <c r="P541" s="18" t="b">
        <f>SUMPRODUCT(COUNTIF(_xlfn.XLOOKUP(D541,BugList!C:C,BugList!P:P), "*SC*"))&gt;0</f>
        <v>0</v>
      </c>
    </row>
    <row r="542" spans="1:16">
      <c r="A542" t="s">
        <v>2757</v>
      </c>
      <c r="B542">
        <v>225</v>
      </c>
      <c r="C542" t="s">
        <v>201</v>
      </c>
      <c r="D542" t="s">
        <v>85</v>
      </c>
      <c r="E542">
        <v>10</v>
      </c>
      <c r="F542" s="43">
        <f t="shared" si="90"/>
        <v>9.0090090090090094</v>
      </c>
      <c r="G542" s="44">
        <f t="shared" si="84"/>
        <v>9</v>
      </c>
      <c r="H542" s="44">
        <f t="shared" si="89"/>
        <v>9.0090090090093611E-3</v>
      </c>
      <c r="I542" cm="1">
        <f t="array" ref="I542">INT(F542)+IF(100-SUM(INT(F$534:F$546))&gt;=RANK(H542,H$534:H$546)+COUNTIF(H$534:H542,H542)-1,1,0)</f>
        <v>9</v>
      </c>
      <c r="J542" t="b">
        <f t="shared" si="86"/>
        <v>0</v>
      </c>
      <c r="K542" t="str">
        <f t="shared" si="91"/>
        <v/>
      </c>
      <c r="L542">
        <f>_xlfn.XLOOKUP(D542,BugList!C:C,BugList!N:N)</f>
        <v>4</v>
      </c>
      <c r="M542">
        <f t="shared" si="87"/>
        <v>36</v>
      </c>
      <c r="N542" t="b">
        <f>_xlfn.XLOOKUP(D542,BugList!C:C,BugList!L:L)</f>
        <v>0</v>
      </c>
      <c r="O542" t="b">
        <f t="shared" si="88"/>
        <v>0</v>
      </c>
      <c r="P542" s="18" t="b">
        <f>SUMPRODUCT(COUNTIF(_xlfn.XLOOKUP(D542,BugList!C:C,BugList!P:P), "*SC*"))&gt;0</f>
        <v>0</v>
      </c>
    </row>
    <row r="543" spans="1:16">
      <c r="A543" t="s">
        <v>2757</v>
      </c>
      <c r="B543">
        <v>225</v>
      </c>
      <c r="C543" t="s">
        <v>210</v>
      </c>
      <c r="D543" t="s">
        <v>210</v>
      </c>
      <c r="E543">
        <v>15</v>
      </c>
      <c r="F543" s="43">
        <f t="shared" si="90"/>
        <v>13.513513513513514</v>
      </c>
      <c r="G543" s="44">
        <f t="shared" si="84"/>
        <v>13</v>
      </c>
      <c r="H543" s="44">
        <f t="shared" si="89"/>
        <v>0.51351351351351404</v>
      </c>
      <c r="I543" cm="1">
        <f t="array" ref="I543">INT(F543)+IF(100-SUM(INT(F$534:F$546))&gt;=RANK(H543,H$534:H$546)+COUNTIF(H$534:H543,H543)-1,1,0)</f>
        <v>13</v>
      </c>
      <c r="J543" t="b">
        <f t="shared" si="86"/>
        <v>0</v>
      </c>
      <c r="K543" t="str">
        <f t="shared" si="91"/>
        <v/>
      </c>
      <c r="L543" s="71">
        <v>8</v>
      </c>
      <c r="M543">
        <f t="shared" si="87"/>
        <v>104</v>
      </c>
      <c r="N543" s="71" t="b">
        <v>0</v>
      </c>
      <c r="O543" t="b">
        <f t="shared" si="88"/>
        <v>0</v>
      </c>
      <c r="P543" s="72" t="b">
        <v>0</v>
      </c>
    </row>
    <row r="544" spans="1:16">
      <c r="A544" t="s">
        <v>2757</v>
      </c>
      <c r="B544">
        <v>225</v>
      </c>
      <c r="C544" t="s">
        <v>2315</v>
      </c>
      <c r="D544" t="s">
        <v>2315</v>
      </c>
      <c r="E544">
        <v>23</v>
      </c>
      <c r="F544" s="43">
        <f t="shared" si="90"/>
        <v>20.72072072072072</v>
      </c>
      <c r="G544" s="44">
        <f t="shared" si="84"/>
        <v>20</v>
      </c>
      <c r="H544" s="44">
        <f t="shared" si="89"/>
        <v>0.72072072072072046</v>
      </c>
      <c r="I544" cm="1">
        <f t="array" ref="I544">INT(F544)+IF(100-SUM(INT(F$534:F$546))&gt;=RANK(H544,H$534:H$546)+COUNTIF(H$534:H544,H544)-1,1,0)</f>
        <v>21</v>
      </c>
      <c r="J544" t="b">
        <f t="shared" si="86"/>
        <v>0</v>
      </c>
      <c r="K544" t="str">
        <f t="shared" si="91"/>
        <v/>
      </c>
      <c r="L544">
        <f>_xlfn.XLOOKUP(D544,BugList!C:C,BugList!N:N)</f>
        <v>7</v>
      </c>
      <c r="M544">
        <f t="shared" si="87"/>
        <v>147</v>
      </c>
      <c r="N544" t="b">
        <f>_xlfn.XLOOKUP(D544,BugList!C:C,BugList!L:L)</f>
        <v>0</v>
      </c>
      <c r="O544" t="b">
        <f t="shared" si="88"/>
        <v>0</v>
      </c>
      <c r="P544" s="18" t="b">
        <f>SUMPRODUCT(COUNTIF(_xlfn.XLOOKUP(D544,BugList!C:C,BugList!P:P), "*SC*"))&gt;0</f>
        <v>1</v>
      </c>
    </row>
    <row r="545" spans="1:16">
      <c r="A545" t="s">
        <v>2757</v>
      </c>
      <c r="B545">
        <v>225</v>
      </c>
      <c r="C545" t="s">
        <v>205</v>
      </c>
      <c r="D545" t="s">
        <v>206</v>
      </c>
      <c r="E545">
        <v>1</v>
      </c>
      <c r="F545" s="43">
        <f t="shared" si="90"/>
        <v>0.90090090090090091</v>
      </c>
      <c r="G545" s="44">
        <f t="shared" si="84"/>
        <v>0</v>
      </c>
      <c r="H545" s="44">
        <f t="shared" si="89"/>
        <v>0.90090090090090091</v>
      </c>
      <c r="I545" cm="1">
        <f t="array" ref="I545">INT(F545)+IF(100-SUM(INT(F$534:F$546))&gt;=RANK(H545,H$534:H$546)+COUNTIF(H$534:H545,H545)-1,1,0)</f>
        <v>1</v>
      </c>
      <c r="J545" t="b">
        <f t="shared" si="86"/>
        <v>0</v>
      </c>
      <c r="K545" t="str">
        <f t="shared" si="91"/>
        <v/>
      </c>
      <c r="L545" s="71">
        <v>8</v>
      </c>
      <c r="M545">
        <f t="shared" si="87"/>
        <v>8</v>
      </c>
      <c r="N545" s="71" t="b">
        <v>0</v>
      </c>
      <c r="O545" t="b">
        <f t="shared" si="88"/>
        <v>0</v>
      </c>
      <c r="P545" s="72" t="b">
        <v>0</v>
      </c>
    </row>
    <row r="546" spans="1:16">
      <c r="A546" t="s">
        <v>2757</v>
      </c>
      <c r="B546">
        <v>225</v>
      </c>
      <c r="C546" t="s">
        <v>94</v>
      </c>
      <c r="D546" t="s">
        <v>94</v>
      </c>
      <c r="E546">
        <v>1</v>
      </c>
      <c r="F546" s="43">
        <f t="shared" si="90"/>
        <v>0.90090090090090091</v>
      </c>
      <c r="G546" s="44">
        <f t="shared" si="84"/>
        <v>0</v>
      </c>
      <c r="H546" s="44">
        <f t="shared" si="89"/>
        <v>0.90090090090090091</v>
      </c>
      <c r="I546" cm="1">
        <f t="array" ref="I546">INT(F546)+IF(100-SUM(INT(F$534:F$546))&gt;=RANK(H546,H$534:H$546)+COUNTIF(H$534:H546,H546)-1,1,0)</f>
        <v>1</v>
      </c>
      <c r="J546" t="b">
        <f t="shared" si="86"/>
        <v>0</v>
      </c>
      <c r="K546" t="str">
        <f t="shared" si="91"/>
        <v/>
      </c>
      <c r="L546">
        <f>_xlfn.XLOOKUP(D546,BugList!C:C,BugList!N:N)</f>
        <v>8</v>
      </c>
      <c r="M546">
        <f t="shared" si="87"/>
        <v>8</v>
      </c>
      <c r="N546" t="b">
        <f>_xlfn.XLOOKUP(D546,BugList!C:C,BugList!L:L)</f>
        <v>0</v>
      </c>
      <c r="O546" t="b">
        <f t="shared" si="88"/>
        <v>0</v>
      </c>
      <c r="P546" s="18" t="b">
        <f>SUMPRODUCT(COUNTIF(_xlfn.XLOOKUP(D546,BugList!C:C,BugList!P:P), "*SC*"))&gt;0</f>
        <v>0</v>
      </c>
    </row>
    <row r="547" spans="1:16">
      <c r="A547" t="s">
        <v>2758</v>
      </c>
      <c r="B547">
        <v>239</v>
      </c>
      <c r="C547" t="s">
        <v>200</v>
      </c>
      <c r="D547" t="s">
        <v>98</v>
      </c>
      <c r="E547">
        <v>1</v>
      </c>
      <c r="F547" s="43">
        <f t="shared" si="90"/>
        <v>0.76923076923076927</v>
      </c>
      <c r="G547" s="44">
        <f t="shared" si="84"/>
        <v>0</v>
      </c>
      <c r="H547" s="44">
        <f t="shared" ref="H547:H587" si="92">F547-G547</f>
        <v>0.76923076923076927</v>
      </c>
      <c r="I547" cm="1">
        <f t="array" ref="I547">INT(F547)+IF(100-SUM(INT(F$547:F$551))&gt;=RANK(H547,H$547:H$551)+COUNTIF(H$547:H547,H547)-1,1,0)</f>
        <v>1</v>
      </c>
      <c r="J547" t="b">
        <f t="shared" ref="J547:J587" si="93">IF(OR(C547="Ephemeroptera", C547 ="Plecoptera", C547= "Trichoptera"), TRUE, FALSE)</f>
        <v>0</v>
      </c>
      <c r="K547" t="str">
        <f t="shared" ref="K547:K587" si="94">IF(J547=TRUE,C547,"")</f>
        <v/>
      </c>
      <c r="L547">
        <f>_xlfn.XLOOKUP(D547,BugList!C:C,BugList!N:N)</f>
        <v>4</v>
      </c>
      <c r="M547">
        <f t="shared" ref="M547:M587" si="95">L547*I547</f>
        <v>4</v>
      </c>
      <c r="N547" t="b">
        <f>_xlfn.XLOOKUP(D547,BugList!C:C,BugList!L:L)</f>
        <v>1</v>
      </c>
      <c r="O547" t="b">
        <f t="shared" ref="O547:O587" si="96">IF(J547=TRUE,IF(D547="Hydropsychidae", FALSE, TRUE), FALSE)</f>
        <v>0</v>
      </c>
      <c r="P547" s="18" t="b">
        <f>SUMPRODUCT(COUNTIF(_xlfn.XLOOKUP(D547,BugList!C:C,BugList!P:P), "*SC*"))&gt;0</f>
        <v>1</v>
      </c>
    </row>
    <row r="548" spans="1:16">
      <c r="A548" t="s">
        <v>2758</v>
      </c>
      <c r="B548">
        <v>239</v>
      </c>
      <c r="C548" t="s">
        <v>194</v>
      </c>
      <c r="D548" t="s">
        <v>90</v>
      </c>
      <c r="E548">
        <v>124</v>
      </c>
      <c r="F548" s="43">
        <f t="shared" si="90"/>
        <v>95.384615384615387</v>
      </c>
      <c r="G548" s="44">
        <f t="shared" si="84"/>
        <v>95</v>
      </c>
      <c r="H548" s="44">
        <f t="shared" si="92"/>
        <v>0.3846153846153868</v>
      </c>
      <c r="I548" cm="1">
        <f t="array" ref="I548">INT(F548)+IF(100-SUM(INT(F$547:F$551))&gt;=RANK(H548,H$547:H$551)+COUNTIF(H$547:H548,H548)-1,1,0)</f>
        <v>95</v>
      </c>
      <c r="J548" t="b">
        <f t="shared" si="93"/>
        <v>0</v>
      </c>
      <c r="K548" t="str">
        <f t="shared" si="94"/>
        <v/>
      </c>
      <c r="L548">
        <f>_xlfn.XLOOKUP(D548,BugList!C:C,BugList!N:N)</f>
        <v>6</v>
      </c>
      <c r="M548">
        <f t="shared" si="95"/>
        <v>570</v>
      </c>
      <c r="N548" t="b">
        <f>_xlfn.XLOOKUP(D548,BugList!C:C,BugList!L:L)</f>
        <v>1</v>
      </c>
      <c r="O548" t="b">
        <f t="shared" si="96"/>
        <v>0</v>
      </c>
      <c r="P548" s="18" t="b">
        <f>SUMPRODUCT(COUNTIF(_xlfn.XLOOKUP(D548,BugList!C:C,BugList!P:P), "*SC*"))&gt;0</f>
        <v>0</v>
      </c>
    </row>
    <row r="549" spans="1:16">
      <c r="A549" t="s">
        <v>2758</v>
      </c>
      <c r="B549">
        <v>239</v>
      </c>
      <c r="C549" t="s">
        <v>199</v>
      </c>
      <c r="D549" t="s">
        <v>154</v>
      </c>
      <c r="E549">
        <v>1</v>
      </c>
      <c r="F549" s="43">
        <f t="shared" si="90"/>
        <v>0.76923076923076927</v>
      </c>
      <c r="G549" s="44">
        <f t="shared" si="84"/>
        <v>0</v>
      </c>
      <c r="H549" s="44">
        <f t="shared" si="92"/>
        <v>0.76923076923076927</v>
      </c>
      <c r="I549" cm="1">
        <f t="array" ref="I549">INT(F549)+IF(100-SUM(INT(F$547:F$551))&gt;=RANK(H549,H$547:H$551)+COUNTIF(H$547:H549,H549)-1,1,0)</f>
        <v>1</v>
      </c>
      <c r="J549" t="b">
        <f t="shared" si="93"/>
        <v>1</v>
      </c>
      <c r="K549" t="str">
        <f t="shared" si="94"/>
        <v>Ephemeroptera</v>
      </c>
      <c r="L549">
        <f>_xlfn.XLOOKUP(D549,BugList!C:C,BugList!N:N)</f>
        <v>7</v>
      </c>
      <c r="M549">
        <f t="shared" si="95"/>
        <v>7</v>
      </c>
      <c r="N549" t="b">
        <f>_xlfn.XLOOKUP(D549,BugList!C:C,BugList!L:L)</f>
        <v>1</v>
      </c>
      <c r="O549" t="b">
        <f t="shared" si="96"/>
        <v>1</v>
      </c>
      <c r="P549" s="18" t="b">
        <f>SUMPRODUCT(COUNTIF(_xlfn.XLOOKUP(D549,BugList!C:C,BugList!P:P), "*SC*"))&gt;0</f>
        <v>0</v>
      </c>
    </row>
    <row r="550" spans="1:16">
      <c r="A550" t="s">
        <v>2758</v>
      </c>
      <c r="B550">
        <v>239</v>
      </c>
      <c r="C550" t="s">
        <v>199</v>
      </c>
      <c r="D550" t="s">
        <v>2768</v>
      </c>
      <c r="E550">
        <v>1</v>
      </c>
      <c r="F550" s="43">
        <f t="shared" si="90"/>
        <v>0.76923076923076927</v>
      </c>
      <c r="G550" s="44">
        <f t="shared" si="84"/>
        <v>0</v>
      </c>
      <c r="H550" s="44">
        <f t="shared" si="92"/>
        <v>0.76923076923076927</v>
      </c>
      <c r="I550" cm="1">
        <f t="array" ref="I550">INT(F550)+IF(100-SUM(INT(F$547:F$551))&gt;=RANK(H550,H$547:H$551)+COUNTIF(H$547:H550,H550)-1,1,0)</f>
        <v>1</v>
      </c>
      <c r="J550" t="b">
        <f t="shared" si="93"/>
        <v>1</v>
      </c>
      <c r="K550" t="str">
        <f t="shared" si="94"/>
        <v>Ephemeroptera</v>
      </c>
      <c r="L550">
        <f>_xlfn.XLOOKUP(D550,BugList!C:C,BugList!N:N)</f>
        <v>7</v>
      </c>
      <c r="M550">
        <f t="shared" si="95"/>
        <v>7</v>
      </c>
      <c r="N550" t="b">
        <f>_xlfn.XLOOKUP(D550,BugList!C:C,BugList!L:L)</f>
        <v>1</v>
      </c>
      <c r="O550" t="b">
        <f t="shared" si="96"/>
        <v>1</v>
      </c>
      <c r="P550" s="18" t="b">
        <f>SUMPRODUCT(COUNTIF(_xlfn.XLOOKUP(D550,BugList!C:C,BugList!P:P), "*SC*"))&gt;0</f>
        <v>0</v>
      </c>
    </row>
    <row r="551" spans="1:16">
      <c r="A551" t="s">
        <v>2758</v>
      </c>
      <c r="B551">
        <v>239</v>
      </c>
      <c r="C551" t="s">
        <v>201</v>
      </c>
      <c r="D551" t="s">
        <v>85</v>
      </c>
      <c r="E551">
        <v>3</v>
      </c>
      <c r="F551" s="43">
        <f t="shared" si="90"/>
        <v>2.3076923076923079</v>
      </c>
      <c r="G551" s="44">
        <f t="shared" si="84"/>
        <v>2</v>
      </c>
      <c r="H551" s="44">
        <f t="shared" si="92"/>
        <v>0.30769230769230793</v>
      </c>
      <c r="I551" cm="1">
        <f t="array" ref="I551">INT(F551)+IF(100-SUM(INT(F$547:F$551))&gt;=RANK(H551,H$547:H$551)+COUNTIF(H$547:H551,H551)-1,1,0)</f>
        <v>2</v>
      </c>
      <c r="J551" t="b">
        <f t="shared" si="93"/>
        <v>0</v>
      </c>
      <c r="K551" t="str">
        <f t="shared" si="94"/>
        <v/>
      </c>
      <c r="L551">
        <f>_xlfn.XLOOKUP(D551,BugList!C:C,BugList!N:N)</f>
        <v>4</v>
      </c>
      <c r="M551">
        <f t="shared" si="95"/>
        <v>8</v>
      </c>
      <c r="N551" t="b">
        <f>_xlfn.XLOOKUP(D551,BugList!C:C,BugList!L:L)</f>
        <v>0</v>
      </c>
      <c r="O551" t="b">
        <f t="shared" si="96"/>
        <v>0</v>
      </c>
      <c r="P551" s="18" t="b">
        <f>SUMPRODUCT(COUNTIF(_xlfn.XLOOKUP(D551,BugList!C:C,BugList!P:P), "*SC*"))&gt;0</f>
        <v>0</v>
      </c>
    </row>
    <row r="552" spans="1:16">
      <c r="A552" t="s">
        <v>2759</v>
      </c>
      <c r="B552">
        <v>250</v>
      </c>
      <c r="C552" t="s">
        <v>200</v>
      </c>
      <c r="D552" t="s">
        <v>98</v>
      </c>
      <c r="E552">
        <v>13</v>
      </c>
      <c r="F552" s="43">
        <f t="shared" si="90"/>
        <v>8.8435374149659864</v>
      </c>
      <c r="G552" s="44">
        <f t="shared" si="84"/>
        <v>8</v>
      </c>
      <c r="H552" s="44">
        <f t="shared" si="92"/>
        <v>0.84353741496598644</v>
      </c>
      <c r="I552" cm="1">
        <f t="array" ref="I552">INT(F552)+IF(100-SUM(INT(F$552:F$567))&gt;=RANK(H552,H$552:H$567)+COUNTIF(H$552:H552,H552)-1,1,0)</f>
        <v>9</v>
      </c>
      <c r="J552" t="b">
        <f t="shared" si="93"/>
        <v>0</v>
      </c>
      <c r="K552" t="str">
        <f t="shared" si="94"/>
        <v/>
      </c>
      <c r="L552">
        <f>_xlfn.XLOOKUP(D552,BugList!C:C,BugList!N:N)</f>
        <v>4</v>
      </c>
      <c r="M552">
        <f t="shared" si="95"/>
        <v>36</v>
      </c>
      <c r="N552" t="b">
        <f>_xlfn.XLOOKUP(D552,BugList!C:C,BugList!L:L)</f>
        <v>1</v>
      </c>
      <c r="O552" t="b">
        <f t="shared" si="96"/>
        <v>0</v>
      </c>
      <c r="P552" s="18" t="b">
        <f>SUMPRODUCT(COUNTIF(_xlfn.XLOOKUP(D552,BugList!C:C,BugList!P:P), "*SC*"))&gt;0</f>
        <v>1</v>
      </c>
    </row>
    <row r="553" spans="1:16">
      <c r="A553" t="s">
        <v>2759</v>
      </c>
      <c r="B553">
        <v>250</v>
      </c>
      <c r="C553" t="s">
        <v>200</v>
      </c>
      <c r="D553" t="s">
        <v>100</v>
      </c>
      <c r="E553">
        <v>1</v>
      </c>
      <c r="F553" s="43">
        <f t="shared" si="90"/>
        <v>0.68027210884353739</v>
      </c>
      <c r="G553" s="44">
        <f t="shared" si="84"/>
        <v>0</v>
      </c>
      <c r="H553" s="44">
        <f t="shared" si="92"/>
        <v>0.68027210884353739</v>
      </c>
      <c r="I553" cm="1">
        <f t="array" ref="I553">INT(F553)+IF(100-SUM(INT(F$552:F$567))&gt;=RANK(H553,H$552:H$567)+COUNTIF(H$552:H553,H553)-1,1,0)</f>
        <v>1</v>
      </c>
      <c r="J553" t="b">
        <f t="shared" si="93"/>
        <v>0</v>
      </c>
      <c r="K553" t="str">
        <f t="shared" si="94"/>
        <v/>
      </c>
      <c r="L553">
        <f>_xlfn.XLOOKUP(D553,BugList!C:C,BugList!N:N)</f>
        <v>4</v>
      </c>
      <c r="M553">
        <f t="shared" si="95"/>
        <v>4</v>
      </c>
      <c r="N553" t="b">
        <f>_xlfn.XLOOKUP(D553,BugList!C:C,BugList!L:L)</f>
        <v>1</v>
      </c>
      <c r="O553" t="b">
        <f t="shared" si="96"/>
        <v>0</v>
      </c>
      <c r="P553" s="18" t="b">
        <f>SUMPRODUCT(COUNTIF(_xlfn.XLOOKUP(D553,BugList!C:C,BugList!P:P), "*SC*"))&gt;0</f>
        <v>1</v>
      </c>
    </row>
    <row r="554" spans="1:16">
      <c r="A554" t="s">
        <v>2759</v>
      </c>
      <c r="B554">
        <v>250</v>
      </c>
      <c r="C554" t="s">
        <v>194</v>
      </c>
      <c r="D554" t="s">
        <v>126</v>
      </c>
      <c r="E554">
        <v>22</v>
      </c>
      <c r="F554" s="43">
        <f t="shared" si="90"/>
        <v>14.965986394557824</v>
      </c>
      <c r="G554" s="44">
        <f t="shared" si="84"/>
        <v>14</v>
      </c>
      <c r="H554" s="44">
        <f t="shared" si="92"/>
        <v>0.96598639455782376</v>
      </c>
      <c r="I554" cm="1">
        <f t="array" ref="I554">INT(F554)+IF(100-SUM(INT(F$552:F$567))&gt;=RANK(H554,H$552:H$567)+COUNTIF(H$552:H554,H554)-1,1,0)</f>
        <v>15</v>
      </c>
      <c r="J554" t="b">
        <f t="shared" si="93"/>
        <v>0</v>
      </c>
      <c r="K554" t="str">
        <f t="shared" si="94"/>
        <v/>
      </c>
      <c r="L554">
        <f>_xlfn.XLOOKUP(D554,BugList!C:C,BugList!N:N)</f>
        <v>8</v>
      </c>
      <c r="M554">
        <f t="shared" si="95"/>
        <v>120</v>
      </c>
      <c r="N554" t="b">
        <f>_xlfn.XLOOKUP(D554,BugList!C:C,BugList!L:L)</f>
        <v>1</v>
      </c>
      <c r="O554" t="b">
        <f t="shared" si="96"/>
        <v>0</v>
      </c>
      <c r="P554" s="18" t="b">
        <f>SUMPRODUCT(COUNTIF(_xlfn.XLOOKUP(D554,BugList!C:C,BugList!P:P), "*SC*"))&gt;0</f>
        <v>0</v>
      </c>
    </row>
    <row r="555" spans="1:16">
      <c r="A555" t="s">
        <v>2759</v>
      </c>
      <c r="B555">
        <v>250</v>
      </c>
      <c r="C555" t="s">
        <v>194</v>
      </c>
      <c r="D555" s="85" t="s">
        <v>90</v>
      </c>
      <c r="E555">
        <v>6</v>
      </c>
      <c r="F555" s="43">
        <f t="shared" si="90"/>
        <v>4.0816326530612246</v>
      </c>
      <c r="G555" s="44">
        <f t="shared" si="84"/>
        <v>4</v>
      </c>
      <c r="H555" s="44">
        <f t="shared" si="92"/>
        <v>8.163265306122458E-2</v>
      </c>
      <c r="I555" cm="1">
        <f t="array" ref="I555">INT(F555)+IF(100-SUM(INT(F$552:F$567))&gt;=RANK(H555,H$552:H$567)+COUNTIF(H$552:H555,H555)-1,1,0)</f>
        <v>4</v>
      </c>
      <c r="J555" t="b">
        <f t="shared" si="93"/>
        <v>0</v>
      </c>
      <c r="K555" t="str">
        <f t="shared" si="94"/>
        <v/>
      </c>
      <c r="L555">
        <f>_xlfn.XLOOKUP(D555,BugList!C:C,BugList!N:N)</f>
        <v>6</v>
      </c>
      <c r="M555">
        <f t="shared" si="95"/>
        <v>24</v>
      </c>
      <c r="N555" t="b">
        <f>_xlfn.XLOOKUP(D555,BugList!C:C,BugList!L:L)</f>
        <v>1</v>
      </c>
      <c r="O555" t="b">
        <f t="shared" si="96"/>
        <v>0</v>
      </c>
      <c r="P555" s="18" t="b">
        <f>SUMPRODUCT(COUNTIF(_xlfn.XLOOKUP(D555,BugList!C:C,BugList!P:P), "*SC*"))&gt;0</f>
        <v>0</v>
      </c>
    </row>
    <row r="556" spans="1:16">
      <c r="A556" t="s">
        <v>2759</v>
      </c>
      <c r="B556">
        <v>250</v>
      </c>
      <c r="C556" t="s">
        <v>194</v>
      </c>
      <c r="D556" t="s">
        <v>108</v>
      </c>
      <c r="E556">
        <v>1</v>
      </c>
      <c r="F556" s="43">
        <f t="shared" si="90"/>
        <v>0.68027210884353739</v>
      </c>
      <c r="G556" s="44">
        <f t="shared" si="84"/>
        <v>0</v>
      </c>
      <c r="H556" s="44">
        <f t="shared" si="92"/>
        <v>0.68027210884353739</v>
      </c>
      <c r="I556" cm="1">
        <f t="array" ref="I556">INT(F556)+IF(100-SUM(INT(F$552:F$567))&gt;=RANK(H556,H$552:H$567)+COUNTIF(H$552:H556,H556)-1,1,0)</f>
        <v>1</v>
      </c>
      <c r="J556" t="b">
        <f t="shared" si="93"/>
        <v>0</v>
      </c>
      <c r="K556" t="str">
        <f t="shared" si="94"/>
        <v/>
      </c>
      <c r="L556">
        <f>_xlfn.XLOOKUP(D556,BugList!C:C,BugList!N:N)</f>
        <v>3</v>
      </c>
      <c r="M556">
        <f t="shared" si="95"/>
        <v>3</v>
      </c>
      <c r="N556" t="b">
        <f>_xlfn.XLOOKUP(D556,BugList!C:C,BugList!L:L)</f>
        <v>1</v>
      </c>
      <c r="O556" t="b">
        <f t="shared" si="96"/>
        <v>0</v>
      </c>
      <c r="P556" s="18" t="b">
        <f>SUMPRODUCT(COUNTIF(_xlfn.XLOOKUP(D556,BugList!C:C,BugList!P:P), "*SC*"))&gt;0</f>
        <v>0</v>
      </c>
    </row>
    <row r="557" spans="1:16">
      <c r="A557" t="s">
        <v>2759</v>
      </c>
      <c r="B557">
        <v>250</v>
      </c>
      <c r="C557" t="s">
        <v>199</v>
      </c>
      <c r="D557" t="s">
        <v>151</v>
      </c>
      <c r="E557">
        <v>18</v>
      </c>
      <c r="F557" s="43">
        <f t="shared" si="90"/>
        <v>12.244897959183673</v>
      </c>
      <c r="G557" s="44">
        <f t="shared" si="84"/>
        <v>12</v>
      </c>
      <c r="H557" s="44">
        <f t="shared" si="92"/>
        <v>0.24489795918367285</v>
      </c>
      <c r="I557" cm="1">
        <f t="array" ref="I557">INT(F557)+IF(100-SUM(INT(F$552:F$567))&gt;=RANK(H557,H$552:H$567)+COUNTIF(H$552:H557,H557)-1,1,0)</f>
        <v>12</v>
      </c>
      <c r="J557" t="b">
        <f t="shared" si="93"/>
        <v>1</v>
      </c>
      <c r="K557" t="str">
        <f t="shared" si="94"/>
        <v>Ephemeroptera</v>
      </c>
      <c r="L557">
        <f>_xlfn.XLOOKUP(D557,BugList!C:C,BugList!N:N)</f>
        <v>1</v>
      </c>
      <c r="M557">
        <f t="shared" si="95"/>
        <v>12</v>
      </c>
      <c r="N557" t="b">
        <f>_xlfn.XLOOKUP(D557,BugList!C:C,BugList!L:L)</f>
        <v>1</v>
      </c>
      <c r="O557" t="b">
        <f t="shared" si="96"/>
        <v>1</v>
      </c>
      <c r="P557" s="18" t="b">
        <f>SUMPRODUCT(COUNTIF(_xlfn.XLOOKUP(D557,BugList!C:C,BugList!P:P), "*SC*"))&gt;0</f>
        <v>0</v>
      </c>
    </row>
    <row r="558" spans="1:16">
      <c r="A558" t="s">
        <v>2759</v>
      </c>
      <c r="B558">
        <v>250</v>
      </c>
      <c r="C558" t="s">
        <v>199</v>
      </c>
      <c r="D558" t="s">
        <v>111</v>
      </c>
      <c r="E558">
        <v>1</v>
      </c>
      <c r="F558" s="43">
        <f t="shared" si="90"/>
        <v>0.68027210884353739</v>
      </c>
      <c r="G558" s="44">
        <f t="shared" si="84"/>
        <v>0</v>
      </c>
      <c r="H558" s="44">
        <f t="shared" si="92"/>
        <v>0.68027210884353739</v>
      </c>
      <c r="I558" cm="1">
        <f t="array" ref="I558">INT(F558)+IF(100-SUM(INT(F$552:F$567))&gt;=RANK(H558,H$552:H$567)+COUNTIF(H$552:H558,H558)-1,1,0)</f>
        <v>1</v>
      </c>
      <c r="J558" t="b">
        <f t="shared" si="93"/>
        <v>1</v>
      </c>
      <c r="K558" t="str">
        <f t="shared" si="94"/>
        <v>Ephemeroptera</v>
      </c>
      <c r="L558">
        <f>_xlfn.XLOOKUP(D558,BugList!C:C,BugList!N:N)</f>
        <v>4</v>
      </c>
      <c r="M558">
        <f t="shared" si="95"/>
        <v>4</v>
      </c>
      <c r="N558" t="b">
        <f>_xlfn.XLOOKUP(D558,BugList!C:C,BugList!L:L)</f>
        <v>1</v>
      </c>
      <c r="O558" t="b">
        <f t="shared" si="96"/>
        <v>1</v>
      </c>
      <c r="P558" s="18" t="b">
        <f>SUMPRODUCT(COUNTIF(_xlfn.XLOOKUP(D558,BugList!C:C,BugList!P:P), "*SC*"))&gt;0</f>
        <v>0</v>
      </c>
    </row>
    <row r="559" spans="1:16">
      <c r="A559" t="s">
        <v>2759</v>
      </c>
      <c r="B559">
        <v>250</v>
      </c>
      <c r="C559" t="s">
        <v>119</v>
      </c>
      <c r="D559" t="s">
        <v>87</v>
      </c>
      <c r="E559">
        <v>5</v>
      </c>
      <c r="F559" s="43">
        <f t="shared" si="90"/>
        <v>3.4013605442176873</v>
      </c>
      <c r="G559" s="44">
        <f t="shared" si="84"/>
        <v>3</v>
      </c>
      <c r="H559" s="44">
        <f t="shared" si="92"/>
        <v>0.4013605442176873</v>
      </c>
      <c r="I559" cm="1">
        <f t="array" ref="I559">INT(F559)+IF(100-SUM(INT(F$552:F$567))&gt;=RANK(H559,H$552:H$567)+COUNTIF(H$552:H559,H559)-1,1,0)</f>
        <v>3</v>
      </c>
      <c r="J559" t="b">
        <f t="shared" si="93"/>
        <v>0</v>
      </c>
      <c r="K559" t="str">
        <f t="shared" si="94"/>
        <v/>
      </c>
      <c r="L559">
        <f>_xlfn.XLOOKUP(D559,BugList!C:C,BugList!N:N)</f>
        <v>4</v>
      </c>
      <c r="M559">
        <f t="shared" si="95"/>
        <v>12</v>
      </c>
      <c r="N559" t="b">
        <f>_xlfn.XLOOKUP(D559,BugList!C:C,BugList!L:L)</f>
        <v>0</v>
      </c>
      <c r="O559" t="b">
        <f t="shared" si="96"/>
        <v>0</v>
      </c>
      <c r="P559" s="18" t="b">
        <f>SUMPRODUCT(COUNTIF(_xlfn.XLOOKUP(D559,BugList!C:C,BugList!P:P), "*SC*"))&gt;0</f>
        <v>0</v>
      </c>
    </row>
    <row r="560" spans="1:16">
      <c r="A560" t="s">
        <v>2759</v>
      </c>
      <c r="B560">
        <v>250</v>
      </c>
      <c r="C560" t="s">
        <v>198</v>
      </c>
      <c r="D560" t="s">
        <v>89</v>
      </c>
      <c r="E560">
        <v>4</v>
      </c>
      <c r="F560" s="43">
        <f t="shared" si="90"/>
        <v>2.7210884353741496</v>
      </c>
      <c r="G560" s="44">
        <f t="shared" si="84"/>
        <v>2</v>
      </c>
      <c r="H560" s="44">
        <f t="shared" si="92"/>
        <v>0.72108843537414957</v>
      </c>
      <c r="I560" cm="1">
        <f t="array" ref="I560">INT(F560)+IF(100-SUM(INT(F$552:F$567))&gt;=RANK(H560,H$552:H$567)+COUNTIF(H$552:H560,H560)-1,1,0)</f>
        <v>3</v>
      </c>
      <c r="J560" t="b">
        <f t="shared" si="93"/>
        <v>1</v>
      </c>
      <c r="K560" t="str">
        <f t="shared" si="94"/>
        <v>Trichoptera</v>
      </c>
      <c r="L560">
        <f>_xlfn.XLOOKUP(D560,BugList!C:C,BugList!N:N)</f>
        <v>4</v>
      </c>
      <c r="M560">
        <f t="shared" si="95"/>
        <v>12</v>
      </c>
      <c r="N560" t="b">
        <f>_xlfn.XLOOKUP(D560,BugList!C:C,BugList!L:L)</f>
        <v>1</v>
      </c>
      <c r="O560" t="b">
        <f t="shared" si="96"/>
        <v>0</v>
      </c>
      <c r="P560" s="18" t="b">
        <f>SUMPRODUCT(COUNTIF(_xlfn.XLOOKUP(D560,BugList!C:C,BugList!P:P), "*SC*"))&gt;0</f>
        <v>0</v>
      </c>
    </row>
    <row r="561" spans="1:16">
      <c r="A561" t="s">
        <v>2759</v>
      </c>
      <c r="B561">
        <v>250</v>
      </c>
      <c r="C561" t="s">
        <v>201</v>
      </c>
      <c r="D561" t="s">
        <v>85</v>
      </c>
      <c r="E561">
        <v>28</v>
      </c>
      <c r="F561" s="43">
        <f t="shared" si="90"/>
        <v>19.047619047619047</v>
      </c>
      <c r="G561" s="44">
        <f t="shared" si="84"/>
        <v>19</v>
      </c>
      <c r="H561" s="44">
        <f t="shared" si="92"/>
        <v>4.761904761904745E-2</v>
      </c>
      <c r="I561" cm="1">
        <f t="array" ref="I561">INT(F561)+IF(100-SUM(INT(F$552:F$567))&gt;=RANK(H561,H$552:H$567)+COUNTIF(H$552:H561,H561)-1,1,0)</f>
        <v>19</v>
      </c>
      <c r="J561" t="b">
        <f t="shared" si="93"/>
        <v>0</v>
      </c>
      <c r="K561" t="str">
        <f t="shared" si="94"/>
        <v/>
      </c>
      <c r="L561">
        <f>_xlfn.XLOOKUP(D561,BugList!C:C,BugList!N:N)</f>
        <v>4</v>
      </c>
      <c r="M561">
        <f t="shared" si="95"/>
        <v>76</v>
      </c>
      <c r="N561" t="b">
        <f>_xlfn.XLOOKUP(D561,BugList!C:C,BugList!L:L)</f>
        <v>0</v>
      </c>
      <c r="O561" t="b">
        <f t="shared" si="96"/>
        <v>0</v>
      </c>
      <c r="P561" s="18" t="b">
        <f>SUMPRODUCT(COUNTIF(_xlfn.XLOOKUP(D561,BugList!C:C,BugList!P:P), "*SC*"))&gt;0</f>
        <v>0</v>
      </c>
    </row>
    <row r="562" spans="1:16">
      <c r="A562" t="s">
        <v>2759</v>
      </c>
      <c r="B562">
        <v>250</v>
      </c>
      <c r="C562" t="s">
        <v>210</v>
      </c>
      <c r="D562" t="s">
        <v>210</v>
      </c>
      <c r="E562">
        <v>3</v>
      </c>
      <c r="F562" s="43">
        <f t="shared" si="90"/>
        <v>2.0408163265306123</v>
      </c>
      <c r="G562" s="44">
        <f t="shared" si="84"/>
        <v>2</v>
      </c>
      <c r="H562" s="44">
        <f t="shared" si="92"/>
        <v>4.081632653061229E-2</v>
      </c>
      <c r="I562" cm="1">
        <f t="array" ref="I562">INT(F562)+IF(100-SUM(INT(F$552:F$567))&gt;=RANK(H562,H$552:H$567)+COUNTIF(H$552:H562,H562)-1,1,0)</f>
        <v>2</v>
      </c>
      <c r="J562" t="b">
        <f t="shared" si="93"/>
        <v>0</v>
      </c>
      <c r="K562" t="str">
        <f t="shared" si="94"/>
        <v/>
      </c>
      <c r="L562" s="71">
        <v>8</v>
      </c>
      <c r="M562">
        <f t="shared" si="95"/>
        <v>16</v>
      </c>
      <c r="N562" s="71" t="b">
        <v>0</v>
      </c>
      <c r="O562" t="b">
        <f t="shared" si="96"/>
        <v>0</v>
      </c>
      <c r="P562" s="72" t="b">
        <v>0</v>
      </c>
    </row>
    <row r="563" spans="1:16">
      <c r="A563" t="s">
        <v>2759</v>
      </c>
      <c r="B563">
        <v>250</v>
      </c>
      <c r="C563" t="s">
        <v>94</v>
      </c>
      <c r="D563" t="s">
        <v>94</v>
      </c>
      <c r="E563">
        <v>3</v>
      </c>
      <c r="F563" s="43">
        <f t="shared" si="90"/>
        <v>2.0408163265306123</v>
      </c>
      <c r="G563" s="44">
        <f t="shared" si="84"/>
        <v>2</v>
      </c>
      <c r="H563" s="44">
        <f t="shared" si="92"/>
        <v>4.081632653061229E-2</v>
      </c>
      <c r="I563" cm="1">
        <f t="array" ref="I563">INT(F563)+IF(100-SUM(INT(F$552:F$567))&gt;=RANK(H563,H$552:H$567)+COUNTIF(H$552:H563,H563)-1,1,0)</f>
        <v>2</v>
      </c>
      <c r="J563" t="b">
        <f t="shared" si="93"/>
        <v>0</v>
      </c>
      <c r="K563" t="str">
        <f t="shared" si="94"/>
        <v/>
      </c>
      <c r="L563">
        <f>_xlfn.XLOOKUP(D563,BugList!C:C,BugList!N:N)</f>
        <v>8</v>
      </c>
      <c r="M563">
        <f t="shared" si="95"/>
        <v>16</v>
      </c>
      <c r="N563" t="b">
        <f>_xlfn.XLOOKUP(D563,BugList!C:C,BugList!L:L)</f>
        <v>0</v>
      </c>
      <c r="O563" t="b">
        <f t="shared" si="96"/>
        <v>0</v>
      </c>
      <c r="P563" s="18" t="b">
        <f>SUMPRODUCT(COUNTIF(_xlfn.XLOOKUP(D563,BugList!C:C,BugList!P:P), "*SC*"))&gt;0</f>
        <v>0</v>
      </c>
    </row>
    <row r="564" spans="1:16">
      <c r="A564" t="s">
        <v>2759</v>
      </c>
      <c r="B564">
        <v>251</v>
      </c>
      <c r="C564" t="s">
        <v>200</v>
      </c>
      <c r="D564" t="s">
        <v>98</v>
      </c>
      <c r="E564">
        <v>13</v>
      </c>
      <c r="F564" s="43">
        <f t="shared" si="90"/>
        <v>8.8435374149659864</v>
      </c>
      <c r="G564" s="44">
        <f t="shared" si="84"/>
        <v>8</v>
      </c>
      <c r="H564" s="44">
        <f t="shared" si="92"/>
        <v>0.84353741496598644</v>
      </c>
      <c r="I564" cm="1">
        <f t="array" ref="I564">INT(F564)+IF(100-SUM(INT(F$552:F$567))&gt;=RANK(H564,H$552:H$567)+COUNTIF(H$552:H564,H564)-1,1,0)</f>
        <v>9</v>
      </c>
      <c r="J564" t="b">
        <f t="shared" si="93"/>
        <v>0</v>
      </c>
      <c r="K564" t="str">
        <f t="shared" si="94"/>
        <v/>
      </c>
      <c r="L564">
        <f>_xlfn.XLOOKUP(D564,BugList!C:C,BugList!N:N)</f>
        <v>4</v>
      </c>
      <c r="M564">
        <f t="shared" si="95"/>
        <v>36</v>
      </c>
      <c r="N564" t="b">
        <f>_xlfn.XLOOKUP(D564,BugList!C:C,BugList!L:L)</f>
        <v>1</v>
      </c>
      <c r="O564" t="b">
        <f t="shared" si="96"/>
        <v>0</v>
      </c>
      <c r="P564" s="18" t="b">
        <f>SUMPRODUCT(COUNTIF(_xlfn.XLOOKUP(D564,BugList!C:C,BugList!P:P), "*SC*"))&gt;0</f>
        <v>1</v>
      </c>
    </row>
    <row r="565" spans="1:16">
      <c r="A565" t="s">
        <v>2759</v>
      </c>
      <c r="B565">
        <v>251</v>
      </c>
      <c r="C565" t="s">
        <v>200</v>
      </c>
      <c r="D565" t="s">
        <v>100</v>
      </c>
      <c r="E565">
        <v>1</v>
      </c>
      <c r="F565" s="43">
        <f t="shared" si="90"/>
        <v>0.68027210884353739</v>
      </c>
      <c r="G565" s="44">
        <f t="shared" si="84"/>
        <v>0</v>
      </c>
      <c r="H565" s="44">
        <f t="shared" si="92"/>
        <v>0.68027210884353739</v>
      </c>
      <c r="I565" cm="1">
        <f t="array" ref="I565">INT(F565)+IF(100-SUM(INT(F$552:F$567))&gt;=RANK(H565,H$552:H$567)+COUNTIF(H$552:H565,H565)-1,1,0)</f>
        <v>0</v>
      </c>
      <c r="J565" t="b">
        <f t="shared" si="93"/>
        <v>0</v>
      </c>
      <c r="K565" t="str">
        <f t="shared" si="94"/>
        <v/>
      </c>
      <c r="L565">
        <f>_xlfn.XLOOKUP(D565,BugList!C:C,BugList!N:N)</f>
        <v>4</v>
      </c>
      <c r="M565">
        <f t="shared" si="95"/>
        <v>0</v>
      </c>
      <c r="N565" t="b">
        <f>_xlfn.XLOOKUP(D565,BugList!C:C,BugList!L:L)</f>
        <v>1</v>
      </c>
      <c r="O565" t="b">
        <f t="shared" si="96"/>
        <v>0</v>
      </c>
      <c r="P565" s="18" t="b">
        <f>SUMPRODUCT(COUNTIF(_xlfn.XLOOKUP(D565,BugList!C:C,BugList!P:P), "*SC*"))&gt;0</f>
        <v>1</v>
      </c>
    </row>
    <row r="566" spans="1:16">
      <c r="A566" t="s">
        <v>2759</v>
      </c>
      <c r="B566">
        <v>251</v>
      </c>
      <c r="C566" t="s">
        <v>194</v>
      </c>
      <c r="D566" t="s">
        <v>126</v>
      </c>
      <c r="E566">
        <v>22</v>
      </c>
      <c r="F566" s="43">
        <f t="shared" ref="F566:F597" si="97">(E566/(SUMIFS(E:E,A:A,A566))*100)</f>
        <v>14.965986394557824</v>
      </c>
      <c r="G566" s="44">
        <f t="shared" si="84"/>
        <v>14</v>
      </c>
      <c r="H566" s="44">
        <f t="shared" si="92"/>
        <v>0.96598639455782376</v>
      </c>
      <c r="I566" cm="1">
        <f t="array" ref="I566">INT(F566)+IF(100-SUM(INT(F$552:F$567))&gt;=RANK(H566,H$552:H$567)+COUNTIF(H$552:H566,H566)-1,1,0)</f>
        <v>15</v>
      </c>
      <c r="J566" t="b">
        <f t="shared" si="93"/>
        <v>0</v>
      </c>
      <c r="K566" t="str">
        <f t="shared" si="94"/>
        <v/>
      </c>
      <c r="L566">
        <f>_xlfn.XLOOKUP(D566,BugList!C:C,BugList!N:N)</f>
        <v>8</v>
      </c>
      <c r="M566">
        <f t="shared" si="95"/>
        <v>120</v>
      </c>
      <c r="N566" t="b">
        <f>_xlfn.XLOOKUP(D566,BugList!C:C,BugList!L:L)</f>
        <v>1</v>
      </c>
      <c r="O566" t="b">
        <f t="shared" si="96"/>
        <v>0</v>
      </c>
      <c r="P566" s="18" t="b">
        <f>SUMPRODUCT(COUNTIF(_xlfn.XLOOKUP(D566,BugList!C:C,BugList!P:P), "*SC*"))&gt;0</f>
        <v>0</v>
      </c>
    </row>
    <row r="567" spans="1:16">
      <c r="A567" t="s">
        <v>2759</v>
      </c>
      <c r="B567">
        <v>251</v>
      </c>
      <c r="C567" t="s">
        <v>194</v>
      </c>
      <c r="D567" s="85" t="s">
        <v>90</v>
      </c>
      <c r="E567">
        <v>6</v>
      </c>
      <c r="F567" s="43">
        <f t="shared" si="97"/>
        <v>4.0816326530612246</v>
      </c>
      <c r="G567" s="44">
        <f t="shared" si="84"/>
        <v>4</v>
      </c>
      <c r="H567" s="44">
        <f t="shared" si="92"/>
        <v>8.163265306122458E-2</v>
      </c>
      <c r="I567" cm="1">
        <f t="array" ref="I567">INT(F567)+IF(100-SUM(INT(F$552:F$567))&gt;=RANK(H567,H$552:H$567)+COUNTIF(H$552:H567,H567)-1,1,0)</f>
        <v>4</v>
      </c>
      <c r="J567" t="b">
        <f t="shared" si="93"/>
        <v>0</v>
      </c>
      <c r="K567" t="str">
        <f t="shared" si="94"/>
        <v/>
      </c>
      <c r="L567">
        <f>_xlfn.XLOOKUP(D567,BugList!C:C,BugList!N:N)</f>
        <v>6</v>
      </c>
      <c r="M567">
        <f t="shared" si="95"/>
        <v>24</v>
      </c>
      <c r="N567" t="b">
        <f>_xlfn.XLOOKUP(D567,BugList!C:C,BugList!L:L)</f>
        <v>1</v>
      </c>
      <c r="O567" t="b">
        <f t="shared" si="96"/>
        <v>0</v>
      </c>
      <c r="P567" s="18" t="b">
        <f>SUMPRODUCT(COUNTIF(_xlfn.XLOOKUP(D567,BugList!C:C,BugList!P:P), "*SC*"))&gt;0</f>
        <v>0</v>
      </c>
    </row>
    <row r="568" spans="1:16">
      <c r="A568" t="s">
        <v>2760</v>
      </c>
      <c r="B568">
        <v>280</v>
      </c>
      <c r="C568" t="s">
        <v>200</v>
      </c>
      <c r="D568" t="s">
        <v>98</v>
      </c>
      <c r="E568">
        <v>2</v>
      </c>
      <c r="F568" s="43">
        <f t="shared" si="97"/>
        <v>2</v>
      </c>
      <c r="G568" s="44">
        <f t="shared" si="84"/>
        <v>2</v>
      </c>
      <c r="H568" s="44">
        <f t="shared" si="92"/>
        <v>0</v>
      </c>
      <c r="I568" cm="1">
        <f t="array" ref="I568">INT(F568)+IF(100-SUM(INT(F$568:F$579))&gt;=RANK(H568,H$568:H$579)+COUNTIF(H$568:H568,H568)-1,1,0)</f>
        <v>2</v>
      </c>
      <c r="J568" t="b">
        <f t="shared" si="93"/>
        <v>0</v>
      </c>
      <c r="K568" t="str">
        <f t="shared" si="94"/>
        <v/>
      </c>
      <c r="L568">
        <f>_xlfn.XLOOKUP(D568,BugList!C:C,BugList!N:N)</f>
        <v>4</v>
      </c>
      <c r="M568">
        <f t="shared" si="95"/>
        <v>8</v>
      </c>
      <c r="N568" t="b">
        <f>_xlfn.XLOOKUP(D568,BugList!C:C,BugList!L:L)</f>
        <v>1</v>
      </c>
      <c r="O568" t="b">
        <f t="shared" si="96"/>
        <v>0</v>
      </c>
      <c r="P568" s="18" t="b">
        <f>SUMPRODUCT(COUNTIF(_xlfn.XLOOKUP(D568,BugList!C:C,BugList!P:P), "*SC*"))&gt;0</f>
        <v>1</v>
      </c>
    </row>
    <row r="569" spans="1:16">
      <c r="A569" t="s">
        <v>2760</v>
      </c>
      <c r="B569">
        <v>280</v>
      </c>
      <c r="C569" t="s">
        <v>200</v>
      </c>
      <c r="D569" t="s">
        <v>100</v>
      </c>
      <c r="E569">
        <v>6</v>
      </c>
      <c r="F569" s="43">
        <f t="shared" si="97"/>
        <v>6</v>
      </c>
      <c r="G569" s="44">
        <f t="shared" si="84"/>
        <v>6</v>
      </c>
      <c r="H569" s="44">
        <f t="shared" si="92"/>
        <v>0</v>
      </c>
      <c r="I569" cm="1">
        <f t="array" ref="I569">INT(F569)+IF(100-SUM(INT(F$568:F$579))&gt;=RANK(H569,H$568:H$579)+COUNTIF(H$568:H569,H569)-1,1,0)</f>
        <v>6</v>
      </c>
      <c r="J569" t="b">
        <f t="shared" si="93"/>
        <v>0</v>
      </c>
      <c r="K569" t="str">
        <f t="shared" si="94"/>
        <v/>
      </c>
      <c r="L569">
        <f>_xlfn.XLOOKUP(D569,BugList!C:C,BugList!N:N)</f>
        <v>4</v>
      </c>
      <c r="M569">
        <f t="shared" si="95"/>
        <v>24</v>
      </c>
      <c r="N569" t="b">
        <f>_xlfn.XLOOKUP(D569,BugList!C:C,BugList!L:L)</f>
        <v>1</v>
      </c>
      <c r="O569" t="b">
        <f t="shared" si="96"/>
        <v>0</v>
      </c>
      <c r="P569" s="18" t="b">
        <f>SUMPRODUCT(COUNTIF(_xlfn.XLOOKUP(D569,BugList!C:C,BugList!P:P), "*SC*"))&gt;0</f>
        <v>1</v>
      </c>
    </row>
    <row r="570" spans="1:16">
      <c r="A570" t="s">
        <v>2760</v>
      </c>
      <c r="B570">
        <v>280</v>
      </c>
      <c r="C570" t="s">
        <v>194</v>
      </c>
      <c r="D570" s="85" t="s">
        <v>90</v>
      </c>
      <c r="E570">
        <v>50</v>
      </c>
      <c r="F570" s="43">
        <f t="shared" si="97"/>
        <v>50</v>
      </c>
      <c r="G570" s="44">
        <f t="shared" si="84"/>
        <v>50</v>
      </c>
      <c r="H570" s="44">
        <f t="shared" si="92"/>
        <v>0</v>
      </c>
      <c r="I570" cm="1">
        <f t="array" ref="I570">INT(F570)+IF(100-SUM(INT(F$568:F$579))&gt;=RANK(H570,H$568:H$579)+COUNTIF(H$568:H570,H570)-1,1,0)</f>
        <v>50</v>
      </c>
      <c r="J570" t="b">
        <f t="shared" si="93"/>
        <v>0</v>
      </c>
      <c r="K570" t="str">
        <f t="shared" si="94"/>
        <v/>
      </c>
      <c r="L570">
        <f>_xlfn.XLOOKUP(D570,BugList!C:C,BugList!N:N)</f>
        <v>6</v>
      </c>
      <c r="M570">
        <f t="shared" si="95"/>
        <v>300</v>
      </c>
      <c r="N570" t="b">
        <f>_xlfn.XLOOKUP(D570,BugList!C:C,BugList!L:L)</f>
        <v>1</v>
      </c>
      <c r="O570" t="b">
        <f t="shared" si="96"/>
        <v>0</v>
      </c>
      <c r="P570" s="18" t="b">
        <f>SUMPRODUCT(COUNTIF(_xlfn.XLOOKUP(D570,BugList!C:C,BugList!P:P), "*SC*"))&gt;0</f>
        <v>0</v>
      </c>
    </row>
    <row r="571" spans="1:16">
      <c r="A571" t="s">
        <v>2760</v>
      </c>
      <c r="B571">
        <v>280</v>
      </c>
      <c r="C571" t="s">
        <v>194</v>
      </c>
      <c r="D571" t="s">
        <v>101</v>
      </c>
      <c r="E571">
        <v>1</v>
      </c>
      <c r="F571" s="43">
        <f t="shared" si="97"/>
        <v>1</v>
      </c>
      <c r="G571" s="44">
        <f t="shared" si="84"/>
        <v>1</v>
      </c>
      <c r="H571" s="44">
        <f t="shared" si="92"/>
        <v>0</v>
      </c>
      <c r="I571" cm="1">
        <f t="array" ref="I571">INT(F571)+IF(100-SUM(INT(F$568:F$579))&gt;=RANK(H571,H$568:H$579)+COUNTIF(H$568:H571,H571)-1,1,0)</f>
        <v>1</v>
      </c>
      <c r="J571" t="b">
        <f t="shared" si="93"/>
        <v>0</v>
      </c>
      <c r="K571" t="str">
        <f t="shared" si="94"/>
        <v/>
      </c>
      <c r="L571">
        <f>_xlfn.XLOOKUP(D571,BugList!C:C,BugList!N:N)</f>
        <v>6</v>
      </c>
      <c r="M571">
        <f t="shared" si="95"/>
        <v>6</v>
      </c>
      <c r="N571" t="b">
        <f>_xlfn.XLOOKUP(D571,BugList!C:C,BugList!L:L)</f>
        <v>1</v>
      </c>
      <c r="O571" t="b">
        <f t="shared" si="96"/>
        <v>0</v>
      </c>
      <c r="P571" s="18" t="b">
        <f>SUMPRODUCT(COUNTIF(_xlfn.XLOOKUP(D571,BugList!C:C,BugList!P:P), "*SC*"))&gt;0</f>
        <v>0</v>
      </c>
    </row>
    <row r="572" spans="1:16">
      <c r="A572" t="s">
        <v>2760</v>
      </c>
      <c r="B572">
        <v>280</v>
      </c>
      <c r="C572" t="s">
        <v>211</v>
      </c>
      <c r="D572" t="s">
        <v>87</v>
      </c>
      <c r="E572">
        <v>1</v>
      </c>
      <c r="F572" s="43">
        <f t="shared" si="97"/>
        <v>1</v>
      </c>
      <c r="G572" s="44">
        <f t="shared" si="84"/>
        <v>1</v>
      </c>
      <c r="H572" s="44">
        <f t="shared" si="92"/>
        <v>0</v>
      </c>
      <c r="I572" cm="1">
        <f t="array" ref="I572">INT(F572)+IF(100-SUM(INT(F$568:F$579))&gt;=RANK(H572,H$568:H$579)+COUNTIF(H$568:H572,H572)-1,1,0)</f>
        <v>1</v>
      </c>
      <c r="J572" t="b">
        <f t="shared" si="93"/>
        <v>0</v>
      </c>
      <c r="K572" t="str">
        <f t="shared" si="94"/>
        <v/>
      </c>
      <c r="L572">
        <f>_xlfn.XLOOKUP(D572,BugList!C:C,BugList!N:N)</f>
        <v>4</v>
      </c>
      <c r="M572">
        <f t="shared" si="95"/>
        <v>4</v>
      </c>
      <c r="N572" t="b">
        <f>_xlfn.XLOOKUP(D572,BugList!C:C,BugList!L:L)</f>
        <v>0</v>
      </c>
      <c r="O572" t="b">
        <f t="shared" si="96"/>
        <v>0</v>
      </c>
      <c r="P572" s="18" t="b">
        <f>SUMPRODUCT(COUNTIF(_xlfn.XLOOKUP(D572,BugList!C:C,BugList!P:P), "*SC*"))&gt;0</f>
        <v>0</v>
      </c>
    </row>
    <row r="573" spans="1:16">
      <c r="A573" t="s">
        <v>2760</v>
      </c>
      <c r="B573">
        <v>280</v>
      </c>
      <c r="C573" t="s">
        <v>197</v>
      </c>
      <c r="D573" t="s">
        <v>104</v>
      </c>
      <c r="E573">
        <v>1</v>
      </c>
      <c r="F573" s="43">
        <f t="shared" si="97"/>
        <v>1</v>
      </c>
      <c r="G573" s="44">
        <f t="shared" si="84"/>
        <v>1</v>
      </c>
      <c r="H573" s="44">
        <f t="shared" si="92"/>
        <v>0</v>
      </c>
      <c r="I573" cm="1">
        <f t="array" ref="I573">INT(F573)+IF(100-SUM(INT(F$568:F$579))&gt;=RANK(H573,H$568:H$579)+COUNTIF(H$568:H573,H573)-1,1,0)</f>
        <v>1</v>
      </c>
      <c r="J573" t="b">
        <f t="shared" si="93"/>
        <v>1</v>
      </c>
      <c r="K573" t="str">
        <f t="shared" si="94"/>
        <v>Plecoptera</v>
      </c>
      <c r="L573">
        <f>_xlfn.XLOOKUP(D573,BugList!C:C,BugList!N:N)</f>
        <v>2</v>
      </c>
      <c r="M573">
        <f t="shared" si="95"/>
        <v>2</v>
      </c>
      <c r="N573" t="b">
        <f>_xlfn.XLOOKUP(D573,BugList!C:C,BugList!L:L)</f>
        <v>1</v>
      </c>
      <c r="O573" t="b">
        <f t="shared" si="96"/>
        <v>1</v>
      </c>
      <c r="P573" s="18" t="b">
        <f>SUMPRODUCT(COUNTIF(_xlfn.XLOOKUP(D573,BugList!C:C,BugList!P:P), "*SC*"))&gt;0</f>
        <v>0</v>
      </c>
    </row>
    <row r="574" spans="1:16">
      <c r="A574" t="s">
        <v>2760</v>
      </c>
      <c r="B574">
        <v>280</v>
      </c>
      <c r="C574" t="s">
        <v>197</v>
      </c>
      <c r="D574" t="s">
        <v>106</v>
      </c>
      <c r="E574">
        <v>1</v>
      </c>
      <c r="F574" s="43">
        <f t="shared" si="97"/>
        <v>1</v>
      </c>
      <c r="G574" s="44">
        <f t="shared" si="84"/>
        <v>1</v>
      </c>
      <c r="H574" s="44">
        <f t="shared" si="92"/>
        <v>0</v>
      </c>
      <c r="I574" cm="1">
        <f t="array" ref="I574">INT(F574)+IF(100-SUM(INT(F$568:F$579))&gt;=RANK(H574,H$568:H$579)+COUNTIF(H$568:H574,H574)-1,1,0)</f>
        <v>1</v>
      </c>
      <c r="J574" t="b">
        <f t="shared" si="93"/>
        <v>1</v>
      </c>
      <c r="K574" t="str">
        <f t="shared" si="94"/>
        <v>Plecoptera</v>
      </c>
      <c r="L574">
        <f>_xlfn.XLOOKUP(D574,BugList!C:C,BugList!N:N)</f>
        <v>2</v>
      </c>
      <c r="M574">
        <f t="shared" si="95"/>
        <v>2</v>
      </c>
      <c r="N574" t="b">
        <f>_xlfn.XLOOKUP(D574,BugList!C:C,BugList!L:L)</f>
        <v>1</v>
      </c>
      <c r="O574" t="b">
        <f t="shared" si="96"/>
        <v>1</v>
      </c>
      <c r="P574" s="18" t="b">
        <f>SUMPRODUCT(COUNTIF(_xlfn.XLOOKUP(D574,BugList!C:C,BugList!P:P), "*SC*"))&gt;0</f>
        <v>0</v>
      </c>
    </row>
    <row r="575" spans="1:16">
      <c r="A575" t="s">
        <v>2760</v>
      </c>
      <c r="B575">
        <v>280</v>
      </c>
      <c r="C575" t="s">
        <v>198</v>
      </c>
      <c r="D575" t="s">
        <v>107</v>
      </c>
      <c r="E575">
        <v>1</v>
      </c>
      <c r="F575" s="43">
        <f t="shared" si="97"/>
        <v>1</v>
      </c>
      <c r="G575" s="44">
        <f t="shared" si="84"/>
        <v>1</v>
      </c>
      <c r="H575" s="44">
        <f t="shared" si="92"/>
        <v>0</v>
      </c>
      <c r="I575" cm="1">
        <f t="array" ref="I575">INT(F575)+IF(100-SUM(INT(F$568:F$579))&gt;=RANK(H575,H$568:H$579)+COUNTIF(H$568:H575,H575)-1,1,0)</f>
        <v>1</v>
      </c>
      <c r="J575" t="b">
        <f t="shared" si="93"/>
        <v>1</v>
      </c>
      <c r="K575" t="str">
        <f t="shared" si="94"/>
        <v>Trichoptera</v>
      </c>
      <c r="L575">
        <f>_xlfn.XLOOKUP(D575,BugList!C:C,BugList!N:N)</f>
        <v>3</v>
      </c>
      <c r="M575">
        <f t="shared" si="95"/>
        <v>3</v>
      </c>
      <c r="N575" t="b">
        <f>_xlfn.XLOOKUP(D575,BugList!C:C,BugList!L:L)</f>
        <v>1</v>
      </c>
      <c r="O575" t="b">
        <f t="shared" si="96"/>
        <v>1</v>
      </c>
      <c r="P575" s="18" t="b">
        <f>SUMPRODUCT(COUNTIF(_xlfn.XLOOKUP(D575,BugList!C:C,BugList!P:P), "*SC*"))&gt;0</f>
        <v>0</v>
      </c>
    </row>
    <row r="576" spans="1:16">
      <c r="A576" t="s">
        <v>2760</v>
      </c>
      <c r="B576">
        <v>280</v>
      </c>
      <c r="C576" t="s">
        <v>204</v>
      </c>
      <c r="D576" t="s">
        <v>84</v>
      </c>
      <c r="E576">
        <v>1</v>
      </c>
      <c r="F576" s="43">
        <f t="shared" si="97"/>
        <v>1</v>
      </c>
      <c r="G576" s="44">
        <f t="shared" si="84"/>
        <v>1</v>
      </c>
      <c r="H576" s="44">
        <f t="shared" si="92"/>
        <v>0</v>
      </c>
      <c r="I576" cm="1">
        <f t="array" ref="I576">INT(F576)+IF(100-SUM(INT(F$568:F$579))&gt;=RANK(H576,H$568:H$579)+COUNTIF(H$568:H576,H576)-1,1,0)</f>
        <v>1</v>
      </c>
      <c r="J576" t="b">
        <f t="shared" si="93"/>
        <v>0</v>
      </c>
      <c r="K576" t="str">
        <f t="shared" si="94"/>
        <v/>
      </c>
      <c r="L576">
        <f>_xlfn.XLOOKUP(D576,BugList!C:C,BugList!N:N)</f>
        <v>8</v>
      </c>
      <c r="M576">
        <f t="shared" si="95"/>
        <v>8</v>
      </c>
      <c r="N576" t="b">
        <f>_xlfn.XLOOKUP(D576,BugList!C:C,BugList!L:L)</f>
        <v>0</v>
      </c>
      <c r="O576" t="b">
        <f t="shared" si="96"/>
        <v>0</v>
      </c>
      <c r="P576" s="18" t="b">
        <f>SUMPRODUCT(COUNTIF(_xlfn.XLOOKUP(D576,BugList!C:C,BugList!P:P), "*SC*"))&gt;0</f>
        <v>0</v>
      </c>
    </row>
    <row r="577" spans="1:16">
      <c r="A577" t="s">
        <v>2760</v>
      </c>
      <c r="B577">
        <v>280</v>
      </c>
      <c r="C577" t="s">
        <v>201</v>
      </c>
      <c r="D577" t="s">
        <v>85</v>
      </c>
      <c r="E577">
        <v>33</v>
      </c>
      <c r="F577" s="43">
        <f t="shared" si="97"/>
        <v>33</v>
      </c>
      <c r="G577" s="44">
        <f t="shared" si="84"/>
        <v>33</v>
      </c>
      <c r="H577" s="44">
        <f t="shared" si="92"/>
        <v>0</v>
      </c>
      <c r="I577" cm="1">
        <f t="array" ref="I577">INT(F577)+IF(100-SUM(INT(F$568:F$579))&gt;=RANK(H577,H$568:H$579)+COUNTIF(H$568:H577,H577)-1,1,0)</f>
        <v>33</v>
      </c>
      <c r="J577" t="b">
        <f t="shared" si="93"/>
        <v>0</v>
      </c>
      <c r="K577" t="str">
        <f t="shared" si="94"/>
        <v/>
      </c>
      <c r="L577">
        <f>_xlfn.XLOOKUP(D577,BugList!C:C,BugList!N:N)</f>
        <v>4</v>
      </c>
      <c r="M577">
        <f t="shared" si="95"/>
        <v>132</v>
      </c>
      <c r="N577" t="b">
        <f>_xlfn.XLOOKUP(D577,BugList!C:C,BugList!L:L)</f>
        <v>0</v>
      </c>
      <c r="O577" t="b">
        <f t="shared" si="96"/>
        <v>0</v>
      </c>
      <c r="P577" s="18" t="b">
        <f>SUMPRODUCT(COUNTIF(_xlfn.XLOOKUP(D577,BugList!C:C,BugList!P:P), "*SC*"))&gt;0</f>
        <v>0</v>
      </c>
    </row>
    <row r="578" spans="1:16">
      <c r="A578" t="s">
        <v>2760</v>
      </c>
      <c r="B578">
        <v>280</v>
      </c>
      <c r="C578" t="s">
        <v>205</v>
      </c>
      <c r="D578" t="s">
        <v>206</v>
      </c>
      <c r="E578">
        <v>1</v>
      </c>
      <c r="F578" s="43">
        <f t="shared" si="97"/>
        <v>1</v>
      </c>
      <c r="G578" s="44">
        <f t="shared" si="84"/>
        <v>1</v>
      </c>
      <c r="H578" s="44">
        <f t="shared" si="92"/>
        <v>0</v>
      </c>
      <c r="I578" cm="1">
        <f t="array" ref="I578">INT(F578)+IF(100-SUM(INT(F$568:F$579))&gt;=RANK(H578,H$568:H$579)+COUNTIF(H$568:H578,H578)-1,1,0)</f>
        <v>1</v>
      </c>
      <c r="J578" t="b">
        <f t="shared" si="93"/>
        <v>0</v>
      </c>
      <c r="K578" t="str">
        <f t="shared" si="94"/>
        <v/>
      </c>
      <c r="L578" s="71">
        <v>8</v>
      </c>
      <c r="M578">
        <f t="shared" si="95"/>
        <v>8</v>
      </c>
      <c r="N578" s="71" t="b">
        <v>0</v>
      </c>
      <c r="O578" t="b">
        <f t="shared" si="96"/>
        <v>0</v>
      </c>
      <c r="P578" s="72" t="b">
        <v>0</v>
      </c>
    </row>
    <row r="579" spans="1:16">
      <c r="A579" t="s">
        <v>2760</v>
      </c>
      <c r="B579">
        <v>280</v>
      </c>
      <c r="C579" t="s">
        <v>94</v>
      </c>
      <c r="D579" t="s">
        <v>94</v>
      </c>
      <c r="E579">
        <v>2</v>
      </c>
      <c r="F579" s="43">
        <f t="shared" si="97"/>
        <v>2</v>
      </c>
      <c r="G579" s="44">
        <f t="shared" si="84"/>
        <v>2</v>
      </c>
      <c r="H579" s="44">
        <f t="shared" si="92"/>
        <v>0</v>
      </c>
      <c r="I579" cm="1">
        <f t="array" ref="I579">INT(F579)+IF(100-SUM(INT(F$568:F$579))&gt;=RANK(H579,H$568:H$579)+COUNTIF(H$568:H579,H579)-1,1,0)</f>
        <v>2</v>
      </c>
      <c r="J579" t="b">
        <f t="shared" si="93"/>
        <v>0</v>
      </c>
      <c r="K579" t="str">
        <f t="shared" si="94"/>
        <v/>
      </c>
      <c r="L579">
        <f>_xlfn.XLOOKUP(D579,BugList!C:C,BugList!N:N)</f>
        <v>8</v>
      </c>
      <c r="M579">
        <f t="shared" si="95"/>
        <v>16</v>
      </c>
      <c r="N579" t="b">
        <f>_xlfn.XLOOKUP(D579,BugList!C:C,BugList!L:L)</f>
        <v>0</v>
      </c>
      <c r="O579" t="b">
        <f t="shared" si="96"/>
        <v>0</v>
      </c>
      <c r="P579" s="18" t="b">
        <f>SUMPRODUCT(COUNTIF(_xlfn.XLOOKUP(D579,BugList!C:C,BugList!P:P), "*SC*"))&gt;0</f>
        <v>0</v>
      </c>
    </row>
    <row r="580" spans="1:16">
      <c r="A580" t="s">
        <v>2761</v>
      </c>
      <c r="B580">
        <v>292</v>
      </c>
      <c r="C580" t="s">
        <v>200</v>
      </c>
      <c r="D580" t="s">
        <v>98</v>
      </c>
      <c r="E580">
        <v>45</v>
      </c>
      <c r="F580" s="43">
        <f t="shared" si="97"/>
        <v>43.689320388349515</v>
      </c>
      <c r="G580" s="44">
        <f t="shared" si="84"/>
        <v>43</v>
      </c>
      <c r="H580" s="44">
        <f t="shared" si="92"/>
        <v>0.6893203883495147</v>
      </c>
      <c r="I580" cm="1">
        <f t="array" ref="I580">INT(F580)+IF(100-SUM(INT(F$580:F$591))&gt;=RANK(H580,H$580:H$591)+COUNTIF(H$580:H580,H580)-1,1,0)</f>
        <v>44</v>
      </c>
      <c r="J580" t="b">
        <f t="shared" si="93"/>
        <v>0</v>
      </c>
      <c r="K580" t="str">
        <f t="shared" si="94"/>
        <v/>
      </c>
      <c r="L580">
        <f>_xlfn.XLOOKUP(D580,BugList!C:C,BugList!N:N)</f>
        <v>4</v>
      </c>
      <c r="M580">
        <f t="shared" si="95"/>
        <v>176</v>
      </c>
      <c r="N580" t="b">
        <f>_xlfn.XLOOKUP(D580,BugList!C:C,BugList!L:L)</f>
        <v>1</v>
      </c>
      <c r="O580" t="b">
        <f t="shared" si="96"/>
        <v>0</v>
      </c>
      <c r="P580" s="18" t="b">
        <f>SUMPRODUCT(COUNTIF(_xlfn.XLOOKUP(D580,BugList!C:C,BugList!P:P), "*SC*"))&gt;0</f>
        <v>1</v>
      </c>
    </row>
    <row r="581" spans="1:16">
      <c r="A581" t="s">
        <v>2761</v>
      </c>
      <c r="B581">
        <v>292</v>
      </c>
      <c r="C581" t="s">
        <v>200</v>
      </c>
      <c r="D581" t="s">
        <v>99</v>
      </c>
      <c r="E581">
        <v>1</v>
      </c>
      <c r="F581" s="43">
        <f t="shared" si="97"/>
        <v>0.97087378640776689</v>
      </c>
      <c r="G581" s="44">
        <f t="shared" si="84"/>
        <v>0</v>
      </c>
      <c r="H581" s="44">
        <f t="shared" si="92"/>
        <v>0.97087378640776689</v>
      </c>
      <c r="I581" cm="1">
        <f t="array" ref="I581">INT(F581)+IF(100-SUM(INT(F$580:F$591))&gt;=RANK(H581,H$580:H$591)+COUNTIF(H$580:H581,H581)-1,1,0)</f>
        <v>1</v>
      </c>
      <c r="J581" t="b">
        <f t="shared" si="93"/>
        <v>0</v>
      </c>
      <c r="K581" t="str">
        <f t="shared" si="94"/>
        <v/>
      </c>
      <c r="L581">
        <f>_xlfn.XLOOKUP(D581,BugList!C:C,BugList!N:N)</f>
        <v>5</v>
      </c>
      <c r="M581">
        <f t="shared" si="95"/>
        <v>5</v>
      </c>
      <c r="N581" t="b">
        <f>_xlfn.XLOOKUP(D581,BugList!C:C,BugList!L:L)</f>
        <v>1</v>
      </c>
      <c r="O581" t="b">
        <f t="shared" si="96"/>
        <v>0</v>
      </c>
      <c r="P581" s="18" t="b">
        <f>SUMPRODUCT(COUNTIF(_xlfn.XLOOKUP(D581,BugList!C:C,BugList!P:P), "*SC*"))&gt;0</f>
        <v>0</v>
      </c>
    </row>
    <row r="582" spans="1:16">
      <c r="A582" t="s">
        <v>2761</v>
      </c>
      <c r="B582">
        <v>292</v>
      </c>
      <c r="C582" t="s">
        <v>200</v>
      </c>
      <c r="D582" t="s">
        <v>100</v>
      </c>
      <c r="E582">
        <v>10</v>
      </c>
      <c r="F582" s="43">
        <f t="shared" si="97"/>
        <v>9.7087378640776691</v>
      </c>
      <c r="G582" s="44">
        <f t="shared" si="84"/>
        <v>9</v>
      </c>
      <c r="H582" s="44">
        <f t="shared" si="92"/>
        <v>0.70873786407766914</v>
      </c>
      <c r="I582" cm="1">
        <f t="array" ref="I582">INT(F582)+IF(100-SUM(INT(F$580:F$591))&gt;=RANK(H582,H$580:H$591)+COUNTIF(H$580:H582,H582)-1,1,0)</f>
        <v>10</v>
      </c>
      <c r="J582" t="b">
        <f t="shared" si="93"/>
        <v>0</v>
      </c>
      <c r="K582" t="str">
        <f t="shared" si="94"/>
        <v/>
      </c>
      <c r="L582">
        <f>_xlfn.XLOOKUP(D582,BugList!C:C,BugList!N:N)</f>
        <v>4</v>
      </c>
      <c r="M582">
        <f t="shared" si="95"/>
        <v>40</v>
      </c>
      <c r="N582" t="b">
        <f>_xlfn.XLOOKUP(D582,BugList!C:C,BugList!L:L)</f>
        <v>1</v>
      </c>
      <c r="O582" t="b">
        <f t="shared" si="96"/>
        <v>0</v>
      </c>
      <c r="P582" s="18" t="b">
        <f>SUMPRODUCT(COUNTIF(_xlfn.XLOOKUP(D582,BugList!C:C,BugList!P:P), "*SC*"))&gt;0</f>
        <v>1</v>
      </c>
    </row>
    <row r="583" spans="1:16">
      <c r="A583" t="s">
        <v>2761</v>
      </c>
      <c r="B583">
        <v>292</v>
      </c>
      <c r="C583" t="s">
        <v>194</v>
      </c>
      <c r="D583" s="85" t="s">
        <v>90</v>
      </c>
      <c r="E583">
        <v>11</v>
      </c>
      <c r="F583" s="43">
        <f t="shared" si="97"/>
        <v>10.679611650485436</v>
      </c>
      <c r="G583" s="44">
        <f t="shared" si="84"/>
        <v>10</v>
      </c>
      <c r="H583" s="44">
        <f t="shared" si="92"/>
        <v>0.6796116504854357</v>
      </c>
      <c r="I583" cm="1">
        <f t="array" ref="I583">INT(F583)+IF(100-SUM(INT(F$580:F$591))&gt;=RANK(H583,H$580:H$591)+COUNTIF(H$580:H583,H583)-1,1,0)</f>
        <v>10</v>
      </c>
      <c r="J583" t="b">
        <f t="shared" si="93"/>
        <v>0</v>
      </c>
      <c r="K583" t="str">
        <f t="shared" si="94"/>
        <v/>
      </c>
      <c r="L583">
        <f>_xlfn.XLOOKUP(D583,BugList!C:C,BugList!N:N)</f>
        <v>6</v>
      </c>
      <c r="M583">
        <f t="shared" si="95"/>
        <v>60</v>
      </c>
      <c r="N583" t="b">
        <f>_xlfn.XLOOKUP(D583,BugList!C:C,BugList!L:L)</f>
        <v>1</v>
      </c>
      <c r="O583" t="b">
        <f t="shared" si="96"/>
        <v>0</v>
      </c>
      <c r="P583" s="18" t="b">
        <f>SUMPRODUCT(COUNTIF(_xlfn.XLOOKUP(D583,BugList!C:C,BugList!P:P), "*SC*"))&gt;0</f>
        <v>0</v>
      </c>
    </row>
    <row r="584" spans="1:16">
      <c r="A584" t="s">
        <v>2761</v>
      </c>
      <c r="B584">
        <v>292</v>
      </c>
      <c r="C584" t="s">
        <v>199</v>
      </c>
      <c r="D584" t="s">
        <v>154</v>
      </c>
      <c r="E584">
        <v>14</v>
      </c>
      <c r="F584" s="43">
        <f t="shared" si="97"/>
        <v>13.592233009708737</v>
      </c>
      <c r="G584" s="44">
        <f t="shared" si="84"/>
        <v>13</v>
      </c>
      <c r="H584" s="44">
        <f t="shared" si="92"/>
        <v>0.59223300970873716</v>
      </c>
      <c r="I584" cm="1">
        <f t="array" ref="I584">INT(F584)+IF(100-SUM(INT(F$580:F$591))&gt;=RANK(H584,H$580:H$591)+COUNTIF(H$580:H584,H584)-1,1,0)</f>
        <v>13</v>
      </c>
      <c r="J584" t="b">
        <f t="shared" si="93"/>
        <v>1</v>
      </c>
      <c r="K584" t="str">
        <f t="shared" si="94"/>
        <v>Ephemeroptera</v>
      </c>
      <c r="L584">
        <f>_xlfn.XLOOKUP(D584,BugList!C:C,BugList!N:N)</f>
        <v>7</v>
      </c>
      <c r="M584">
        <f t="shared" si="95"/>
        <v>91</v>
      </c>
      <c r="N584" t="b">
        <f>_xlfn.XLOOKUP(D584,BugList!C:C,BugList!L:L)</f>
        <v>1</v>
      </c>
      <c r="O584" t="b">
        <f t="shared" si="96"/>
        <v>1</v>
      </c>
      <c r="P584" s="18" t="b">
        <f>SUMPRODUCT(COUNTIF(_xlfn.XLOOKUP(D584,BugList!C:C,BugList!P:P), "*SC*"))&gt;0</f>
        <v>0</v>
      </c>
    </row>
    <row r="585" spans="1:16">
      <c r="A585" t="s">
        <v>2761</v>
      </c>
      <c r="B585">
        <v>292</v>
      </c>
      <c r="C585" t="s">
        <v>199</v>
      </c>
      <c r="D585" t="s">
        <v>151</v>
      </c>
      <c r="E585">
        <v>2</v>
      </c>
      <c r="F585" s="43">
        <f t="shared" si="97"/>
        <v>1.9417475728155338</v>
      </c>
      <c r="G585" s="44">
        <f t="shared" si="84"/>
        <v>1</v>
      </c>
      <c r="H585" s="44">
        <f t="shared" si="92"/>
        <v>0.94174757281553378</v>
      </c>
      <c r="I585" cm="1">
        <f t="array" ref="I585">INT(F585)+IF(100-SUM(INT(F$580:F$591))&gt;=RANK(H585,H$580:H$591)+COUNTIF(H$580:H585,H585)-1,1,0)</f>
        <v>2</v>
      </c>
      <c r="J585" t="b">
        <f t="shared" si="93"/>
        <v>1</v>
      </c>
      <c r="K585" t="str">
        <f t="shared" si="94"/>
        <v>Ephemeroptera</v>
      </c>
      <c r="L585">
        <f>_xlfn.XLOOKUP(D585,BugList!C:C,BugList!N:N)</f>
        <v>1</v>
      </c>
      <c r="M585">
        <f t="shared" si="95"/>
        <v>2</v>
      </c>
      <c r="N585" t="b">
        <f>_xlfn.XLOOKUP(D585,BugList!C:C,BugList!L:L)</f>
        <v>1</v>
      </c>
      <c r="O585" t="b">
        <f t="shared" si="96"/>
        <v>1</v>
      </c>
      <c r="P585" s="18" t="b">
        <f>SUMPRODUCT(COUNTIF(_xlfn.XLOOKUP(D585,BugList!C:C,BugList!P:P), "*SC*"))&gt;0</f>
        <v>0</v>
      </c>
    </row>
    <row r="586" spans="1:16">
      <c r="A586" t="s">
        <v>2761</v>
      </c>
      <c r="B586">
        <v>292</v>
      </c>
      <c r="C586" t="s">
        <v>198</v>
      </c>
      <c r="D586" t="s">
        <v>89</v>
      </c>
      <c r="E586">
        <v>4</v>
      </c>
      <c r="F586" s="43">
        <f t="shared" si="97"/>
        <v>3.8834951456310676</v>
      </c>
      <c r="G586" s="44">
        <f t="shared" si="84"/>
        <v>3</v>
      </c>
      <c r="H586" s="44">
        <f t="shared" si="92"/>
        <v>0.88349514563106757</v>
      </c>
      <c r="I586" cm="1">
        <f t="array" ref="I586">INT(F586)+IF(100-SUM(INT(F$580:F$591))&gt;=RANK(H586,H$580:H$591)+COUNTIF(H$580:H586,H586)-1,1,0)</f>
        <v>4</v>
      </c>
      <c r="J586" t="b">
        <f t="shared" si="93"/>
        <v>1</v>
      </c>
      <c r="K586" t="str">
        <f t="shared" si="94"/>
        <v>Trichoptera</v>
      </c>
      <c r="L586">
        <f>_xlfn.XLOOKUP(D586,BugList!C:C,BugList!N:N)</f>
        <v>4</v>
      </c>
      <c r="M586">
        <f t="shared" si="95"/>
        <v>16</v>
      </c>
      <c r="N586" t="b">
        <f>_xlfn.XLOOKUP(D586,BugList!C:C,BugList!L:L)</f>
        <v>1</v>
      </c>
      <c r="O586" t="b">
        <f t="shared" si="96"/>
        <v>0</v>
      </c>
      <c r="P586" s="18" t="b">
        <f>SUMPRODUCT(COUNTIF(_xlfn.XLOOKUP(D586,BugList!C:C,BugList!P:P), "*SC*"))&gt;0</f>
        <v>0</v>
      </c>
    </row>
    <row r="587" spans="1:16">
      <c r="A587" t="s">
        <v>2761</v>
      </c>
      <c r="B587">
        <v>292</v>
      </c>
      <c r="C587" t="s">
        <v>198</v>
      </c>
      <c r="D587" t="s">
        <v>163</v>
      </c>
      <c r="E587">
        <v>2</v>
      </c>
      <c r="F587" s="43">
        <f t="shared" si="97"/>
        <v>1.9417475728155338</v>
      </c>
      <c r="G587" s="44">
        <f t="shared" si="84"/>
        <v>1</v>
      </c>
      <c r="H587" s="44">
        <f t="shared" si="92"/>
        <v>0.94174757281553378</v>
      </c>
      <c r="I587" cm="1">
        <f t="array" ref="I587">INT(F587)+IF(100-SUM(INT(F$580:F$591))&gt;=RANK(H587,H$580:H$591)+COUNTIF(H$580:H587,H587)-1,1,0)</f>
        <v>2</v>
      </c>
      <c r="J587" t="b">
        <f t="shared" si="93"/>
        <v>1</v>
      </c>
      <c r="K587" t="str">
        <f t="shared" si="94"/>
        <v>Trichoptera</v>
      </c>
      <c r="L587">
        <f>_xlfn.XLOOKUP(D587,BugList!C:C,BugList!N:N)</f>
        <v>6</v>
      </c>
      <c r="M587">
        <f t="shared" si="95"/>
        <v>12</v>
      </c>
      <c r="N587" t="b">
        <f>_xlfn.XLOOKUP(D587,BugList!C:C,BugList!L:L)</f>
        <v>1</v>
      </c>
      <c r="O587" t="b">
        <f t="shared" si="96"/>
        <v>1</v>
      </c>
      <c r="P587" s="18" t="b">
        <f>SUMPRODUCT(COUNTIF(_xlfn.XLOOKUP(D587,BugList!C:C,BugList!P:P), "*SC*"))&gt;0</f>
        <v>0</v>
      </c>
    </row>
    <row r="588" spans="1:16">
      <c r="A588" t="s">
        <v>2761</v>
      </c>
      <c r="B588">
        <v>292</v>
      </c>
      <c r="C588" t="s">
        <v>198</v>
      </c>
      <c r="D588" t="s">
        <v>107</v>
      </c>
      <c r="E588">
        <v>1</v>
      </c>
      <c r="F588" s="43">
        <f t="shared" si="97"/>
        <v>0.97087378640776689</v>
      </c>
      <c r="G588" s="44">
        <f t="shared" si="84"/>
        <v>0</v>
      </c>
      <c r="H588" s="44">
        <f t="shared" ref="H588:H591" si="98">F588-G588</f>
        <v>0.97087378640776689</v>
      </c>
      <c r="I588" cm="1">
        <f t="array" ref="I588">INT(F588)+IF(100-SUM(INT(F$580:F$591))&gt;=RANK(H588,H$580:H$591)+COUNTIF(H$580:H588,H588)-1,1,0)</f>
        <v>1</v>
      </c>
      <c r="J588" t="b">
        <f t="shared" ref="J588:J591" si="99">IF(OR(C588="Ephemeroptera", C588 ="Plecoptera", C588= "Trichoptera"), TRUE, FALSE)</f>
        <v>1</v>
      </c>
      <c r="K588" t="str">
        <f t="shared" ref="K588:K591" si="100">IF(J588=TRUE,C588,"")</f>
        <v>Trichoptera</v>
      </c>
      <c r="L588">
        <f>_xlfn.XLOOKUP(D588,BugList!C:C,BugList!N:N)</f>
        <v>3</v>
      </c>
      <c r="M588">
        <f t="shared" ref="M588:M591" si="101">L588*I588</f>
        <v>3</v>
      </c>
      <c r="N588" t="b">
        <f>_xlfn.XLOOKUP(D588,BugList!C:C,BugList!L:L)</f>
        <v>1</v>
      </c>
      <c r="O588" t="b">
        <f t="shared" ref="O588:O591" si="102">IF(J588=TRUE,IF(D588="Hydropsychidae", FALSE, TRUE), FALSE)</f>
        <v>1</v>
      </c>
      <c r="P588" s="18" t="b">
        <f>SUMPRODUCT(COUNTIF(_xlfn.XLOOKUP(D588,BugList!C:C,BugList!P:P), "*SC*"))&gt;0</f>
        <v>0</v>
      </c>
    </row>
    <row r="589" spans="1:16">
      <c r="A589" t="s">
        <v>2761</v>
      </c>
      <c r="B589">
        <v>292</v>
      </c>
      <c r="C589" t="s">
        <v>201</v>
      </c>
      <c r="D589" t="s">
        <v>85</v>
      </c>
      <c r="E589">
        <v>9</v>
      </c>
      <c r="F589" s="43">
        <f t="shared" si="97"/>
        <v>8.7378640776699026</v>
      </c>
      <c r="G589" s="44">
        <f t="shared" si="84"/>
        <v>8</v>
      </c>
      <c r="H589" s="44">
        <f t="shared" si="98"/>
        <v>0.73786407766990258</v>
      </c>
      <c r="I589" cm="1">
        <f t="array" ref="I589">INT(F589)+IF(100-SUM(INT(F$580:F$591))&gt;=RANK(H589,H$580:H$591)+COUNTIF(H$580:H589,H589)-1,1,0)</f>
        <v>9</v>
      </c>
      <c r="J589" t="b">
        <f t="shared" si="99"/>
        <v>0</v>
      </c>
      <c r="K589" t="str">
        <f t="shared" si="100"/>
        <v/>
      </c>
      <c r="L589">
        <f>_xlfn.XLOOKUP(D589,BugList!C:C,BugList!N:N)</f>
        <v>4</v>
      </c>
      <c r="M589">
        <f t="shared" si="101"/>
        <v>36</v>
      </c>
      <c r="N589" t="b">
        <f>_xlfn.XLOOKUP(D589,BugList!C:C,BugList!L:L)</f>
        <v>0</v>
      </c>
      <c r="O589" t="b">
        <f t="shared" si="102"/>
        <v>0</v>
      </c>
      <c r="P589" s="18" t="b">
        <f>SUMPRODUCT(COUNTIF(_xlfn.XLOOKUP(D589,BugList!C:C,BugList!P:P), "*SC*"))&gt;0</f>
        <v>0</v>
      </c>
    </row>
    <row r="590" spans="1:16">
      <c r="A590" t="s">
        <v>2761</v>
      </c>
      <c r="B590">
        <v>292</v>
      </c>
      <c r="C590" t="s">
        <v>210</v>
      </c>
      <c r="D590" t="s">
        <v>93</v>
      </c>
      <c r="E590">
        <v>1</v>
      </c>
      <c r="F590" s="43">
        <f t="shared" si="97"/>
        <v>0.97087378640776689</v>
      </c>
      <c r="G590" s="44">
        <f t="shared" si="84"/>
        <v>0</v>
      </c>
      <c r="H590" s="44">
        <f t="shared" si="98"/>
        <v>0.97087378640776689</v>
      </c>
      <c r="I590" cm="1">
        <f t="array" ref="I590">INT(F590)+IF(100-SUM(INT(F$580:F$591))&gt;=RANK(H590,H$580:H$591)+COUNTIF(H$580:H590,H590)-1,1,0)</f>
        <v>1</v>
      </c>
      <c r="J590" t="b">
        <f t="shared" si="99"/>
        <v>0</v>
      </c>
      <c r="K590" t="str">
        <f t="shared" si="100"/>
        <v/>
      </c>
      <c r="L590">
        <f>_xlfn.XLOOKUP(D590,BugList!C:C,BugList!N:N)</f>
        <v>8</v>
      </c>
      <c r="M590">
        <f t="shared" si="101"/>
        <v>8</v>
      </c>
      <c r="N590" t="b">
        <f>_xlfn.XLOOKUP(D590,BugList!C:C,BugList!L:L)</f>
        <v>0</v>
      </c>
      <c r="O590" t="b">
        <f t="shared" si="102"/>
        <v>0</v>
      </c>
      <c r="P590" s="18" t="b">
        <f>SUMPRODUCT(COUNTIF(_xlfn.XLOOKUP(D590,BugList!C:C,BugList!P:P), "*SC*"))&gt;0</f>
        <v>0</v>
      </c>
    </row>
    <row r="591" spans="1:16">
      <c r="A591" t="s">
        <v>2761</v>
      </c>
      <c r="B591">
        <v>292</v>
      </c>
      <c r="C591" t="s">
        <v>94</v>
      </c>
      <c r="D591" t="s">
        <v>94</v>
      </c>
      <c r="E591">
        <v>3</v>
      </c>
      <c r="F591" s="43">
        <f t="shared" si="97"/>
        <v>2.912621359223301</v>
      </c>
      <c r="G591" s="44">
        <f t="shared" si="84"/>
        <v>2</v>
      </c>
      <c r="H591" s="44">
        <f t="shared" si="98"/>
        <v>0.91262135922330101</v>
      </c>
      <c r="I591" cm="1">
        <f t="array" ref="I591">INT(F591)+IF(100-SUM(INT(F$580:F$591))&gt;=RANK(H591,H$580:H$591)+COUNTIF(H$580:H591,H591)-1,1,0)</f>
        <v>3</v>
      </c>
      <c r="J591" t="b">
        <f t="shared" si="99"/>
        <v>0</v>
      </c>
      <c r="K591" t="str">
        <f t="shared" si="100"/>
        <v/>
      </c>
      <c r="L591">
        <f>_xlfn.XLOOKUP(D591,BugList!C:C,BugList!N:N)</f>
        <v>8</v>
      </c>
      <c r="M591">
        <f t="shared" si="101"/>
        <v>24</v>
      </c>
      <c r="N591" t="b">
        <f>_xlfn.XLOOKUP(D591,BugList!C:C,BugList!L:L)</f>
        <v>0</v>
      </c>
      <c r="O591" t="b">
        <f t="shared" si="102"/>
        <v>0</v>
      </c>
      <c r="P591" s="18" t="b">
        <f>SUMPRODUCT(COUNTIF(_xlfn.XLOOKUP(D591,BugList!C:C,BugList!P:P), "*SC*"))&gt;0</f>
        <v>0</v>
      </c>
    </row>
    <row r="592" spans="1:16">
      <c r="A592" t="s">
        <v>2762</v>
      </c>
      <c r="B592">
        <v>322</v>
      </c>
      <c r="C592" t="s">
        <v>200</v>
      </c>
      <c r="D592" t="s">
        <v>98</v>
      </c>
      <c r="E592">
        <v>11</v>
      </c>
      <c r="F592" s="43">
        <f t="shared" si="97"/>
        <v>9.4017094017094021</v>
      </c>
      <c r="G592" s="44">
        <f t="shared" si="84"/>
        <v>9</v>
      </c>
      <c r="H592" s="44">
        <f t="shared" ref="H592:H645" si="103">F592-G592</f>
        <v>0.40170940170940206</v>
      </c>
      <c r="I592" cm="1">
        <f t="array" ref="I592">INT(F592)+IF(100-SUM(INT(F$592:F$598))&gt;=RANK(H592,H$592:H$598)+COUNTIF(H$592:H592,H592)-1,1,0)</f>
        <v>9</v>
      </c>
      <c r="J592" t="b">
        <f t="shared" ref="J592:J645" si="104">IF(OR(C592="Ephemeroptera", C592 ="Plecoptera", C592= "Trichoptera"), TRUE, FALSE)</f>
        <v>0</v>
      </c>
      <c r="K592" t="str">
        <f t="shared" ref="K592:K645" si="105">IF(J592=TRUE,C592,"")</f>
        <v/>
      </c>
      <c r="L592">
        <f>_xlfn.XLOOKUP(D592,BugList!C:C,BugList!N:N)</f>
        <v>4</v>
      </c>
      <c r="M592">
        <f t="shared" ref="M592:M645" si="106">L592*I592</f>
        <v>36</v>
      </c>
      <c r="N592" t="b">
        <f>_xlfn.XLOOKUP(D592,BugList!C:C,BugList!L:L)</f>
        <v>1</v>
      </c>
      <c r="O592" t="b">
        <f t="shared" ref="O592:O645" si="107">IF(J592=TRUE,IF(D592="Hydropsychidae", FALSE, TRUE), FALSE)</f>
        <v>0</v>
      </c>
      <c r="P592" s="18" t="b">
        <f>SUMPRODUCT(COUNTIF(_xlfn.XLOOKUP(D592,BugList!C:C,BugList!P:P), "*SC*"))&gt;0</f>
        <v>1</v>
      </c>
    </row>
    <row r="593" spans="1:16">
      <c r="A593" t="s">
        <v>2762</v>
      </c>
      <c r="B593">
        <v>322</v>
      </c>
      <c r="C593" t="s">
        <v>200</v>
      </c>
      <c r="D593" t="s">
        <v>100</v>
      </c>
      <c r="E593">
        <v>1</v>
      </c>
      <c r="F593" s="43">
        <f t="shared" si="97"/>
        <v>0.85470085470085477</v>
      </c>
      <c r="G593" s="44">
        <f t="shared" si="84"/>
        <v>0</v>
      </c>
      <c r="H593" s="44">
        <f t="shared" si="103"/>
        <v>0.85470085470085477</v>
      </c>
      <c r="I593" cm="1">
        <f t="array" ref="I593">INT(F593)+IF(100-SUM(INT(F$592:F$598))&gt;=RANK(H593,H$592:H$598)+COUNTIF(H$592:H593,H593)-1,1,0)</f>
        <v>1</v>
      </c>
      <c r="J593" t="b">
        <f t="shared" si="104"/>
        <v>0</v>
      </c>
      <c r="K593" t="str">
        <f t="shared" si="105"/>
        <v/>
      </c>
      <c r="L593">
        <f>_xlfn.XLOOKUP(D593,BugList!C:C,BugList!N:N)</f>
        <v>4</v>
      </c>
      <c r="M593">
        <f t="shared" si="106"/>
        <v>4</v>
      </c>
      <c r="N593" t="b">
        <f>_xlfn.XLOOKUP(D593,BugList!C:C,BugList!L:L)</f>
        <v>1</v>
      </c>
      <c r="O593" t="b">
        <f t="shared" si="107"/>
        <v>0</v>
      </c>
      <c r="P593" s="18" t="b">
        <f>SUMPRODUCT(COUNTIF(_xlfn.XLOOKUP(D593,BugList!C:C,BugList!P:P), "*SC*"))&gt;0</f>
        <v>1</v>
      </c>
    </row>
    <row r="594" spans="1:16">
      <c r="A594" t="s">
        <v>2762</v>
      </c>
      <c r="B594">
        <v>322</v>
      </c>
      <c r="C594" t="s">
        <v>199</v>
      </c>
      <c r="D594" t="s">
        <v>154</v>
      </c>
      <c r="E594">
        <v>28</v>
      </c>
      <c r="F594" s="43">
        <f t="shared" si="97"/>
        <v>23.931623931623932</v>
      </c>
      <c r="G594" s="44">
        <f t="shared" si="84"/>
        <v>23</v>
      </c>
      <c r="H594" s="44">
        <f t="shared" si="103"/>
        <v>0.93162393162393187</v>
      </c>
      <c r="I594" cm="1">
        <f t="array" ref="I594">INT(F594)+IF(100-SUM(INT(F$592:F$598))&gt;=RANK(H594,H$592:H$598)+COUNTIF(H$592:H594,H594)-1,1,0)</f>
        <v>24</v>
      </c>
      <c r="J594" t="b">
        <f t="shared" si="104"/>
        <v>1</v>
      </c>
      <c r="K594" t="str">
        <f t="shared" si="105"/>
        <v>Ephemeroptera</v>
      </c>
      <c r="L594">
        <f>_xlfn.XLOOKUP(D594,BugList!C:C,BugList!N:N)</f>
        <v>7</v>
      </c>
      <c r="M594">
        <f t="shared" si="106"/>
        <v>168</v>
      </c>
      <c r="N594" t="b">
        <f>_xlfn.XLOOKUP(D594,BugList!C:C,BugList!L:L)</f>
        <v>1</v>
      </c>
      <c r="O594" t="b">
        <f t="shared" si="107"/>
        <v>1</v>
      </c>
      <c r="P594" s="18" t="b">
        <f>SUMPRODUCT(COUNTIF(_xlfn.XLOOKUP(D594,BugList!C:C,BugList!P:P), "*SC*"))&gt;0</f>
        <v>0</v>
      </c>
    </row>
    <row r="595" spans="1:16">
      <c r="A595" t="s">
        <v>2762</v>
      </c>
      <c r="B595">
        <v>322</v>
      </c>
      <c r="C595" t="s">
        <v>199</v>
      </c>
      <c r="D595" t="s">
        <v>111</v>
      </c>
      <c r="E595">
        <v>2</v>
      </c>
      <c r="F595" s="43">
        <f t="shared" si="97"/>
        <v>1.7094017094017095</v>
      </c>
      <c r="G595" s="44">
        <f t="shared" si="84"/>
        <v>1</v>
      </c>
      <c r="H595" s="44">
        <f t="shared" si="103"/>
        <v>0.70940170940170955</v>
      </c>
      <c r="I595" cm="1">
        <f t="array" ref="I595">INT(F595)+IF(100-SUM(INT(F$592:F$598))&gt;=RANK(H595,H$592:H$598)+COUNTIF(H$592:H595,H595)-1,1,0)</f>
        <v>2</v>
      </c>
      <c r="J595" t="b">
        <f t="shared" si="104"/>
        <v>1</v>
      </c>
      <c r="K595" t="str">
        <f t="shared" si="105"/>
        <v>Ephemeroptera</v>
      </c>
      <c r="L595">
        <f>_xlfn.XLOOKUP(D595,BugList!C:C,BugList!N:N)</f>
        <v>4</v>
      </c>
      <c r="M595">
        <f t="shared" si="106"/>
        <v>8</v>
      </c>
      <c r="N595" t="b">
        <f>_xlfn.XLOOKUP(D595,BugList!C:C,BugList!L:L)</f>
        <v>1</v>
      </c>
      <c r="O595" t="b">
        <f t="shared" si="107"/>
        <v>1</v>
      </c>
      <c r="P595" s="18" t="b">
        <f>SUMPRODUCT(COUNTIF(_xlfn.XLOOKUP(D595,BugList!C:C,BugList!P:P), "*SC*"))&gt;0</f>
        <v>0</v>
      </c>
    </row>
    <row r="596" spans="1:16">
      <c r="A596" t="s">
        <v>2762</v>
      </c>
      <c r="B596">
        <v>322</v>
      </c>
      <c r="C596" t="s">
        <v>211</v>
      </c>
      <c r="D596" t="s">
        <v>87</v>
      </c>
      <c r="E596">
        <v>1</v>
      </c>
      <c r="F596" s="43">
        <f t="shared" si="97"/>
        <v>0.85470085470085477</v>
      </c>
      <c r="G596" s="44">
        <f t="shared" si="84"/>
        <v>0</v>
      </c>
      <c r="H596" s="44">
        <f t="shared" si="103"/>
        <v>0.85470085470085477</v>
      </c>
      <c r="I596" cm="1">
        <f t="array" ref="I596">INT(F596)+IF(100-SUM(INT(F$592:F$598))&gt;=RANK(H596,H$592:H$598)+COUNTIF(H$592:H596,H596)-1,1,0)</f>
        <v>1</v>
      </c>
      <c r="J596" t="b">
        <f t="shared" si="104"/>
        <v>0</v>
      </c>
      <c r="K596" t="str">
        <f t="shared" si="105"/>
        <v/>
      </c>
      <c r="L596">
        <f>_xlfn.XLOOKUP(D596,BugList!C:C,BugList!N:N)</f>
        <v>4</v>
      </c>
      <c r="M596">
        <f t="shared" si="106"/>
        <v>4</v>
      </c>
      <c r="N596" t="b">
        <f>_xlfn.XLOOKUP(D596,BugList!C:C,BugList!L:L)</f>
        <v>0</v>
      </c>
      <c r="O596" t="b">
        <f t="shared" si="107"/>
        <v>0</v>
      </c>
      <c r="P596" s="18" t="b">
        <f>SUMPRODUCT(COUNTIF(_xlfn.XLOOKUP(D596,BugList!C:C,BugList!P:P), "*SC*"))&gt;0</f>
        <v>0</v>
      </c>
    </row>
    <row r="597" spans="1:16">
      <c r="A597" t="s">
        <v>2762</v>
      </c>
      <c r="B597">
        <v>322</v>
      </c>
      <c r="C597" t="s">
        <v>201</v>
      </c>
      <c r="D597" t="s">
        <v>85</v>
      </c>
      <c r="E597">
        <v>73</v>
      </c>
      <c r="F597" s="43">
        <f t="shared" si="97"/>
        <v>62.393162393162392</v>
      </c>
      <c r="G597" s="44">
        <f t="shared" si="84"/>
        <v>62</v>
      </c>
      <c r="H597" s="44">
        <f t="shared" si="103"/>
        <v>0.39316239316239177</v>
      </c>
      <c r="I597" cm="1">
        <f t="array" ref="I597">INT(F597)+IF(100-SUM(INT(F$592:F$598))&gt;=RANK(H597,H$592:H$598)+COUNTIF(H$592:H597,H597)-1,1,0)</f>
        <v>62</v>
      </c>
      <c r="J597" t="b">
        <f t="shared" si="104"/>
        <v>0</v>
      </c>
      <c r="K597" t="str">
        <f t="shared" si="105"/>
        <v/>
      </c>
      <c r="L597">
        <f>_xlfn.XLOOKUP(D597,BugList!C:C,BugList!N:N)</f>
        <v>4</v>
      </c>
      <c r="M597">
        <f t="shared" si="106"/>
        <v>248</v>
      </c>
      <c r="N597" t="b">
        <f>_xlfn.XLOOKUP(D597,BugList!C:C,BugList!L:L)</f>
        <v>0</v>
      </c>
      <c r="O597" t="b">
        <f t="shared" si="107"/>
        <v>0</v>
      </c>
      <c r="P597" s="18" t="b">
        <f>SUMPRODUCT(COUNTIF(_xlfn.XLOOKUP(D597,BugList!C:C,BugList!P:P), "*SC*"))&gt;0</f>
        <v>0</v>
      </c>
    </row>
    <row r="598" spans="1:16">
      <c r="A598" t="s">
        <v>2762</v>
      </c>
      <c r="B598">
        <v>322</v>
      </c>
      <c r="C598" t="s">
        <v>201</v>
      </c>
      <c r="D598" t="s">
        <v>109</v>
      </c>
      <c r="E598">
        <v>1</v>
      </c>
      <c r="F598" s="43">
        <f t="shared" ref="F598:F629" si="108">(E598/(SUMIFS(E:E,A:A,A598))*100)</f>
        <v>0.85470085470085477</v>
      </c>
      <c r="G598" s="44">
        <f t="shared" si="84"/>
        <v>0</v>
      </c>
      <c r="H598" s="44">
        <f t="shared" si="103"/>
        <v>0.85470085470085477</v>
      </c>
      <c r="I598" cm="1">
        <f t="array" ref="I598">INT(F598)+IF(100-SUM(INT(F$592:F$598))&gt;=RANK(H598,H$592:H$598)+COUNTIF(H$592:H598,H598)-1,1,0)</f>
        <v>1</v>
      </c>
      <c r="J598" t="b">
        <f t="shared" si="104"/>
        <v>0</v>
      </c>
      <c r="K598" t="str">
        <f t="shared" si="105"/>
        <v/>
      </c>
      <c r="L598">
        <f>_xlfn.XLOOKUP(D598,BugList!C:C,BugList!N:N)</f>
        <v>6</v>
      </c>
      <c r="M598">
        <f t="shared" si="106"/>
        <v>6</v>
      </c>
      <c r="N598" t="b">
        <f>_xlfn.XLOOKUP(D598,BugList!C:C,BugList!L:L)</f>
        <v>0</v>
      </c>
      <c r="O598" t="b">
        <f t="shared" si="107"/>
        <v>0</v>
      </c>
      <c r="P598" s="18" t="b">
        <f>SUMPRODUCT(COUNTIF(_xlfn.XLOOKUP(D598,BugList!C:C,BugList!P:P), "*SC*"))&gt;0</f>
        <v>0</v>
      </c>
    </row>
    <row r="599" spans="1:16">
      <c r="A599" t="s">
        <v>2763</v>
      </c>
      <c r="B599">
        <v>339</v>
      </c>
      <c r="C599" t="s">
        <v>200</v>
      </c>
      <c r="D599" t="s">
        <v>98</v>
      </c>
      <c r="E599">
        <v>19</v>
      </c>
      <c r="F599" s="43">
        <f t="shared" si="108"/>
        <v>13.669064748201439</v>
      </c>
      <c r="G599" s="44">
        <f t="shared" si="84"/>
        <v>13</v>
      </c>
      <c r="H599" s="44">
        <f t="shared" si="103"/>
        <v>0.66906474820143913</v>
      </c>
      <c r="I599" cm="1">
        <f t="array" ref="I599">INT(F599)+IF(100-SUM(INT(F$599:F$616))&gt;=RANK(H599,H$599:H$616)+COUNTIF(H$599:H599,H599)-1,1,0)</f>
        <v>14</v>
      </c>
      <c r="J599" t="b">
        <f t="shared" si="104"/>
        <v>0</v>
      </c>
      <c r="K599" t="str">
        <f t="shared" si="105"/>
        <v/>
      </c>
      <c r="L599">
        <f>_xlfn.XLOOKUP(D599,BugList!C:C,BugList!N:N)</f>
        <v>4</v>
      </c>
      <c r="M599">
        <f t="shared" si="106"/>
        <v>56</v>
      </c>
      <c r="N599" t="b">
        <f>_xlfn.XLOOKUP(D599,BugList!C:C,BugList!L:L)</f>
        <v>1</v>
      </c>
      <c r="O599" t="b">
        <f t="shared" si="107"/>
        <v>0</v>
      </c>
      <c r="P599" s="18" t="b">
        <f>SUMPRODUCT(COUNTIF(_xlfn.XLOOKUP(D599,BugList!C:C,BugList!P:P), "*SC*"))&gt;0</f>
        <v>1</v>
      </c>
    </row>
    <row r="600" spans="1:16">
      <c r="A600" t="s">
        <v>2763</v>
      </c>
      <c r="B600">
        <v>339</v>
      </c>
      <c r="C600" t="s">
        <v>200</v>
      </c>
      <c r="D600" t="s">
        <v>1563</v>
      </c>
      <c r="E600">
        <v>1</v>
      </c>
      <c r="F600" s="43">
        <f t="shared" si="108"/>
        <v>0.71942446043165476</v>
      </c>
      <c r="G600" s="44">
        <f t="shared" si="84"/>
        <v>0</v>
      </c>
      <c r="H600" s="44">
        <f t="shared" si="103"/>
        <v>0.71942446043165476</v>
      </c>
      <c r="I600" cm="1">
        <f t="array" ref="I600">INT(F600)+IF(100-SUM(INT(F$599:F$616))&gt;=RANK(H600,H$599:H$616)+COUNTIF(H$599:H600,H600)-1,1,0)</f>
        <v>1</v>
      </c>
      <c r="J600" t="b">
        <f t="shared" si="104"/>
        <v>0</v>
      </c>
      <c r="K600" t="str">
        <f t="shared" si="105"/>
        <v/>
      </c>
      <c r="L600">
        <f>_xlfn.XLOOKUP(D600,BugList!C:C,BugList!N:N)</f>
        <v>5</v>
      </c>
      <c r="M600">
        <f t="shared" si="106"/>
        <v>5</v>
      </c>
      <c r="N600" t="b">
        <f>_xlfn.XLOOKUP(D600,BugList!C:C,BugList!L:L)</f>
        <v>1</v>
      </c>
      <c r="O600" t="b">
        <f t="shared" si="107"/>
        <v>0</v>
      </c>
      <c r="P600" s="18" t="b">
        <f>SUMPRODUCT(COUNTIF(_xlfn.XLOOKUP(D600,BugList!C:C,BugList!P:P), "*SC*"))&gt;0</f>
        <v>0</v>
      </c>
    </row>
    <row r="601" spans="1:16">
      <c r="A601" t="s">
        <v>2763</v>
      </c>
      <c r="B601">
        <v>339</v>
      </c>
      <c r="C601" t="s">
        <v>200</v>
      </c>
      <c r="D601" t="s">
        <v>99</v>
      </c>
      <c r="E601">
        <v>5</v>
      </c>
      <c r="F601" s="43">
        <f t="shared" si="108"/>
        <v>3.5971223021582732</v>
      </c>
      <c r="G601" s="44">
        <f t="shared" si="84"/>
        <v>3</v>
      </c>
      <c r="H601" s="44">
        <f t="shared" si="103"/>
        <v>0.59712230215827322</v>
      </c>
      <c r="I601" cm="1">
        <f t="array" ref="I601">INT(F601)+IF(100-SUM(INT(F$599:F$616))&gt;=RANK(H601,H$599:H$616)+COUNTIF(H$599:H601,H601)-1,1,0)</f>
        <v>4</v>
      </c>
      <c r="J601" t="b">
        <f t="shared" si="104"/>
        <v>0</v>
      </c>
      <c r="K601" t="str">
        <f t="shared" si="105"/>
        <v/>
      </c>
      <c r="L601">
        <f>_xlfn.XLOOKUP(D601,BugList!C:C,BugList!N:N)</f>
        <v>5</v>
      </c>
      <c r="M601">
        <f t="shared" si="106"/>
        <v>20</v>
      </c>
      <c r="N601" t="b">
        <f>_xlfn.XLOOKUP(D601,BugList!C:C,BugList!L:L)</f>
        <v>1</v>
      </c>
      <c r="O601" t="b">
        <f t="shared" si="107"/>
        <v>0</v>
      </c>
      <c r="P601" s="18" t="b">
        <f>SUMPRODUCT(COUNTIF(_xlfn.XLOOKUP(D601,BugList!C:C,BugList!P:P), "*SC*"))&gt;0</f>
        <v>0</v>
      </c>
    </row>
    <row r="602" spans="1:16">
      <c r="A602" t="s">
        <v>2763</v>
      </c>
      <c r="B602">
        <v>339</v>
      </c>
      <c r="C602" t="s">
        <v>200</v>
      </c>
      <c r="D602" t="s">
        <v>100</v>
      </c>
      <c r="E602">
        <v>33</v>
      </c>
      <c r="F602" s="43">
        <f t="shared" si="108"/>
        <v>23.741007194244602</v>
      </c>
      <c r="G602" s="44">
        <f t="shared" si="84"/>
        <v>23</v>
      </c>
      <c r="H602" s="44">
        <f t="shared" si="103"/>
        <v>0.74100719424460237</v>
      </c>
      <c r="I602" cm="1">
        <f t="array" ref="I602">INT(F602)+IF(100-SUM(INT(F$599:F$616))&gt;=RANK(H602,H$599:H$616)+COUNTIF(H$599:H602,H602)-1,1,0)</f>
        <v>24</v>
      </c>
      <c r="J602" t="b">
        <f t="shared" si="104"/>
        <v>0</v>
      </c>
      <c r="K602" t="str">
        <f t="shared" si="105"/>
        <v/>
      </c>
      <c r="L602">
        <f>_xlfn.XLOOKUP(D602,BugList!C:C,BugList!N:N)</f>
        <v>4</v>
      </c>
      <c r="M602">
        <f t="shared" si="106"/>
        <v>96</v>
      </c>
      <c r="N602" t="b">
        <f>_xlfn.XLOOKUP(D602,BugList!C:C,BugList!L:L)</f>
        <v>1</v>
      </c>
      <c r="O602" t="b">
        <f t="shared" si="107"/>
        <v>0</v>
      </c>
      <c r="P602" s="18" t="b">
        <f>SUMPRODUCT(COUNTIF(_xlfn.XLOOKUP(D602,BugList!C:C,BugList!P:P), "*SC*"))&gt;0</f>
        <v>1</v>
      </c>
    </row>
    <row r="603" spans="1:16">
      <c r="A603" t="s">
        <v>2763</v>
      </c>
      <c r="B603">
        <v>339</v>
      </c>
      <c r="C603" t="s">
        <v>194</v>
      </c>
      <c r="D603" t="s">
        <v>108</v>
      </c>
      <c r="E603">
        <v>2</v>
      </c>
      <c r="F603" s="43">
        <f t="shared" si="108"/>
        <v>1.4388489208633095</v>
      </c>
      <c r="G603" s="44">
        <f t="shared" si="84"/>
        <v>1</v>
      </c>
      <c r="H603" s="44">
        <f t="shared" si="103"/>
        <v>0.43884892086330951</v>
      </c>
      <c r="I603" cm="1">
        <f t="array" ref="I603">INT(F603)+IF(100-SUM(INT(F$599:F$616))&gt;=RANK(H603,H$599:H$616)+COUNTIF(H$599:H603,H603)-1,1,0)</f>
        <v>1</v>
      </c>
      <c r="J603" t="b">
        <f t="shared" si="104"/>
        <v>0</v>
      </c>
      <c r="K603" t="str">
        <f t="shared" si="105"/>
        <v/>
      </c>
      <c r="L603">
        <f>_xlfn.XLOOKUP(D603,BugList!C:C,BugList!N:N)</f>
        <v>3</v>
      </c>
      <c r="M603">
        <f t="shared" si="106"/>
        <v>3</v>
      </c>
      <c r="N603" t="b">
        <f>_xlfn.XLOOKUP(D603,BugList!C:C,BugList!L:L)</f>
        <v>1</v>
      </c>
      <c r="O603" t="b">
        <f t="shared" si="107"/>
        <v>0</v>
      </c>
      <c r="P603" s="18" t="b">
        <f>SUMPRODUCT(COUNTIF(_xlfn.XLOOKUP(D603,BugList!C:C,BugList!P:P), "*SC*"))&gt;0</f>
        <v>0</v>
      </c>
    </row>
    <row r="604" spans="1:16">
      <c r="A604" t="s">
        <v>2763</v>
      </c>
      <c r="B604">
        <v>339</v>
      </c>
      <c r="C604" t="s">
        <v>199</v>
      </c>
      <c r="D604" t="s">
        <v>154</v>
      </c>
      <c r="E604">
        <v>2</v>
      </c>
      <c r="F604" s="43">
        <f t="shared" si="108"/>
        <v>1.4388489208633095</v>
      </c>
      <c r="G604" s="44">
        <f t="shared" si="84"/>
        <v>1</v>
      </c>
      <c r="H604" s="44">
        <f t="shared" si="103"/>
        <v>0.43884892086330951</v>
      </c>
      <c r="I604" cm="1">
        <f t="array" ref="I604">INT(F604)+IF(100-SUM(INT(F$599:F$616))&gt;=RANK(H604,H$599:H$616)+COUNTIF(H$599:H604,H604)-1,1,0)</f>
        <v>1</v>
      </c>
      <c r="J604" t="b">
        <f t="shared" si="104"/>
        <v>1</v>
      </c>
      <c r="K604" t="str">
        <f t="shared" si="105"/>
        <v>Ephemeroptera</v>
      </c>
      <c r="L604">
        <f>_xlfn.XLOOKUP(D604,BugList!C:C,BugList!N:N)</f>
        <v>7</v>
      </c>
      <c r="M604">
        <f t="shared" si="106"/>
        <v>7</v>
      </c>
      <c r="N604" t="b">
        <f>_xlfn.XLOOKUP(D604,BugList!C:C,BugList!L:L)</f>
        <v>1</v>
      </c>
      <c r="O604" t="b">
        <f t="shared" si="107"/>
        <v>1</v>
      </c>
      <c r="P604" s="18" t="b">
        <f>SUMPRODUCT(COUNTIF(_xlfn.XLOOKUP(D604,BugList!C:C,BugList!P:P), "*SC*"))&gt;0</f>
        <v>0</v>
      </c>
    </row>
    <row r="605" spans="1:16">
      <c r="A605" t="s">
        <v>2763</v>
      </c>
      <c r="B605">
        <v>339</v>
      </c>
      <c r="C605" t="s">
        <v>199</v>
      </c>
      <c r="D605" t="s">
        <v>111</v>
      </c>
      <c r="E605">
        <v>1</v>
      </c>
      <c r="F605" s="43">
        <f t="shared" si="108"/>
        <v>0.71942446043165476</v>
      </c>
      <c r="G605" s="44">
        <f t="shared" si="84"/>
        <v>0</v>
      </c>
      <c r="H605" s="44">
        <f t="shared" si="103"/>
        <v>0.71942446043165476</v>
      </c>
      <c r="I605" cm="1">
        <f t="array" ref="I605">INT(F605)+IF(100-SUM(INT(F$599:F$616))&gt;=RANK(H605,H$599:H$616)+COUNTIF(H$599:H605,H605)-1,1,0)</f>
        <v>1</v>
      </c>
      <c r="J605" t="b">
        <f t="shared" si="104"/>
        <v>1</v>
      </c>
      <c r="K605" t="str">
        <f t="shared" si="105"/>
        <v>Ephemeroptera</v>
      </c>
      <c r="L605">
        <f>_xlfn.XLOOKUP(D605,BugList!C:C,BugList!N:N)</f>
        <v>4</v>
      </c>
      <c r="M605">
        <f t="shared" si="106"/>
        <v>4</v>
      </c>
      <c r="N605" t="b">
        <f>_xlfn.XLOOKUP(D605,BugList!C:C,BugList!L:L)</f>
        <v>1</v>
      </c>
      <c r="O605" t="b">
        <f t="shared" si="107"/>
        <v>1</v>
      </c>
      <c r="P605" s="18" t="b">
        <f>SUMPRODUCT(COUNTIF(_xlfn.XLOOKUP(D605,BugList!C:C,BugList!P:P), "*SC*"))&gt;0</f>
        <v>0</v>
      </c>
    </row>
    <row r="606" spans="1:16">
      <c r="A606" t="s">
        <v>2763</v>
      </c>
      <c r="B606">
        <v>339</v>
      </c>
      <c r="C606" t="s">
        <v>195</v>
      </c>
      <c r="D606" t="s">
        <v>97</v>
      </c>
      <c r="E606">
        <v>1</v>
      </c>
      <c r="F606" s="43">
        <f t="shared" si="108"/>
        <v>0.71942446043165476</v>
      </c>
      <c r="G606" s="44">
        <f t="shared" si="84"/>
        <v>0</v>
      </c>
      <c r="H606" s="44">
        <f t="shared" si="103"/>
        <v>0.71942446043165476</v>
      </c>
      <c r="I606" cm="1">
        <f t="array" ref="I606">INT(F606)+IF(100-SUM(INT(F$599:F$616))&gt;=RANK(H606,H$599:H$616)+COUNTIF(H$599:H606,H606)-1,1,0)</f>
        <v>1</v>
      </c>
      <c r="J606" t="b">
        <f t="shared" si="104"/>
        <v>0</v>
      </c>
      <c r="K606" t="str">
        <f t="shared" si="105"/>
        <v/>
      </c>
      <c r="L606">
        <f>_xlfn.XLOOKUP(D606,BugList!C:C,BugList!N:N)</f>
        <v>9</v>
      </c>
      <c r="M606">
        <f t="shared" si="106"/>
        <v>9</v>
      </c>
      <c r="N606" t="b">
        <f>_xlfn.XLOOKUP(D606,BugList!C:C,BugList!L:L)</f>
        <v>1</v>
      </c>
      <c r="O606" t="b">
        <f t="shared" si="107"/>
        <v>0</v>
      </c>
      <c r="P606" s="18" t="b">
        <f>SUMPRODUCT(COUNTIF(_xlfn.XLOOKUP(D606,BugList!C:C,BugList!P:P), "*SC*"))&gt;0</f>
        <v>0</v>
      </c>
    </row>
    <row r="607" spans="1:16">
      <c r="A607" t="s">
        <v>2763</v>
      </c>
      <c r="B607">
        <v>339</v>
      </c>
      <c r="C607" t="s">
        <v>211</v>
      </c>
      <c r="D607" t="s">
        <v>87</v>
      </c>
      <c r="E607">
        <v>6</v>
      </c>
      <c r="F607" s="43">
        <f t="shared" si="108"/>
        <v>4.3165467625899279</v>
      </c>
      <c r="G607" s="44">
        <f t="shared" si="84"/>
        <v>4</v>
      </c>
      <c r="H607" s="44">
        <f t="shared" si="103"/>
        <v>0.31654676258992787</v>
      </c>
      <c r="I607" cm="1">
        <f t="array" ref="I607">INT(F607)+IF(100-SUM(INT(F$599:F$616))&gt;=RANK(H607,H$599:H$616)+COUNTIF(H$599:H607,H607)-1,1,0)</f>
        <v>4</v>
      </c>
      <c r="J607" t="b">
        <f t="shared" si="104"/>
        <v>0</v>
      </c>
      <c r="K607" t="str">
        <f t="shared" si="105"/>
        <v/>
      </c>
      <c r="L607">
        <f>_xlfn.XLOOKUP(D607,BugList!C:C,BugList!N:N)</f>
        <v>4</v>
      </c>
      <c r="M607">
        <f t="shared" si="106"/>
        <v>16</v>
      </c>
      <c r="N607" t="b">
        <f>_xlfn.XLOOKUP(D607,BugList!C:C,BugList!L:L)</f>
        <v>0</v>
      </c>
      <c r="O607" t="b">
        <f t="shared" si="107"/>
        <v>0</v>
      </c>
      <c r="P607" s="18" t="b">
        <f>SUMPRODUCT(COUNTIF(_xlfn.XLOOKUP(D607,BugList!C:C,BugList!P:P), "*SC*"))&gt;0</f>
        <v>0</v>
      </c>
    </row>
    <row r="608" spans="1:16">
      <c r="A608" t="s">
        <v>2763</v>
      </c>
      <c r="B608">
        <v>339</v>
      </c>
      <c r="C608" t="s">
        <v>198</v>
      </c>
      <c r="D608" t="s">
        <v>89</v>
      </c>
      <c r="E608">
        <v>1</v>
      </c>
      <c r="F608" s="43">
        <f t="shared" si="108"/>
        <v>0.71942446043165476</v>
      </c>
      <c r="G608" s="44">
        <f t="shared" si="84"/>
        <v>0</v>
      </c>
      <c r="H608" s="44">
        <f t="shared" si="103"/>
        <v>0.71942446043165476</v>
      </c>
      <c r="I608" cm="1">
        <f t="array" ref="I608">INT(F608)+IF(100-SUM(INT(F$599:F$616))&gt;=RANK(H608,H$599:H$616)+COUNTIF(H$599:H608,H608)-1,1,0)</f>
        <v>1</v>
      </c>
      <c r="J608" t="b">
        <f t="shared" si="104"/>
        <v>1</v>
      </c>
      <c r="K608" t="str">
        <f t="shared" si="105"/>
        <v>Trichoptera</v>
      </c>
      <c r="L608">
        <f>_xlfn.XLOOKUP(D608,BugList!C:C,BugList!N:N)</f>
        <v>4</v>
      </c>
      <c r="M608">
        <f t="shared" si="106"/>
        <v>4</v>
      </c>
      <c r="N608" t="b">
        <f>_xlfn.XLOOKUP(D608,BugList!C:C,BugList!L:L)</f>
        <v>1</v>
      </c>
      <c r="O608" t="b">
        <f t="shared" si="107"/>
        <v>0</v>
      </c>
      <c r="P608" s="18" t="b">
        <f>SUMPRODUCT(COUNTIF(_xlfn.XLOOKUP(D608,BugList!C:C,BugList!P:P), "*SC*"))&gt;0</f>
        <v>0</v>
      </c>
    </row>
    <row r="609" spans="1:16">
      <c r="A609" t="s">
        <v>2763</v>
      </c>
      <c r="B609">
        <v>339</v>
      </c>
      <c r="C609" t="s">
        <v>204</v>
      </c>
      <c r="D609" t="s">
        <v>84</v>
      </c>
      <c r="E609">
        <v>1</v>
      </c>
      <c r="F609" s="43">
        <f t="shared" si="108"/>
        <v>0.71942446043165476</v>
      </c>
      <c r="G609" s="44">
        <f t="shared" si="84"/>
        <v>0</v>
      </c>
      <c r="H609" s="44">
        <f t="shared" si="103"/>
        <v>0.71942446043165476</v>
      </c>
      <c r="I609" cm="1">
        <f t="array" ref="I609">INT(F609)+IF(100-SUM(INT(F$599:F$616))&gt;=RANK(H609,H$599:H$616)+COUNTIF(H$599:H609,H609)-1,1,0)</f>
        <v>1</v>
      </c>
      <c r="J609" t="b">
        <f t="shared" si="104"/>
        <v>0</v>
      </c>
      <c r="K609" t="str">
        <f t="shared" si="105"/>
        <v/>
      </c>
      <c r="L609">
        <f>_xlfn.XLOOKUP(D609,BugList!C:C,BugList!N:N)</f>
        <v>8</v>
      </c>
      <c r="M609">
        <f t="shared" si="106"/>
        <v>8</v>
      </c>
      <c r="N609" t="b">
        <f>_xlfn.XLOOKUP(D609,BugList!C:C,BugList!L:L)</f>
        <v>0</v>
      </c>
      <c r="O609" t="b">
        <f t="shared" si="107"/>
        <v>0</v>
      </c>
      <c r="P609" s="18" t="b">
        <f>SUMPRODUCT(COUNTIF(_xlfn.XLOOKUP(D609,BugList!C:C,BugList!P:P), "*SC*"))&gt;0</f>
        <v>0</v>
      </c>
    </row>
    <row r="610" spans="1:16">
      <c r="A610" t="s">
        <v>2763</v>
      </c>
      <c r="B610">
        <v>339</v>
      </c>
      <c r="C610" t="s">
        <v>201</v>
      </c>
      <c r="D610" t="s">
        <v>85</v>
      </c>
      <c r="E610">
        <v>48</v>
      </c>
      <c r="F610" s="43">
        <f t="shared" si="108"/>
        <v>34.532374100719423</v>
      </c>
      <c r="G610" s="44">
        <f t="shared" si="84"/>
        <v>34</v>
      </c>
      <c r="H610" s="44">
        <f t="shared" si="103"/>
        <v>0.53237410071942293</v>
      </c>
      <c r="I610" cm="1">
        <f t="array" ref="I610">INT(F610)+IF(100-SUM(INT(F$599:F$616))&gt;=RANK(H610,H$599:H$616)+COUNTIF(H$599:H610,H610)-1,1,0)</f>
        <v>34</v>
      </c>
      <c r="J610" t="b">
        <f t="shared" si="104"/>
        <v>0</v>
      </c>
      <c r="K610" t="str">
        <f t="shared" si="105"/>
        <v/>
      </c>
      <c r="L610">
        <f>_xlfn.XLOOKUP(D610,BugList!C:C,BugList!N:N)</f>
        <v>4</v>
      </c>
      <c r="M610">
        <f t="shared" si="106"/>
        <v>136</v>
      </c>
      <c r="N610" t="b">
        <f>_xlfn.XLOOKUP(D610,BugList!C:C,BugList!L:L)</f>
        <v>0</v>
      </c>
      <c r="O610" t="b">
        <f t="shared" si="107"/>
        <v>0</v>
      </c>
      <c r="P610" s="18" t="b">
        <f>SUMPRODUCT(COUNTIF(_xlfn.XLOOKUP(D610,BugList!C:C,BugList!P:P), "*SC*"))&gt;0</f>
        <v>0</v>
      </c>
    </row>
    <row r="611" spans="1:16">
      <c r="A611" t="s">
        <v>2763</v>
      </c>
      <c r="B611">
        <v>339</v>
      </c>
      <c r="C611" t="s">
        <v>210</v>
      </c>
      <c r="D611" t="s">
        <v>92</v>
      </c>
      <c r="E611">
        <v>6</v>
      </c>
      <c r="F611" s="43">
        <f t="shared" si="108"/>
        <v>4.3165467625899279</v>
      </c>
      <c r="G611" s="44">
        <f t="shared" si="84"/>
        <v>4</v>
      </c>
      <c r="H611" s="44">
        <f t="shared" si="103"/>
        <v>0.31654676258992787</v>
      </c>
      <c r="I611" cm="1">
        <f t="array" ref="I611">INT(F611)+IF(100-SUM(INT(F$599:F$616))&gt;=RANK(H611,H$599:H$616)+COUNTIF(H$599:H611,H611)-1,1,0)</f>
        <v>4</v>
      </c>
      <c r="J611" t="b">
        <f t="shared" si="104"/>
        <v>0</v>
      </c>
      <c r="K611" t="str">
        <f t="shared" si="105"/>
        <v/>
      </c>
      <c r="L611">
        <f>_xlfn.XLOOKUP(D611,BugList!C:C,BugList!N:N)</f>
        <v>8</v>
      </c>
      <c r="M611">
        <f t="shared" si="106"/>
        <v>32</v>
      </c>
      <c r="N611" t="b">
        <f>_xlfn.XLOOKUP(D611,BugList!C:C,BugList!L:L)</f>
        <v>0</v>
      </c>
      <c r="O611" t="b">
        <f t="shared" si="107"/>
        <v>0</v>
      </c>
      <c r="P611" s="18" t="b">
        <f>SUMPRODUCT(COUNTIF(_xlfn.XLOOKUP(D611,BugList!C:C,BugList!P:P), "*SC*"))&gt;0</f>
        <v>0</v>
      </c>
    </row>
    <row r="612" spans="1:16">
      <c r="A612" t="s">
        <v>2763</v>
      </c>
      <c r="B612">
        <v>339</v>
      </c>
      <c r="C612" t="s">
        <v>2315</v>
      </c>
      <c r="D612" t="s">
        <v>166</v>
      </c>
      <c r="E612">
        <v>3</v>
      </c>
      <c r="F612" s="43">
        <f t="shared" si="108"/>
        <v>2.1582733812949639</v>
      </c>
      <c r="G612" s="44">
        <f t="shared" si="84"/>
        <v>2</v>
      </c>
      <c r="H612" s="44">
        <f t="shared" si="103"/>
        <v>0.15827338129496393</v>
      </c>
      <c r="I612" cm="1">
        <f t="array" ref="I612">INT(F612)+IF(100-SUM(INT(F$599:F$616))&gt;=RANK(H612,H$599:H$616)+COUNTIF(H$599:H612,H612)-1,1,0)</f>
        <v>2</v>
      </c>
      <c r="J612" t="b">
        <f t="shared" si="104"/>
        <v>0</v>
      </c>
      <c r="K612" t="str">
        <f t="shared" si="105"/>
        <v/>
      </c>
      <c r="L612">
        <f>_xlfn.XLOOKUP(D612,BugList!C:C,BugList!N:N)</f>
        <v>6</v>
      </c>
      <c r="M612">
        <f t="shared" si="106"/>
        <v>12</v>
      </c>
      <c r="N612" t="b">
        <f>_xlfn.XLOOKUP(D612,BugList!C:C,BugList!L:L)</f>
        <v>0</v>
      </c>
      <c r="O612" t="b">
        <f t="shared" si="107"/>
        <v>0</v>
      </c>
      <c r="P612" s="18" t="b">
        <f>SUMPRODUCT(COUNTIF(_xlfn.XLOOKUP(D612,BugList!C:C,BugList!P:P), "*SC*"))&gt;0</f>
        <v>1</v>
      </c>
    </row>
    <row r="613" spans="1:16">
      <c r="A613" t="s">
        <v>2763</v>
      </c>
      <c r="B613">
        <v>339</v>
      </c>
      <c r="C613" t="s">
        <v>2315</v>
      </c>
      <c r="D613" t="s">
        <v>102</v>
      </c>
      <c r="E613">
        <v>1</v>
      </c>
      <c r="F613" s="43">
        <f t="shared" si="108"/>
        <v>0.71942446043165476</v>
      </c>
      <c r="G613" s="44">
        <f t="shared" si="84"/>
        <v>0</v>
      </c>
      <c r="H613" s="44">
        <f t="shared" si="103"/>
        <v>0.71942446043165476</v>
      </c>
      <c r="I613" cm="1">
        <f t="array" ref="I613">INT(F613)+IF(100-SUM(INT(F$599:F$616))&gt;=RANK(H613,H$599:H$616)+COUNTIF(H$599:H613,H613)-1,1,0)</f>
        <v>1</v>
      </c>
      <c r="J613" t="b">
        <f t="shared" si="104"/>
        <v>0</v>
      </c>
      <c r="K613" t="str">
        <f t="shared" si="105"/>
        <v/>
      </c>
      <c r="L613">
        <f>_xlfn.XLOOKUP(D613,BugList!C:C,BugList!N:N)</f>
        <v>7</v>
      </c>
      <c r="M613">
        <f t="shared" si="106"/>
        <v>7</v>
      </c>
      <c r="N613" t="b">
        <f>_xlfn.XLOOKUP(D613,BugList!C:C,BugList!L:L)</f>
        <v>0</v>
      </c>
      <c r="O613" t="b">
        <f t="shared" si="107"/>
        <v>0</v>
      </c>
      <c r="P613" s="18" t="b">
        <f>SUMPRODUCT(COUNTIF(_xlfn.XLOOKUP(D613,BugList!C:C,BugList!P:P), "*SC*"))&gt;0</f>
        <v>1</v>
      </c>
    </row>
    <row r="614" spans="1:16">
      <c r="A614" t="s">
        <v>2763</v>
      </c>
      <c r="B614">
        <v>339</v>
      </c>
      <c r="C614" t="s">
        <v>2315</v>
      </c>
      <c r="D614" t="s">
        <v>121</v>
      </c>
      <c r="E614">
        <v>1</v>
      </c>
      <c r="F614" s="43">
        <f t="shared" si="108"/>
        <v>0.71942446043165476</v>
      </c>
      <c r="G614" s="44">
        <f t="shared" si="84"/>
        <v>0</v>
      </c>
      <c r="H614" s="44">
        <f t="shared" si="103"/>
        <v>0.71942446043165476</v>
      </c>
      <c r="I614" cm="1">
        <f t="array" ref="I614">INT(F614)+IF(100-SUM(INT(F$599:F$616))&gt;=RANK(H614,H$599:H$616)+COUNTIF(H$599:H614,H614)-1,1,0)</f>
        <v>1</v>
      </c>
      <c r="J614" t="b">
        <f t="shared" si="104"/>
        <v>0</v>
      </c>
      <c r="K614" t="str">
        <f t="shared" si="105"/>
        <v/>
      </c>
      <c r="L614">
        <f>_xlfn.XLOOKUP(D614,BugList!C:C,BugList!N:N)</f>
        <v>6</v>
      </c>
      <c r="M614">
        <f t="shared" si="106"/>
        <v>6</v>
      </c>
      <c r="N614" t="b">
        <f>_xlfn.XLOOKUP(D614,BugList!C:C,BugList!L:L)</f>
        <v>0</v>
      </c>
      <c r="O614" t="b">
        <f t="shared" si="107"/>
        <v>0</v>
      </c>
      <c r="P614" s="18" t="b">
        <f>SUMPRODUCT(COUNTIF(_xlfn.XLOOKUP(D614,BugList!C:C,BugList!P:P), "*SC*"))&gt;0</f>
        <v>0</v>
      </c>
    </row>
    <row r="615" spans="1:16">
      <c r="A615" t="s">
        <v>2763</v>
      </c>
      <c r="B615">
        <v>339</v>
      </c>
      <c r="C615" t="s">
        <v>205</v>
      </c>
      <c r="D615" t="s">
        <v>206</v>
      </c>
      <c r="E615">
        <v>2</v>
      </c>
      <c r="F615" s="43">
        <f t="shared" si="108"/>
        <v>1.4388489208633095</v>
      </c>
      <c r="G615" s="44">
        <f t="shared" si="84"/>
        <v>1</v>
      </c>
      <c r="H615" s="44">
        <f t="shared" si="103"/>
        <v>0.43884892086330951</v>
      </c>
      <c r="I615" cm="1">
        <f t="array" ref="I615">INT(F615)+IF(100-SUM(INT(F$599:F$616))&gt;=RANK(H615,H$599:H$616)+COUNTIF(H$599:H615,H615)-1,1,0)</f>
        <v>1</v>
      </c>
      <c r="J615" t="b">
        <f t="shared" si="104"/>
        <v>0</v>
      </c>
      <c r="K615" t="str">
        <f t="shared" si="105"/>
        <v/>
      </c>
      <c r="L615" s="71">
        <v>8</v>
      </c>
      <c r="M615">
        <f t="shared" si="106"/>
        <v>8</v>
      </c>
      <c r="N615" s="71" t="b">
        <v>0</v>
      </c>
      <c r="O615" t="b">
        <f t="shared" si="107"/>
        <v>0</v>
      </c>
      <c r="P615" s="72" t="b">
        <v>0</v>
      </c>
    </row>
    <row r="616" spans="1:16">
      <c r="A616" t="s">
        <v>2763</v>
      </c>
      <c r="B616">
        <v>339</v>
      </c>
      <c r="C616" t="s">
        <v>94</v>
      </c>
      <c r="D616" t="s">
        <v>94</v>
      </c>
      <c r="E616">
        <v>6</v>
      </c>
      <c r="F616" s="43">
        <f t="shared" si="108"/>
        <v>4.3165467625899279</v>
      </c>
      <c r="G616" s="44">
        <f t="shared" si="84"/>
        <v>4</v>
      </c>
      <c r="H616" s="44">
        <f t="shared" si="103"/>
        <v>0.31654676258992787</v>
      </c>
      <c r="I616" cm="1">
        <f t="array" ref="I616">INT(F616)+IF(100-SUM(INT(F$599:F$616))&gt;=RANK(H616,H$599:H$616)+COUNTIF(H$599:H616,H616)-1,1,0)</f>
        <v>4</v>
      </c>
      <c r="J616" t="b">
        <f t="shared" si="104"/>
        <v>0</v>
      </c>
      <c r="K616" t="str">
        <f t="shared" si="105"/>
        <v/>
      </c>
      <c r="L616">
        <f>_xlfn.XLOOKUP(D616,BugList!C:C,BugList!N:N)</f>
        <v>8</v>
      </c>
      <c r="M616">
        <f t="shared" si="106"/>
        <v>32</v>
      </c>
      <c r="N616" t="b">
        <f>_xlfn.XLOOKUP(D616,BugList!C:C,BugList!L:L)</f>
        <v>0</v>
      </c>
      <c r="O616" t="b">
        <f t="shared" si="107"/>
        <v>0</v>
      </c>
      <c r="P616" s="18" t="b">
        <f>SUMPRODUCT(COUNTIF(_xlfn.XLOOKUP(D616,BugList!C:C,BugList!P:P), "*SC*"))&gt;0</f>
        <v>0</v>
      </c>
    </row>
    <row r="617" spans="1:16">
      <c r="A617" t="s">
        <v>2764</v>
      </c>
      <c r="B617">
        <v>355</v>
      </c>
      <c r="C617" t="s">
        <v>200</v>
      </c>
      <c r="D617" t="s">
        <v>98</v>
      </c>
      <c r="E617">
        <v>8</v>
      </c>
      <c r="F617" s="43">
        <f t="shared" si="108"/>
        <v>7.9207920792079207</v>
      </c>
      <c r="G617" s="44">
        <f t="shared" si="84"/>
        <v>7</v>
      </c>
      <c r="H617" s="44">
        <f t="shared" si="103"/>
        <v>0.92079207920792072</v>
      </c>
      <c r="I617" cm="1">
        <f t="array" ref="I617">INT(F617)+IF(100-SUM(INT(F$617:F$623))&gt;=RANK(H617,H$617:H$623)+COUNTIF(H$617:H617,H617)-1,1,0)</f>
        <v>8</v>
      </c>
      <c r="J617" t="b">
        <f t="shared" si="104"/>
        <v>0</v>
      </c>
      <c r="K617" t="str">
        <f t="shared" si="105"/>
        <v/>
      </c>
      <c r="L617">
        <f>_xlfn.XLOOKUP(D617,BugList!C:C,BugList!N:N)</f>
        <v>4</v>
      </c>
      <c r="M617">
        <f t="shared" si="106"/>
        <v>32</v>
      </c>
      <c r="N617" t="b">
        <f>_xlfn.XLOOKUP(D617,BugList!C:C,BugList!L:L)</f>
        <v>1</v>
      </c>
      <c r="O617" t="b">
        <f t="shared" si="107"/>
        <v>0</v>
      </c>
      <c r="P617" s="18" t="b">
        <f>SUMPRODUCT(COUNTIF(_xlfn.XLOOKUP(D617,BugList!C:C,BugList!P:P), "*SC*"))&gt;0</f>
        <v>1</v>
      </c>
    </row>
    <row r="618" spans="1:16">
      <c r="A618" t="s">
        <v>2764</v>
      </c>
      <c r="B618">
        <v>355</v>
      </c>
      <c r="C618" t="s">
        <v>194</v>
      </c>
      <c r="D618" s="85" t="s">
        <v>90</v>
      </c>
      <c r="E618">
        <v>80</v>
      </c>
      <c r="F618" s="43">
        <f t="shared" si="108"/>
        <v>79.207920792079207</v>
      </c>
      <c r="G618" s="44">
        <f t="shared" si="84"/>
        <v>79</v>
      </c>
      <c r="H618" s="44">
        <f t="shared" si="103"/>
        <v>0.20792079207920722</v>
      </c>
      <c r="I618" cm="1">
        <f t="array" ref="I618">INT(F618)+IF(100-SUM(INT(F$617:F$623))&gt;=RANK(H618,H$617:H$623)+COUNTIF(H$617:H618,H618)-1,1,0)</f>
        <v>79</v>
      </c>
      <c r="J618" t="b">
        <f t="shared" si="104"/>
        <v>0</v>
      </c>
      <c r="K618" t="str">
        <f t="shared" si="105"/>
        <v/>
      </c>
      <c r="L618">
        <f>_xlfn.XLOOKUP(D618,BugList!C:C,BugList!N:N)</f>
        <v>6</v>
      </c>
      <c r="M618">
        <f t="shared" si="106"/>
        <v>474</v>
      </c>
      <c r="N618" t="b">
        <f>_xlfn.XLOOKUP(D618,BugList!C:C,BugList!L:L)</f>
        <v>1</v>
      </c>
      <c r="O618" t="b">
        <f t="shared" si="107"/>
        <v>0</v>
      </c>
      <c r="P618" s="18" t="b">
        <f>SUMPRODUCT(COUNTIF(_xlfn.XLOOKUP(D618,BugList!C:C,BugList!P:P), "*SC*"))&gt;0</f>
        <v>0</v>
      </c>
    </row>
    <row r="619" spans="1:16">
      <c r="A619" t="s">
        <v>2764</v>
      </c>
      <c r="B619">
        <v>355</v>
      </c>
      <c r="C619" t="s">
        <v>194</v>
      </c>
      <c r="D619" t="s">
        <v>131</v>
      </c>
      <c r="E619">
        <v>1</v>
      </c>
      <c r="F619" s="43">
        <f t="shared" si="108"/>
        <v>0.99009900990099009</v>
      </c>
      <c r="G619" s="44">
        <f t="shared" si="84"/>
        <v>0</v>
      </c>
      <c r="H619" s="44">
        <f t="shared" si="103"/>
        <v>0.99009900990099009</v>
      </c>
      <c r="I619" cm="1">
        <f t="array" ref="I619">INT(F619)+IF(100-SUM(INT(F$617:F$623))&gt;=RANK(H619,H$617:H$623)+COUNTIF(H$617:H619,H619)-1,1,0)</f>
        <v>1</v>
      </c>
      <c r="J619" t="b">
        <f t="shared" si="104"/>
        <v>0</v>
      </c>
      <c r="K619" t="str">
        <f t="shared" si="105"/>
        <v/>
      </c>
      <c r="L619">
        <f>_xlfn.XLOOKUP(D619,BugList!C:C,BugList!N:N)</f>
        <v>6</v>
      </c>
      <c r="M619">
        <f t="shared" si="106"/>
        <v>6</v>
      </c>
      <c r="N619" t="b">
        <f>_xlfn.XLOOKUP(D619,BugList!C:C,BugList!L:L)</f>
        <v>1</v>
      </c>
      <c r="O619" t="b">
        <f t="shared" si="107"/>
        <v>0</v>
      </c>
      <c r="P619" s="18" t="b">
        <f>SUMPRODUCT(COUNTIF(_xlfn.XLOOKUP(D619,BugList!C:C,BugList!P:P), "*SC*"))&gt;0</f>
        <v>0</v>
      </c>
    </row>
    <row r="620" spans="1:16">
      <c r="A620" t="s">
        <v>2764</v>
      </c>
      <c r="B620">
        <v>355</v>
      </c>
      <c r="C620" t="s">
        <v>194</v>
      </c>
      <c r="D620" t="s">
        <v>101</v>
      </c>
      <c r="E620">
        <v>6</v>
      </c>
      <c r="F620" s="43">
        <f t="shared" si="108"/>
        <v>5.9405940594059405</v>
      </c>
      <c r="G620" s="44">
        <f t="shared" si="84"/>
        <v>5</v>
      </c>
      <c r="H620" s="44">
        <f t="shared" si="103"/>
        <v>0.94059405940594054</v>
      </c>
      <c r="I620" cm="1">
        <f t="array" ref="I620">INT(F620)+IF(100-SUM(INT(F$617:F$623))&gt;=RANK(H620,H$617:H$623)+COUNTIF(H$617:H620,H620)-1,1,0)</f>
        <v>6</v>
      </c>
      <c r="J620" t="b">
        <f t="shared" si="104"/>
        <v>0</v>
      </c>
      <c r="K620" t="str">
        <f t="shared" si="105"/>
        <v/>
      </c>
      <c r="L620">
        <f>_xlfn.XLOOKUP(D620,BugList!C:C,BugList!N:N)</f>
        <v>6</v>
      </c>
      <c r="M620">
        <f t="shared" si="106"/>
        <v>36</v>
      </c>
      <c r="N620" t="b">
        <f>_xlfn.XLOOKUP(D620,BugList!C:C,BugList!L:L)</f>
        <v>1</v>
      </c>
      <c r="O620" t="b">
        <f t="shared" si="107"/>
        <v>0</v>
      </c>
      <c r="P620" s="18" t="b">
        <f>SUMPRODUCT(COUNTIF(_xlfn.XLOOKUP(D620,BugList!C:C,BugList!P:P), "*SC*"))&gt;0</f>
        <v>0</v>
      </c>
    </row>
    <row r="621" spans="1:16">
      <c r="A621" t="s">
        <v>2764</v>
      </c>
      <c r="B621">
        <v>355</v>
      </c>
      <c r="C621" t="s">
        <v>201</v>
      </c>
      <c r="D621" t="s">
        <v>85</v>
      </c>
      <c r="E621">
        <v>2</v>
      </c>
      <c r="F621" s="43">
        <f t="shared" si="108"/>
        <v>1.9801980198019802</v>
      </c>
      <c r="G621" s="44">
        <f t="shared" si="84"/>
        <v>1</v>
      </c>
      <c r="H621" s="44">
        <f t="shared" si="103"/>
        <v>0.98019801980198018</v>
      </c>
      <c r="I621" cm="1">
        <f t="array" ref="I621">INT(F621)+IF(100-SUM(INT(F$617:F$623))&gt;=RANK(H621,H$617:H$623)+COUNTIF(H$617:H621,H621)-1,1,0)</f>
        <v>2</v>
      </c>
      <c r="J621" t="b">
        <f t="shared" si="104"/>
        <v>0</v>
      </c>
      <c r="K621" t="str">
        <f t="shared" si="105"/>
        <v/>
      </c>
      <c r="L621">
        <f>_xlfn.XLOOKUP(D621,BugList!C:C,BugList!N:N)</f>
        <v>4</v>
      </c>
      <c r="M621">
        <f t="shared" si="106"/>
        <v>8</v>
      </c>
      <c r="N621" t="b">
        <f>_xlfn.XLOOKUP(D621,BugList!C:C,BugList!L:L)</f>
        <v>0</v>
      </c>
      <c r="O621" t="b">
        <f t="shared" si="107"/>
        <v>0</v>
      </c>
      <c r="P621" s="18" t="b">
        <f>SUMPRODUCT(COUNTIF(_xlfn.XLOOKUP(D621,BugList!C:C,BugList!P:P), "*SC*"))&gt;0</f>
        <v>0</v>
      </c>
    </row>
    <row r="622" spans="1:16">
      <c r="A622" t="s">
        <v>2764</v>
      </c>
      <c r="B622">
        <v>355</v>
      </c>
      <c r="C622" t="s">
        <v>210</v>
      </c>
      <c r="D622" t="s">
        <v>92</v>
      </c>
      <c r="E622">
        <v>3</v>
      </c>
      <c r="F622" s="43">
        <f t="shared" si="108"/>
        <v>2.9702970297029703</v>
      </c>
      <c r="G622" s="44">
        <f t="shared" si="84"/>
        <v>2</v>
      </c>
      <c r="H622" s="44">
        <f t="shared" si="103"/>
        <v>0.97029702970297027</v>
      </c>
      <c r="I622" cm="1">
        <f t="array" ref="I622">INT(F622)+IF(100-SUM(INT(F$617:F$623))&gt;=RANK(H622,H$617:H$623)+COUNTIF(H$617:H622,H622)-1,1,0)</f>
        <v>3</v>
      </c>
      <c r="J622" t="b">
        <f t="shared" si="104"/>
        <v>0</v>
      </c>
      <c r="K622" t="str">
        <f t="shared" si="105"/>
        <v/>
      </c>
      <c r="L622">
        <f>_xlfn.XLOOKUP(D622,BugList!C:C,BugList!N:N)</f>
        <v>8</v>
      </c>
      <c r="M622">
        <f t="shared" si="106"/>
        <v>24</v>
      </c>
      <c r="N622" t="b">
        <f>_xlfn.XLOOKUP(D622,BugList!C:C,BugList!L:L)</f>
        <v>0</v>
      </c>
      <c r="O622" t="b">
        <f t="shared" si="107"/>
        <v>0</v>
      </c>
      <c r="P622" s="18" t="b">
        <f>SUMPRODUCT(COUNTIF(_xlfn.XLOOKUP(D622,BugList!C:C,BugList!P:P), "*SC*"))&gt;0</f>
        <v>0</v>
      </c>
    </row>
    <row r="623" spans="1:16">
      <c r="A623" t="s">
        <v>2764</v>
      </c>
      <c r="B623">
        <v>355</v>
      </c>
      <c r="C623" t="s">
        <v>200</v>
      </c>
      <c r="D623" t="s">
        <v>1531</v>
      </c>
      <c r="E623">
        <v>1</v>
      </c>
      <c r="F623" s="43">
        <f t="shared" si="108"/>
        <v>0.99009900990099009</v>
      </c>
      <c r="G623" s="44">
        <f t="shared" si="84"/>
        <v>0</v>
      </c>
      <c r="H623" s="44">
        <f t="shared" si="103"/>
        <v>0.99009900990099009</v>
      </c>
      <c r="I623" cm="1">
        <f t="array" ref="I623">INT(F623)+IF(100-SUM(INT(F$617:F$623))&gt;=RANK(H623,H$617:H$623)+COUNTIF(H$617:H623,H623)-1,1,0)</f>
        <v>1</v>
      </c>
      <c r="J623" t="b">
        <f t="shared" si="104"/>
        <v>0</v>
      </c>
      <c r="K623" t="str">
        <f t="shared" si="105"/>
        <v/>
      </c>
      <c r="L623">
        <f>_xlfn.XLOOKUP(D623,BugList!C:C,BugList!N:N)</f>
        <v>7</v>
      </c>
      <c r="M623">
        <f t="shared" si="106"/>
        <v>7</v>
      </c>
      <c r="N623" t="b">
        <f>_xlfn.XLOOKUP(D623,BugList!C:C,BugList!L:L)</f>
        <v>1</v>
      </c>
      <c r="O623" t="b">
        <f t="shared" si="107"/>
        <v>0</v>
      </c>
      <c r="P623" s="18" t="b">
        <f>SUMPRODUCT(COUNTIF(_xlfn.XLOOKUP(D623,BugList!C:C,BugList!P:P), "*SC*"))&gt;0</f>
        <v>0</v>
      </c>
    </row>
    <row r="624" spans="1:16">
      <c r="A624" t="s">
        <v>2765</v>
      </c>
      <c r="B624">
        <v>371</v>
      </c>
      <c r="C624" t="s">
        <v>200</v>
      </c>
      <c r="D624" t="s">
        <v>98</v>
      </c>
      <c r="E624">
        <v>53</v>
      </c>
      <c r="F624" s="43">
        <f t="shared" si="108"/>
        <v>48.623853211009177</v>
      </c>
      <c r="G624" s="44">
        <f t="shared" si="84"/>
        <v>48</v>
      </c>
      <c r="H624" s="44">
        <f t="shared" si="103"/>
        <v>0.62385321100917679</v>
      </c>
      <c r="I624" cm="1">
        <f t="array" ref="I624">INT(F624)+IF(100-SUM(INT(F$624:F$633))&gt;=RANK(H624,H$624:H$633)+COUNTIF(H$624:H624,H624)-1,1,0)</f>
        <v>48</v>
      </c>
      <c r="J624" t="b">
        <f t="shared" si="104"/>
        <v>0</v>
      </c>
      <c r="K624" t="str">
        <f t="shared" si="105"/>
        <v/>
      </c>
      <c r="L624">
        <f>_xlfn.XLOOKUP(D624,BugList!C:C,BugList!N:N)</f>
        <v>4</v>
      </c>
      <c r="M624">
        <f t="shared" si="106"/>
        <v>192</v>
      </c>
      <c r="N624" t="b">
        <f>_xlfn.XLOOKUP(D624,BugList!C:C,BugList!L:L)</f>
        <v>1</v>
      </c>
      <c r="O624" t="b">
        <f t="shared" si="107"/>
        <v>0</v>
      </c>
      <c r="P624" s="18" t="b">
        <f>SUMPRODUCT(COUNTIF(_xlfn.XLOOKUP(D624,BugList!C:C,BugList!P:P), "*SC*"))&gt;0</f>
        <v>1</v>
      </c>
    </row>
    <row r="625" spans="1:16">
      <c r="A625" t="s">
        <v>2765</v>
      </c>
      <c r="B625">
        <v>371</v>
      </c>
      <c r="C625" t="s">
        <v>200</v>
      </c>
      <c r="D625" t="s">
        <v>100</v>
      </c>
      <c r="E625">
        <v>4</v>
      </c>
      <c r="F625" s="43">
        <f t="shared" si="108"/>
        <v>3.669724770642202</v>
      </c>
      <c r="G625" s="44">
        <f t="shared" si="84"/>
        <v>3</v>
      </c>
      <c r="H625" s="44">
        <f t="shared" si="103"/>
        <v>0.66972477064220204</v>
      </c>
      <c r="I625" cm="1">
        <f t="array" ref="I625">INT(F625)+IF(100-SUM(INT(F$624:F$633))&gt;=RANK(H625,H$624:H$633)+COUNTIF(H$624:H625,H625)-1,1,0)</f>
        <v>4</v>
      </c>
      <c r="J625" t="b">
        <f t="shared" si="104"/>
        <v>0</v>
      </c>
      <c r="K625" t="str">
        <f t="shared" si="105"/>
        <v/>
      </c>
      <c r="L625">
        <f>_xlfn.XLOOKUP(D625,BugList!C:C,BugList!N:N)</f>
        <v>4</v>
      </c>
      <c r="M625">
        <f t="shared" si="106"/>
        <v>16</v>
      </c>
      <c r="N625" t="b">
        <f>_xlfn.XLOOKUP(D625,BugList!C:C,BugList!L:L)</f>
        <v>1</v>
      </c>
      <c r="O625" t="b">
        <f t="shared" si="107"/>
        <v>0</v>
      </c>
      <c r="P625" s="18" t="b">
        <f>SUMPRODUCT(COUNTIF(_xlfn.XLOOKUP(D625,BugList!C:C,BugList!P:P), "*SC*"))&gt;0</f>
        <v>1</v>
      </c>
    </row>
    <row r="626" spans="1:16">
      <c r="A626" t="s">
        <v>2765</v>
      </c>
      <c r="B626">
        <v>371</v>
      </c>
      <c r="C626" t="s">
        <v>194</v>
      </c>
      <c r="D626" t="s">
        <v>126</v>
      </c>
      <c r="E626">
        <v>15</v>
      </c>
      <c r="F626" s="43">
        <f t="shared" si="108"/>
        <v>13.761467889908257</v>
      </c>
      <c r="G626" s="44">
        <f t="shared" si="84"/>
        <v>13</v>
      </c>
      <c r="H626" s="44">
        <f t="shared" si="103"/>
        <v>0.76146788990825698</v>
      </c>
      <c r="I626" cm="1">
        <f t="array" ref="I626">INT(F626)+IF(100-SUM(INT(F$624:F$633))&gt;=RANK(H626,H$624:H$633)+COUNTIF(H$624:H626,H626)-1,1,0)</f>
        <v>14</v>
      </c>
      <c r="J626" t="b">
        <f t="shared" si="104"/>
        <v>0</v>
      </c>
      <c r="K626" t="str">
        <f t="shared" si="105"/>
        <v/>
      </c>
      <c r="L626">
        <f>_xlfn.XLOOKUP(D626,BugList!C:C,BugList!N:N)</f>
        <v>8</v>
      </c>
      <c r="M626">
        <f t="shared" si="106"/>
        <v>112</v>
      </c>
      <c r="N626" t="b">
        <f>_xlfn.XLOOKUP(D626,BugList!C:C,BugList!L:L)</f>
        <v>1</v>
      </c>
      <c r="O626" t="b">
        <f t="shared" si="107"/>
        <v>0</v>
      </c>
      <c r="P626" s="18" t="b">
        <f>SUMPRODUCT(COUNTIF(_xlfn.XLOOKUP(D626,BugList!C:C,BugList!P:P), "*SC*"))&gt;0</f>
        <v>0</v>
      </c>
    </row>
    <row r="627" spans="1:16">
      <c r="A627" t="s">
        <v>2765</v>
      </c>
      <c r="B627">
        <v>371</v>
      </c>
      <c r="C627" t="s">
        <v>194</v>
      </c>
      <c r="D627" s="85" t="s">
        <v>90</v>
      </c>
      <c r="E627">
        <v>1</v>
      </c>
      <c r="F627" s="43">
        <f t="shared" si="108"/>
        <v>0.91743119266055051</v>
      </c>
      <c r="G627" s="44">
        <f t="shared" si="84"/>
        <v>0</v>
      </c>
      <c r="H627" s="44">
        <f t="shared" si="103"/>
        <v>0.91743119266055051</v>
      </c>
      <c r="I627" cm="1">
        <f t="array" ref="I627">INT(F627)+IF(100-SUM(INT(F$624:F$633))&gt;=RANK(H627,H$624:H$633)+COUNTIF(H$624:H627,H627)-1,1,0)</f>
        <v>1</v>
      </c>
      <c r="J627" t="b">
        <f t="shared" si="104"/>
        <v>0</v>
      </c>
      <c r="K627" t="str">
        <f t="shared" si="105"/>
        <v/>
      </c>
      <c r="L627">
        <f>_xlfn.XLOOKUP(D627,BugList!C:C,BugList!N:N)</f>
        <v>6</v>
      </c>
      <c r="M627">
        <f t="shared" si="106"/>
        <v>6</v>
      </c>
      <c r="N627" t="b">
        <f>_xlfn.XLOOKUP(D627,BugList!C:C,BugList!L:L)</f>
        <v>1</v>
      </c>
      <c r="O627" t="b">
        <f t="shared" si="107"/>
        <v>0</v>
      </c>
      <c r="P627" s="18" t="b">
        <f>SUMPRODUCT(COUNTIF(_xlfn.XLOOKUP(D627,BugList!C:C,BugList!P:P), "*SC*"))&gt;0</f>
        <v>0</v>
      </c>
    </row>
    <row r="628" spans="1:16">
      <c r="A628" t="s">
        <v>2765</v>
      </c>
      <c r="B628">
        <v>371</v>
      </c>
      <c r="C628" t="s">
        <v>199</v>
      </c>
      <c r="D628" t="s">
        <v>111</v>
      </c>
      <c r="E628">
        <v>2</v>
      </c>
      <c r="F628" s="43">
        <f t="shared" si="108"/>
        <v>1.834862385321101</v>
      </c>
      <c r="G628" s="44">
        <f t="shared" si="84"/>
        <v>1</v>
      </c>
      <c r="H628" s="44">
        <f t="shared" si="103"/>
        <v>0.83486238532110102</v>
      </c>
      <c r="I628" cm="1">
        <f t="array" ref="I628">INT(F628)+IF(100-SUM(INT(F$624:F$633))&gt;=RANK(H628,H$624:H$633)+COUNTIF(H$624:H628,H628)-1,1,0)</f>
        <v>2</v>
      </c>
      <c r="J628" t="b">
        <f t="shared" si="104"/>
        <v>1</v>
      </c>
      <c r="K628" t="str">
        <f t="shared" si="105"/>
        <v>Ephemeroptera</v>
      </c>
      <c r="L628">
        <f>_xlfn.XLOOKUP(D628,BugList!C:C,BugList!N:N)</f>
        <v>4</v>
      </c>
      <c r="M628">
        <f t="shared" si="106"/>
        <v>8</v>
      </c>
      <c r="N628" t="b">
        <f>_xlfn.XLOOKUP(D628,BugList!C:C,BugList!L:L)</f>
        <v>1</v>
      </c>
      <c r="O628" t="b">
        <f t="shared" si="107"/>
        <v>1</v>
      </c>
      <c r="P628" s="18" t="b">
        <f>SUMPRODUCT(COUNTIF(_xlfn.XLOOKUP(D628,BugList!C:C,BugList!P:P), "*SC*"))&gt;0</f>
        <v>0</v>
      </c>
    </row>
    <row r="629" spans="1:16">
      <c r="A629" t="s">
        <v>2765</v>
      </c>
      <c r="B629">
        <v>371</v>
      </c>
      <c r="C629" t="s">
        <v>198</v>
      </c>
      <c r="D629" t="s">
        <v>89</v>
      </c>
      <c r="E629">
        <v>2</v>
      </c>
      <c r="F629" s="43">
        <f t="shared" si="108"/>
        <v>1.834862385321101</v>
      </c>
      <c r="G629" s="44">
        <f t="shared" si="84"/>
        <v>1</v>
      </c>
      <c r="H629" s="44">
        <f t="shared" si="103"/>
        <v>0.83486238532110102</v>
      </c>
      <c r="I629" cm="1">
        <f t="array" ref="I629">INT(F629)+IF(100-SUM(INT(F$624:F$633))&gt;=RANK(H629,H$624:H$633)+COUNTIF(H$624:H629,H629)-1,1,0)</f>
        <v>2</v>
      </c>
      <c r="J629" t="b">
        <f t="shared" si="104"/>
        <v>1</v>
      </c>
      <c r="K629" t="str">
        <f t="shared" si="105"/>
        <v>Trichoptera</v>
      </c>
      <c r="L629">
        <f>_xlfn.XLOOKUP(D629,BugList!C:C,BugList!N:N)</f>
        <v>4</v>
      </c>
      <c r="M629">
        <f t="shared" si="106"/>
        <v>8</v>
      </c>
      <c r="N629" t="b">
        <f>_xlfn.XLOOKUP(D629,BugList!C:C,BugList!L:L)</f>
        <v>1</v>
      </c>
      <c r="O629" t="b">
        <f t="shared" si="107"/>
        <v>0</v>
      </c>
      <c r="P629" s="18" t="b">
        <f>SUMPRODUCT(COUNTIF(_xlfn.XLOOKUP(D629,BugList!C:C,BugList!P:P), "*SC*"))&gt;0</f>
        <v>0</v>
      </c>
    </row>
    <row r="630" spans="1:16">
      <c r="A630" t="s">
        <v>2765</v>
      </c>
      <c r="B630">
        <v>371</v>
      </c>
      <c r="C630" t="s">
        <v>201</v>
      </c>
      <c r="D630" t="s">
        <v>85</v>
      </c>
      <c r="E630">
        <v>22</v>
      </c>
      <c r="F630" s="43">
        <f t="shared" ref="F630:F661" si="109">(E630/(SUMIFS(E:E,A:A,A630))*100)</f>
        <v>20.183486238532112</v>
      </c>
      <c r="G630" s="44">
        <f t="shared" si="84"/>
        <v>20</v>
      </c>
      <c r="H630" s="44">
        <f t="shared" si="103"/>
        <v>0.18348623853211166</v>
      </c>
      <c r="I630" cm="1">
        <f t="array" ref="I630">INT(F630)+IF(100-SUM(INT(F$624:F$633))&gt;=RANK(H630,H$624:H$633)+COUNTIF(H$624:H630,H630)-1,1,0)</f>
        <v>20</v>
      </c>
      <c r="J630" t="b">
        <f t="shared" si="104"/>
        <v>0</v>
      </c>
      <c r="K630" t="str">
        <f t="shared" si="105"/>
        <v/>
      </c>
      <c r="L630">
        <f>_xlfn.XLOOKUP(D630,BugList!C:C,BugList!N:N)</f>
        <v>4</v>
      </c>
      <c r="M630">
        <f t="shared" si="106"/>
        <v>80</v>
      </c>
      <c r="N630" t="b">
        <f>_xlfn.XLOOKUP(D630,BugList!C:C,BugList!L:L)</f>
        <v>0</v>
      </c>
      <c r="O630" t="b">
        <f t="shared" si="107"/>
        <v>0</v>
      </c>
      <c r="P630" s="18" t="b">
        <f>SUMPRODUCT(COUNTIF(_xlfn.XLOOKUP(D630,BugList!C:C,BugList!P:P), "*SC*"))&gt;0</f>
        <v>0</v>
      </c>
    </row>
    <row r="631" spans="1:16">
      <c r="A631" t="s">
        <v>2765</v>
      </c>
      <c r="B631">
        <v>371</v>
      </c>
      <c r="C631" t="s">
        <v>210</v>
      </c>
      <c r="D631" t="s">
        <v>92</v>
      </c>
      <c r="E631">
        <v>8</v>
      </c>
      <c r="F631" s="43">
        <f t="shared" si="109"/>
        <v>7.3394495412844041</v>
      </c>
      <c r="G631" s="44">
        <f t="shared" si="84"/>
        <v>7</v>
      </c>
      <c r="H631" s="44">
        <f t="shared" si="103"/>
        <v>0.33944954128440408</v>
      </c>
      <c r="I631" cm="1">
        <f t="array" ref="I631">INT(F631)+IF(100-SUM(INT(F$624:F$633))&gt;=RANK(H631,H$624:H$633)+COUNTIF(H$624:H631,H631)-1,1,0)</f>
        <v>7</v>
      </c>
      <c r="J631" t="b">
        <f t="shared" si="104"/>
        <v>0</v>
      </c>
      <c r="K631" t="str">
        <f t="shared" si="105"/>
        <v/>
      </c>
      <c r="L631">
        <f>_xlfn.XLOOKUP(D631,BugList!C:C,BugList!N:N)</f>
        <v>8</v>
      </c>
      <c r="M631">
        <f t="shared" si="106"/>
        <v>56</v>
      </c>
      <c r="N631" t="b">
        <f>_xlfn.XLOOKUP(D631,BugList!C:C,BugList!L:L)</f>
        <v>0</v>
      </c>
      <c r="O631" t="b">
        <f t="shared" si="107"/>
        <v>0</v>
      </c>
      <c r="P631" s="18" t="b">
        <f>SUMPRODUCT(COUNTIF(_xlfn.XLOOKUP(D631,BugList!C:C,BugList!P:P), "*SC*"))&gt;0</f>
        <v>0</v>
      </c>
    </row>
    <row r="632" spans="1:16">
      <c r="A632" t="s">
        <v>2765</v>
      </c>
      <c r="B632">
        <v>371</v>
      </c>
      <c r="C632" t="s">
        <v>205</v>
      </c>
      <c r="D632" t="s">
        <v>206</v>
      </c>
      <c r="E632">
        <v>1</v>
      </c>
      <c r="F632" s="43">
        <f t="shared" si="109"/>
        <v>0.91743119266055051</v>
      </c>
      <c r="G632" s="44">
        <f t="shared" si="84"/>
        <v>0</v>
      </c>
      <c r="H632" s="44">
        <f t="shared" si="103"/>
        <v>0.91743119266055051</v>
      </c>
      <c r="I632" cm="1">
        <f t="array" ref="I632">INT(F632)+IF(100-SUM(INT(F$624:F$633))&gt;=RANK(H632,H$624:H$633)+COUNTIF(H$624:H632,H632)-1,1,0)</f>
        <v>1</v>
      </c>
      <c r="J632" t="b">
        <f t="shared" si="104"/>
        <v>0</v>
      </c>
      <c r="K632" t="str">
        <f t="shared" si="105"/>
        <v/>
      </c>
      <c r="L632" s="71">
        <v>8</v>
      </c>
      <c r="M632">
        <f t="shared" si="106"/>
        <v>8</v>
      </c>
      <c r="N632" s="71" t="b">
        <v>0</v>
      </c>
      <c r="O632" t="b">
        <f t="shared" si="107"/>
        <v>0</v>
      </c>
      <c r="P632" s="72" t="b">
        <v>0</v>
      </c>
    </row>
    <row r="633" spans="1:16">
      <c r="A633" t="s">
        <v>2765</v>
      </c>
      <c r="B633">
        <v>371</v>
      </c>
      <c r="C633" t="s">
        <v>211</v>
      </c>
      <c r="D633" t="s">
        <v>87</v>
      </c>
      <c r="E633">
        <v>1</v>
      </c>
      <c r="F633" s="43">
        <f t="shared" si="109"/>
        <v>0.91743119266055051</v>
      </c>
      <c r="G633" s="44">
        <f t="shared" si="84"/>
        <v>0</v>
      </c>
      <c r="H633" s="44">
        <f t="shared" si="103"/>
        <v>0.91743119266055051</v>
      </c>
      <c r="I633" cm="1">
        <f t="array" ref="I633">INT(F633)+IF(100-SUM(INT(F$624:F$633))&gt;=RANK(H633,H$624:H$633)+COUNTIF(H$624:H633,H633)-1,1,0)</f>
        <v>1</v>
      </c>
      <c r="J633" t="b">
        <f t="shared" si="104"/>
        <v>0</v>
      </c>
      <c r="K633" t="str">
        <f t="shared" si="105"/>
        <v/>
      </c>
      <c r="L633">
        <f>_xlfn.XLOOKUP(D633,BugList!C:C,BugList!N:N)</f>
        <v>4</v>
      </c>
      <c r="M633">
        <f t="shared" si="106"/>
        <v>4</v>
      </c>
      <c r="N633" t="b">
        <f>_xlfn.XLOOKUP(D633,BugList!C:C,BugList!L:L)</f>
        <v>0</v>
      </c>
      <c r="O633" t="b">
        <f t="shared" si="107"/>
        <v>0</v>
      </c>
      <c r="P633" s="18" t="b">
        <f>SUMPRODUCT(COUNTIF(_xlfn.XLOOKUP(D633,BugList!C:C,BugList!P:P), "*SC*"))&gt;0</f>
        <v>0</v>
      </c>
    </row>
    <row r="634" spans="1:16">
      <c r="A634" t="s">
        <v>2766</v>
      </c>
      <c r="B634">
        <v>425</v>
      </c>
      <c r="C634" t="s">
        <v>194</v>
      </c>
      <c r="D634" s="85" t="s">
        <v>90</v>
      </c>
      <c r="E634">
        <v>1</v>
      </c>
      <c r="F634" s="43">
        <f t="shared" si="109"/>
        <v>8.3333333333333321</v>
      </c>
      <c r="G634" s="44">
        <f t="shared" si="84"/>
        <v>8</v>
      </c>
      <c r="H634" s="44">
        <f t="shared" si="103"/>
        <v>0.33333333333333215</v>
      </c>
      <c r="I634" cm="1">
        <f t="array" ref="I634">INT(F634)+IF(100-SUM(INT(F$634:F$636))&gt;=RANK(H634,H$634:H$636)+COUNTIF(H$634:H634,H634)-1,1,0)</f>
        <v>8</v>
      </c>
      <c r="J634" t="b">
        <f t="shared" si="104"/>
        <v>0</v>
      </c>
      <c r="K634" t="str">
        <f t="shared" si="105"/>
        <v/>
      </c>
      <c r="L634">
        <f>_xlfn.XLOOKUP(D634,BugList!C:C,BugList!N:N)</f>
        <v>6</v>
      </c>
      <c r="M634">
        <f t="shared" si="106"/>
        <v>48</v>
      </c>
      <c r="N634" t="b">
        <f>_xlfn.XLOOKUP(D634,BugList!C:C,BugList!L:L)</f>
        <v>1</v>
      </c>
      <c r="O634" t="b">
        <f t="shared" si="107"/>
        <v>0</v>
      </c>
      <c r="P634" s="18" t="b">
        <f>SUMPRODUCT(COUNTIF(_xlfn.XLOOKUP(D634,BugList!C:C,BugList!P:P), "*SC*"))&gt;0</f>
        <v>0</v>
      </c>
    </row>
    <row r="635" spans="1:16">
      <c r="A635" t="s">
        <v>2766</v>
      </c>
      <c r="B635">
        <v>425</v>
      </c>
      <c r="C635" t="s">
        <v>195</v>
      </c>
      <c r="D635" t="s">
        <v>97</v>
      </c>
      <c r="E635">
        <v>7</v>
      </c>
      <c r="F635" s="43">
        <f t="shared" si="109"/>
        <v>58.333333333333336</v>
      </c>
      <c r="G635" s="44">
        <f t="shared" si="84"/>
        <v>58</v>
      </c>
      <c r="H635" s="44">
        <f t="shared" si="103"/>
        <v>0.3333333333333357</v>
      </c>
      <c r="I635" cm="1">
        <f t="array" ref="I635">INT(F635)+IF(100-SUM(INT(F$634:F$636))&gt;=RANK(H635,H$634:H$636)+COUNTIF(H$634:H635,H635)-1,1,0)</f>
        <v>59</v>
      </c>
      <c r="J635" t="b">
        <f t="shared" si="104"/>
        <v>0</v>
      </c>
      <c r="K635" t="str">
        <f t="shared" si="105"/>
        <v/>
      </c>
      <c r="L635">
        <f>_xlfn.XLOOKUP(D635,BugList!C:C,BugList!N:N)</f>
        <v>9</v>
      </c>
      <c r="M635">
        <f t="shared" si="106"/>
        <v>531</v>
      </c>
      <c r="N635" t="b">
        <f>_xlfn.XLOOKUP(D635,BugList!C:C,BugList!L:L)</f>
        <v>1</v>
      </c>
      <c r="O635" t="b">
        <f t="shared" si="107"/>
        <v>0</v>
      </c>
      <c r="P635" s="18" t="b">
        <f>SUMPRODUCT(COUNTIF(_xlfn.XLOOKUP(D635,BugList!C:C,BugList!P:P), "*SC*"))&gt;0</f>
        <v>0</v>
      </c>
    </row>
    <row r="636" spans="1:16">
      <c r="A636" t="s">
        <v>2766</v>
      </c>
      <c r="B636">
        <v>425</v>
      </c>
      <c r="C636" t="s">
        <v>201</v>
      </c>
      <c r="D636" t="s">
        <v>85</v>
      </c>
      <c r="E636">
        <v>4</v>
      </c>
      <c r="F636" s="43">
        <f t="shared" si="109"/>
        <v>33.333333333333329</v>
      </c>
      <c r="G636" s="44">
        <f t="shared" si="84"/>
        <v>33</v>
      </c>
      <c r="H636" s="44">
        <f t="shared" si="103"/>
        <v>0.3333333333333286</v>
      </c>
      <c r="I636" cm="1">
        <f t="array" ref="I636">INT(F636)+IF(100-SUM(INT(F$634:F$636))&gt;=RANK(H636,H$634:H$636)+COUNTIF(H$634:H636,H636)-1,1,0)</f>
        <v>33</v>
      </c>
      <c r="J636" t="b">
        <f t="shared" si="104"/>
        <v>0</v>
      </c>
      <c r="K636" t="str">
        <f t="shared" si="105"/>
        <v/>
      </c>
      <c r="L636">
        <f>_xlfn.XLOOKUP(D636,BugList!C:C,BugList!N:N)</f>
        <v>4</v>
      </c>
      <c r="M636">
        <f t="shared" si="106"/>
        <v>132</v>
      </c>
      <c r="N636" t="b">
        <f>_xlfn.XLOOKUP(D636,BugList!C:C,BugList!L:L)</f>
        <v>0</v>
      </c>
      <c r="O636" t="b">
        <f t="shared" si="107"/>
        <v>0</v>
      </c>
      <c r="P636" s="18" t="b">
        <f>SUMPRODUCT(COUNTIF(_xlfn.XLOOKUP(D636,BugList!C:C,BugList!P:P), "*SC*"))&gt;0</f>
        <v>0</v>
      </c>
    </row>
    <row r="637" spans="1:16">
      <c r="A637" t="s">
        <v>2767</v>
      </c>
      <c r="B637">
        <v>439</v>
      </c>
      <c r="C637" t="s">
        <v>200</v>
      </c>
      <c r="D637" t="s">
        <v>98</v>
      </c>
      <c r="E637">
        <v>12</v>
      </c>
      <c r="F637" s="43">
        <f t="shared" si="109"/>
        <v>11.009174311926607</v>
      </c>
      <c r="G637" s="44">
        <f t="shared" si="84"/>
        <v>11</v>
      </c>
      <c r="H637" s="44">
        <f t="shared" si="103"/>
        <v>9.1743119266070039E-3</v>
      </c>
      <c r="I637" cm="1">
        <f t="array" ref="I637">INT(F637)+IF(100-SUM(INT(F$637:F$645))&gt;=RANK(H637,H$637:H$645)+COUNTIF(H$637:H637,H637)-1,1,0)</f>
        <v>11</v>
      </c>
      <c r="J637" t="b">
        <f t="shared" si="104"/>
        <v>0</v>
      </c>
      <c r="K637" t="str">
        <f t="shared" si="105"/>
        <v/>
      </c>
      <c r="L637">
        <f>_xlfn.XLOOKUP(D637,BugList!C:C,BugList!N:N)</f>
        <v>4</v>
      </c>
      <c r="M637">
        <f t="shared" si="106"/>
        <v>44</v>
      </c>
      <c r="N637" t="b">
        <f>_xlfn.XLOOKUP(D637,BugList!C:C,BugList!L:L)</f>
        <v>1</v>
      </c>
      <c r="O637" t="b">
        <f t="shared" si="107"/>
        <v>0</v>
      </c>
      <c r="P637" s="18" t="b">
        <f>SUMPRODUCT(COUNTIF(_xlfn.XLOOKUP(D637,BugList!C:C,BugList!P:P), "*SC*"))&gt;0</f>
        <v>1</v>
      </c>
    </row>
    <row r="638" spans="1:16">
      <c r="A638" t="s">
        <v>2767</v>
      </c>
      <c r="B638">
        <v>439</v>
      </c>
      <c r="C638" t="s">
        <v>200</v>
      </c>
      <c r="D638" t="s">
        <v>1563</v>
      </c>
      <c r="E638">
        <v>17</v>
      </c>
      <c r="F638" s="43">
        <f t="shared" si="109"/>
        <v>15.596330275229359</v>
      </c>
      <c r="G638" s="44">
        <f t="shared" si="84"/>
        <v>15</v>
      </c>
      <c r="H638" s="44">
        <f t="shared" si="103"/>
        <v>0.59633027522935933</v>
      </c>
      <c r="I638" cm="1">
        <f t="array" ref="I638">INT(F638)+IF(100-SUM(INT(F$637:F$645))&gt;=RANK(H638,H$637:H$645)+COUNTIF(H$637:H638,H638)-1,1,0)</f>
        <v>15</v>
      </c>
      <c r="J638" t="b">
        <f t="shared" si="104"/>
        <v>0</v>
      </c>
      <c r="K638" t="str">
        <f t="shared" si="105"/>
        <v/>
      </c>
      <c r="L638">
        <f>_xlfn.XLOOKUP(D638,BugList!C:C,BugList!N:N)</f>
        <v>5</v>
      </c>
      <c r="M638">
        <f t="shared" si="106"/>
        <v>75</v>
      </c>
      <c r="N638" t="b">
        <f>_xlfn.XLOOKUP(D638,BugList!C:C,BugList!L:L)</f>
        <v>1</v>
      </c>
      <c r="O638" t="b">
        <f t="shared" si="107"/>
        <v>0</v>
      </c>
      <c r="P638" s="18" t="b">
        <f>SUMPRODUCT(COUNTIF(_xlfn.XLOOKUP(D638,BugList!C:C,BugList!P:P), "*SC*"))&gt;0</f>
        <v>0</v>
      </c>
    </row>
    <row r="639" spans="1:16">
      <c r="A639" t="s">
        <v>2767</v>
      </c>
      <c r="B639">
        <v>439</v>
      </c>
      <c r="C639" t="s">
        <v>200</v>
      </c>
      <c r="D639" t="s">
        <v>99</v>
      </c>
      <c r="E639">
        <v>2</v>
      </c>
      <c r="F639" s="43">
        <f t="shared" si="109"/>
        <v>1.834862385321101</v>
      </c>
      <c r="G639" s="44">
        <f t="shared" si="84"/>
        <v>1</v>
      </c>
      <c r="H639" s="44">
        <f t="shared" si="103"/>
        <v>0.83486238532110102</v>
      </c>
      <c r="I639" cm="1">
        <f t="array" ref="I639">INT(F639)+IF(100-SUM(INT(F$637:F$645))&gt;=RANK(H639,H$637:H$645)+COUNTIF(H$637:H639,H639)-1,1,0)</f>
        <v>2</v>
      </c>
      <c r="J639" t="b">
        <f t="shared" si="104"/>
        <v>0</v>
      </c>
      <c r="K639" t="str">
        <f t="shared" si="105"/>
        <v/>
      </c>
      <c r="L639">
        <f>_xlfn.XLOOKUP(D639,BugList!C:C,BugList!N:N)</f>
        <v>5</v>
      </c>
      <c r="M639">
        <f t="shared" si="106"/>
        <v>10</v>
      </c>
      <c r="N639" t="b">
        <f>_xlfn.XLOOKUP(D639,BugList!C:C,BugList!L:L)</f>
        <v>1</v>
      </c>
      <c r="O639" t="b">
        <f t="shared" si="107"/>
        <v>0</v>
      </c>
      <c r="P639" s="18" t="b">
        <f>SUMPRODUCT(COUNTIF(_xlfn.XLOOKUP(D639,BugList!C:C,BugList!P:P), "*SC*"))&gt;0</f>
        <v>0</v>
      </c>
    </row>
    <row r="640" spans="1:16">
      <c r="A640" t="s">
        <v>2767</v>
      </c>
      <c r="B640">
        <v>439</v>
      </c>
      <c r="C640" t="s">
        <v>194</v>
      </c>
      <c r="D640" t="s">
        <v>126</v>
      </c>
      <c r="E640">
        <v>15</v>
      </c>
      <c r="F640" s="43">
        <f t="shared" si="109"/>
        <v>13.761467889908257</v>
      </c>
      <c r="G640" s="44">
        <f t="shared" si="84"/>
        <v>13</v>
      </c>
      <c r="H640" s="44">
        <f t="shared" si="103"/>
        <v>0.76146788990825698</v>
      </c>
      <c r="I640" cm="1">
        <f t="array" ref="I640">INT(F640)+IF(100-SUM(INT(F$637:F$645))&gt;=RANK(H640,H$637:H$645)+COUNTIF(H$637:H640,H640)-1,1,0)</f>
        <v>14</v>
      </c>
      <c r="J640" t="b">
        <f t="shared" si="104"/>
        <v>0</v>
      </c>
      <c r="K640" t="str">
        <f t="shared" si="105"/>
        <v/>
      </c>
      <c r="L640">
        <f>_xlfn.XLOOKUP(D640,BugList!C:C,BugList!N:N)</f>
        <v>8</v>
      </c>
      <c r="M640">
        <f t="shared" si="106"/>
        <v>112</v>
      </c>
      <c r="N640" t="b">
        <f>_xlfn.XLOOKUP(D640,BugList!C:C,BugList!L:L)</f>
        <v>1</v>
      </c>
      <c r="O640" t="b">
        <f t="shared" si="107"/>
        <v>0</v>
      </c>
      <c r="P640" s="18" t="b">
        <f>SUMPRODUCT(COUNTIF(_xlfn.XLOOKUP(D640,BugList!C:C,BugList!P:P), "*SC*"))&gt;0</f>
        <v>0</v>
      </c>
    </row>
    <row r="641" spans="1:16">
      <c r="A641" t="s">
        <v>2767</v>
      </c>
      <c r="B641">
        <v>439</v>
      </c>
      <c r="C641" t="s">
        <v>194</v>
      </c>
      <c r="D641" s="85" t="s">
        <v>90</v>
      </c>
      <c r="E641">
        <v>11</v>
      </c>
      <c r="F641" s="43">
        <f t="shared" si="109"/>
        <v>10.091743119266056</v>
      </c>
      <c r="G641" s="44">
        <f t="shared" si="84"/>
        <v>10</v>
      </c>
      <c r="H641" s="44">
        <f t="shared" si="103"/>
        <v>9.1743119266055828E-2</v>
      </c>
      <c r="I641" cm="1">
        <f t="array" ref="I641">INT(F641)+IF(100-SUM(INT(F$637:F$645))&gt;=RANK(H641,H$637:H$645)+COUNTIF(H$637:H641,H641)-1,1,0)</f>
        <v>10</v>
      </c>
      <c r="J641" t="b">
        <f t="shared" si="104"/>
        <v>0</v>
      </c>
      <c r="K641" t="str">
        <f t="shared" si="105"/>
        <v/>
      </c>
      <c r="L641">
        <f>_xlfn.XLOOKUP(D641,BugList!C:C,BugList!N:N)</f>
        <v>6</v>
      </c>
      <c r="M641">
        <f t="shared" si="106"/>
        <v>60</v>
      </c>
      <c r="N641" t="b">
        <f>_xlfn.XLOOKUP(D641,BugList!C:C,BugList!L:L)</f>
        <v>1</v>
      </c>
      <c r="O641" t="b">
        <f t="shared" si="107"/>
        <v>0</v>
      </c>
      <c r="P641" s="18" t="b">
        <f>SUMPRODUCT(COUNTIF(_xlfn.XLOOKUP(D641,BugList!C:C,BugList!P:P), "*SC*"))&gt;0</f>
        <v>0</v>
      </c>
    </row>
    <row r="642" spans="1:16">
      <c r="A642" t="s">
        <v>2767</v>
      </c>
      <c r="B642">
        <v>439</v>
      </c>
      <c r="C642" t="s">
        <v>199</v>
      </c>
      <c r="D642" t="s">
        <v>111</v>
      </c>
      <c r="E642">
        <v>1</v>
      </c>
      <c r="F642" s="43">
        <f t="shared" si="109"/>
        <v>0.91743119266055051</v>
      </c>
      <c r="G642" s="44">
        <f t="shared" si="84"/>
        <v>0</v>
      </c>
      <c r="H642" s="44">
        <f t="shared" si="103"/>
        <v>0.91743119266055051</v>
      </c>
      <c r="I642" cm="1">
        <f t="array" ref="I642">INT(F642)+IF(100-SUM(INT(F$637:F$645))&gt;=RANK(H642,H$637:H$645)+COUNTIF(H$637:H642,H642)-1,1,0)</f>
        <v>1</v>
      </c>
      <c r="J642" t="b">
        <f t="shared" si="104"/>
        <v>1</v>
      </c>
      <c r="K642" t="str">
        <f t="shared" si="105"/>
        <v>Ephemeroptera</v>
      </c>
      <c r="L642">
        <f>_xlfn.XLOOKUP(D642,BugList!C:C,BugList!N:N)</f>
        <v>4</v>
      </c>
      <c r="M642">
        <f t="shared" si="106"/>
        <v>4</v>
      </c>
      <c r="N642" t="b">
        <f>_xlfn.XLOOKUP(D642,BugList!C:C,BugList!L:L)</f>
        <v>1</v>
      </c>
      <c r="O642" t="b">
        <f t="shared" si="107"/>
        <v>1</v>
      </c>
      <c r="P642" s="18" t="b">
        <f>SUMPRODUCT(COUNTIF(_xlfn.XLOOKUP(D642,BugList!C:C,BugList!P:P), "*SC*"))&gt;0</f>
        <v>0</v>
      </c>
    </row>
    <row r="643" spans="1:16">
      <c r="A643" t="s">
        <v>2767</v>
      </c>
      <c r="B643">
        <v>439</v>
      </c>
      <c r="C643" t="s">
        <v>211</v>
      </c>
      <c r="D643" t="s">
        <v>87</v>
      </c>
      <c r="E643">
        <v>2</v>
      </c>
      <c r="F643" s="43">
        <f t="shared" si="109"/>
        <v>1.834862385321101</v>
      </c>
      <c r="G643" s="44">
        <f t="shared" si="84"/>
        <v>1</v>
      </c>
      <c r="H643" s="44">
        <f t="shared" si="103"/>
        <v>0.83486238532110102</v>
      </c>
      <c r="I643" cm="1">
        <f t="array" ref="I643">INT(F643)+IF(100-SUM(INT(F$637:F$645))&gt;=RANK(H643,H$637:H$645)+COUNTIF(H$637:H643,H643)-1,1,0)</f>
        <v>2</v>
      </c>
      <c r="J643" t="b">
        <f t="shared" si="104"/>
        <v>0</v>
      </c>
      <c r="K643" t="str">
        <f t="shared" si="105"/>
        <v/>
      </c>
      <c r="L643">
        <f>_xlfn.XLOOKUP(D643,BugList!C:C,BugList!N:N)</f>
        <v>4</v>
      </c>
      <c r="M643">
        <f t="shared" si="106"/>
        <v>8</v>
      </c>
      <c r="N643" t="b">
        <f>_xlfn.XLOOKUP(D643,BugList!C:C,BugList!L:L)</f>
        <v>0</v>
      </c>
      <c r="O643" t="b">
        <f t="shared" si="107"/>
        <v>0</v>
      </c>
      <c r="P643" s="18" t="b">
        <f>SUMPRODUCT(COUNTIF(_xlfn.XLOOKUP(D643,BugList!C:C,BugList!P:P), "*SC*"))&gt;0</f>
        <v>0</v>
      </c>
    </row>
    <row r="644" spans="1:16">
      <c r="A644" t="s">
        <v>2767</v>
      </c>
      <c r="B644">
        <v>439</v>
      </c>
      <c r="C644" t="s">
        <v>201</v>
      </c>
      <c r="D644" t="s">
        <v>109</v>
      </c>
      <c r="E644">
        <v>2</v>
      </c>
      <c r="F644" s="43">
        <f t="shared" si="109"/>
        <v>1.834862385321101</v>
      </c>
      <c r="G644" s="44">
        <f t="shared" si="84"/>
        <v>1</v>
      </c>
      <c r="H644" s="44">
        <f t="shared" si="103"/>
        <v>0.83486238532110102</v>
      </c>
      <c r="I644" cm="1">
        <f t="array" ref="I644">INT(F644)+IF(100-SUM(INT(F$637:F$645))&gt;=RANK(H644,H$637:H$645)+COUNTIF(H$637:H644,H644)-1,1,0)</f>
        <v>2</v>
      </c>
      <c r="J644" t="b">
        <f t="shared" si="104"/>
        <v>0</v>
      </c>
      <c r="K644" t="str">
        <f t="shared" si="105"/>
        <v/>
      </c>
      <c r="L644">
        <f>_xlfn.XLOOKUP(D644,BugList!C:C,BugList!N:N)</f>
        <v>6</v>
      </c>
      <c r="M644">
        <f t="shared" si="106"/>
        <v>12</v>
      </c>
      <c r="N644" t="b">
        <f>_xlfn.XLOOKUP(D644,BugList!C:C,BugList!L:L)</f>
        <v>0</v>
      </c>
      <c r="O644" t="b">
        <f t="shared" si="107"/>
        <v>0</v>
      </c>
      <c r="P644" s="18" t="b">
        <f>SUMPRODUCT(COUNTIF(_xlfn.XLOOKUP(D644,BugList!C:C,BugList!P:P), "*SC*"))&gt;0</f>
        <v>0</v>
      </c>
    </row>
    <row r="645" spans="1:16">
      <c r="A645" t="s">
        <v>2767</v>
      </c>
      <c r="B645">
        <v>439</v>
      </c>
      <c r="C645" t="s">
        <v>201</v>
      </c>
      <c r="D645" t="s">
        <v>85</v>
      </c>
      <c r="E645">
        <v>47</v>
      </c>
      <c r="F645" s="43">
        <f t="shared" si="109"/>
        <v>43.119266055045877</v>
      </c>
      <c r="G645" s="44">
        <f t="shared" si="84"/>
        <v>43</v>
      </c>
      <c r="H645" s="44">
        <f t="shared" si="103"/>
        <v>0.11926605504587684</v>
      </c>
      <c r="I645" cm="1">
        <f t="array" ref="I645">INT(F645)+IF(100-SUM(INT(F$637:F$645))&gt;=RANK(H645,H$637:H$645)+COUNTIF(H$637:H645,H645)-1,1,0)</f>
        <v>43</v>
      </c>
      <c r="J645" t="b">
        <f t="shared" si="104"/>
        <v>0</v>
      </c>
      <c r="K645" t="str">
        <f t="shared" si="105"/>
        <v/>
      </c>
      <c r="L645">
        <f>_xlfn.XLOOKUP(D645,BugList!C:C,BugList!N:N)</f>
        <v>4</v>
      </c>
      <c r="M645">
        <f t="shared" si="106"/>
        <v>172</v>
      </c>
      <c r="N645" t="b">
        <f>_xlfn.XLOOKUP(D645,BugList!C:C,BugList!L:L)</f>
        <v>0</v>
      </c>
      <c r="O645" t="b">
        <f t="shared" si="107"/>
        <v>0</v>
      </c>
      <c r="P645" s="18" t="b">
        <f>SUMPRODUCT(COUNTIF(_xlfn.XLOOKUP(D645,BugList!C:C,BugList!P:P), "*SC*"))&gt;0</f>
        <v>0</v>
      </c>
    </row>
    <row r="646" spans="1:16">
      <c r="A646" t="s">
        <v>2801</v>
      </c>
      <c r="B646">
        <v>10</v>
      </c>
      <c r="C646" s="34" t="s">
        <v>194</v>
      </c>
      <c r="D646" s="84" t="s">
        <v>90</v>
      </c>
      <c r="E646" s="83">
        <v>3</v>
      </c>
      <c r="F646" s="43">
        <f t="shared" si="109"/>
        <v>3.2608695652173911</v>
      </c>
      <c r="G646" s="44">
        <f t="shared" ref="G646:G671" si="110">INT(F646)</f>
        <v>3</v>
      </c>
      <c r="H646" s="44">
        <f t="shared" ref="H646:H671" si="111">F646-G646</f>
        <v>0.26086956521739113</v>
      </c>
      <c r="J646" t="b">
        <f t="shared" ref="J646:J671" si="112">IF(OR(C646="Ephemeroptera", C646 ="Plecoptera", C646= "Trichoptera"), TRUE, FALSE)</f>
        <v>0</v>
      </c>
      <c r="K646" t="str">
        <f t="shared" ref="K646:K671" si="113">IF(J646=TRUE,C646,"")</f>
        <v/>
      </c>
      <c r="L646">
        <f>_xlfn.XLOOKUP(D646,BugList!C:C,BugList!N:N)</f>
        <v>6</v>
      </c>
      <c r="M646">
        <f t="shared" ref="M646:M671" si="114">L646*I646</f>
        <v>0</v>
      </c>
      <c r="N646" t="b">
        <f>_xlfn.XLOOKUP(D646,BugList!C:C,BugList!L:L)</f>
        <v>1</v>
      </c>
      <c r="O646" t="b">
        <f t="shared" ref="O646:O671" si="115">IF(J646=TRUE,IF(D646="Hydropsychidae", FALSE, TRUE), FALSE)</f>
        <v>0</v>
      </c>
      <c r="P646" s="18" t="b">
        <f>SUMPRODUCT(COUNTIF(_xlfn.XLOOKUP(D646,BugList!C:C,BugList!P:P), "*SC*"))&gt;0</f>
        <v>0</v>
      </c>
    </row>
    <row r="647" spans="1:16">
      <c r="A647" t="s">
        <v>2801</v>
      </c>
      <c r="B647">
        <v>10</v>
      </c>
      <c r="C647" s="34" t="s">
        <v>195</v>
      </c>
      <c r="D647" s="84" t="s">
        <v>113</v>
      </c>
      <c r="E647" s="83">
        <v>1</v>
      </c>
      <c r="F647" s="43">
        <f t="shared" si="109"/>
        <v>1.0869565217391304</v>
      </c>
      <c r="G647" s="44">
        <f t="shared" si="110"/>
        <v>1</v>
      </c>
      <c r="H647" s="44">
        <f t="shared" si="111"/>
        <v>8.6956521739130377E-2</v>
      </c>
      <c r="J647" t="b">
        <f t="shared" si="112"/>
        <v>0</v>
      </c>
      <c r="K647" t="str">
        <f t="shared" si="113"/>
        <v/>
      </c>
      <c r="L647">
        <f>_xlfn.XLOOKUP(D647,BugList!C:C,BugList!N:N)</f>
        <v>1</v>
      </c>
      <c r="M647">
        <f t="shared" si="114"/>
        <v>0</v>
      </c>
      <c r="N647" t="b">
        <f>_xlfn.XLOOKUP(D647,BugList!C:C,BugList!L:L)</f>
        <v>1</v>
      </c>
      <c r="O647" t="b">
        <f t="shared" si="115"/>
        <v>0</v>
      </c>
      <c r="P647" s="18" t="b">
        <f>SUMPRODUCT(COUNTIF(_xlfn.XLOOKUP(D647,BugList!C:C,BugList!P:P), "*SC*"))&gt;0</f>
        <v>0</v>
      </c>
    </row>
    <row r="648" spans="1:16">
      <c r="A648" t="s">
        <v>2801</v>
      </c>
      <c r="B648">
        <v>10</v>
      </c>
      <c r="C648" s="34" t="s">
        <v>198</v>
      </c>
      <c r="D648" s="84" t="s">
        <v>89</v>
      </c>
      <c r="E648" s="83">
        <v>23</v>
      </c>
      <c r="F648" s="43">
        <f t="shared" si="109"/>
        <v>25</v>
      </c>
      <c r="G648" s="44">
        <f t="shared" si="110"/>
        <v>25</v>
      </c>
      <c r="H648" s="44">
        <f t="shared" si="111"/>
        <v>0</v>
      </c>
      <c r="J648" t="b">
        <f t="shared" si="112"/>
        <v>1</v>
      </c>
      <c r="K648" t="str">
        <f t="shared" si="113"/>
        <v>Trichoptera</v>
      </c>
      <c r="L648">
        <f>_xlfn.XLOOKUP(D648,BugList!C:C,BugList!N:N)</f>
        <v>4</v>
      </c>
      <c r="M648">
        <f t="shared" si="114"/>
        <v>0</v>
      </c>
      <c r="N648" t="b">
        <f>_xlfn.XLOOKUP(D648,BugList!C:C,BugList!L:L)</f>
        <v>1</v>
      </c>
      <c r="O648" t="b">
        <f t="shared" si="115"/>
        <v>0</v>
      </c>
      <c r="P648" s="18" t="b">
        <f>SUMPRODUCT(COUNTIF(_xlfn.XLOOKUP(D648,BugList!C:C,BugList!P:P), "*SC*"))&gt;0</f>
        <v>0</v>
      </c>
    </row>
    <row r="649" spans="1:16">
      <c r="A649" t="s">
        <v>2801</v>
      </c>
      <c r="B649">
        <v>10</v>
      </c>
      <c r="C649" s="34" t="s">
        <v>198</v>
      </c>
      <c r="D649" s="84" t="s">
        <v>1263</v>
      </c>
      <c r="E649" s="83">
        <v>1</v>
      </c>
      <c r="F649" s="43">
        <f t="shared" si="109"/>
        <v>1.0869565217391304</v>
      </c>
      <c r="G649" s="44">
        <f t="shared" si="110"/>
        <v>1</v>
      </c>
      <c r="H649" s="44">
        <f t="shared" si="111"/>
        <v>8.6956521739130377E-2</v>
      </c>
      <c r="J649" t="b">
        <f t="shared" si="112"/>
        <v>1</v>
      </c>
      <c r="K649" t="str">
        <f t="shared" si="113"/>
        <v>Trichoptera</v>
      </c>
      <c r="L649">
        <f>_xlfn.XLOOKUP(D649,BugList!C:C,BugList!N:N)</f>
        <v>4</v>
      </c>
      <c r="M649">
        <f t="shared" si="114"/>
        <v>0</v>
      </c>
      <c r="N649" t="b">
        <f>_xlfn.XLOOKUP(D649,BugList!C:C,BugList!L:L)</f>
        <v>1</v>
      </c>
      <c r="O649" t="b">
        <f t="shared" si="115"/>
        <v>1</v>
      </c>
      <c r="P649" s="18" t="b">
        <f>SUMPRODUCT(COUNTIF(_xlfn.XLOOKUP(D649,BugList!C:C,BugList!P:P), "*SC*"))&gt;0</f>
        <v>0</v>
      </c>
    </row>
    <row r="650" spans="1:16">
      <c r="A650" t="s">
        <v>2801</v>
      </c>
      <c r="B650">
        <v>10</v>
      </c>
      <c r="C650" s="34" t="s">
        <v>199</v>
      </c>
      <c r="D650" s="84" t="s">
        <v>96</v>
      </c>
      <c r="E650" s="83">
        <v>1</v>
      </c>
      <c r="F650" s="43">
        <f t="shared" si="109"/>
        <v>1.0869565217391304</v>
      </c>
      <c r="G650" s="44">
        <f t="shared" si="110"/>
        <v>1</v>
      </c>
      <c r="H650" s="44">
        <f t="shared" si="111"/>
        <v>8.6956521739130377E-2</v>
      </c>
      <c r="J650" t="b">
        <f t="shared" si="112"/>
        <v>1</v>
      </c>
      <c r="K650" t="str">
        <f t="shared" si="113"/>
        <v>Ephemeroptera</v>
      </c>
      <c r="L650">
        <f>_xlfn.XLOOKUP(D650,BugList!C:C,BugList!N:N)</f>
        <v>4</v>
      </c>
      <c r="M650">
        <f t="shared" si="114"/>
        <v>0</v>
      </c>
      <c r="N650" t="b">
        <f>_xlfn.XLOOKUP(D650,BugList!C:C,BugList!L:L)</f>
        <v>1</v>
      </c>
      <c r="O650" t="b">
        <f t="shared" si="115"/>
        <v>1</v>
      </c>
      <c r="P650" s="18" t="b">
        <f>SUMPRODUCT(COUNTIF(_xlfn.XLOOKUP(D650,BugList!C:C,BugList!P:P), "*SC*"))&gt;0</f>
        <v>1</v>
      </c>
    </row>
    <row r="651" spans="1:16">
      <c r="A651" t="s">
        <v>2801</v>
      </c>
      <c r="B651">
        <v>10</v>
      </c>
      <c r="C651" s="34" t="s">
        <v>199</v>
      </c>
      <c r="D651" s="84" t="s">
        <v>151</v>
      </c>
      <c r="E651" s="83">
        <v>1</v>
      </c>
      <c r="F651" s="43">
        <f t="shared" si="109"/>
        <v>1.0869565217391304</v>
      </c>
      <c r="G651" s="44">
        <f t="shared" si="110"/>
        <v>1</v>
      </c>
      <c r="H651" s="44">
        <f t="shared" si="111"/>
        <v>8.6956521739130377E-2</v>
      </c>
      <c r="J651" t="b">
        <f t="shared" si="112"/>
        <v>1</v>
      </c>
      <c r="K651" t="str">
        <f t="shared" si="113"/>
        <v>Ephemeroptera</v>
      </c>
      <c r="L651">
        <f>_xlfn.XLOOKUP(D651,BugList!C:C,BugList!N:N)</f>
        <v>1</v>
      </c>
      <c r="M651">
        <f t="shared" si="114"/>
        <v>0</v>
      </c>
      <c r="N651" t="b">
        <f>_xlfn.XLOOKUP(D651,BugList!C:C,BugList!L:L)</f>
        <v>1</v>
      </c>
      <c r="O651" t="b">
        <f t="shared" si="115"/>
        <v>1</v>
      </c>
      <c r="P651" s="18" t="b">
        <f>SUMPRODUCT(COUNTIF(_xlfn.XLOOKUP(D651,BugList!C:C,BugList!P:P), "*SC*"))&gt;0</f>
        <v>0</v>
      </c>
    </row>
    <row r="652" spans="1:16">
      <c r="A652" t="s">
        <v>2801</v>
      </c>
      <c r="B652">
        <v>10</v>
      </c>
      <c r="C652" s="34" t="s">
        <v>200</v>
      </c>
      <c r="D652" s="84" t="s">
        <v>98</v>
      </c>
      <c r="E652" s="83">
        <v>22</v>
      </c>
      <c r="F652" s="43">
        <f t="shared" si="109"/>
        <v>23.913043478260871</v>
      </c>
      <c r="G652" s="44">
        <f t="shared" si="110"/>
        <v>23</v>
      </c>
      <c r="H652" s="44">
        <f t="shared" si="111"/>
        <v>0.91304347826087096</v>
      </c>
      <c r="J652" t="b">
        <f t="shared" si="112"/>
        <v>0</v>
      </c>
      <c r="K652" t="str">
        <f t="shared" si="113"/>
        <v/>
      </c>
      <c r="L652">
        <f>_xlfn.XLOOKUP(D652,BugList!C:C,BugList!N:N)</f>
        <v>4</v>
      </c>
      <c r="M652">
        <f t="shared" si="114"/>
        <v>0</v>
      </c>
      <c r="N652" t="b">
        <f>_xlfn.XLOOKUP(D652,BugList!C:C,BugList!L:L)</f>
        <v>1</v>
      </c>
      <c r="O652" t="b">
        <f t="shared" si="115"/>
        <v>0</v>
      </c>
      <c r="P652" s="18" t="b">
        <f>SUMPRODUCT(COUNTIF(_xlfn.XLOOKUP(D652,BugList!C:C,BugList!P:P), "*SC*"))&gt;0</f>
        <v>1</v>
      </c>
    </row>
    <row r="653" spans="1:16">
      <c r="A653" t="s">
        <v>2801</v>
      </c>
      <c r="B653">
        <v>10</v>
      </c>
      <c r="C653" s="34" t="s">
        <v>200</v>
      </c>
      <c r="D653" s="84" t="s">
        <v>1563</v>
      </c>
      <c r="E653" s="83">
        <v>1</v>
      </c>
      <c r="F653" s="43">
        <f t="shared" si="109"/>
        <v>1.0869565217391304</v>
      </c>
      <c r="G653" s="44">
        <f t="shared" si="110"/>
        <v>1</v>
      </c>
      <c r="H653" s="44">
        <f t="shared" si="111"/>
        <v>8.6956521739130377E-2</v>
      </c>
      <c r="J653" t="b">
        <f t="shared" si="112"/>
        <v>0</v>
      </c>
      <c r="K653" t="str">
        <f t="shared" si="113"/>
        <v/>
      </c>
      <c r="L653">
        <f>_xlfn.XLOOKUP(D653,BugList!C:C,BugList!N:N)</f>
        <v>5</v>
      </c>
      <c r="M653">
        <f t="shared" si="114"/>
        <v>0</v>
      </c>
      <c r="N653" t="b">
        <f>_xlfn.XLOOKUP(D653,BugList!C:C,BugList!L:L)</f>
        <v>1</v>
      </c>
      <c r="O653" t="b">
        <f t="shared" si="115"/>
        <v>0</v>
      </c>
      <c r="P653" s="18" t="b">
        <f>SUMPRODUCT(COUNTIF(_xlfn.XLOOKUP(D653,BugList!C:C,BugList!P:P), "*SC*"))&gt;0</f>
        <v>0</v>
      </c>
    </row>
    <row r="654" spans="1:16">
      <c r="A654" t="s">
        <v>2801</v>
      </c>
      <c r="B654">
        <v>10</v>
      </c>
      <c r="C654" s="34" t="s">
        <v>200</v>
      </c>
      <c r="D654" t="s">
        <v>100</v>
      </c>
      <c r="E654" s="83">
        <v>7</v>
      </c>
      <c r="F654" s="43">
        <f t="shared" si="109"/>
        <v>7.608695652173914</v>
      </c>
      <c r="G654" s="44">
        <f t="shared" si="110"/>
        <v>7</v>
      </c>
      <c r="H654" s="44">
        <f t="shared" si="111"/>
        <v>0.60869565217391397</v>
      </c>
      <c r="J654" t="b">
        <f t="shared" si="112"/>
        <v>0</v>
      </c>
      <c r="K654" t="str">
        <f t="shared" si="113"/>
        <v/>
      </c>
      <c r="L654">
        <f>_xlfn.XLOOKUP(D654,BugList!C:C,BugList!N:N)</f>
        <v>4</v>
      </c>
      <c r="M654">
        <f t="shared" si="114"/>
        <v>0</v>
      </c>
      <c r="N654" t="b">
        <f>_xlfn.XLOOKUP(D654,BugList!C:C,BugList!L:L)</f>
        <v>1</v>
      </c>
      <c r="O654" t="b">
        <f t="shared" si="115"/>
        <v>0</v>
      </c>
      <c r="P654" s="18" t="b">
        <f>SUMPRODUCT(COUNTIF(_xlfn.XLOOKUP(D654,BugList!C:C,BugList!P:P), "*SC*"))&gt;0</f>
        <v>1</v>
      </c>
    </row>
    <row r="655" spans="1:16">
      <c r="A655" t="s">
        <v>2801</v>
      </c>
      <c r="B655">
        <v>10</v>
      </c>
      <c r="C655" s="34" t="s">
        <v>201</v>
      </c>
      <c r="D655" s="84" t="s">
        <v>85</v>
      </c>
      <c r="E655" s="83">
        <v>7</v>
      </c>
      <c r="F655" s="43">
        <f t="shared" si="109"/>
        <v>7.608695652173914</v>
      </c>
      <c r="G655" s="44">
        <f t="shared" si="110"/>
        <v>7</v>
      </c>
      <c r="H655" s="44">
        <f t="shared" si="111"/>
        <v>0.60869565217391397</v>
      </c>
      <c r="J655" t="b">
        <f t="shared" si="112"/>
        <v>0</v>
      </c>
      <c r="K655" t="str">
        <f t="shared" si="113"/>
        <v/>
      </c>
      <c r="L655">
        <f>_xlfn.XLOOKUP(D655,BugList!C:C,BugList!N:N)</f>
        <v>4</v>
      </c>
      <c r="M655">
        <f t="shared" si="114"/>
        <v>0</v>
      </c>
      <c r="N655" t="b">
        <f>_xlfn.XLOOKUP(D655,BugList!C:C,BugList!L:L)</f>
        <v>0</v>
      </c>
      <c r="O655" t="b">
        <f t="shared" si="115"/>
        <v>0</v>
      </c>
      <c r="P655" s="18" t="b">
        <f>SUMPRODUCT(COUNTIF(_xlfn.XLOOKUP(D655,BugList!C:C,BugList!P:P), "*SC*"))&gt;0</f>
        <v>0</v>
      </c>
    </row>
    <row r="656" spans="1:16">
      <c r="A656" t="s">
        <v>2801</v>
      </c>
      <c r="B656">
        <v>10</v>
      </c>
      <c r="C656" s="34" t="s">
        <v>202</v>
      </c>
      <c r="D656" s="84" t="s">
        <v>203</v>
      </c>
      <c r="E656" s="83">
        <v>6</v>
      </c>
      <c r="F656" s="43">
        <f t="shared" si="109"/>
        <v>6.5217391304347823</v>
      </c>
      <c r="G656" s="44">
        <f t="shared" si="110"/>
        <v>6</v>
      </c>
      <c r="H656" s="44">
        <f t="shared" si="111"/>
        <v>0.52173913043478226</v>
      </c>
      <c r="J656" t="b">
        <f t="shared" si="112"/>
        <v>0</v>
      </c>
      <c r="K656" t="str">
        <f t="shared" si="113"/>
        <v/>
      </c>
      <c r="L656" s="71">
        <v>5</v>
      </c>
      <c r="M656">
        <f t="shared" si="114"/>
        <v>0</v>
      </c>
      <c r="N656" s="71" t="b">
        <v>0</v>
      </c>
      <c r="O656" t="b">
        <f t="shared" si="115"/>
        <v>0</v>
      </c>
      <c r="P656" s="72" t="b">
        <v>0</v>
      </c>
    </row>
    <row r="657" spans="1:16">
      <c r="A657" t="s">
        <v>2801</v>
      </c>
      <c r="B657">
        <v>10</v>
      </c>
      <c r="C657" s="34" t="s">
        <v>205</v>
      </c>
      <c r="D657" s="84" t="s">
        <v>206</v>
      </c>
      <c r="E657" s="83">
        <v>2</v>
      </c>
      <c r="F657" s="43">
        <f t="shared" si="109"/>
        <v>2.1739130434782608</v>
      </c>
      <c r="G657" s="44">
        <f t="shared" si="110"/>
        <v>2</v>
      </c>
      <c r="H657" s="44">
        <f t="shared" si="111"/>
        <v>0.17391304347826075</v>
      </c>
      <c r="J657" t="b">
        <f t="shared" si="112"/>
        <v>0</v>
      </c>
      <c r="K657" t="str">
        <f t="shared" si="113"/>
        <v/>
      </c>
      <c r="L657" s="71">
        <v>8</v>
      </c>
      <c r="M657">
        <f t="shared" si="114"/>
        <v>0</v>
      </c>
      <c r="N657" s="71" t="b">
        <v>0</v>
      </c>
      <c r="O657" t="b">
        <f t="shared" si="115"/>
        <v>0</v>
      </c>
      <c r="P657" s="72" t="b">
        <v>0</v>
      </c>
    </row>
    <row r="658" spans="1:16">
      <c r="A658" t="s">
        <v>2801</v>
      </c>
      <c r="B658">
        <v>10</v>
      </c>
      <c r="C658" s="34" t="s">
        <v>2315</v>
      </c>
      <c r="D658" s="84" t="s">
        <v>2315</v>
      </c>
      <c r="E658" s="83">
        <v>16</v>
      </c>
      <c r="F658" s="43">
        <f t="shared" si="109"/>
        <v>17.391304347826086</v>
      </c>
      <c r="G658" s="44">
        <f t="shared" si="110"/>
        <v>17</v>
      </c>
      <c r="H658" s="44">
        <f t="shared" si="111"/>
        <v>0.39130434782608603</v>
      </c>
      <c r="J658" t="b">
        <f t="shared" si="112"/>
        <v>0</v>
      </c>
      <c r="K658" t="str">
        <f t="shared" si="113"/>
        <v/>
      </c>
      <c r="L658">
        <f>_xlfn.XLOOKUP(D658,BugList!C:C,BugList!N:N)</f>
        <v>7</v>
      </c>
      <c r="M658">
        <f t="shared" si="114"/>
        <v>0</v>
      </c>
      <c r="N658" t="b">
        <f>_xlfn.XLOOKUP(D658,BugList!C:C,BugList!L:L)</f>
        <v>0</v>
      </c>
      <c r="O658" t="b">
        <f t="shared" si="115"/>
        <v>0</v>
      </c>
      <c r="P658" s="18" t="b">
        <f>SUMPRODUCT(COUNTIF(_xlfn.XLOOKUP(D658,BugList!C:C,BugList!P:P), "*SC*"))&gt;0</f>
        <v>1</v>
      </c>
    </row>
    <row r="659" spans="1:16">
      <c r="A659" t="s">
        <v>2801</v>
      </c>
      <c r="B659">
        <v>10</v>
      </c>
      <c r="C659" s="34" t="s">
        <v>199</v>
      </c>
      <c r="D659" s="84" t="s">
        <v>154</v>
      </c>
      <c r="E659" s="83">
        <v>1</v>
      </c>
      <c r="F659" s="43">
        <f t="shared" si="109"/>
        <v>1.0869565217391304</v>
      </c>
      <c r="G659" s="44">
        <f t="shared" si="110"/>
        <v>1</v>
      </c>
      <c r="H659" s="44">
        <f t="shared" si="111"/>
        <v>8.6956521739130377E-2</v>
      </c>
      <c r="J659" t="b">
        <f t="shared" si="112"/>
        <v>1</v>
      </c>
      <c r="K659" t="str">
        <f t="shared" si="113"/>
        <v>Ephemeroptera</v>
      </c>
      <c r="L659">
        <f>_xlfn.XLOOKUP(D659,BugList!C:C,BugList!N:N)</f>
        <v>7</v>
      </c>
      <c r="M659">
        <f t="shared" si="114"/>
        <v>0</v>
      </c>
      <c r="N659" t="b">
        <f>_xlfn.XLOOKUP(D659,BugList!C:C,BugList!L:L)</f>
        <v>1</v>
      </c>
      <c r="O659" t="b">
        <f t="shared" si="115"/>
        <v>1</v>
      </c>
      <c r="P659" s="18" t="b">
        <f>SUMPRODUCT(COUNTIF(_xlfn.XLOOKUP(D659,BugList!C:C,BugList!P:P), "*SC*"))&gt;0</f>
        <v>0</v>
      </c>
    </row>
    <row r="660" spans="1:16">
      <c r="A660" t="s">
        <v>2802</v>
      </c>
      <c r="B660">
        <v>28</v>
      </c>
      <c r="C660" s="34" t="s">
        <v>194</v>
      </c>
      <c r="D660" s="84" t="s">
        <v>154</v>
      </c>
      <c r="E660" s="83">
        <v>1</v>
      </c>
      <c r="F660" s="43">
        <f t="shared" si="109"/>
        <v>0.76923076923076927</v>
      </c>
      <c r="G660" s="44">
        <f t="shared" si="110"/>
        <v>0</v>
      </c>
      <c r="H660" s="44">
        <f t="shared" si="111"/>
        <v>0.76923076923076927</v>
      </c>
      <c r="I660" cm="1">
        <f t="array" ref="I660">INT(F660)+IF(100-SUM(INT(F$660:F$671))&gt;=RANK(H660,H$660:H$671)+COUNTIF(H$660:H660,H660)-1,1,0)</f>
        <v>1</v>
      </c>
      <c r="J660" t="b">
        <f t="shared" si="112"/>
        <v>0</v>
      </c>
      <c r="K660" t="str">
        <f t="shared" si="113"/>
        <v/>
      </c>
      <c r="L660">
        <f>_xlfn.XLOOKUP(D660,BugList!C:C,BugList!N:N)</f>
        <v>7</v>
      </c>
      <c r="M660">
        <f t="shared" si="114"/>
        <v>7</v>
      </c>
      <c r="N660" t="b">
        <f>_xlfn.XLOOKUP(D660,BugList!C:C,BugList!L:L)</f>
        <v>1</v>
      </c>
      <c r="O660" t="b">
        <f t="shared" si="115"/>
        <v>0</v>
      </c>
      <c r="P660" s="18" t="b">
        <f>SUMPRODUCT(COUNTIF(_xlfn.XLOOKUP(D660,BugList!C:C,BugList!P:P), "*SC*"))&gt;0</f>
        <v>0</v>
      </c>
    </row>
    <row r="661" spans="1:16">
      <c r="A661" t="s">
        <v>2802</v>
      </c>
      <c r="B661">
        <v>28</v>
      </c>
      <c r="C661" s="34" t="s">
        <v>194</v>
      </c>
      <c r="D661" s="84" t="s">
        <v>108</v>
      </c>
      <c r="E661" s="83">
        <v>1</v>
      </c>
      <c r="F661" s="43">
        <f t="shared" si="109"/>
        <v>0.76923076923076927</v>
      </c>
      <c r="G661" s="44">
        <f t="shared" si="110"/>
        <v>0</v>
      </c>
      <c r="H661" s="44">
        <f t="shared" si="111"/>
        <v>0.76923076923076927</v>
      </c>
      <c r="I661" cm="1">
        <f t="array" ref="I661">INT(F661)+IF(100-SUM(INT(F$660:F$671))&gt;=RANK(H661,H$660:H$671)+COUNTIF(H$660:H661,H661)-1,1,0)</f>
        <v>1</v>
      </c>
      <c r="J661" t="b">
        <f t="shared" si="112"/>
        <v>0</v>
      </c>
      <c r="K661" t="str">
        <f t="shared" si="113"/>
        <v/>
      </c>
      <c r="L661">
        <f>_xlfn.XLOOKUP(D661,BugList!C:C,BugList!N:N)</f>
        <v>3</v>
      </c>
      <c r="M661">
        <f t="shared" si="114"/>
        <v>3</v>
      </c>
      <c r="N661" t="b">
        <f>_xlfn.XLOOKUP(D661,BugList!C:C,BugList!L:L)</f>
        <v>1</v>
      </c>
      <c r="O661" t="b">
        <f t="shared" si="115"/>
        <v>0</v>
      </c>
      <c r="P661" s="18" t="b">
        <f>SUMPRODUCT(COUNTIF(_xlfn.XLOOKUP(D661,BugList!C:C,BugList!P:P), "*SC*"))&gt;0</f>
        <v>0</v>
      </c>
    </row>
    <row r="662" spans="1:16">
      <c r="A662" t="s">
        <v>2802</v>
      </c>
      <c r="B662">
        <v>28</v>
      </c>
      <c r="C662" s="34" t="s">
        <v>195</v>
      </c>
      <c r="D662" s="84" t="s">
        <v>97</v>
      </c>
      <c r="E662" s="83">
        <v>3</v>
      </c>
      <c r="F662" s="43">
        <f t="shared" ref="F662:F693" si="116">(E662/(SUMIFS(E:E,A:A,A662))*100)</f>
        <v>2.3076923076923079</v>
      </c>
      <c r="G662" s="44">
        <f t="shared" si="110"/>
        <v>2</v>
      </c>
      <c r="H662" s="44">
        <f t="shared" si="111"/>
        <v>0.30769230769230793</v>
      </c>
      <c r="I662" cm="1">
        <f t="array" ref="I662">INT(F662)+IF(100-SUM(INT(F$660:F$671))&gt;=RANK(H662,H$660:H$671)+COUNTIF(H$660:H662,H662)-1,1,0)</f>
        <v>2</v>
      </c>
      <c r="J662" t="b">
        <f t="shared" si="112"/>
        <v>0</v>
      </c>
      <c r="K662" t="str">
        <f t="shared" si="113"/>
        <v/>
      </c>
      <c r="L662">
        <f>_xlfn.XLOOKUP(D662,BugList!C:C,BugList!N:N)</f>
        <v>9</v>
      </c>
      <c r="M662">
        <f t="shared" si="114"/>
        <v>18</v>
      </c>
      <c r="N662" t="b">
        <f>_xlfn.XLOOKUP(D662,BugList!C:C,BugList!L:L)</f>
        <v>1</v>
      </c>
      <c r="O662" t="b">
        <f t="shared" si="115"/>
        <v>0</v>
      </c>
      <c r="P662" s="18" t="b">
        <f>SUMPRODUCT(COUNTIF(_xlfn.XLOOKUP(D662,BugList!C:C,BugList!P:P), "*SC*"))&gt;0</f>
        <v>0</v>
      </c>
    </row>
    <row r="663" spans="1:16">
      <c r="A663" t="s">
        <v>2802</v>
      </c>
      <c r="B663">
        <v>28</v>
      </c>
      <c r="C663" s="34" t="s">
        <v>198</v>
      </c>
      <c r="D663" s="84" t="s">
        <v>89</v>
      </c>
      <c r="E663" s="83">
        <v>55</v>
      </c>
      <c r="F663" s="43">
        <f t="shared" si="116"/>
        <v>42.307692307692307</v>
      </c>
      <c r="G663" s="44">
        <f t="shared" si="110"/>
        <v>42</v>
      </c>
      <c r="H663" s="44">
        <f t="shared" si="111"/>
        <v>0.3076923076923066</v>
      </c>
      <c r="I663" cm="1">
        <f t="array" ref="I663">INT(F663)+IF(100-SUM(INT(F$660:F$671))&gt;=RANK(H663,H$660:H$671)+COUNTIF(H$660:H663,H663)-1,1,0)</f>
        <v>42</v>
      </c>
      <c r="J663" t="b">
        <f t="shared" si="112"/>
        <v>1</v>
      </c>
      <c r="K663" t="str">
        <f t="shared" si="113"/>
        <v>Trichoptera</v>
      </c>
      <c r="L663">
        <f>_xlfn.XLOOKUP(D663,BugList!C:C,BugList!N:N)</f>
        <v>4</v>
      </c>
      <c r="M663">
        <f t="shared" si="114"/>
        <v>168</v>
      </c>
      <c r="N663" t="b">
        <f>_xlfn.XLOOKUP(D663,BugList!C:C,BugList!L:L)</f>
        <v>1</v>
      </c>
      <c r="O663" t="b">
        <f t="shared" si="115"/>
        <v>0</v>
      </c>
      <c r="P663" s="18" t="b">
        <f>SUMPRODUCT(COUNTIF(_xlfn.XLOOKUP(D663,BugList!C:C,BugList!P:P), "*SC*"))&gt;0</f>
        <v>0</v>
      </c>
    </row>
    <row r="664" spans="1:16">
      <c r="A664" t="s">
        <v>2802</v>
      </c>
      <c r="B664">
        <v>28</v>
      </c>
      <c r="C664" s="34" t="s">
        <v>199</v>
      </c>
      <c r="D664" s="84" t="s">
        <v>111</v>
      </c>
      <c r="E664" s="83">
        <v>2</v>
      </c>
      <c r="F664" s="43">
        <f t="shared" si="116"/>
        <v>1.5384615384615385</v>
      </c>
      <c r="G664" s="44">
        <f t="shared" si="110"/>
        <v>1</v>
      </c>
      <c r="H664" s="44">
        <f t="shared" si="111"/>
        <v>0.53846153846153855</v>
      </c>
      <c r="I664" cm="1">
        <f t="array" ref="I664">INT(F664)+IF(100-SUM(INT(F$660:F$671))&gt;=RANK(H664,H$660:H$671)+COUNTIF(H$660:H664,H664)-1,1,0)</f>
        <v>2</v>
      </c>
      <c r="J664" t="b">
        <f t="shared" si="112"/>
        <v>1</v>
      </c>
      <c r="K664" t="str">
        <f t="shared" si="113"/>
        <v>Ephemeroptera</v>
      </c>
      <c r="L664">
        <f>_xlfn.XLOOKUP(D664,BugList!C:C,BugList!N:N)</f>
        <v>4</v>
      </c>
      <c r="M664">
        <f t="shared" si="114"/>
        <v>8</v>
      </c>
      <c r="N664" t="b">
        <f>_xlfn.XLOOKUP(D664,BugList!C:C,BugList!L:L)</f>
        <v>1</v>
      </c>
      <c r="O664" t="b">
        <f t="shared" si="115"/>
        <v>1</v>
      </c>
      <c r="P664" s="18" t="b">
        <f>SUMPRODUCT(COUNTIF(_xlfn.XLOOKUP(D664,BugList!C:C,BugList!P:P), "*SC*"))&gt;0</f>
        <v>0</v>
      </c>
    </row>
    <row r="665" spans="1:16">
      <c r="A665" t="s">
        <v>2802</v>
      </c>
      <c r="B665">
        <v>28</v>
      </c>
      <c r="C665" s="84" t="s">
        <v>200</v>
      </c>
      <c r="D665" t="s">
        <v>100</v>
      </c>
      <c r="E665" s="83">
        <v>11</v>
      </c>
      <c r="F665" s="43">
        <f t="shared" si="116"/>
        <v>8.4615384615384617</v>
      </c>
      <c r="G665" s="44">
        <f t="shared" si="110"/>
        <v>8</v>
      </c>
      <c r="H665" s="44">
        <f t="shared" si="111"/>
        <v>0.46153846153846168</v>
      </c>
      <c r="I665" cm="1">
        <f t="array" ref="I665">INT(F665)+IF(100-SUM(INT(F$660:F$671))&gt;=RANK(H665,H$660:H$671)+COUNTIF(H$660:H665,H665)-1,1,0)</f>
        <v>8</v>
      </c>
      <c r="J665" t="b">
        <f t="shared" si="112"/>
        <v>0</v>
      </c>
      <c r="K665" t="str">
        <f t="shared" si="113"/>
        <v/>
      </c>
      <c r="L665">
        <f>_xlfn.XLOOKUP(D665,BugList!C:C,BugList!N:N)</f>
        <v>4</v>
      </c>
      <c r="M665">
        <f t="shared" si="114"/>
        <v>32</v>
      </c>
      <c r="N665" t="b">
        <f>_xlfn.XLOOKUP(D665,BugList!C:C,BugList!L:L)</f>
        <v>1</v>
      </c>
      <c r="O665" t="b">
        <f t="shared" si="115"/>
        <v>0</v>
      </c>
      <c r="P665" s="18" t="b">
        <f>SUMPRODUCT(COUNTIF(_xlfn.XLOOKUP(D665,BugList!C:C,BugList!P:P), "*SC*"))&gt;0</f>
        <v>1</v>
      </c>
    </row>
    <row r="666" spans="1:16">
      <c r="A666" t="s">
        <v>2802</v>
      </c>
      <c r="B666">
        <v>28</v>
      </c>
      <c r="C666" s="34" t="s">
        <v>200</v>
      </c>
      <c r="D666" s="84" t="s">
        <v>98</v>
      </c>
      <c r="E666" s="83">
        <v>6</v>
      </c>
      <c r="F666" s="43">
        <f t="shared" si="116"/>
        <v>4.6153846153846159</v>
      </c>
      <c r="G666" s="44">
        <f t="shared" si="110"/>
        <v>4</v>
      </c>
      <c r="H666" s="44">
        <f t="shared" si="111"/>
        <v>0.61538461538461586</v>
      </c>
      <c r="I666" cm="1">
        <f t="array" ref="I666">INT(F666)+IF(100-SUM(INT(F$660:F$671))&gt;=RANK(H666,H$660:H$671)+COUNTIF(H$660:H666,H666)-1,1,0)</f>
        <v>5</v>
      </c>
      <c r="J666" t="b">
        <f t="shared" si="112"/>
        <v>0</v>
      </c>
      <c r="K666" t="str">
        <f t="shared" si="113"/>
        <v/>
      </c>
      <c r="L666">
        <f>_xlfn.XLOOKUP(D666,BugList!C:C,BugList!N:N)</f>
        <v>4</v>
      </c>
      <c r="M666">
        <f t="shared" si="114"/>
        <v>20</v>
      </c>
      <c r="N666" t="b">
        <f>_xlfn.XLOOKUP(D666,BugList!C:C,BugList!L:L)</f>
        <v>1</v>
      </c>
      <c r="O666" t="b">
        <f t="shared" si="115"/>
        <v>0</v>
      </c>
      <c r="P666" s="18" t="b">
        <f>SUMPRODUCT(COUNTIF(_xlfn.XLOOKUP(D666,BugList!C:C,BugList!P:P), "*SC*"))&gt;0</f>
        <v>1</v>
      </c>
    </row>
    <row r="667" spans="1:16">
      <c r="A667" t="s">
        <v>2802</v>
      </c>
      <c r="B667">
        <v>28</v>
      </c>
      <c r="C667" s="34" t="s">
        <v>200</v>
      </c>
      <c r="D667" s="84" t="s">
        <v>1563</v>
      </c>
      <c r="E667" s="83">
        <v>2</v>
      </c>
      <c r="F667" s="43">
        <f t="shared" si="116"/>
        <v>1.5384615384615385</v>
      </c>
      <c r="G667" s="44">
        <f t="shared" si="110"/>
        <v>1</v>
      </c>
      <c r="H667" s="44">
        <f t="shared" si="111"/>
        <v>0.53846153846153855</v>
      </c>
      <c r="I667" cm="1">
        <f t="array" ref="I667">INT(F667)+IF(100-SUM(INT(F$660:F$671))&gt;=RANK(H667,H$660:H$671)+COUNTIF(H$660:H667,H667)-1,1,0)</f>
        <v>2</v>
      </c>
      <c r="J667" t="b">
        <f t="shared" si="112"/>
        <v>0</v>
      </c>
      <c r="K667" t="str">
        <f t="shared" si="113"/>
        <v/>
      </c>
      <c r="L667">
        <f>_xlfn.XLOOKUP(D667,BugList!C:C,BugList!N:N)</f>
        <v>5</v>
      </c>
      <c r="M667">
        <f t="shared" si="114"/>
        <v>10</v>
      </c>
      <c r="N667" t="b">
        <f>_xlfn.XLOOKUP(D667,BugList!C:C,BugList!L:L)</f>
        <v>1</v>
      </c>
      <c r="O667" t="b">
        <f t="shared" si="115"/>
        <v>0</v>
      </c>
      <c r="P667" s="18" t="b">
        <f>SUMPRODUCT(COUNTIF(_xlfn.XLOOKUP(D667,BugList!C:C,BugList!P:P), "*SC*"))&gt;0</f>
        <v>0</v>
      </c>
    </row>
    <row r="668" spans="1:16">
      <c r="A668" t="s">
        <v>2802</v>
      </c>
      <c r="B668">
        <v>28</v>
      </c>
      <c r="C668" s="34" t="s">
        <v>205</v>
      </c>
      <c r="D668" s="84" t="s">
        <v>206</v>
      </c>
      <c r="E668" s="83">
        <v>1</v>
      </c>
      <c r="F668" s="43">
        <f t="shared" si="116"/>
        <v>0.76923076923076927</v>
      </c>
      <c r="G668" s="44">
        <f t="shared" si="110"/>
        <v>0</v>
      </c>
      <c r="H668" s="44">
        <f t="shared" si="111"/>
        <v>0.76923076923076927</v>
      </c>
      <c r="I668" cm="1">
        <f t="array" ref="I668">INT(F668)+IF(100-SUM(INT(F$660:F$671))&gt;=RANK(H668,H$660:H$671)+COUNTIF(H$660:H668,H668)-1,1,0)</f>
        <v>1</v>
      </c>
      <c r="J668" t="b">
        <f t="shared" si="112"/>
        <v>0</v>
      </c>
      <c r="K668" t="str">
        <f t="shared" si="113"/>
        <v/>
      </c>
      <c r="L668" s="71">
        <v>8</v>
      </c>
      <c r="M668">
        <f t="shared" ref="M668" si="117">L668*I668</f>
        <v>8</v>
      </c>
      <c r="N668" s="71" t="b">
        <v>0</v>
      </c>
      <c r="O668" t="b">
        <f t="shared" ref="O668" si="118">IF(J668=TRUE,IF(D668="Hydropsychidae", FALSE, TRUE), FALSE)</f>
        <v>0</v>
      </c>
      <c r="P668" s="72" t="b">
        <v>0</v>
      </c>
    </row>
    <row r="669" spans="1:16">
      <c r="A669" t="s">
        <v>2802</v>
      </c>
      <c r="B669">
        <v>28</v>
      </c>
      <c r="C669" s="34" t="s">
        <v>201</v>
      </c>
      <c r="D669" s="84" t="s">
        <v>85</v>
      </c>
      <c r="E669" s="83">
        <v>22</v>
      </c>
      <c r="F669" s="43">
        <f t="shared" si="116"/>
        <v>16.923076923076923</v>
      </c>
      <c r="G669" s="44">
        <f t="shared" si="110"/>
        <v>16</v>
      </c>
      <c r="H669" s="44">
        <f t="shared" si="111"/>
        <v>0.92307692307692335</v>
      </c>
      <c r="I669" cm="1">
        <f t="array" ref="I669">INT(F669)+IF(100-SUM(INT(F$660:F$671))&gt;=RANK(H669,H$660:H$671)+COUNTIF(H$660:H669,H669)-1,1,0)</f>
        <v>17</v>
      </c>
      <c r="J669" t="b">
        <f t="shared" si="112"/>
        <v>0</v>
      </c>
      <c r="K669" t="str">
        <f t="shared" si="113"/>
        <v/>
      </c>
      <c r="L669">
        <f>_xlfn.XLOOKUP(D669,BugList!C:C,BugList!N:N)</f>
        <v>4</v>
      </c>
      <c r="M669">
        <f t="shared" si="114"/>
        <v>68</v>
      </c>
      <c r="N669" t="b">
        <f>_xlfn.XLOOKUP(D669,BugList!C:C,BugList!L:L)</f>
        <v>0</v>
      </c>
      <c r="O669" t="b">
        <f t="shared" si="115"/>
        <v>0</v>
      </c>
      <c r="P669" s="18" t="b">
        <f>SUMPRODUCT(COUNTIF(_xlfn.XLOOKUP(D669,BugList!C:C,BugList!P:P), "*SC*"))&gt;0</f>
        <v>0</v>
      </c>
    </row>
    <row r="670" spans="1:16">
      <c r="A670" t="s">
        <v>2802</v>
      </c>
      <c r="B670">
        <v>28</v>
      </c>
      <c r="C670" s="34" t="s">
        <v>2315</v>
      </c>
      <c r="D670" s="84" t="s">
        <v>2315</v>
      </c>
      <c r="E670" s="83">
        <v>24</v>
      </c>
      <c r="F670" s="43">
        <f t="shared" si="116"/>
        <v>18.461538461538463</v>
      </c>
      <c r="G670" s="44">
        <f t="shared" si="110"/>
        <v>18</v>
      </c>
      <c r="H670" s="44">
        <f t="shared" si="111"/>
        <v>0.46153846153846345</v>
      </c>
      <c r="I670" cm="1">
        <f t="array" ref="I670">INT(F670)+IF(100-SUM(INT(F$660:F$671))&gt;=RANK(H670,H$660:H$671)+COUNTIF(H$660:H670,H670)-1,1,0)</f>
        <v>18</v>
      </c>
      <c r="J670" t="b">
        <f t="shared" si="112"/>
        <v>0</v>
      </c>
      <c r="K670" t="str">
        <f t="shared" si="113"/>
        <v/>
      </c>
      <c r="L670">
        <f>_xlfn.XLOOKUP(D670,BugList!C:C,BugList!N:N)</f>
        <v>7</v>
      </c>
      <c r="M670">
        <f t="shared" si="114"/>
        <v>126</v>
      </c>
      <c r="N670" t="b">
        <f>_xlfn.XLOOKUP(D670,BugList!C:C,BugList!L:L)</f>
        <v>0</v>
      </c>
      <c r="O670" t="b">
        <f t="shared" si="115"/>
        <v>0</v>
      </c>
      <c r="P670" s="18" t="b">
        <f>SUMPRODUCT(COUNTIF(_xlfn.XLOOKUP(D670,BugList!C:C,BugList!P:P), "*SC*"))&gt;0</f>
        <v>1</v>
      </c>
    </row>
    <row r="671" spans="1:16">
      <c r="A671" t="s">
        <v>2802</v>
      </c>
      <c r="B671">
        <v>28</v>
      </c>
      <c r="C671" s="34" t="s">
        <v>2738</v>
      </c>
      <c r="D671" s="84" t="s">
        <v>1226</v>
      </c>
      <c r="E671" s="83">
        <v>2</v>
      </c>
      <c r="F671" s="43">
        <f t="shared" si="116"/>
        <v>1.5384615384615385</v>
      </c>
      <c r="G671" s="44">
        <f t="shared" si="110"/>
        <v>1</v>
      </c>
      <c r="H671" s="44">
        <f t="shared" si="111"/>
        <v>0.53846153846153855</v>
      </c>
      <c r="I671" cm="1">
        <f t="array" ref="I671">INT(F671)+IF(100-SUM(INT(F$660:F$671))&gt;=RANK(H671,H$660:H$671)+COUNTIF(H$660:H671,H671)-1,1,0)</f>
        <v>1</v>
      </c>
      <c r="J671" t="b">
        <f t="shared" si="112"/>
        <v>0</v>
      </c>
      <c r="K671" t="str">
        <f t="shared" si="113"/>
        <v/>
      </c>
      <c r="L671">
        <f>_xlfn.XLOOKUP(D671,BugList!C:C,BugList!N:N)</f>
        <v>0</v>
      </c>
      <c r="M671">
        <f t="shared" si="114"/>
        <v>0</v>
      </c>
      <c r="N671" t="b">
        <f>_xlfn.XLOOKUP(D671,BugList!C:C,BugList!L:L)</f>
        <v>1</v>
      </c>
      <c r="O671" t="b">
        <f t="shared" si="115"/>
        <v>0</v>
      </c>
      <c r="P671" s="18" t="b">
        <f>SUMPRODUCT(COUNTIF(_xlfn.XLOOKUP(D671,BugList!C:C,BugList!P:P), "*SC*"))&gt;0</f>
        <v>0</v>
      </c>
    </row>
    <row r="672" spans="1:16">
      <c r="A672" t="s">
        <v>2803</v>
      </c>
      <c r="B672">
        <v>30</v>
      </c>
      <c r="C672" s="34" t="s">
        <v>194</v>
      </c>
      <c r="D672" s="34" t="s">
        <v>1758</v>
      </c>
      <c r="E672" s="83">
        <v>1</v>
      </c>
      <c r="F672" s="43">
        <f t="shared" si="116"/>
        <v>1.0101010101010102</v>
      </c>
      <c r="G672" s="44">
        <f t="shared" ref="G672:G683" si="119">INT(F672)</f>
        <v>1</v>
      </c>
      <c r="H672" s="44">
        <f t="shared" ref="H672:H683" si="120">F672-G672</f>
        <v>1.0101010101010166E-2</v>
      </c>
      <c r="I672" s="83">
        <v>1</v>
      </c>
      <c r="J672" t="b">
        <f t="shared" ref="J672:J696" si="121">IF(OR(C672="Ephemeroptera", C672 ="Plecoptera", C672= "Trichoptera"), TRUE, FALSE)</f>
        <v>0</v>
      </c>
      <c r="K672" t="str">
        <f t="shared" ref="K672:K696" si="122">IF(J672=TRUE,C672,"")</f>
        <v/>
      </c>
      <c r="L672">
        <f>_xlfn.XLOOKUP(D672,BugList!C:C,BugList!N:N)</f>
        <v>6</v>
      </c>
      <c r="M672">
        <f t="shared" ref="M672:M683" si="123">L672*I672</f>
        <v>6</v>
      </c>
      <c r="N672" t="b">
        <f>_xlfn.XLOOKUP(D672,BugList!C:C,BugList!L:L)</f>
        <v>1</v>
      </c>
      <c r="O672" t="b">
        <f t="shared" ref="O672:O683" si="124">IF(J672=TRUE,IF(D672="Hydropsychidae", FALSE, TRUE), FALSE)</f>
        <v>0</v>
      </c>
      <c r="P672" s="18" t="b">
        <f>SUMPRODUCT(COUNTIF(_xlfn.XLOOKUP(D672,BugList!C:C,BugList!P:P), "*SC*"))&gt;0</f>
        <v>0</v>
      </c>
    </row>
    <row r="673" spans="1:16">
      <c r="A673" t="s">
        <v>2803</v>
      </c>
      <c r="B673">
        <v>30</v>
      </c>
      <c r="C673" s="34" t="s">
        <v>194</v>
      </c>
      <c r="D673" s="34" t="s">
        <v>90</v>
      </c>
      <c r="E673" s="83">
        <v>8</v>
      </c>
      <c r="F673" s="43">
        <f t="shared" si="116"/>
        <v>8.0808080808080813</v>
      </c>
      <c r="G673" s="44">
        <f t="shared" si="119"/>
        <v>8</v>
      </c>
      <c r="H673" s="44">
        <f t="shared" si="120"/>
        <v>8.0808080808081328E-2</v>
      </c>
      <c r="I673" s="83">
        <v>8</v>
      </c>
      <c r="J673" t="b">
        <f>IF(OR(C673="Ephemeroptera", C673 ="Plecoptera", C673= "Trichoptera"), TRUE, FALSE)</f>
        <v>0</v>
      </c>
      <c r="K673" t="str">
        <f t="shared" si="122"/>
        <v/>
      </c>
      <c r="L673">
        <f>_xlfn.XLOOKUP(D673,BugList!C:C,BugList!N:N)</f>
        <v>6</v>
      </c>
      <c r="M673">
        <f t="shared" si="123"/>
        <v>48</v>
      </c>
      <c r="N673" t="b">
        <f>_xlfn.XLOOKUP(D673,BugList!C:C,BugList!L:L)</f>
        <v>1</v>
      </c>
      <c r="O673" t="b">
        <f t="shared" si="124"/>
        <v>0</v>
      </c>
      <c r="P673" s="18" t="b">
        <f>SUMPRODUCT(COUNTIF(_xlfn.XLOOKUP(D673,BugList!C:C,BugList!P:P), "*SC*"))&gt;0</f>
        <v>0</v>
      </c>
    </row>
    <row r="674" spans="1:16">
      <c r="A674" t="s">
        <v>2803</v>
      </c>
      <c r="B674">
        <v>30</v>
      </c>
      <c r="C674" s="34" t="s">
        <v>198</v>
      </c>
      <c r="D674" s="34" t="s">
        <v>89</v>
      </c>
      <c r="E674" s="83">
        <v>59</v>
      </c>
      <c r="F674" s="43">
        <f t="shared" si="116"/>
        <v>59.595959595959592</v>
      </c>
      <c r="G674" s="44">
        <f t="shared" si="119"/>
        <v>59</v>
      </c>
      <c r="H674" s="44">
        <f t="shared" si="120"/>
        <v>0.59595959595959158</v>
      </c>
      <c r="I674" s="83">
        <v>59</v>
      </c>
      <c r="J674" t="b">
        <f t="shared" si="121"/>
        <v>1</v>
      </c>
      <c r="K674" t="str">
        <f t="shared" si="122"/>
        <v>Trichoptera</v>
      </c>
      <c r="L674">
        <f>_xlfn.XLOOKUP(D674,BugList!C:C,BugList!N:N)</f>
        <v>4</v>
      </c>
      <c r="M674">
        <f t="shared" si="123"/>
        <v>236</v>
      </c>
      <c r="N674" t="b">
        <f>_xlfn.XLOOKUP(D674,BugList!C:C,BugList!L:L)</f>
        <v>1</v>
      </c>
      <c r="O674" t="b">
        <f t="shared" si="124"/>
        <v>0</v>
      </c>
      <c r="P674" s="18" t="b">
        <f>SUMPRODUCT(COUNTIF(_xlfn.XLOOKUP(D674,BugList!C:C,BugList!P:P), "*SC*"))&gt;0</f>
        <v>0</v>
      </c>
    </row>
    <row r="675" spans="1:16">
      <c r="A675" t="s">
        <v>2803</v>
      </c>
      <c r="B675">
        <v>30</v>
      </c>
      <c r="C675" s="84" t="s">
        <v>198</v>
      </c>
      <c r="D675" s="84" t="s">
        <v>179</v>
      </c>
      <c r="E675" s="83">
        <v>1</v>
      </c>
      <c r="F675" s="43">
        <f t="shared" si="116"/>
        <v>1.0101010101010102</v>
      </c>
      <c r="G675" s="44">
        <f t="shared" si="119"/>
        <v>1</v>
      </c>
      <c r="H675" s="44">
        <f t="shared" si="120"/>
        <v>1.0101010101010166E-2</v>
      </c>
      <c r="I675" s="83">
        <v>1</v>
      </c>
      <c r="J675" t="b">
        <f t="shared" si="121"/>
        <v>1</v>
      </c>
      <c r="K675" t="str">
        <f t="shared" si="122"/>
        <v>Trichoptera</v>
      </c>
      <c r="L675">
        <f>_xlfn.XLOOKUP(D675,BugList!C:C,BugList!N:N)</f>
        <v>1</v>
      </c>
      <c r="M675">
        <f t="shared" si="123"/>
        <v>1</v>
      </c>
      <c r="N675" t="b">
        <f>_xlfn.XLOOKUP(D675,BugList!C:C,BugList!L:L)</f>
        <v>1</v>
      </c>
      <c r="O675" t="b">
        <f t="shared" si="124"/>
        <v>1</v>
      </c>
      <c r="P675" s="18" t="b">
        <f>SUMPRODUCT(COUNTIF(_xlfn.XLOOKUP(D675,BugList!C:C,BugList!P:P), "*SC*"))&gt;0</f>
        <v>0</v>
      </c>
    </row>
    <row r="676" spans="1:16">
      <c r="A676" t="s">
        <v>2803</v>
      </c>
      <c r="B676">
        <v>30</v>
      </c>
      <c r="C676" s="34" t="s">
        <v>199</v>
      </c>
      <c r="D676" s="34" t="s">
        <v>111</v>
      </c>
      <c r="E676" s="83">
        <v>1</v>
      </c>
      <c r="F676" s="43">
        <f t="shared" si="116"/>
        <v>1.0101010101010102</v>
      </c>
      <c r="G676" s="44">
        <f t="shared" si="119"/>
        <v>1</v>
      </c>
      <c r="H676" s="44">
        <f t="shared" si="120"/>
        <v>1.0101010101010166E-2</v>
      </c>
      <c r="I676" s="83">
        <v>1</v>
      </c>
      <c r="J676" t="b">
        <f t="shared" si="121"/>
        <v>1</v>
      </c>
      <c r="K676" t="str">
        <f t="shared" si="122"/>
        <v>Ephemeroptera</v>
      </c>
      <c r="L676">
        <f>_xlfn.XLOOKUP(D676,BugList!C:C,BugList!N:N)</f>
        <v>4</v>
      </c>
      <c r="M676">
        <f t="shared" si="123"/>
        <v>4</v>
      </c>
      <c r="N676" t="b">
        <f>_xlfn.XLOOKUP(D676,BugList!C:C,BugList!L:L)</f>
        <v>1</v>
      </c>
      <c r="O676" t="b">
        <f t="shared" si="124"/>
        <v>1</v>
      </c>
      <c r="P676" s="18" t="b">
        <f>SUMPRODUCT(COUNTIF(_xlfn.XLOOKUP(D676,BugList!C:C,BugList!P:P), "*SC*"))&gt;0</f>
        <v>0</v>
      </c>
    </row>
    <row r="677" spans="1:16">
      <c r="A677" t="s">
        <v>2803</v>
      </c>
      <c r="B677">
        <v>30</v>
      </c>
      <c r="C677" s="34" t="s">
        <v>199</v>
      </c>
      <c r="D677" s="34" t="s">
        <v>96</v>
      </c>
      <c r="E677" s="83">
        <v>1</v>
      </c>
      <c r="F677" s="43">
        <f t="shared" si="116"/>
        <v>1.0101010101010102</v>
      </c>
      <c r="G677" s="44">
        <f t="shared" si="119"/>
        <v>1</v>
      </c>
      <c r="H677" s="44">
        <f t="shared" si="120"/>
        <v>1.0101010101010166E-2</v>
      </c>
      <c r="I677" s="83">
        <v>1</v>
      </c>
      <c r="J677" t="b">
        <f t="shared" si="121"/>
        <v>1</v>
      </c>
      <c r="K677" t="str">
        <f t="shared" si="122"/>
        <v>Ephemeroptera</v>
      </c>
      <c r="L677">
        <f>_xlfn.XLOOKUP(D677,BugList!C:C,BugList!N:N)</f>
        <v>4</v>
      </c>
      <c r="M677">
        <f t="shared" si="123"/>
        <v>4</v>
      </c>
      <c r="N677" t="b">
        <f>_xlfn.XLOOKUP(D677,BugList!C:C,BugList!L:L)</f>
        <v>1</v>
      </c>
      <c r="O677" t="b">
        <f t="shared" si="124"/>
        <v>1</v>
      </c>
      <c r="P677" s="18" t="b">
        <f>SUMPRODUCT(COUNTIF(_xlfn.XLOOKUP(D677,BugList!C:C,BugList!P:P), "*SC*"))&gt;0</f>
        <v>1</v>
      </c>
    </row>
    <row r="678" spans="1:16">
      <c r="A678" t="s">
        <v>2803</v>
      </c>
      <c r="B678">
        <v>30</v>
      </c>
      <c r="C678" s="34" t="s">
        <v>200</v>
      </c>
      <c r="D678" s="34" t="s">
        <v>100</v>
      </c>
      <c r="E678" s="83">
        <v>9</v>
      </c>
      <c r="F678" s="43">
        <f t="shared" si="116"/>
        <v>9.0909090909090917</v>
      </c>
      <c r="G678" s="44">
        <f t="shared" si="119"/>
        <v>9</v>
      </c>
      <c r="H678" s="44">
        <f t="shared" si="120"/>
        <v>9.0909090909091717E-2</v>
      </c>
      <c r="I678" s="83">
        <v>9</v>
      </c>
      <c r="J678" t="b">
        <f t="shared" si="121"/>
        <v>0</v>
      </c>
      <c r="K678" t="str">
        <f t="shared" si="122"/>
        <v/>
      </c>
      <c r="L678">
        <f>_xlfn.XLOOKUP(D678,BugList!C:C,BugList!N:N)</f>
        <v>4</v>
      </c>
      <c r="M678">
        <f t="shared" si="123"/>
        <v>36</v>
      </c>
      <c r="N678" t="b">
        <f>_xlfn.XLOOKUP(D678,BugList!C:C,BugList!L:L)</f>
        <v>1</v>
      </c>
      <c r="O678" t="b">
        <f t="shared" si="124"/>
        <v>0</v>
      </c>
      <c r="P678" s="18" t="b">
        <f>SUMPRODUCT(COUNTIF(_xlfn.XLOOKUP(D678,BugList!C:C,BugList!P:P), "*SC*"))&gt;0</f>
        <v>1</v>
      </c>
    </row>
    <row r="679" spans="1:16">
      <c r="A679" t="s">
        <v>2803</v>
      </c>
      <c r="B679">
        <v>30</v>
      </c>
      <c r="C679" s="34" t="s">
        <v>200</v>
      </c>
      <c r="D679" s="34" t="s">
        <v>98</v>
      </c>
      <c r="E679" s="83">
        <v>6</v>
      </c>
      <c r="F679" s="43">
        <f t="shared" si="116"/>
        <v>6.0606060606060606</v>
      </c>
      <c r="G679" s="44">
        <f t="shared" si="119"/>
        <v>6</v>
      </c>
      <c r="H679" s="44">
        <f t="shared" si="120"/>
        <v>6.0606060606060552E-2</v>
      </c>
      <c r="I679" s="83">
        <v>6</v>
      </c>
      <c r="J679" t="b">
        <f t="shared" si="121"/>
        <v>0</v>
      </c>
      <c r="K679" t="str">
        <f t="shared" si="122"/>
        <v/>
      </c>
      <c r="L679">
        <f>_xlfn.XLOOKUP(D679,BugList!C:C,BugList!N:N)</f>
        <v>4</v>
      </c>
      <c r="M679">
        <f t="shared" si="123"/>
        <v>24</v>
      </c>
      <c r="N679" t="b">
        <f>_xlfn.XLOOKUP(D679,BugList!C:C,BugList!L:L)</f>
        <v>1</v>
      </c>
      <c r="O679" t="b">
        <f t="shared" si="124"/>
        <v>0</v>
      </c>
      <c r="P679" s="18" t="b">
        <f>SUMPRODUCT(COUNTIF(_xlfn.XLOOKUP(D679,BugList!C:C,BugList!P:P), "*SC*"))&gt;0</f>
        <v>1</v>
      </c>
    </row>
    <row r="680" spans="1:16">
      <c r="A680" t="s">
        <v>2803</v>
      </c>
      <c r="B680">
        <v>30</v>
      </c>
      <c r="C680" s="34" t="s">
        <v>200</v>
      </c>
      <c r="D680" s="34" t="s">
        <v>1563</v>
      </c>
      <c r="E680" s="83">
        <v>1</v>
      </c>
      <c r="F680" s="43">
        <f t="shared" si="116"/>
        <v>1.0101010101010102</v>
      </c>
      <c r="G680" s="44">
        <f t="shared" si="119"/>
        <v>1</v>
      </c>
      <c r="H680" s="44">
        <f t="shared" si="120"/>
        <v>1.0101010101010166E-2</v>
      </c>
      <c r="I680" s="83">
        <v>1</v>
      </c>
      <c r="J680" t="b">
        <f t="shared" si="121"/>
        <v>0</v>
      </c>
      <c r="K680" t="str">
        <f t="shared" si="122"/>
        <v/>
      </c>
      <c r="L680">
        <f>_xlfn.XLOOKUP(D680,BugList!C:C,BugList!N:N)</f>
        <v>5</v>
      </c>
      <c r="M680">
        <f t="shared" si="123"/>
        <v>5</v>
      </c>
      <c r="N680" t="b">
        <f>_xlfn.XLOOKUP(D680,BugList!C:C,BugList!L:L)</f>
        <v>1</v>
      </c>
      <c r="O680" t="b">
        <f t="shared" si="124"/>
        <v>0</v>
      </c>
      <c r="P680" s="18" t="b">
        <f>SUMPRODUCT(COUNTIF(_xlfn.XLOOKUP(D680,BugList!C:C,BugList!P:P), "*SC*"))&gt;0</f>
        <v>0</v>
      </c>
    </row>
    <row r="681" spans="1:16">
      <c r="A681" t="s">
        <v>2803</v>
      </c>
      <c r="B681">
        <v>30</v>
      </c>
      <c r="C681" s="34" t="s">
        <v>2315</v>
      </c>
      <c r="D681" s="34" t="s">
        <v>2315</v>
      </c>
      <c r="E681" s="83">
        <v>7</v>
      </c>
      <c r="F681" s="43">
        <f t="shared" si="116"/>
        <v>7.0707070707070701</v>
      </c>
      <c r="G681" s="44">
        <f t="shared" si="119"/>
        <v>7</v>
      </c>
      <c r="H681" s="44">
        <f t="shared" si="120"/>
        <v>7.0707070707070052E-2</v>
      </c>
      <c r="I681" s="83">
        <v>7</v>
      </c>
      <c r="J681" t="b">
        <f t="shared" si="121"/>
        <v>0</v>
      </c>
      <c r="K681" t="str">
        <f t="shared" si="122"/>
        <v/>
      </c>
      <c r="L681">
        <f>_xlfn.XLOOKUP(D681,BugList!C:C,BugList!N:N)</f>
        <v>7</v>
      </c>
      <c r="M681">
        <f t="shared" si="123"/>
        <v>49</v>
      </c>
      <c r="N681" t="b">
        <f>_xlfn.XLOOKUP(D681,BugList!C:C,BugList!L:L)</f>
        <v>0</v>
      </c>
      <c r="O681" t="b">
        <f t="shared" si="124"/>
        <v>0</v>
      </c>
      <c r="P681" s="18" t="b">
        <f>SUMPRODUCT(COUNTIF(_xlfn.XLOOKUP(D681,BugList!C:C,BugList!P:P), "*SC*"))&gt;0</f>
        <v>1</v>
      </c>
    </row>
    <row r="682" spans="1:16">
      <c r="A682" t="s">
        <v>2803</v>
      </c>
      <c r="B682">
        <v>30</v>
      </c>
      <c r="C682" s="34" t="s">
        <v>2738</v>
      </c>
      <c r="D682" s="34" t="s">
        <v>181</v>
      </c>
      <c r="E682" s="83">
        <v>3</v>
      </c>
      <c r="F682" s="43">
        <f t="shared" si="116"/>
        <v>3.0303030303030303</v>
      </c>
      <c r="G682" s="44">
        <f t="shared" si="119"/>
        <v>3</v>
      </c>
      <c r="H682" s="44">
        <f t="shared" si="120"/>
        <v>3.0303030303030276E-2</v>
      </c>
      <c r="I682" s="83">
        <v>3</v>
      </c>
      <c r="J682" t="b">
        <f t="shared" si="121"/>
        <v>0</v>
      </c>
      <c r="K682" t="str">
        <f t="shared" si="122"/>
        <v/>
      </c>
      <c r="L682">
        <f>_xlfn.XLOOKUP(D682,BugList!C:C,BugList!N:N)</f>
        <v>4</v>
      </c>
      <c r="M682">
        <f t="shared" si="123"/>
        <v>12</v>
      </c>
      <c r="N682" t="b">
        <f>_xlfn.XLOOKUP(D682,BugList!C:C,BugList!L:L)</f>
        <v>1</v>
      </c>
      <c r="O682" t="b">
        <f t="shared" si="124"/>
        <v>0</v>
      </c>
      <c r="P682" s="18" t="b">
        <f>SUMPRODUCT(COUNTIF(_xlfn.XLOOKUP(D682,BugList!C:C,BugList!P:P), "*SC*"))&gt;0</f>
        <v>0</v>
      </c>
    </row>
    <row r="683" spans="1:16">
      <c r="A683" t="s">
        <v>2803</v>
      </c>
      <c r="B683">
        <v>30</v>
      </c>
      <c r="C683" s="34" t="s">
        <v>205</v>
      </c>
      <c r="D683" s="34" t="s">
        <v>206</v>
      </c>
      <c r="E683" s="83">
        <v>2</v>
      </c>
      <c r="F683" s="43">
        <f t="shared" si="116"/>
        <v>2.0202020202020203</v>
      </c>
      <c r="G683" s="44">
        <f t="shared" si="119"/>
        <v>2</v>
      </c>
      <c r="H683" s="44">
        <f t="shared" si="120"/>
        <v>2.0202020202020332E-2</v>
      </c>
      <c r="I683" s="83">
        <v>2</v>
      </c>
      <c r="J683" t="b">
        <f t="shared" si="121"/>
        <v>0</v>
      </c>
      <c r="K683" t="str">
        <f t="shared" si="122"/>
        <v/>
      </c>
      <c r="L683" s="71">
        <v>8</v>
      </c>
      <c r="M683">
        <f t="shared" si="123"/>
        <v>16</v>
      </c>
      <c r="N683" s="71" t="b">
        <v>0</v>
      </c>
      <c r="O683" t="b">
        <f t="shared" si="124"/>
        <v>0</v>
      </c>
      <c r="P683" s="72" t="b">
        <v>0</v>
      </c>
    </row>
    <row r="684" spans="1:16">
      <c r="A684" t="s">
        <v>2804</v>
      </c>
      <c r="B684">
        <v>1</v>
      </c>
      <c r="C684" s="34" t="s">
        <v>195</v>
      </c>
      <c r="D684" s="34" t="s">
        <v>113</v>
      </c>
      <c r="E684" s="83">
        <v>1</v>
      </c>
      <c r="F684" s="43">
        <f t="shared" si="116"/>
        <v>0.77519379844961245</v>
      </c>
      <c r="G684" s="44">
        <f t="shared" ref="G684" si="125">INT(F684)</f>
        <v>0</v>
      </c>
      <c r="H684" s="44">
        <f t="shared" ref="H684" si="126">F684-G684</f>
        <v>0.77519379844961245</v>
      </c>
      <c r="I684" cm="1">
        <f t="array" ref="I684">INT(F684)+IF(100-SUM(INT(F$684:F$696))&gt;=RANK(H684,H$684:H$696)+COUNTIF(H$684:H684,H684)-1,1,0)</f>
        <v>1</v>
      </c>
      <c r="J684" t="b">
        <f t="shared" si="121"/>
        <v>0</v>
      </c>
      <c r="K684" t="str">
        <f t="shared" si="122"/>
        <v/>
      </c>
      <c r="L684">
        <f>_xlfn.XLOOKUP(D684,BugList!C:C,BugList!N:N)</f>
        <v>1</v>
      </c>
      <c r="M684">
        <f t="shared" ref="M684" si="127">L684*I684</f>
        <v>1</v>
      </c>
      <c r="N684" t="b">
        <f>_xlfn.XLOOKUP(D684,BugList!C:C,BugList!L:L)</f>
        <v>1</v>
      </c>
      <c r="O684" t="b">
        <f t="shared" ref="O684" si="128">IF(J684=TRUE,IF(D684="Hydropsychidae", FALSE, TRUE), FALSE)</f>
        <v>0</v>
      </c>
      <c r="P684" s="18" t="b">
        <f>SUMPRODUCT(COUNTIF(_xlfn.XLOOKUP(D684,BugList!C:C,BugList!P:P), "*SC*"))&gt;0</f>
        <v>0</v>
      </c>
    </row>
    <row r="685" spans="1:16">
      <c r="A685" t="s">
        <v>2804</v>
      </c>
      <c r="B685">
        <v>1</v>
      </c>
      <c r="C685" s="34" t="s">
        <v>195</v>
      </c>
      <c r="D685" s="34" t="s">
        <v>97</v>
      </c>
      <c r="E685" s="83">
        <v>22</v>
      </c>
      <c r="F685" s="43">
        <f t="shared" si="116"/>
        <v>17.054263565891471</v>
      </c>
      <c r="G685" s="44">
        <f t="shared" ref="G685:G696" si="129">INT(F685)</f>
        <v>17</v>
      </c>
      <c r="H685" s="44">
        <f t="shared" ref="H685:H696" si="130">F685-G685</f>
        <v>5.4263565891471188E-2</v>
      </c>
      <c r="I685" cm="1">
        <f t="array" ref="I685">INT(F685)+IF(100-SUM(INT(F$684:F$696))&gt;=RANK(H685,H$684:H$696)+COUNTIF(H$684:H685,H685)-1,1,0)</f>
        <v>17</v>
      </c>
      <c r="J685" t="b">
        <f t="shared" si="121"/>
        <v>0</v>
      </c>
      <c r="K685" t="str">
        <f t="shared" si="122"/>
        <v/>
      </c>
      <c r="L685">
        <f>_xlfn.XLOOKUP(D685,BugList!C:C,BugList!N:N)</f>
        <v>9</v>
      </c>
      <c r="M685">
        <f t="shared" ref="M685:M695" si="131">L685*I685</f>
        <v>153</v>
      </c>
      <c r="N685" t="b">
        <f>_xlfn.XLOOKUP(D685,BugList!C:C,BugList!L:L)</f>
        <v>1</v>
      </c>
      <c r="O685" t="b">
        <f t="shared" ref="O685:O695" si="132">IF(J685=TRUE,IF(D685="Hydropsychidae", FALSE, TRUE), FALSE)</f>
        <v>0</v>
      </c>
      <c r="P685" s="18" t="b">
        <f>SUMPRODUCT(COUNTIF(_xlfn.XLOOKUP(D685,BugList!C:C,BugList!P:P), "*SC*"))&gt;0</f>
        <v>0</v>
      </c>
    </row>
    <row r="686" spans="1:16">
      <c r="A686" t="s">
        <v>2804</v>
      </c>
      <c r="B686">
        <v>1</v>
      </c>
      <c r="C686" s="34" t="s">
        <v>198</v>
      </c>
      <c r="D686" s="34" t="s">
        <v>89</v>
      </c>
      <c r="E686" s="83">
        <v>7</v>
      </c>
      <c r="F686" s="43">
        <f t="shared" si="116"/>
        <v>5.4263565891472867</v>
      </c>
      <c r="G686" s="44">
        <f t="shared" si="129"/>
        <v>5</v>
      </c>
      <c r="H686" s="44">
        <f t="shared" si="130"/>
        <v>0.42635658914728669</v>
      </c>
      <c r="I686" cm="1">
        <f t="array" ref="I686">INT(F686)+IF(100-SUM(INT(F$684:F$696))&gt;=RANK(H686,H$684:H$696)+COUNTIF(H$684:H686,H686)-1,1,0)</f>
        <v>5</v>
      </c>
      <c r="J686" t="b">
        <f t="shared" si="121"/>
        <v>1</v>
      </c>
      <c r="K686" t="str">
        <f t="shared" si="122"/>
        <v>Trichoptera</v>
      </c>
      <c r="L686">
        <f>_xlfn.XLOOKUP(D686,BugList!C:C,BugList!N:N)</f>
        <v>4</v>
      </c>
      <c r="M686">
        <f t="shared" si="131"/>
        <v>20</v>
      </c>
      <c r="N686" t="b">
        <f>_xlfn.XLOOKUP(D686,BugList!C:C,BugList!L:L)</f>
        <v>1</v>
      </c>
      <c r="O686" t="b">
        <f t="shared" si="132"/>
        <v>0</v>
      </c>
      <c r="P686" s="18" t="b">
        <f>SUMPRODUCT(COUNTIF(_xlfn.XLOOKUP(D686,BugList!C:C,BugList!P:P), "*SC*"))&gt;0</f>
        <v>0</v>
      </c>
    </row>
    <row r="687" spans="1:16">
      <c r="A687" t="s">
        <v>2804</v>
      </c>
      <c r="B687">
        <v>1</v>
      </c>
      <c r="C687" s="34" t="s">
        <v>199</v>
      </c>
      <c r="D687" s="34" t="s">
        <v>111</v>
      </c>
      <c r="E687" s="83">
        <v>1</v>
      </c>
      <c r="F687" s="43">
        <f t="shared" si="116"/>
        <v>0.77519379844961245</v>
      </c>
      <c r="G687" s="44">
        <f t="shared" si="129"/>
        <v>0</v>
      </c>
      <c r="H687" s="44">
        <f t="shared" si="130"/>
        <v>0.77519379844961245</v>
      </c>
      <c r="I687" cm="1">
        <f t="array" ref="I687">INT(F687)+IF(100-SUM(INT(F$684:F$696))&gt;=RANK(H687,H$684:H$696)+COUNTIF(H$684:H687,H687)-1,1,0)</f>
        <v>1</v>
      </c>
      <c r="J687" t="b">
        <f t="shared" si="121"/>
        <v>1</v>
      </c>
      <c r="K687" t="str">
        <f t="shared" si="122"/>
        <v>Ephemeroptera</v>
      </c>
      <c r="L687">
        <f>_xlfn.XLOOKUP(D687,BugList!C:C,BugList!N:N)</f>
        <v>4</v>
      </c>
      <c r="M687">
        <f t="shared" si="131"/>
        <v>4</v>
      </c>
      <c r="N687" t="b">
        <f>_xlfn.XLOOKUP(D687,BugList!C:C,BugList!L:L)</f>
        <v>1</v>
      </c>
      <c r="O687" t="b">
        <f t="shared" si="132"/>
        <v>1</v>
      </c>
      <c r="P687" s="18" t="b">
        <f>SUMPRODUCT(COUNTIF(_xlfn.XLOOKUP(D687,BugList!C:C,BugList!P:P), "*SC*"))&gt;0</f>
        <v>0</v>
      </c>
    </row>
    <row r="688" spans="1:16">
      <c r="A688" t="s">
        <v>2804</v>
      </c>
      <c r="B688">
        <v>1</v>
      </c>
      <c r="C688" s="34" t="s">
        <v>200</v>
      </c>
      <c r="D688" s="84" t="s">
        <v>100</v>
      </c>
      <c r="E688" s="83">
        <v>36</v>
      </c>
      <c r="F688" s="43">
        <f t="shared" si="116"/>
        <v>27.906976744186046</v>
      </c>
      <c r="G688" s="44">
        <f t="shared" si="129"/>
        <v>27</v>
      </c>
      <c r="H688" s="44">
        <f t="shared" si="130"/>
        <v>0.90697674418604635</v>
      </c>
      <c r="I688" cm="1">
        <f t="array" ref="I688">INT(F688)+IF(100-SUM(INT(F$684:F$696))&gt;=RANK(H688,H$684:H$696)+COUNTIF(H$684:H688,H688)-1,1,0)</f>
        <v>28</v>
      </c>
      <c r="J688" t="b">
        <f t="shared" si="121"/>
        <v>0</v>
      </c>
      <c r="K688" t="str">
        <f t="shared" si="122"/>
        <v/>
      </c>
      <c r="L688">
        <f>_xlfn.XLOOKUP(D688,BugList!C:C,BugList!N:N)</f>
        <v>4</v>
      </c>
      <c r="M688">
        <f t="shared" si="131"/>
        <v>112</v>
      </c>
      <c r="N688" t="b">
        <f>_xlfn.XLOOKUP(D688,BugList!C:C,BugList!L:L)</f>
        <v>1</v>
      </c>
      <c r="O688" t="b">
        <f t="shared" si="132"/>
        <v>0</v>
      </c>
      <c r="P688" s="18" t="b">
        <f>SUMPRODUCT(COUNTIF(_xlfn.XLOOKUP(D688,BugList!C:C,BugList!P:P), "*SC*"))&gt;0</f>
        <v>1</v>
      </c>
    </row>
    <row r="689" spans="1:16">
      <c r="A689" t="s">
        <v>2804</v>
      </c>
      <c r="B689">
        <v>1</v>
      </c>
      <c r="C689" s="34" t="s">
        <v>200</v>
      </c>
      <c r="D689" s="84" t="s">
        <v>98</v>
      </c>
      <c r="E689" s="83">
        <v>7</v>
      </c>
      <c r="F689" s="43">
        <f t="shared" si="116"/>
        <v>5.4263565891472867</v>
      </c>
      <c r="G689" s="44">
        <f t="shared" si="129"/>
        <v>5</v>
      </c>
      <c r="H689" s="44">
        <f t="shared" si="130"/>
        <v>0.42635658914728669</v>
      </c>
      <c r="I689" cm="1">
        <f t="array" ref="I689">INT(F689)+IF(100-SUM(INT(F$684:F$696))&gt;=RANK(H689,H$684:H$696)+COUNTIF(H$684:H689,H689)-1,1,0)</f>
        <v>5</v>
      </c>
      <c r="J689" t="b">
        <f t="shared" si="121"/>
        <v>0</v>
      </c>
      <c r="K689" t="str">
        <f t="shared" si="122"/>
        <v/>
      </c>
      <c r="L689">
        <f>_xlfn.XLOOKUP(D689,BugList!C:C,BugList!N:N)</f>
        <v>4</v>
      </c>
      <c r="M689">
        <f t="shared" si="131"/>
        <v>20</v>
      </c>
      <c r="N689" t="b">
        <f>_xlfn.XLOOKUP(D689,BugList!C:C,BugList!L:L)</f>
        <v>1</v>
      </c>
      <c r="O689" t="b">
        <f t="shared" si="132"/>
        <v>0</v>
      </c>
      <c r="P689" s="18" t="b">
        <f>SUMPRODUCT(COUNTIF(_xlfn.XLOOKUP(D689,BugList!C:C,BugList!P:P), "*SC*"))&gt;0</f>
        <v>1</v>
      </c>
    </row>
    <row r="690" spans="1:16">
      <c r="A690" t="s">
        <v>2804</v>
      </c>
      <c r="B690">
        <v>1</v>
      </c>
      <c r="C690" s="34" t="s">
        <v>200</v>
      </c>
      <c r="D690" s="84" t="s">
        <v>1563</v>
      </c>
      <c r="E690" s="83">
        <v>3</v>
      </c>
      <c r="F690" s="43">
        <f t="shared" si="116"/>
        <v>2.3255813953488373</v>
      </c>
      <c r="G690" s="44">
        <f t="shared" si="129"/>
        <v>2</v>
      </c>
      <c r="H690" s="44">
        <f t="shared" si="130"/>
        <v>0.32558139534883734</v>
      </c>
      <c r="I690" cm="1">
        <f t="array" ref="I690">INT(F690)+IF(100-SUM(INT(F$684:F$696))&gt;=RANK(H690,H$684:H$696)+COUNTIF(H$684:H690,H690)-1,1,0)</f>
        <v>2</v>
      </c>
      <c r="J690" t="b">
        <f t="shared" si="121"/>
        <v>0</v>
      </c>
      <c r="K690" t="str">
        <f t="shared" si="122"/>
        <v/>
      </c>
      <c r="L690">
        <f>_xlfn.XLOOKUP(D690,BugList!C:C,BugList!N:N)</f>
        <v>5</v>
      </c>
      <c r="M690">
        <f t="shared" si="131"/>
        <v>10</v>
      </c>
      <c r="N690" t="b">
        <f>_xlfn.XLOOKUP(D690,BugList!C:C,BugList!L:L)</f>
        <v>1</v>
      </c>
      <c r="O690" t="b">
        <f t="shared" si="132"/>
        <v>0</v>
      </c>
      <c r="P690" s="18" t="b">
        <f>SUMPRODUCT(COUNTIF(_xlfn.XLOOKUP(D690,BugList!C:C,BugList!P:P), "*SC*"))&gt;0</f>
        <v>0</v>
      </c>
    </row>
    <row r="691" spans="1:16">
      <c r="A691" t="s">
        <v>2804</v>
      </c>
      <c r="B691">
        <v>1</v>
      </c>
      <c r="C691" s="34" t="s">
        <v>201</v>
      </c>
      <c r="D691" s="84" t="s">
        <v>85</v>
      </c>
      <c r="E691" s="83">
        <v>32</v>
      </c>
      <c r="F691" s="43">
        <f t="shared" si="116"/>
        <v>24.806201550387598</v>
      </c>
      <c r="G691" s="44">
        <f t="shared" si="129"/>
        <v>24</v>
      </c>
      <c r="H691" s="44">
        <f t="shared" si="130"/>
        <v>0.80620155038759833</v>
      </c>
      <c r="I691" cm="1">
        <f t="array" ref="I691">INT(F691)+IF(100-SUM(INT(F$684:F$696))&gt;=RANK(H691,H$684:H$696)+COUNTIF(H$684:H691,H691)-1,1,0)</f>
        <v>25</v>
      </c>
      <c r="J691" t="b">
        <f t="shared" si="121"/>
        <v>0</v>
      </c>
      <c r="K691" t="str">
        <f t="shared" si="122"/>
        <v/>
      </c>
      <c r="L691">
        <f>_xlfn.XLOOKUP(D691,BugList!C:C,BugList!N:N)</f>
        <v>4</v>
      </c>
      <c r="M691">
        <f t="shared" si="131"/>
        <v>100</v>
      </c>
      <c r="N691" t="b">
        <f>_xlfn.XLOOKUP(D691,BugList!C:C,BugList!L:L)</f>
        <v>0</v>
      </c>
      <c r="O691" t="b">
        <f t="shared" si="132"/>
        <v>0</v>
      </c>
      <c r="P691" s="18" t="b">
        <f>SUMPRODUCT(COUNTIF(_xlfn.XLOOKUP(D691,BugList!C:C,BugList!P:P), "*SC*"))&gt;0</f>
        <v>0</v>
      </c>
    </row>
    <row r="692" spans="1:16">
      <c r="A692" t="s">
        <v>2804</v>
      </c>
      <c r="B692">
        <v>1</v>
      </c>
      <c r="C692" s="34" t="s">
        <v>2315</v>
      </c>
      <c r="D692" s="84" t="s">
        <v>2315</v>
      </c>
      <c r="E692" s="83">
        <v>8</v>
      </c>
      <c r="F692" s="43">
        <f t="shared" si="116"/>
        <v>6.2015503875968996</v>
      </c>
      <c r="G692" s="44">
        <f t="shared" si="129"/>
        <v>6</v>
      </c>
      <c r="H692" s="44">
        <f t="shared" si="130"/>
        <v>0.20155038759689958</v>
      </c>
      <c r="I692" cm="1">
        <f t="array" ref="I692">INT(F692)+IF(100-SUM(INT(F$684:F$696))&gt;=RANK(H692,H$684:H$696)+COUNTIF(H$684:H692,H692)-1,1,0)</f>
        <v>6</v>
      </c>
      <c r="J692" t="b">
        <f t="shared" si="121"/>
        <v>0</v>
      </c>
      <c r="K692" t="str">
        <f t="shared" si="122"/>
        <v/>
      </c>
      <c r="L692">
        <f>_xlfn.XLOOKUP(D692,BugList!C:C,BugList!N:N)</f>
        <v>7</v>
      </c>
      <c r="M692">
        <f t="shared" si="131"/>
        <v>42</v>
      </c>
      <c r="N692" t="b">
        <f>_xlfn.XLOOKUP(D692,BugList!C:C,BugList!L:L)</f>
        <v>0</v>
      </c>
      <c r="O692" t="b">
        <f t="shared" si="132"/>
        <v>0</v>
      </c>
      <c r="P692" s="18" t="b">
        <f>SUMPRODUCT(COUNTIF(_xlfn.XLOOKUP(D692,BugList!C:C,BugList!P:P), "*SC*"))&gt;0</f>
        <v>1</v>
      </c>
    </row>
    <row r="693" spans="1:16">
      <c r="A693" t="s">
        <v>2804</v>
      </c>
      <c r="B693">
        <v>1</v>
      </c>
      <c r="C693" s="34" t="s">
        <v>2836</v>
      </c>
      <c r="D693" s="84" t="s">
        <v>181</v>
      </c>
      <c r="E693" s="83">
        <v>2</v>
      </c>
      <c r="F693" s="43">
        <f t="shared" si="116"/>
        <v>1.5503875968992249</v>
      </c>
      <c r="G693" s="44">
        <f t="shared" si="129"/>
        <v>1</v>
      </c>
      <c r="H693" s="44">
        <f t="shared" si="130"/>
        <v>0.5503875968992249</v>
      </c>
      <c r="I693" cm="1">
        <f t="array" ref="I693">INT(F693)+IF(100-SUM(INT(F$684:F$696))&gt;=RANK(H693,H$684:H$696)+COUNTIF(H$684:H693,H693)-1,1,0)</f>
        <v>2</v>
      </c>
      <c r="J693" t="b">
        <f t="shared" si="121"/>
        <v>0</v>
      </c>
      <c r="K693" t="str">
        <f t="shared" si="122"/>
        <v/>
      </c>
      <c r="L693">
        <f>_xlfn.XLOOKUP(D693,BugList!C:C,BugList!N:N)</f>
        <v>4</v>
      </c>
      <c r="M693">
        <f t="shared" si="131"/>
        <v>8</v>
      </c>
      <c r="N693" t="b">
        <f>_xlfn.XLOOKUP(D693,BugList!C:C,BugList!L:L)</f>
        <v>1</v>
      </c>
      <c r="O693" t="b">
        <f t="shared" si="132"/>
        <v>0</v>
      </c>
      <c r="P693" s="18" t="b">
        <f>SUMPRODUCT(COUNTIF(_xlfn.XLOOKUP(D693,BugList!C:C,BugList!P:P), "*SC*"))&gt;0</f>
        <v>0</v>
      </c>
    </row>
    <row r="694" spans="1:16">
      <c r="A694" t="s">
        <v>2804</v>
      </c>
      <c r="B694">
        <v>1</v>
      </c>
      <c r="C694" s="34" t="s">
        <v>2315</v>
      </c>
      <c r="D694" s="84" t="s">
        <v>2315</v>
      </c>
      <c r="E694" s="83">
        <v>8</v>
      </c>
      <c r="F694" s="43">
        <f t="shared" ref="F694:F720" si="133">(E694/(SUMIFS(E:E,A:A,A694))*100)</f>
        <v>6.2015503875968996</v>
      </c>
      <c r="G694" s="44">
        <f t="shared" si="129"/>
        <v>6</v>
      </c>
      <c r="H694" s="44">
        <f t="shared" si="130"/>
        <v>0.20155038759689958</v>
      </c>
      <c r="I694" cm="1">
        <f t="array" ref="I694">INT(F694)+IF(100-SUM(INT(F$684:F$696))&gt;=RANK(H694,H$684:H$696)+COUNTIF(H$684:H694,H694)-1,1,0)</f>
        <v>6</v>
      </c>
      <c r="J694" t="b">
        <f t="shared" si="121"/>
        <v>0</v>
      </c>
      <c r="K694" t="str">
        <f t="shared" si="122"/>
        <v/>
      </c>
      <c r="L694">
        <f>_xlfn.XLOOKUP(D694,BugList!C:C,BugList!N:N)</f>
        <v>7</v>
      </c>
      <c r="M694">
        <f t="shared" si="131"/>
        <v>42</v>
      </c>
      <c r="N694" t="b">
        <f>_xlfn.XLOOKUP(D694,BugList!C:C,BugList!L:L)</f>
        <v>0</v>
      </c>
      <c r="O694" t="b">
        <f t="shared" si="132"/>
        <v>0</v>
      </c>
      <c r="P694" s="18" t="b">
        <f>SUMPRODUCT(COUNTIF(_xlfn.XLOOKUP(D694,BugList!C:C,BugList!P:P), "*SC*"))&gt;0</f>
        <v>1</v>
      </c>
    </row>
    <row r="695" spans="1:16">
      <c r="A695" t="s">
        <v>2804</v>
      </c>
      <c r="B695">
        <v>1</v>
      </c>
      <c r="C695" s="34" t="s">
        <v>205</v>
      </c>
      <c r="D695" s="84" t="s">
        <v>206</v>
      </c>
      <c r="E695" s="83">
        <v>1</v>
      </c>
      <c r="F695" s="43">
        <f t="shared" si="133"/>
        <v>0.77519379844961245</v>
      </c>
      <c r="G695" s="44">
        <f t="shared" si="129"/>
        <v>0</v>
      </c>
      <c r="H695" s="44">
        <f t="shared" si="130"/>
        <v>0.77519379844961245</v>
      </c>
      <c r="I695" cm="1">
        <f t="array" ref="I695">INT(F695)+IF(100-SUM(INT(F$684:F$696))&gt;=RANK(H695,H$684:H$696)+COUNTIF(H$684:H695,H695)-1,1,0)</f>
        <v>1</v>
      </c>
      <c r="J695" t="b">
        <f t="shared" si="121"/>
        <v>0</v>
      </c>
      <c r="K695" t="str">
        <f t="shared" si="122"/>
        <v/>
      </c>
      <c r="L695" s="71">
        <v>8</v>
      </c>
      <c r="M695">
        <f t="shared" si="131"/>
        <v>8</v>
      </c>
      <c r="N695" s="71" t="b">
        <v>0</v>
      </c>
      <c r="O695" t="b">
        <f t="shared" si="132"/>
        <v>0</v>
      </c>
      <c r="P695" s="72" t="b">
        <v>0</v>
      </c>
    </row>
    <row r="696" spans="1:16">
      <c r="A696" t="s">
        <v>2804</v>
      </c>
      <c r="B696">
        <v>1</v>
      </c>
      <c r="C696" s="34" t="s">
        <v>210</v>
      </c>
      <c r="D696" s="84" t="s">
        <v>210</v>
      </c>
      <c r="E696" s="83">
        <v>1</v>
      </c>
      <c r="F696" s="43">
        <f t="shared" si="133"/>
        <v>0.77519379844961245</v>
      </c>
      <c r="G696" s="44">
        <f t="shared" si="129"/>
        <v>0</v>
      </c>
      <c r="H696" s="44">
        <f t="shared" si="130"/>
        <v>0.77519379844961245</v>
      </c>
      <c r="I696" cm="1">
        <f t="array" ref="I696">INT(F696)+IF(100-SUM(INT(F$684:F$696))&gt;=RANK(H696,H$684:H$696)+COUNTIF(H$684:H696,H696)-1,1,0)</f>
        <v>1</v>
      </c>
      <c r="J696" t="b">
        <f t="shared" si="121"/>
        <v>0</v>
      </c>
      <c r="K696" t="str">
        <f t="shared" si="122"/>
        <v/>
      </c>
      <c r="L696" s="71">
        <v>8</v>
      </c>
      <c r="M696">
        <f t="shared" ref="M696" si="134">L696*I696</f>
        <v>8</v>
      </c>
      <c r="N696" s="71" t="b">
        <v>0</v>
      </c>
      <c r="O696" t="b">
        <f t="shared" ref="O696" si="135">IF(J696=TRUE,IF(D696="Hydropsychidae", FALSE, TRUE), FALSE)</f>
        <v>0</v>
      </c>
      <c r="P696" s="72" t="b">
        <v>0</v>
      </c>
    </row>
    <row r="697" spans="1:16">
      <c r="A697" t="s">
        <v>2805</v>
      </c>
      <c r="B697">
        <v>46</v>
      </c>
      <c r="C697" s="34" t="s">
        <v>194</v>
      </c>
      <c r="D697" s="84" t="s">
        <v>90</v>
      </c>
      <c r="E697" s="83">
        <v>6</v>
      </c>
      <c r="F697" s="43">
        <f t="shared" si="133"/>
        <v>5.5045871559633035</v>
      </c>
      <c r="G697" s="44">
        <f t="shared" ref="G697:G709" si="136">INT(F697)</f>
        <v>5</v>
      </c>
      <c r="H697" s="44">
        <f t="shared" ref="H697:H709" si="137">F697-G697</f>
        <v>0.5045871559633035</v>
      </c>
      <c r="I697" cm="1">
        <f t="array" ref="I697">INT(F697)+IF(100-SUM(INT(F$697:F$709))&gt;=RANK(H697,H$697:H$709)+COUNTIF(H$697:H697,H697)-1,1,0)</f>
        <v>6</v>
      </c>
      <c r="J697" t="b">
        <f t="shared" ref="J697:J709" si="138">IF(OR(C697="Ephemeroptera", C697 ="Plecoptera", C697= "Trichoptera"), TRUE, FALSE)</f>
        <v>0</v>
      </c>
      <c r="K697" t="str">
        <f t="shared" ref="K697:K709" si="139">IF(J697=TRUE,C697,"")</f>
        <v/>
      </c>
      <c r="L697">
        <f>_xlfn.XLOOKUP(D697,BugList!C:C,BugList!N:N)</f>
        <v>6</v>
      </c>
      <c r="M697">
        <f t="shared" ref="M697:M709" si="140">L697*I697</f>
        <v>36</v>
      </c>
      <c r="N697" t="b">
        <f>_xlfn.XLOOKUP(D697,BugList!C:C,BugList!L:L)</f>
        <v>1</v>
      </c>
      <c r="O697" t="b">
        <f t="shared" ref="O697:O708" si="141">IF(J697=TRUE,IF(D697="Hydropsychidae", FALSE, TRUE), FALSE)</f>
        <v>0</v>
      </c>
      <c r="P697" s="18" t="b">
        <f>SUMPRODUCT(COUNTIF(_xlfn.XLOOKUP(D697,BugList!C:C,BugList!P:P), "*SC*"))&gt;0</f>
        <v>0</v>
      </c>
    </row>
    <row r="698" spans="1:16">
      <c r="A698" t="s">
        <v>2805</v>
      </c>
      <c r="B698">
        <v>46</v>
      </c>
      <c r="C698" s="34" t="s">
        <v>198</v>
      </c>
      <c r="D698" s="84" t="s">
        <v>163</v>
      </c>
      <c r="E698" s="83">
        <v>1</v>
      </c>
      <c r="F698" s="43">
        <f t="shared" si="133"/>
        <v>0.91743119266055051</v>
      </c>
      <c r="G698" s="44">
        <f t="shared" si="136"/>
        <v>0</v>
      </c>
      <c r="H698" s="44">
        <f t="shared" si="137"/>
        <v>0.91743119266055051</v>
      </c>
      <c r="I698" cm="1">
        <f t="array" ref="I698">INT(F698)+IF(100-SUM(INT(F$697:F$709))&gt;=RANK(H698,H$697:H$709)+COUNTIF(H$697:H698,H698)-1,1,0)</f>
        <v>1</v>
      </c>
      <c r="J698" t="b">
        <f t="shared" si="138"/>
        <v>1</v>
      </c>
      <c r="K698" t="str">
        <f t="shared" si="139"/>
        <v>Trichoptera</v>
      </c>
      <c r="L698">
        <f>_xlfn.XLOOKUP(D698,BugList!C:C,BugList!N:N)</f>
        <v>6</v>
      </c>
      <c r="M698">
        <f t="shared" si="140"/>
        <v>6</v>
      </c>
      <c r="N698" t="b">
        <f>_xlfn.XLOOKUP(D698,BugList!C:C,BugList!L:L)</f>
        <v>1</v>
      </c>
      <c r="O698" t="b">
        <f t="shared" si="141"/>
        <v>1</v>
      </c>
      <c r="P698" s="18" t="b">
        <f>SUMPRODUCT(COUNTIF(_xlfn.XLOOKUP(D698,BugList!C:C,BugList!P:P), "*SC*"))&gt;0</f>
        <v>0</v>
      </c>
    </row>
    <row r="699" spans="1:16">
      <c r="A699" t="s">
        <v>2805</v>
      </c>
      <c r="B699">
        <v>46</v>
      </c>
      <c r="C699" s="34" t="s">
        <v>195</v>
      </c>
      <c r="D699" s="84" t="s">
        <v>97</v>
      </c>
      <c r="E699" s="83">
        <v>5</v>
      </c>
      <c r="F699" s="43">
        <f t="shared" si="133"/>
        <v>4.5871559633027523</v>
      </c>
      <c r="G699" s="44">
        <f t="shared" si="136"/>
        <v>4</v>
      </c>
      <c r="H699" s="44">
        <f t="shared" si="137"/>
        <v>0.58715596330275233</v>
      </c>
      <c r="I699" cm="1">
        <f t="array" ref="I699">INT(F699)+IF(100-SUM(INT(F$697:F$709))&gt;=RANK(H699,H$697:H$709)+COUNTIF(H$697:H699,H699)-1,1,0)</f>
        <v>5</v>
      </c>
      <c r="J699" t="b">
        <f t="shared" si="138"/>
        <v>0</v>
      </c>
      <c r="K699" t="str">
        <f t="shared" si="139"/>
        <v/>
      </c>
      <c r="L699">
        <f>_xlfn.XLOOKUP(D699,BugList!C:C,BugList!N:N)</f>
        <v>9</v>
      </c>
      <c r="M699">
        <f t="shared" si="140"/>
        <v>45</v>
      </c>
      <c r="N699" t="b">
        <f>_xlfn.XLOOKUP(D699,BugList!C:C,BugList!L:L)</f>
        <v>1</v>
      </c>
      <c r="O699" t="b">
        <f t="shared" si="141"/>
        <v>0</v>
      </c>
      <c r="P699" s="18" t="b">
        <f>SUMPRODUCT(COUNTIF(_xlfn.XLOOKUP(D699,BugList!C:C,BugList!P:P), "*SC*"))&gt;0</f>
        <v>0</v>
      </c>
    </row>
    <row r="700" spans="1:16">
      <c r="A700" t="s">
        <v>2805</v>
      </c>
      <c r="B700">
        <v>46</v>
      </c>
      <c r="C700" s="34" t="s">
        <v>198</v>
      </c>
      <c r="D700" s="84" t="s">
        <v>89</v>
      </c>
      <c r="E700" s="83">
        <v>10</v>
      </c>
      <c r="F700" s="43">
        <f t="shared" si="133"/>
        <v>9.1743119266055047</v>
      </c>
      <c r="G700" s="44">
        <f t="shared" si="136"/>
        <v>9</v>
      </c>
      <c r="H700" s="44">
        <f t="shared" si="137"/>
        <v>0.17431192660550465</v>
      </c>
      <c r="I700" cm="1">
        <f t="array" ref="I700">INT(F700)+IF(100-SUM(INT(F$697:F$709))&gt;=RANK(H700,H$697:H$709)+COUNTIF(H$697:H700,H700)-1,1,0)</f>
        <v>9</v>
      </c>
      <c r="J700" t="b">
        <f t="shared" si="138"/>
        <v>1</v>
      </c>
      <c r="K700" t="str">
        <f t="shared" si="139"/>
        <v>Trichoptera</v>
      </c>
      <c r="L700">
        <f>_xlfn.XLOOKUP(D700,BugList!C:C,BugList!N:N)</f>
        <v>4</v>
      </c>
      <c r="M700">
        <f t="shared" si="140"/>
        <v>36</v>
      </c>
      <c r="N700" t="b">
        <f>_xlfn.XLOOKUP(D700,BugList!C:C,BugList!L:L)</f>
        <v>1</v>
      </c>
      <c r="O700" t="b">
        <f t="shared" si="141"/>
        <v>0</v>
      </c>
      <c r="P700" s="18" t="b">
        <f>SUMPRODUCT(COUNTIF(_xlfn.XLOOKUP(D700,BugList!C:C,BugList!P:P), "*SC*"))&gt;0</f>
        <v>0</v>
      </c>
    </row>
    <row r="701" spans="1:16">
      <c r="A701" t="s">
        <v>2805</v>
      </c>
      <c r="B701">
        <v>46</v>
      </c>
      <c r="C701" s="34" t="s">
        <v>198</v>
      </c>
      <c r="D701" s="84" t="s">
        <v>1263</v>
      </c>
      <c r="E701" s="83">
        <v>1</v>
      </c>
      <c r="F701" s="43">
        <f t="shared" si="133"/>
        <v>0.91743119266055051</v>
      </c>
      <c r="G701" s="44">
        <f t="shared" si="136"/>
        <v>0</v>
      </c>
      <c r="H701" s="44">
        <f t="shared" si="137"/>
        <v>0.91743119266055051</v>
      </c>
      <c r="I701" cm="1">
        <f t="array" ref="I701">INT(F701)+IF(100-SUM(INT(F$697:F$709))&gt;=RANK(H701,H$697:H$709)+COUNTIF(H$697:H701,H701)-1,1,0)</f>
        <v>1</v>
      </c>
      <c r="J701" t="b">
        <f t="shared" si="138"/>
        <v>1</v>
      </c>
      <c r="K701" t="str">
        <f t="shared" si="139"/>
        <v>Trichoptera</v>
      </c>
      <c r="L701">
        <f>_xlfn.XLOOKUP(D701,BugList!C:C,BugList!N:N)</f>
        <v>4</v>
      </c>
      <c r="M701">
        <f t="shared" si="140"/>
        <v>4</v>
      </c>
      <c r="N701" t="b">
        <f>_xlfn.XLOOKUP(D701,BugList!C:C,BugList!L:L)</f>
        <v>1</v>
      </c>
      <c r="O701" t="b">
        <f t="shared" si="141"/>
        <v>1</v>
      </c>
      <c r="P701" s="18" t="b">
        <f>SUMPRODUCT(COUNTIF(_xlfn.XLOOKUP(D701,BugList!C:C,BugList!P:P), "*SC*"))&gt;0</f>
        <v>0</v>
      </c>
    </row>
    <row r="702" spans="1:16">
      <c r="A702" t="s">
        <v>2805</v>
      </c>
      <c r="B702">
        <v>46</v>
      </c>
      <c r="C702" s="34" t="s">
        <v>199</v>
      </c>
      <c r="D702" s="84" t="s">
        <v>151</v>
      </c>
      <c r="E702" s="83">
        <v>1</v>
      </c>
      <c r="F702" s="43">
        <f t="shared" si="133"/>
        <v>0.91743119266055051</v>
      </c>
      <c r="G702" s="44">
        <f t="shared" si="136"/>
        <v>0</v>
      </c>
      <c r="H702" s="44">
        <f t="shared" si="137"/>
        <v>0.91743119266055051</v>
      </c>
      <c r="I702" cm="1">
        <f t="array" ref="I702">INT(F702)+IF(100-SUM(INT(F$697:F$709))&gt;=RANK(H702,H$697:H$709)+COUNTIF(H$697:H702,H702)-1,1,0)</f>
        <v>1</v>
      </c>
      <c r="J702" t="b">
        <f t="shared" si="138"/>
        <v>1</v>
      </c>
      <c r="K702" t="str">
        <f t="shared" si="139"/>
        <v>Ephemeroptera</v>
      </c>
      <c r="L702">
        <f>_xlfn.XLOOKUP(D702,BugList!C:C,BugList!N:N)</f>
        <v>1</v>
      </c>
      <c r="M702">
        <f t="shared" si="140"/>
        <v>1</v>
      </c>
      <c r="N702" t="b">
        <f>_xlfn.XLOOKUP(D702,BugList!C:C,BugList!L:L)</f>
        <v>1</v>
      </c>
      <c r="O702" t="b">
        <f t="shared" si="141"/>
        <v>1</v>
      </c>
      <c r="P702" s="18" t="b">
        <f>SUMPRODUCT(COUNTIF(_xlfn.XLOOKUP(D702,BugList!C:C,BugList!P:P), "*SC*"))&gt;0</f>
        <v>0</v>
      </c>
    </row>
    <row r="703" spans="1:16">
      <c r="A703" t="s">
        <v>2805</v>
      </c>
      <c r="B703">
        <v>46</v>
      </c>
      <c r="C703" s="34" t="s">
        <v>200</v>
      </c>
      <c r="D703" s="84" t="s">
        <v>100</v>
      </c>
      <c r="E703" s="83">
        <v>6</v>
      </c>
      <c r="F703" s="43">
        <f t="shared" si="133"/>
        <v>5.5045871559633035</v>
      </c>
      <c r="G703" s="44">
        <f t="shared" si="136"/>
        <v>5</v>
      </c>
      <c r="H703" s="44">
        <f t="shared" si="137"/>
        <v>0.5045871559633035</v>
      </c>
      <c r="I703" cm="1">
        <f t="array" ref="I703">INT(F703)+IF(100-SUM(INT(F$697:F$709))&gt;=RANK(H703,H$697:H$709)+COUNTIF(H$697:H703,H703)-1,1,0)</f>
        <v>5</v>
      </c>
      <c r="J703" t="b">
        <f t="shared" si="138"/>
        <v>0</v>
      </c>
      <c r="K703" t="str">
        <f t="shared" si="139"/>
        <v/>
      </c>
      <c r="L703">
        <f>_xlfn.XLOOKUP(D703,BugList!C:C,BugList!N:N)</f>
        <v>4</v>
      </c>
      <c r="M703">
        <f t="shared" si="140"/>
        <v>20</v>
      </c>
      <c r="N703" t="b">
        <f>_xlfn.XLOOKUP(D703,BugList!C:C,BugList!L:L)</f>
        <v>1</v>
      </c>
      <c r="O703" t="b">
        <f t="shared" si="141"/>
        <v>0</v>
      </c>
      <c r="P703" s="18" t="b">
        <f>SUMPRODUCT(COUNTIF(_xlfn.XLOOKUP(D703,BugList!C:C,BugList!P:P), "*SC*"))&gt;0</f>
        <v>1</v>
      </c>
    </row>
    <row r="704" spans="1:16">
      <c r="A704" t="s">
        <v>2805</v>
      </c>
      <c r="B704">
        <v>46</v>
      </c>
      <c r="C704" s="34" t="s">
        <v>200</v>
      </c>
      <c r="D704" s="84" t="s">
        <v>98</v>
      </c>
      <c r="E704" s="83">
        <v>10</v>
      </c>
      <c r="F704" s="43">
        <f t="shared" si="133"/>
        <v>9.1743119266055047</v>
      </c>
      <c r="G704" s="44">
        <f t="shared" si="136"/>
        <v>9</v>
      </c>
      <c r="H704" s="44">
        <f t="shared" si="137"/>
        <v>0.17431192660550465</v>
      </c>
      <c r="I704" cm="1">
        <f t="array" ref="I704">INT(F704)+IF(100-SUM(INT(F$697:F$709))&gt;=RANK(H704,H$697:H$709)+COUNTIF(H$697:H704,H704)-1,1,0)</f>
        <v>9</v>
      </c>
      <c r="J704" t="b">
        <f t="shared" si="138"/>
        <v>0</v>
      </c>
      <c r="K704" t="str">
        <f t="shared" si="139"/>
        <v/>
      </c>
      <c r="L704">
        <f>_xlfn.XLOOKUP(D704,BugList!C:C,BugList!N:N)</f>
        <v>4</v>
      </c>
      <c r="M704">
        <f t="shared" si="140"/>
        <v>36</v>
      </c>
      <c r="N704" t="b">
        <f>_xlfn.XLOOKUP(D704,BugList!C:C,BugList!L:L)</f>
        <v>1</v>
      </c>
      <c r="O704" t="b">
        <f t="shared" si="141"/>
        <v>0</v>
      </c>
      <c r="P704" s="18" t="b">
        <f>SUMPRODUCT(COUNTIF(_xlfn.XLOOKUP(D704,BugList!C:C,BugList!P:P), "*SC*"))&gt;0</f>
        <v>1</v>
      </c>
    </row>
    <row r="705" spans="1:16">
      <c r="A705" t="s">
        <v>2805</v>
      </c>
      <c r="B705">
        <v>46</v>
      </c>
      <c r="C705" s="34" t="s">
        <v>200</v>
      </c>
      <c r="D705" s="34" t="s">
        <v>1563</v>
      </c>
      <c r="E705" s="83">
        <v>5</v>
      </c>
      <c r="F705" s="43">
        <f t="shared" si="133"/>
        <v>4.5871559633027523</v>
      </c>
      <c r="G705" s="44">
        <f t="shared" si="136"/>
        <v>4</v>
      </c>
      <c r="H705" s="44">
        <f t="shared" si="137"/>
        <v>0.58715596330275233</v>
      </c>
      <c r="I705" cm="1">
        <f t="array" ref="I705">INT(F705)+IF(100-SUM(INT(F$697:F$709))&gt;=RANK(H705,H$697:H$709)+COUNTIF(H$697:H705,H705)-1,1,0)</f>
        <v>5</v>
      </c>
      <c r="J705" t="b">
        <f t="shared" si="138"/>
        <v>0</v>
      </c>
      <c r="K705" t="str">
        <f t="shared" si="139"/>
        <v/>
      </c>
      <c r="L705">
        <f>_xlfn.XLOOKUP(D705,BugList!C:C,BugList!N:N)</f>
        <v>5</v>
      </c>
      <c r="M705">
        <f t="shared" si="140"/>
        <v>25</v>
      </c>
      <c r="N705" t="b">
        <f>_xlfn.XLOOKUP(D705,BugList!C:C,BugList!L:L)</f>
        <v>1</v>
      </c>
      <c r="O705" t="b">
        <f t="shared" si="141"/>
        <v>0</v>
      </c>
      <c r="P705" s="18" t="b">
        <f>SUMPRODUCT(COUNTIF(_xlfn.XLOOKUP(D705,BugList!C:C,BugList!P:P), "*SC*"))&gt;0</f>
        <v>0</v>
      </c>
    </row>
    <row r="706" spans="1:16">
      <c r="A706" t="s">
        <v>2805</v>
      </c>
      <c r="B706">
        <v>46</v>
      </c>
      <c r="C706" s="34" t="s">
        <v>205</v>
      </c>
      <c r="D706" s="34" t="s">
        <v>206</v>
      </c>
      <c r="E706" s="83">
        <v>23</v>
      </c>
      <c r="F706" s="43">
        <f t="shared" si="133"/>
        <v>21.100917431192663</v>
      </c>
      <c r="G706" s="44">
        <f t="shared" si="136"/>
        <v>21</v>
      </c>
      <c r="H706" s="44">
        <f t="shared" si="137"/>
        <v>0.10091743119266283</v>
      </c>
      <c r="I706" cm="1">
        <f t="array" ref="I706">INT(F706)+IF(100-SUM(INT(F$697:F$709))&gt;=RANK(H706,H$697:H$709)+COUNTIF(H$697:H706,H706)-1,1,0)</f>
        <v>21</v>
      </c>
      <c r="J706" t="b">
        <f t="shared" si="138"/>
        <v>0</v>
      </c>
      <c r="K706" t="str">
        <f t="shared" si="139"/>
        <v/>
      </c>
      <c r="L706" s="71">
        <v>8</v>
      </c>
      <c r="M706">
        <f t="shared" si="140"/>
        <v>168</v>
      </c>
      <c r="N706" s="71" t="b">
        <v>0</v>
      </c>
      <c r="O706" t="b">
        <f t="shared" si="141"/>
        <v>0</v>
      </c>
      <c r="P706" s="72" t="b">
        <v>0</v>
      </c>
    </row>
    <row r="707" spans="1:16">
      <c r="A707" t="s">
        <v>2805</v>
      </c>
      <c r="B707">
        <v>46</v>
      </c>
      <c r="C707" s="34" t="s">
        <v>201</v>
      </c>
      <c r="D707" s="34" t="s">
        <v>85</v>
      </c>
      <c r="E707" s="83">
        <v>31</v>
      </c>
      <c r="F707" s="43">
        <f t="shared" si="133"/>
        <v>28.440366972477065</v>
      </c>
      <c r="G707" s="44">
        <f t="shared" si="136"/>
        <v>28</v>
      </c>
      <c r="H707" s="44">
        <f t="shared" si="137"/>
        <v>0.44036697247706513</v>
      </c>
      <c r="I707" cm="1">
        <f t="array" ref="I707">INT(F707)+IF(100-SUM(INT(F$697:F$709))&gt;=RANK(H707,H$697:H$709)+COUNTIF(H$697:H707,H707)-1,1,0)</f>
        <v>28</v>
      </c>
      <c r="J707" t="b">
        <f t="shared" si="138"/>
        <v>0</v>
      </c>
      <c r="K707" t="str">
        <f t="shared" si="139"/>
        <v/>
      </c>
      <c r="L707">
        <f>_xlfn.XLOOKUP(D707,BugList!C:C,BugList!N:N)</f>
        <v>4</v>
      </c>
      <c r="M707">
        <f t="shared" si="140"/>
        <v>112</v>
      </c>
      <c r="N707" t="b">
        <f>_xlfn.XLOOKUP(D707,BugList!C:C,BugList!L:L)</f>
        <v>0</v>
      </c>
      <c r="O707" t="b">
        <f t="shared" si="141"/>
        <v>0</v>
      </c>
      <c r="P707" s="18" t="b">
        <f>SUMPRODUCT(COUNTIF(_xlfn.XLOOKUP(D707,BugList!C:C,BugList!P:P), "*SC*"))&gt;0</f>
        <v>0</v>
      </c>
    </row>
    <row r="708" spans="1:16">
      <c r="A708" t="s">
        <v>2805</v>
      </c>
      <c r="B708">
        <v>46</v>
      </c>
      <c r="C708" s="34" t="s">
        <v>2315</v>
      </c>
      <c r="D708" s="34" t="s">
        <v>2315</v>
      </c>
      <c r="E708" s="83">
        <v>4</v>
      </c>
      <c r="F708" s="43">
        <f t="shared" si="133"/>
        <v>3.669724770642202</v>
      </c>
      <c r="G708" s="44">
        <f t="shared" si="136"/>
        <v>3</v>
      </c>
      <c r="H708" s="44">
        <f t="shared" si="137"/>
        <v>0.66972477064220204</v>
      </c>
      <c r="I708" cm="1">
        <f t="array" ref="I708">INT(F708)+IF(100-SUM(INT(F$697:F$709))&gt;=RANK(H708,H$697:H$709)+COUNTIF(H$697:H708,H708)-1,1,0)</f>
        <v>4</v>
      </c>
      <c r="J708" t="b">
        <f t="shared" si="138"/>
        <v>0</v>
      </c>
      <c r="K708" t="str">
        <f t="shared" si="139"/>
        <v/>
      </c>
      <c r="L708">
        <f>_xlfn.XLOOKUP(D708,BugList!C:C,BugList!N:N)</f>
        <v>7</v>
      </c>
      <c r="M708">
        <f t="shared" si="140"/>
        <v>28</v>
      </c>
      <c r="N708" t="b">
        <f>_xlfn.XLOOKUP(D708,BugList!C:C,BugList!L:L)</f>
        <v>0</v>
      </c>
      <c r="O708" t="b">
        <f t="shared" si="141"/>
        <v>0</v>
      </c>
      <c r="P708" s="18" t="b">
        <f>SUMPRODUCT(COUNTIF(_xlfn.XLOOKUP(D708,BugList!C:C,BugList!P:P), "*SC*"))&gt;0</f>
        <v>1</v>
      </c>
    </row>
    <row r="709" spans="1:16">
      <c r="A709" t="s">
        <v>2805</v>
      </c>
      <c r="B709">
        <v>46</v>
      </c>
      <c r="C709" s="34" t="s">
        <v>200</v>
      </c>
      <c r="D709" s="34" t="s">
        <v>100</v>
      </c>
      <c r="E709" s="83">
        <v>6</v>
      </c>
      <c r="F709" s="43">
        <f t="shared" si="133"/>
        <v>5.5045871559633035</v>
      </c>
      <c r="G709" s="44">
        <f t="shared" si="136"/>
        <v>5</v>
      </c>
      <c r="H709" s="44">
        <f t="shared" si="137"/>
        <v>0.5045871559633035</v>
      </c>
      <c r="I709" cm="1">
        <f t="array" ref="I709">INT(F709)+IF(100-SUM(INT(F$697:F$709))&gt;=RANK(H709,H$697:H$709)+COUNTIF(H$697:H709,H709)-1,1,0)</f>
        <v>5</v>
      </c>
      <c r="J709" t="b">
        <f t="shared" si="138"/>
        <v>0</v>
      </c>
      <c r="K709" t="str">
        <f t="shared" si="139"/>
        <v/>
      </c>
      <c r="L709">
        <f>_xlfn.XLOOKUP(D709,BugList!C:C,BugList!N:N)</f>
        <v>4</v>
      </c>
      <c r="M709">
        <f t="shared" si="140"/>
        <v>20</v>
      </c>
      <c r="N709" t="b">
        <f>_xlfn.XLOOKUP(D709,BugList!C:C,BugList!L:L)</f>
        <v>1</v>
      </c>
      <c r="O709" t="b">
        <f>IF(J709=TRUE,IF(D709="Hydropsychidae", FALSE, TRUE), FALSE)</f>
        <v>0</v>
      </c>
      <c r="P709" s="18" t="b">
        <f>SUMPRODUCT(COUNTIF(_xlfn.XLOOKUP(D709,BugList!C:C,BugList!P:P), "*SC*"))&gt;0</f>
        <v>1</v>
      </c>
    </row>
    <row r="710" spans="1:16">
      <c r="A710" t="s">
        <v>2806</v>
      </c>
      <c r="B710">
        <v>66</v>
      </c>
      <c r="C710" s="34" t="s">
        <v>200</v>
      </c>
      <c r="D710" s="34" t="s">
        <v>1536</v>
      </c>
      <c r="E710" s="83">
        <v>2</v>
      </c>
      <c r="F710" s="43">
        <f t="shared" si="133"/>
        <v>1.7241379310344827</v>
      </c>
      <c r="G710" s="44">
        <f t="shared" ref="G710:G720" si="142">INT(F710)</f>
        <v>1</v>
      </c>
      <c r="H710" s="44">
        <f t="shared" ref="H710:H720" si="143">F710-G710</f>
        <v>0.72413793103448265</v>
      </c>
      <c r="I710" cm="1">
        <f t="array" ref="I710">INT(F710)+IF(100-SUM(INT(F$710:F$720))&gt;=RANK(H710,H$710:H$720)+COUNTIF(H$710:H710,H710)-1,1,0)</f>
        <v>2</v>
      </c>
      <c r="J710" t="b">
        <f t="shared" ref="J710:J720" si="144">IF(OR(C710="Ephemeroptera", C710 ="Plecoptera", C710= "Trichoptera"), TRUE, FALSE)</f>
        <v>0</v>
      </c>
      <c r="K710" t="str">
        <f t="shared" ref="K710:K720" si="145">IF(J710=TRUE,C710,"")</f>
        <v/>
      </c>
      <c r="L710">
        <f>_xlfn.XLOOKUP(D710,BugList!C:C,BugList!N:N)</f>
        <v>3</v>
      </c>
      <c r="M710">
        <f t="shared" ref="M710:M720" si="146">L710*I710</f>
        <v>6</v>
      </c>
      <c r="N710" t="b">
        <f>_xlfn.XLOOKUP(D710,BugList!C:C,BugList!L:L)</f>
        <v>1</v>
      </c>
      <c r="O710" t="b">
        <f t="shared" ref="O710:O720" si="147">IF(J710=TRUE,IF(D710="Hydropsychidae", FALSE, TRUE), FALSE)</f>
        <v>0</v>
      </c>
      <c r="P710" s="18" t="b">
        <f>SUMPRODUCT(COUNTIF(_xlfn.XLOOKUP(D710,BugList!C:C,BugList!P:P), "*SC*"))&gt;0</f>
        <v>0</v>
      </c>
    </row>
    <row r="711" spans="1:16">
      <c r="A711" t="s">
        <v>2806</v>
      </c>
      <c r="B711">
        <v>66</v>
      </c>
      <c r="C711" s="34" t="s">
        <v>201</v>
      </c>
      <c r="D711" s="34" t="s">
        <v>85</v>
      </c>
      <c r="E711" s="83">
        <v>72</v>
      </c>
      <c r="F711" s="43">
        <f t="shared" si="133"/>
        <v>62.068965517241381</v>
      </c>
      <c r="G711" s="44">
        <f t="shared" si="142"/>
        <v>62</v>
      </c>
      <c r="H711" s="44">
        <f t="shared" si="143"/>
        <v>6.896551724138078E-2</v>
      </c>
      <c r="I711" cm="1">
        <f t="array" ref="I711">INT(F711)+IF(100-SUM(INT(F$710:F$720))&gt;=RANK(H711,H$710:H$720)+COUNTIF(H$710:H711,H711)-1,1,0)</f>
        <v>62</v>
      </c>
      <c r="J711" t="b">
        <f t="shared" si="144"/>
        <v>0</v>
      </c>
      <c r="K711" t="str">
        <f t="shared" si="145"/>
        <v/>
      </c>
      <c r="L711">
        <f>_xlfn.XLOOKUP(D711,BugList!C:C,BugList!N:N)</f>
        <v>4</v>
      </c>
      <c r="M711">
        <f t="shared" si="146"/>
        <v>248</v>
      </c>
      <c r="N711" t="b">
        <f>_xlfn.XLOOKUP(D711,BugList!C:C,BugList!L:L)</f>
        <v>0</v>
      </c>
      <c r="O711" t="b">
        <f t="shared" si="147"/>
        <v>0</v>
      </c>
      <c r="P711" s="18" t="b">
        <f>SUMPRODUCT(COUNTIF(_xlfn.XLOOKUP(D711,BugList!C:C,BugList!P:P), "*SC*"))&gt;0</f>
        <v>0</v>
      </c>
    </row>
    <row r="712" spans="1:16">
      <c r="A712" t="s">
        <v>2806</v>
      </c>
      <c r="B712">
        <v>66</v>
      </c>
      <c r="C712" s="34" t="s">
        <v>200</v>
      </c>
      <c r="D712" s="34" t="s">
        <v>1263</v>
      </c>
      <c r="E712" s="83">
        <v>1</v>
      </c>
      <c r="F712" s="43">
        <f t="shared" si="133"/>
        <v>0.86206896551724133</v>
      </c>
      <c r="G712" s="44">
        <f t="shared" si="142"/>
        <v>0</v>
      </c>
      <c r="H712" s="44">
        <f t="shared" si="143"/>
        <v>0.86206896551724133</v>
      </c>
      <c r="I712" cm="1">
        <f t="array" ref="I712">INT(F712)+IF(100-SUM(INT(F$710:F$720))&gt;=RANK(H712,H$710:H$720)+COUNTIF(H$710:H712,H712)-1,1,0)</f>
        <v>1</v>
      </c>
      <c r="J712" t="b">
        <f t="shared" si="144"/>
        <v>0</v>
      </c>
      <c r="K712" t="str">
        <f t="shared" si="145"/>
        <v/>
      </c>
      <c r="L712">
        <f>_xlfn.XLOOKUP(D712,BugList!C:C,BugList!N:N)</f>
        <v>4</v>
      </c>
      <c r="M712">
        <f t="shared" si="146"/>
        <v>4</v>
      </c>
      <c r="N712" t="b">
        <f>_xlfn.XLOOKUP(D712,BugList!C:C,BugList!L:L)</f>
        <v>1</v>
      </c>
      <c r="O712" t="b">
        <f t="shared" si="147"/>
        <v>0</v>
      </c>
      <c r="P712" s="18" t="b">
        <f>SUMPRODUCT(COUNTIF(_xlfn.XLOOKUP(D712,BugList!C:C,BugList!P:P), "*SC*"))&gt;0</f>
        <v>0</v>
      </c>
    </row>
    <row r="713" spans="1:16">
      <c r="A713" t="s">
        <v>2806</v>
      </c>
      <c r="B713">
        <v>66</v>
      </c>
      <c r="C713" s="34" t="s">
        <v>200</v>
      </c>
      <c r="D713" s="34" t="s">
        <v>100</v>
      </c>
      <c r="E713" s="83">
        <v>5</v>
      </c>
      <c r="F713" s="43">
        <f t="shared" si="133"/>
        <v>4.3103448275862073</v>
      </c>
      <c r="G713" s="44">
        <f t="shared" si="142"/>
        <v>4</v>
      </c>
      <c r="H713" s="44">
        <f t="shared" si="143"/>
        <v>0.31034482758620729</v>
      </c>
      <c r="I713" cm="1">
        <f t="array" ref="I713">INT(F713)+IF(100-SUM(INT(F$710:F$720))&gt;=RANK(H713,H$710:H$720)+COUNTIF(H$710:H713,H713)-1,1,0)</f>
        <v>4</v>
      </c>
      <c r="J713" t="b">
        <f t="shared" si="144"/>
        <v>0</v>
      </c>
      <c r="K713" t="str">
        <f t="shared" si="145"/>
        <v/>
      </c>
      <c r="L713">
        <f>_xlfn.XLOOKUP(D713,BugList!C:C,BugList!N:N)</f>
        <v>4</v>
      </c>
      <c r="M713">
        <f t="shared" si="146"/>
        <v>16</v>
      </c>
      <c r="N713" t="b">
        <f>_xlfn.XLOOKUP(D713,BugList!C:C,BugList!L:L)</f>
        <v>1</v>
      </c>
      <c r="O713" t="b">
        <f t="shared" si="147"/>
        <v>0</v>
      </c>
      <c r="P713" s="18" t="b">
        <f>SUMPRODUCT(COUNTIF(_xlfn.XLOOKUP(D713,BugList!C:C,BugList!P:P), "*SC*"))&gt;0</f>
        <v>1</v>
      </c>
    </row>
    <row r="714" spans="1:16">
      <c r="A714" t="s">
        <v>2806</v>
      </c>
      <c r="B714">
        <v>66</v>
      </c>
      <c r="C714" s="34" t="s">
        <v>194</v>
      </c>
      <c r="D714" s="34" t="s">
        <v>126</v>
      </c>
      <c r="E714" s="83">
        <v>8</v>
      </c>
      <c r="F714" s="43">
        <f t="shared" si="133"/>
        <v>6.8965517241379306</v>
      </c>
      <c r="G714" s="44">
        <f t="shared" si="142"/>
        <v>6</v>
      </c>
      <c r="H714" s="44">
        <f t="shared" si="143"/>
        <v>0.89655172413793061</v>
      </c>
      <c r="I714" cm="1">
        <f t="array" ref="I714">INT(F714)+IF(100-SUM(INT(F$710:F$720))&gt;=RANK(H714,H$710:H$720)+COUNTIF(H$710:H714,H714)-1,1,0)</f>
        <v>7</v>
      </c>
      <c r="J714" t="b">
        <f t="shared" si="144"/>
        <v>0</v>
      </c>
      <c r="K714" t="str">
        <f t="shared" si="145"/>
        <v/>
      </c>
      <c r="L714">
        <f>_xlfn.XLOOKUP(D714,BugList!C:C,BugList!N:N)</f>
        <v>8</v>
      </c>
      <c r="M714">
        <f t="shared" si="146"/>
        <v>56</v>
      </c>
      <c r="N714" t="b">
        <f>_xlfn.XLOOKUP(D714,BugList!C:C,BugList!L:L)</f>
        <v>1</v>
      </c>
      <c r="O714" t="b">
        <f t="shared" si="147"/>
        <v>0</v>
      </c>
      <c r="P714" s="18" t="b">
        <f>SUMPRODUCT(COUNTIF(_xlfn.XLOOKUP(D714,BugList!C:C,BugList!P:P), "*SC*"))&gt;0</f>
        <v>0</v>
      </c>
    </row>
    <row r="715" spans="1:16">
      <c r="A715" t="s">
        <v>2806</v>
      </c>
      <c r="B715">
        <v>66</v>
      </c>
      <c r="C715" s="34" t="s">
        <v>194</v>
      </c>
      <c r="D715" s="34" t="s">
        <v>90</v>
      </c>
      <c r="E715" s="83">
        <v>3</v>
      </c>
      <c r="F715" s="43">
        <f t="shared" si="133"/>
        <v>2.5862068965517242</v>
      </c>
      <c r="G715" s="44">
        <f t="shared" si="142"/>
        <v>2</v>
      </c>
      <c r="H715" s="44">
        <f t="shared" si="143"/>
        <v>0.5862068965517242</v>
      </c>
      <c r="I715" cm="1">
        <f t="array" ref="I715">INT(F715)+IF(100-SUM(INT(F$710:F$720))&gt;=RANK(H715,H$710:H$720)+COUNTIF(H$710:H715,H715)-1,1,0)</f>
        <v>3</v>
      </c>
      <c r="J715" t="b">
        <f t="shared" si="144"/>
        <v>0</v>
      </c>
      <c r="K715" t="str">
        <f t="shared" si="145"/>
        <v/>
      </c>
      <c r="L715">
        <f>_xlfn.XLOOKUP(D715,BugList!C:C,BugList!N:N)</f>
        <v>6</v>
      </c>
      <c r="M715">
        <f t="shared" si="146"/>
        <v>18</v>
      </c>
      <c r="N715" t="b">
        <f>_xlfn.XLOOKUP(D715,BugList!C:C,BugList!L:L)</f>
        <v>1</v>
      </c>
      <c r="O715" t="b">
        <f t="shared" si="147"/>
        <v>0</v>
      </c>
      <c r="P715" s="18" t="b">
        <f>SUMPRODUCT(COUNTIF(_xlfn.XLOOKUP(D715,BugList!C:C,BugList!P:P), "*SC*"))&gt;0</f>
        <v>0</v>
      </c>
    </row>
    <row r="716" spans="1:16">
      <c r="A716" t="s">
        <v>2806</v>
      </c>
      <c r="B716">
        <v>66</v>
      </c>
      <c r="C716" s="34" t="s">
        <v>194</v>
      </c>
      <c r="D716" s="34" t="s">
        <v>108</v>
      </c>
      <c r="E716" s="83">
        <v>1</v>
      </c>
      <c r="F716" s="43">
        <f t="shared" si="133"/>
        <v>0.86206896551724133</v>
      </c>
      <c r="G716" s="44">
        <f t="shared" si="142"/>
        <v>0</v>
      </c>
      <c r="H716" s="44">
        <f t="shared" si="143"/>
        <v>0.86206896551724133</v>
      </c>
      <c r="I716" cm="1">
        <f t="array" ref="I716">INT(F716)+IF(100-SUM(INT(F$710:F$720))&gt;=RANK(H716,H$710:H$720)+COUNTIF(H$710:H716,H716)-1,1,0)</f>
        <v>1</v>
      </c>
      <c r="J716" t="b">
        <f t="shared" si="144"/>
        <v>0</v>
      </c>
      <c r="K716" t="str">
        <f t="shared" si="145"/>
        <v/>
      </c>
      <c r="L716">
        <f>_xlfn.XLOOKUP(D716,BugList!C:C,BugList!N:N)</f>
        <v>3</v>
      </c>
      <c r="M716">
        <f t="shared" si="146"/>
        <v>3</v>
      </c>
      <c r="N716" t="b">
        <f>_xlfn.XLOOKUP(D716,BugList!C:C,BugList!L:L)</f>
        <v>1</v>
      </c>
      <c r="O716" t="b">
        <f t="shared" si="147"/>
        <v>0</v>
      </c>
      <c r="P716" s="18" t="b">
        <f>SUMPRODUCT(COUNTIF(_xlfn.XLOOKUP(D716,BugList!C:C,BugList!P:P), "*SC*"))&gt;0</f>
        <v>0</v>
      </c>
    </row>
    <row r="717" spans="1:16">
      <c r="A717" t="s">
        <v>2806</v>
      </c>
      <c r="B717">
        <v>66</v>
      </c>
      <c r="C717" s="34" t="s">
        <v>198</v>
      </c>
      <c r="D717" s="34" t="s">
        <v>89</v>
      </c>
      <c r="E717" s="83">
        <v>9</v>
      </c>
      <c r="F717" s="43">
        <f t="shared" si="133"/>
        <v>7.7586206896551726</v>
      </c>
      <c r="G717" s="44">
        <f t="shared" si="142"/>
        <v>7</v>
      </c>
      <c r="H717" s="44">
        <f t="shared" si="143"/>
        <v>0.7586206896551726</v>
      </c>
      <c r="I717" cm="1">
        <f t="array" ref="I717">INT(F717)+IF(100-SUM(INT(F$710:F$720))&gt;=RANK(H717,H$710:H$720)+COUNTIF(H$710:H717,H717)-1,1,0)</f>
        <v>8</v>
      </c>
      <c r="J717" t="b">
        <f t="shared" si="144"/>
        <v>1</v>
      </c>
      <c r="K717" t="str">
        <f t="shared" si="145"/>
        <v>Trichoptera</v>
      </c>
      <c r="L717">
        <f>_xlfn.XLOOKUP(D717,BugList!C:C,BugList!N:N)</f>
        <v>4</v>
      </c>
      <c r="M717">
        <f t="shared" si="146"/>
        <v>32</v>
      </c>
      <c r="N717" t="b">
        <f>_xlfn.XLOOKUP(D717,BugList!C:C,BugList!L:L)</f>
        <v>1</v>
      </c>
      <c r="O717" t="b">
        <f t="shared" si="147"/>
        <v>0</v>
      </c>
      <c r="P717" s="18" t="b">
        <f>SUMPRODUCT(COUNTIF(_xlfn.XLOOKUP(D717,BugList!C:C,BugList!P:P), "*SC*"))&gt;0</f>
        <v>0</v>
      </c>
    </row>
    <row r="718" spans="1:16">
      <c r="A718" t="s">
        <v>2806</v>
      </c>
      <c r="B718">
        <v>66</v>
      </c>
      <c r="C718" s="34" t="s">
        <v>204</v>
      </c>
      <c r="D718" s="34" t="s">
        <v>84</v>
      </c>
      <c r="E718" s="83">
        <v>3</v>
      </c>
      <c r="F718" s="43">
        <f t="shared" si="133"/>
        <v>2.5862068965517242</v>
      </c>
      <c r="G718" s="44">
        <f t="shared" si="142"/>
        <v>2</v>
      </c>
      <c r="H718" s="44">
        <f t="shared" si="143"/>
        <v>0.5862068965517242</v>
      </c>
      <c r="I718" cm="1">
        <f t="array" ref="I718">INT(F718)+IF(100-SUM(INT(F$710:F$720))&gt;=RANK(H718,H$710:H$720)+COUNTIF(H$710:H718,H718)-1,1,0)</f>
        <v>2</v>
      </c>
      <c r="J718" t="b">
        <f t="shared" si="144"/>
        <v>0</v>
      </c>
      <c r="K718" t="str">
        <f t="shared" si="145"/>
        <v/>
      </c>
      <c r="L718">
        <f>_xlfn.XLOOKUP(D718,BugList!C:C,BugList!N:N)</f>
        <v>8</v>
      </c>
      <c r="M718">
        <f t="shared" si="146"/>
        <v>16</v>
      </c>
      <c r="N718" t="b">
        <f>_xlfn.XLOOKUP(D718,BugList!C:C,BugList!L:L)</f>
        <v>0</v>
      </c>
      <c r="O718" t="b">
        <f t="shared" si="147"/>
        <v>0</v>
      </c>
      <c r="P718" s="18" t="b">
        <f>SUMPRODUCT(COUNTIF(_xlfn.XLOOKUP(D718,BugList!C:C,BugList!P:P), "*SC*"))&gt;0</f>
        <v>0</v>
      </c>
    </row>
    <row r="719" spans="1:16">
      <c r="A719" t="s">
        <v>2806</v>
      </c>
      <c r="B719">
        <v>66</v>
      </c>
      <c r="C719" s="34" t="s">
        <v>205</v>
      </c>
      <c r="D719" s="34" t="s">
        <v>206</v>
      </c>
      <c r="E719" s="83">
        <v>11</v>
      </c>
      <c r="F719" s="43">
        <f t="shared" si="133"/>
        <v>9.4827586206896548</v>
      </c>
      <c r="G719" s="44">
        <f t="shared" si="142"/>
        <v>9</v>
      </c>
      <c r="H719" s="44">
        <f t="shared" si="143"/>
        <v>0.4827586206896548</v>
      </c>
      <c r="I719" cm="1">
        <f t="array" ref="I719">INT(F719)+IF(100-SUM(INT(F$710:F$720))&gt;=RANK(H719,H$710:H$720)+COUNTIF(H$710:H719,H719)-1,1,0)</f>
        <v>9</v>
      </c>
      <c r="J719" t="b">
        <f t="shared" si="144"/>
        <v>0</v>
      </c>
      <c r="K719" t="str">
        <f t="shared" si="145"/>
        <v/>
      </c>
      <c r="L719" s="71">
        <v>8</v>
      </c>
      <c r="M719">
        <f t="shared" si="146"/>
        <v>72</v>
      </c>
      <c r="N719" s="71" t="b">
        <v>0</v>
      </c>
      <c r="O719" t="b">
        <f t="shared" si="147"/>
        <v>0</v>
      </c>
      <c r="P719" s="72" t="b">
        <v>0</v>
      </c>
    </row>
    <row r="720" spans="1:16">
      <c r="A720" t="s">
        <v>2806</v>
      </c>
      <c r="B720">
        <v>66</v>
      </c>
      <c r="C720" s="34" t="s">
        <v>195</v>
      </c>
      <c r="D720" s="34" t="s">
        <v>112</v>
      </c>
      <c r="E720" s="83">
        <v>1</v>
      </c>
      <c r="F720" s="43">
        <f t="shared" si="133"/>
        <v>0.86206896551724133</v>
      </c>
      <c r="G720" s="44">
        <f t="shared" si="142"/>
        <v>0</v>
      </c>
      <c r="H720" s="44">
        <f t="shared" si="143"/>
        <v>0.86206896551724133</v>
      </c>
      <c r="I720" cm="1">
        <f t="array" ref="I720">INT(F720)+IF(100-SUM(INT(F$710:F$720))&gt;=RANK(H720,H$710:H$720)+COUNTIF(H$710:H720,H720)-1,1,0)</f>
        <v>1</v>
      </c>
      <c r="J720" t="b">
        <f t="shared" si="144"/>
        <v>0</v>
      </c>
      <c r="K720" t="str">
        <f t="shared" si="145"/>
        <v/>
      </c>
      <c r="L720">
        <f>_xlfn.XLOOKUP(D720,BugList!C:C,BugList!N:N)</f>
        <v>5</v>
      </c>
      <c r="M720">
        <f t="shared" si="146"/>
        <v>5</v>
      </c>
      <c r="N720" t="b">
        <f>_xlfn.XLOOKUP(D720,BugList!C:C,BugList!L:L)</f>
        <v>1</v>
      </c>
      <c r="O720" t="b">
        <f t="shared" si="147"/>
        <v>0</v>
      </c>
      <c r="P720" s="18" t="b">
        <f>SUMPRODUCT(COUNTIF(_xlfn.XLOOKUP(D720,BugList!C:C,BugList!P:P), "*SC*"))&gt;0</f>
        <v>0</v>
      </c>
    </row>
    <row r="721" spans="1:16">
      <c r="A721" t="s">
        <v>2806</v>
      </c>
      <c r="B721">
        <v>119</v>
      </c>
      <c r="C721" s="34"/>
      <c r="D721" s="34"/>
      <c r="E721" s="83"/>
      <c r="F721" s="43"/>
      <c r="G721" s="44"/>
      <c r="H721" s="44"/>
      <c r="P721" s="18"/>
    </row>
    <row r="722" spans="1:16">
      <c r="A722" t="s">
        <v>2806</v>
      </c>
      <c r="B722">
        <v>119</v>
      </c>
      <c r="C722" s="34"/>
      <c r="D722" s="34"/>
      <c r="E722" s="83"/>
      <c r="F722" s="43"/>
      <c r="G722" s="44"/>
      <c r="H722" s="44"/>
      <c r="P722" s="18"/>
    </row>
    <row r="723" spans="1:16">
      <c r="A723" t="s">
        <v>2806</v>
      </c>
      <c r="B723">
        <v>119</v>
      </c>
      <c r="C723" s="34"/>
      <c r="D723" s="34"/>
      <c r="E723" s="83"/>
      <c r="F723" s="43"/>
      <c r="G723" s="44"/>
      <c r="H723" s="44"/>
      <c r="P723" s="18"/>
    </row>
    <row r="724" spans="1:16">
      <c r="A724" t="s">
        <v>2806</v>
      </c>
      <c r="B724">
        <v>119</v>
      </c>
      <c r="C724" s="34"/>
      <c r="D724" s="34"/>
      <c r="E724" s="83"/>
      <c r="F724" s="43"/>
      <c r="G724" s="44"/>
      <c r="H724" s="44"/>
      <c r="P724" s="18"/>
    </row>
    <row r="725" spans="1:16">
      <c r="A725" t="s">
        <v>2806</v>
      </c>
      <c r="B725">
        <v>119</v>
      </c>
      <c r="C725" s="34"/>
      <c r="D725" s="34"/>
      <c r="E725" s="83"/>
      <c r="F725" s="43"/>
      <c r="G725" s="44"/>
      <c r="H725" s="44"/>
      <c r="P725" s="18"/>
    </row>
    <row r="726" spans="1:16">
      <c r="A726" t="s">
        <v>2806</v>
      </c>
      <c r="B726">
        <v>119</v>
      </c>
      <c r="C726" s="34"/>
      <c r="D726" s="34"/>
      <c r="E726" s="83"/>
      <c r="F726" s="43"/>
      <c r="G726" s="44"/>
      <c r="H726" s="44"/>
      <c r="P726" s="18"/>
    </row>
    <row r="727" spans="1:16">
      <c r="A727" t="s">
        <v>2806</v>
      </c>
      <c r="B727">
        <v>119</v>
      </c>
      <c r="C727" s="34"/>
      <c r="D727" s="34"/>
      <c r="E727" s="83"/>
      <c r="F727" s="43"/>
      <c r="G727" s="44"/>
      <c r="H727" s="44"/>
      <c r="P727" s="18"/>
    </row>
    <row r="728" spans="1:16">
      <c r="A728" t="s">
        <v>2806</v>
      </c>
      <c r="B728">
        <v>119</v>
      </c>
      <c r="C728" s="34"/>
      <c r="D728" s="34"/>
      <c r="E728" s="83"/>
      <c r="F728" s="43"/>
      <c r="G728" s="44"/>
      <c r="H728" s="44"/>
      <c r="P728" s="18"/>
    </row>
    <row r="729" spans="1:16">
      <c r="A729" t="s">
        <v>2806</v>
      </c>
      <c r="B729">
        <v>119</v>
      </c>
      <c r="C729" s="34"/>
      <c r="D729" s="34"/>
      <c r="E729" s="83"/>
      <c r="F729" s="43"/>
      <c r="G729" s="44"/>
      <c r="H729" s="44"/>
      <c r="P729" s="18"/>
    </row>
    <row r="730" spans="1:16">
      <c r="A730" t="s">
        <v>2806</v>
      </c>
      <c r="B730">
        <v>119</v>
      </c>
      <c r="C730" s="34"/>
      <c r="D730" s="34"/>
      <c r="E730" s="83"/>
      <c r="F730" s="43"/>
      <c r="G730" s="44"/>
      <c r="H730" s="44"/>
      <c r="P730" s="18"/>
    </row>
    <row r="731" spans="1:16">
      <c r="A731" t="s">
        <v>2806</v>
      </c>
      <c r="B731">
        <v>119</v>
      </c>
      <c r="C731" s="34"/>
      <c r="D731" s="34"/>
      <c r="E731" s="83"/>
      <c r="F731" s="43"/>
      <c r="G731" s="44"/>
      <c r="H731" s="44"/>
      <c r="L731" s="71"/>
      <c r="N731" s="71"/>
      <c r="P731" s="72"/>
    </row>
    <row r="732" spans="1:16">
      <c r="A732" t="s">
        <v>2807</v>
      </c>
      <c r="B732">
        <v>81</v>
      </c>
      <c r="C732" s="34" t="s">
        <v>200</v>
      </c>
      <c r="D732" s="34" t="s">
        <v>98</v>
      </c>
      <c r="E732" s="83">
        <v>28</v>
      </c>
      <c r="F732" s="43">
        <f t="shared" ref="F732:F763" si="148">(E732/(SUMIFS(E:E,A:A,A732))*100)</f>
        <v>23.728813559322035</v>
      </c>
      <c r="G732" s="44">
        <f t="shared" ref="G732:G740" si="149">INT(F732)</f>
        <v>23</v>
      </c>
      <c r="H732" s="44">
        <f t="shared" ref="H732:H740" si="150">F732-G732</f>
        <v>0.72881355932203462</v>
      </c>
      <c r="I732" cm="1">
        <f t="array" ref="I732">INT(F732)+IF(100-SUM(INT(F$732:F$740))&gt;=RANK(H732,H$732:H$740)+COUNTIF(H$732:H732,H732)-1,1,0)</f>
        <v>24</v>
      </c>
      <c r="J732" t="b">
        <f t="shared" ref="J732:J740" si="151">IF(OR(C732="Ephemeroptera", C732 ="Plecoptera", C732= "Trichoptera"), TRUE, FALSE)</f>
        <v>0</v>
      </c>
      <c r="K732" t="str">
        <f t="shared" ref="K732:K740" si="152">IF(J732=TRUE,C732,"")</f>
        <v/>
      </c>
      <c r="L732">
        <f>_xlfn.XLOOKUP(D732,BugList!C:C,BugList!N:N)</f>
        <v>4</v>
      </c>
      <c r="M732">
        <f t="shared" ref="M732:M740" si="153">L732*I732</f>
        <v>96</v>
      </c>
      <c r="N732" t="b">
        <f>_xlfn.XLOOKUP(D732,BugList!C:C,BugList!L:L)</f>
        <v>1</v>
      </c>
      <c r="O732" t="b">
        <f t="shared" ref="O732:O740" si="154">IF(J732=TRUE,IF(D732="Hydropsychidae", FALSE, TRUE), FALSE)</f>
        <v>0</v>
      </c>
      <c r="P732" s="18" t="b">
        <f>SUMPRODUCT(COUNTIF(_xlfn.XLOOKUP(D732,BugList!C:C,BugList!P:P), "*SC*"))&gt;0</f>
        <v>1</v>
      </c>
    </row>
    <row r="733" spans="1:16">
      <c r="A733" t="s">
        <v>2807</v>
      </c>
      <c r="B733">
        <v>81</v>
      </c>
      <c r="C733" s="34" t="s">
        <v>200</v>
      </c>
      <c r="D733" s="34" t="s">
        <v>100</v>
      </c>
      <c r="E733" s="83">
        <v>13</v>
      </c>
      <c r="F733" s="43">
        <f t="shared" si="148"/>
        <v>11.016949152542372</v>
      </c>
      <c r="G733" s="44">
        <f t="shared" si="149"/>
        <v>11</v>
      </c>
      <c r="H733" s="44">
        <f t="shared" si="150"/>
        <v>1.6949152542371948E-2</v>
      </c>
      <c r="I733" cm="1">
        <f t="array" ref="I733">INT(F733)+IF(100-SUM(INT(F$732:F$740))&gt;=RANK(H733,H$732:H$740)+COUNTIF(H$732:H733,H733)-1,1,0)</f>
        <v>11</v>
      </c>
      <c r="J733" t="b">
        <f t="shared" si="151"/>
        <v>0</v>
      </c>
      <c r="K733" t="str">
        <f t="shared" si="152"/>
        <v/>
      </c>
      <c r="L733">
        <f>_xlfn.XLOOKUP(D733,BugList!C:C,BugList!N:N)</f>
        <v>4</v>
      </c>
      <c r="M733">
        <f t="shared" si="153"/>
        <v>44</v>
      </c>
      <c r="N733" t="b">
        <f>_xlfn.XLOOKUP(D733,BugList!C:C,BugList!L:L)</f>
        <v>1</v>
      </c>
      <c r="O733" t="b">
        <f t="shared" si="154"/>
        <v>0</v>
      </c>
      <c r="P733" s="18" t="b">
        <f>SUMPRODUCT(COUNTIF(_xlfn.XLOOKUP(D733,BugList!C:C,BugList!P:P), "*SC*"))&gt;0</f>
        <v>1</v>
      </c>
    </row>
    <row r="734" spans="1:16">
      <c r="A734" t="s">
        <v>2807</v>
      </c>
      <c r="B734">
        <v>81</v>
      </c>
      <c r="C734" s="34" t="s">
        <v>194</v>
      </c>
      <c r="D734" s="34" t="s">
        <v>90</v>
      </c>
      <c r="E734" s="83">
        <v>15</v>
      </c>
      <c r="F734" s="43">
        <f t="shared" si="148"/>
        <v>12.711864406779661</v>
      </c>
      <c r="G734" s="44">
        <f t="shared" si="149"/>
        <v>12</v>
      </c>
      <c r="H734" s="44">
        <f t="shared" si="150"/>
        <v>0.7118644067796609</v>
      </c>
      <c r="I734" cm="1">
        <f t="array" ref="I734">INT(F734)+IF(100-SUM(INT(F$732:F$740))&gt;=RANK(H734,H$732:H$740)+COUNTIF(H$732:H734,H734)-1,1,0)</f>
        <v>13</v>
      </c>
      <c r="J734" t="b">
        <f t="shared" si="151"/>
        <v>0</v>
      </c>
      <c r="K734" t="str">
        <f t="shared" si="152"/>
        <v/>
      </c>
      <c r="L734">
        <f>_xlfn.XLOOKUP(D734,BugList!C:C,BugList!N:N)</f>
        <v>6</v>
      </c>
      <c r="M734">
        <f t="shared" si="153"/>
        <v>78</v>
      </c>
      <c r="N734" t="b">
        <f>_xlfn.XLOOKUP(D734,BugList!C:C,BugList!L:L)</f>
        <v>1</v>
      </c>
      <c r="O734" t="b">
        <f t="shared" si="154"/>
        <v>0</v>
      </c>
      <c r="P734" s="18" t="b">
        <f>SUMPRODUCT(COUNTIF(_xlfn.XLOOKUP(D734,BugList!C:C,BugList!P:P), "*SC*"))&gt;0</f>
        <v>0</v>
      </c>
    </row>
    <row r="735" spans="1:16">
      <c r="A735" t="s">
        <v>2807</v>
      </c>
      <c r="B735">
        <v>81</v>
      </c>
      <c r="C735" s="34" t="s">
        <v>194</v>
      </c>
      <c r="D735" s="34" t="s">
        <v>131</v>
      </c>
      <c r="E735" s="83">
        <v>3</v>
      </c>
      <c r="F735" s="43">
        <f t="shared" si="148"/>
        <v>2.5423728813559325</v>
      </c>
      <c r="G735" s="44">
        <f t="shared" si="149"/>
        <v>2</v>
      </c>
      <c r="H735" s="44">
        <f t="shared" si="150"/>
        <v>0.54237288135593253</v>
      </c>
      <c r="I735" cm="1">
        <f t="array" ref="I735">INT(F735)+IF(100-SUM(INT(F$732:F$740))&gt;=RANK(H735,H$732:H$740)+COUNTIF(H$732:H735,H735)-1,1,0)</f>
        <v>3</v>
      </c>
      <c r="J735" t="b">
        <f t="shared" si="151"/>
        <v>0</v>
      </c>
      <c r="K735" t="str">
        <f t="shared" si="152"/>
        <v/>
      </c>
      <c r="L735">
        <f>_xlfn.XLOOKUP(D735,BugList!C:C,BugList!N:N)</f>
        <v>6</v>
      </c>
      <c r="M735">
        <f t="shared" si="153"/>
        <v>18</v>
      </c>
      <c r="N735" t="b">
        <f>_xlfn.XLOOKUP(D735,BugList!C:C,BugList!L:L)</f>
        <v>1</v>
      </c>
      <c r="O735" t="b">
        <f t="shared" si="154"/>
        <v>0</v>
      </c>
      <c r="P735" s="18" t="b">
        <f>SUMPRODUCT(COUNTIF(_xlfn.XLOOKUP(D735,BugList!C:C,BugList!P:P), "*SC*"))&gt;0</f>
        <v>0</v>
      </c>
    </row>
    <row r="736" spans="1:16">
      <c r="A736" t="s">
        <v>2807</v>
      </c>
      <c r="B736">
        <v>81</v>
      </c>
      <c r="C736" s="34" t="s">
        <v>199</v>
      </c>
      <c r="D736" s="34" t="s">
        <v>1004</v>
      </c>
      <c r="E736" s="83">
        <v>3</v>
      </c>
      <c r="F736" s="43">
        <f t="shared" si="148"/>
        <v>2.5423728813559325</v>
      </c>
      <c r="G736" s="44">
        <f t="shared" si="149"/>
        <v>2</v>
      </c>
      <c r="H736" s="44">
        <f t="shared" si="150"/>
        <v>0.54237288135593253</v>
      </c>
      <c r="I736" cm="1">
        <f t="array" ref="I736">INT(F736)+IF(100-SUM(INT(F$732:F$740))&gt;=RANK(H736,H$732:H$740)+COUNTIF(H$732:H736,H736)-1,1,0)</f>
        <v>2</v>
      </c>
      <c r="J736" t="b">
        <f t="shared" si="151"/>
        <v>1</v>
      </c>
      <c r="K736" t="str">
        <f t="shared" si="152"/>
        <v>Ephemeroptera</v>
      </c>
      <c r="L736">
        <f>_xlfn.XLOOKUP(D736,BugList!C:C,BugList!N:N)</f>
        <v>4</v>
      </c>
      <c r="M736">
        <f t="shared" si="153"/>
        <v>8</v>
      </c>
      <c r="N736" t="b">
        <f>_xlfn.XLOOKUP(D736,BugList!C:C,BugList!L:L)</f>
        <v>1</v>
      </c>
      <c r="O736" t="b">
        <f t="shared" si="154"/>
        <v>1</v>
      </c>
      <c r="P736" s="18" t="b">
        <f>SUMPRODUCT(COUNTIF(_xlfn.XLOOKUP(D736,BugList!C:C,BugList!P:P), "*SC*"))&gt;0</f>
        <v>0</v>
      </c>
    </row>
    <row r="737" spans="1:16">
      <c r="A737" t="s">
        <v>2807</v>
      </c>
      <c r="B737">
        <v>81</v>
      </c>
      <c r="C737" s="34" t="s">
        <v>198</v>
      </c>
      <c r="D737" s="34" t="s">
        <v>89</v>
      </c>
      <c r="E737" s="83">
        <v>50</v>
      </c>
      <c r="F737" s="43">
        <f t="shared" si="148"/>
        <v>42.372881355932201</v>
      </c>
      <c r="G737" s="44">
        <f t="shared" si="149"/>
        <v>42</v>
      </c>
      <c r="H737" s="44">
        <f t="shared" si="150"/>
        <v>0.37288135593220062</v>
      </c>
      <c r="I737" cm="1">
        <f t="array" ref="I737">INT(F737)+IF(100-SUM(INT(F$732:F$740))&gt;=RANK(H737,H$732:H$740)+COUNTIF(H$732:H737,H737)-1,1,0)</f>
        <v>42</v>
      </c>
      <c r="J737" t="b">
        <f t="shared" si="151"/>
        <v>1</v>
      </c>
      <c r="K737" t="str">
        <f t="shared" si="152"/>
        <v>Trichoptera</v>
      </c>
      <c r="L737">
        <f>_xlfn.XLOOKUP(D737,BugList!C:C,BugList!N:N)</f>
        <v>4</v>
      </c>
      <c r="M737">
        <f t="shared" si="153"/>
        <v>168</v>
      </c>
      <c r="N737" t="b">
        <f>_xlfn.XLOOKUP(D737,BugList!C:C,BugList!L:L)</f>
        <v>1</v>
      </c>
      <c r="O737" t="b">
        <f t="shared" si="154"/>
        <v>0</v>
      </c>
      <c r="P737" s="18" t="b">
        <f>SUMPRODUCT(COUNTIF(_xlfn.XLOOKUP(D737,BugList!C:C,BugList!P:P), "*SC*"))&gt;0</f>
        <v>0</v>
      </c>
    </row>
    <row r="738" spans="1:16">
      <c r="A738" t="s">
        <v>2807</v>
      </c>
      <c r="B738">
        <v>81</v>
      </c>
      <c r="C738" s="34" t="s">
        <v>198</v>
      </c>
      <c r="D738" s="34" t="s">
        <v>163</v>
      </c>
      <c r="E738" s="83">
        <v>3</v>
      </c>
      <c r="F738" s="43">
        <f t="shared" si="148"/>
        <v>2.5423728813559325</v>
      </c>
      <c r="G738" s="44">
        <f t="shared" si="149"/>
        <v>2</v>
      </c>
      <c r="H738" s="44">
        <f t="shared" si="150"/>
        <v>0.54237288135593253</v>
      </c>
      <c r="I738" cm="1">
        <f t="array" ref="I738">INT(F738)+IF(100-SUM(INT(F$732:F$740))&gt;=RANK(H738,H$732:H$740)+COUNTIF(H$732:H738,H738)-1,1,0)</f>
        <v>2</v>
      </c>
      <c r="J738" t="b">
        <f t="shared" si="151"/>
        <v>1</v>
      </c>
      <c r="K738" t="str">
        <f t="shared" si="152"/>
        <v>Trichoptera</v>
      </c>
      <c r="L738">
        <f>_xlfn.XLOOKUP(D738,BugList!C:C,BugList!N:N)</f>
        <v>6</v>
      </c>
      <c r="M738">
        <f t="shared" si="153"/>
        <v>12</v>
      </c>
      <c r="N738" t="b">
        <f>_xlfn.XLOOKUP(D738,BugList!C:C,BugList!L:L)</f>
        <v>1</v>
      </c>
      <c r="O738" t="b">
        <f t="shared" si="154"/>
        <v>1</v>
      </c>
      <c r="P738" s="18" t="b">
        <f>SUMPRODUCT(COUNTIF(_xlfn.XLOOKUP(D738,BugList!C:C,BugList!P:P), "*SC*"))&gt;0</f>
        <v>0</v>
      </c>
    </row>
    <row r="739" spans="1:16">
      <c r="A739" t="s">
        <v>2807</v>
      </c>
      <c r="B739">
        <v>81</v>
      </c>
      <c r="C739" s="34" t="s">
        <v>198</v>
      </c>
      <c r="D739" s="34" t="s">
        <v>156</v>
      </c>
      <c r="E739" s="83">
        <v>1</v>
      </c>
      <c r="F739" s="43">
        <f t="shared" si="148"/>
        <v>0.84745762711864403</v>
      </c>
      <c r="G739" s="44">
        <f t="shared" si="149"/>
        <v>0</v>
      </c>
      <c r="H739" s="44">
        <f t="shared" si="150"/>
        <v>0.84745762711864403</v>
      </c>
      <c r="I739" cm="1">
        <f t="array" ref="I739">INT(F739)+IF(100-SUM(INT(F$732:F$740))&gt;=RANK(H739,H$732:H$740)+COUNTIF(H$732:H739,H739)-1,1,0)</f>
        <v>1</v>
      </c>
      <c r="J739" t="b">
        <f t="shared" si="151"/>
        <v>1</v>
      </c>
      <c r="K739" t="str">
        <f t="shared" si="152"/>
        <v>Trichoptera</v>
      </c>
      <c r="L739">
        <f>_xlfn.XLOOKUP(D739,BugList!C:C,BugList!N:N)</f>
        <v>0</v>
      </c>
      <c r="M739">
        <f t="shared" si="153"/>
        <v>0</v>
      </c>
      <c r="N739" t="b">
        <f>_xlfn.XLOOKUP(D739,BugList!C:C,BugList!L:L)</f>
        <v>1</v>
      </c>
      <c r="O739" t="b">
        <f t="shared" si="154"/>
        <v>1</v>
      </c>
      <c r="P739" s="18" t="b">
        <f>SUMPRODUCT(COUNTIF(_xlfn.XLOOKUP(D739,BugList!C:C,BugList!P:P), "*SC*"))&gt;0</f>
        <v>0</v>
      </c>
    </row>
    <row r="740" spans="1:16">
      <c r="A740" t="s">
        <v>2807</v>
      </c>
      <c r="B740">
        <v>81</v>
      </c>
      <c r="C740" s="34" t="s">
        <v>94</v>
      </c>
      <c r="D740" s="34" t="s">
        <v>94</v>
      </c>
      <c r="E740" s="83">
        <v>2</v>
      </c>
      <c r="F740" s="43">
        <f t="shared" si="148"/>
        <v>1.6949152542372881</v>
      </c>
      <c r="G740" s="44">
        <f t="shared" si="149"/>
        <v>1</v>
      </c>
      <c r="H740" s="44">
        <f t="shared" si="150"/>
        <v>0.69491525423728806</v>
      </c>
      <c r="I740" cm="1">
        <f t="array" ref="I740">INT(F740)+IF(100-SUM(INT(F$732:F$740))&gt;=RANK(H740,H$732:H$740)+COUNTIF(H$732:H740,H740)-1,1,0)</f>
        <v>2</v>
      </c>
      <c r="J740" t="b">
        <f t="shared" si="151"/>
        <v>0</v>
      </c>
      <c r="K740" t="str">
        <f t="shared" si="152"/>
        <v/>
      </c>
      <c r="L740">
        <f>_xlfn.XLOOKUP(D740,BugList!C:C,BugList!N:N)</f>
        <v>8</v>
      </c>
      <c r="M740">
        <f t="shared" si="153"/>
        <v>16</v>
      </c>
      <c r="N740" t="b">
        <f>_xlfn.XLOOKUP(D740,BugList!C:C,BugList!L:L)</f>
        <v>0</v>
      </c>
      <c r="O740" t="b">
        <f t="shared" si="154"/>
        <v>0</v>
      </c>
      <c r="P740" s="18" t="b">
        <f>SUMPRODUCT(COUNTIF(_xlfn.XLOOKUP(D740,BugList!C:C,BugList!P:P), "*SC*"))&gt;0</f>
        <v>0</v>
      </c>
    </row>
    <row r="741" spans="1:16">
      <c r="A741" t="s">
        <v>2808</v>
      </c>
      <c r="B741">
        <v>97</v>
      </c>
      <c r="C741" s="34" t="s">
        <v>200</v>
      </c>
      <c r="D741" s="34" t="s">
        <v>98</v>
      </c>
      <c r="E741" s="83">
        <v>94</v>
      </c>
      <c r="F741" s="43">
        <f t="shared" si="148"/>
        <v>69.629629629629633</v>
      </c>
      <c r="G741" s="44">
        <f t="shared" ref="G741:G766" si="155">INT(F741)</f>
        <v>69</v>
      </c>
      <c r="H741" s="44">
        <f t="shared" ref="H741:H766" si="156">F741-G741</f>
        <v>0.62962962962963331</v>
      </c>
      <c r="I741" cm="1">
        <f t="array" ref="I741">INT(F741)+IF(100-SUM(INT(F$741:F$749))&gt;=RANK(H741,H$741:H$749)+COUNTIF(H$741:H741,H741)-1,1,0)</f>
        <v>70</v>
      </c>
      <c r="J741" t="b">
        <f t="shared" ref="J741:J766" si="157">IF(OR(C741="Ephemeroptera", C741 ="Plecoptera", C741= "Trichoptera"), TRUE, FALSE)</f>
        <v>0</v>
      </c>
      <c r="K741" t="str">
        <f t="shared" ref="K741:K766" si="158">IF(J741=TRUE,C741,"")</f>
        <v/>
      </c>
      <c r="L741">
        <f>_xlfn.XLOOKUP(D741,BugList!C:C,BugList!N:N)</f>
        <v>4</v>
      </c>
      <c r="M741">
        <f t="shared" ref="M741:M766" si="159">L741*I741</f>
        <v>280</v>
      </c>
      <c r="N741" t="b">
        <f>_xlfn.XLOOKUP(D741,BugList!C:C,BugList!L:L)</f>
        <v>1</v>
      </c>
      <c r="O741" t="b">
        <f t="shared" ref="O741:O766" si="160">IF(J741=TRUE,IF(D741="Hydropsychidae", FALSE, TRUE), FALSE)</f>
        <v>0</v>
      </c>
      <c r="P741" s="18" t="b">
        <f>SUMPRODUCT(COUNTIF(_xlfn.XLOOKUP(D741,BugList!C:C,BugList!P:P), "*SC*"))&gt;0</f>
        <v>1</v>
      </c>
    </row>
    <row r="742" spans="1:16">
      <c r="A742" t="s">
        <v>2808</v>
      </c>
      <c r="B742">
        <v>97</v>
      </c>
      <c r="C742" s="34" t="s">
        <v>200</v>
      </c>
      <c r="D742" s="34" t="s">
        <v>100</v>
      </c>
      <c r="E742" s="83">
        <v>18</v>
      </c>
      <c r="F742" s="43">
        <f t="shared" si="148"/>
        <v>13.333333333333334</v>
      </c>
      <c r="G742" s="44">
        <f t="shared" si="155"/>
        <v>13</v>
      </c>
      <c r="H742" s="44">
        <f t="shared" si="156"/>
        <v>0.33333333333333393</v>
      </c>
      <c r="I742" cm="1">
        <f t="array" ref="I742">INT(F742)+IF(100-SUM(INT(F$741:F$749))&gt;=RANK(H742,H$741:H$749)+COUNTIF(H$741:H742,H742)-1,1,0)</f>
        <v>13</v>
      </c>
      <c r="J742" t="b">
        <f t="shared" si="157"/>
        <v>0</v>
      </c>
      <c r="K742" t="str">
        <f t="shared" si="158"/>
        <v/>
      </c>
      <c r="L742">
        <f>_xlfn.XLOOKUP(D742,BugList!C:C,BugList!N:N)</f>
        <v>4</v>
      </c>
      <c r="M742">
        <f t="shared" si="159"/>
        <v>52</v>
      </c>
      <c r="N742" t="b">
        <f>_xlfn.XLOOKUP(D742,BugList!C:C,BugList!L:L)</f>
        <v>1</v>
      </c>
      <c r="O742" t="b">
        <f t="shared" si="160"/>
        <v>0</v>
      </c>
      <c r="P742" s="18" t="b">
        <f>SUMPRODUCT(COUNTIF(_xlfn.XLOOKUP(D742,BugList!C:C,BugList!P:P), "*SC*"))&gt;0</f>
        <v>1</v>
      </c>
    </row>
    <row r="743" spans="1:16">
      <c r="A743" t="s">
        <v>2808</v>
      </c>
      <c r="B743">
        <v>97</v>
      </c>
      <c r="C743" s="34" t="s">
        <v>199</v>
      </c>
      <c r="D743" s="34" t="s">
        <v>111</v>
      </c>
      <c r="E743" s="83">
        <v>1</v>
      </c>
      <c r="F743" s="43">
        <f t="shared" si="148"/>
        <v>0.74074074074074081</v>
      </c>
      <c r="G743" s="44">
        <f t="shared" si="155"/>
        <v>0</v>
      </c>
      <c r="H743" s="44">
        <f t="shared" si="156"/>
        <v>0.74074074074074081</v>
      </c>
      <c r="I743" cm="1">
        <f t="array" ref="I743">INT(F743)+IF(100-SUM(INT(F$741:F$749))&gt;=RANK(H743,H$741:H$749)+COUNTIF(H$741:H743,H743)-1,1,0)</f>
        <v>1</v>
      </c>
      <c r="J743" t="b">
        <f t="shared" si="157"/>
        <v>1</v>
      </c>
      <c r="K743" t="str">
        <f t="shared" si="158"/>
        <v>Ephemeroptera</v>
      </c>
      <c r="L743">
        <f>_xlfn.XLOOKUP(D743,BugList!C:C,BugList!N:N)</f>
        <v>4</v>
      </c>
      <c r="M743">
        <f t="shared" si="159"/>
        <v>4</v>
      </c>
      <c r="N743" t="b">
        <f>_xlfn.XLOOKUP(D743,BugList!C:C,BugList!L:L)</f>
        <v>1</v>
      </c>
      <c r="O743" t="b">
        <f t="shared" si="160"/>
        <v>1</v>
      </c>
      <c r="P743" s="18" t="b">
        <f>SUMPRODUCT(COUNTIF(_xlfn.XLOOKUP(D743,BugList!C:C,BugList!P:P), "*SC*"))&gt;0</f>
        <v>0</v>
      </c>
    </row>
    <row r="744" spans="1:16">
      <c r="A744" t="s">
        <v>2808</v>
      </c>
      <c r="B744">
        <v>97</v>
      </c>
      <c r="C744" s="34" t="s">
        <v>1225</v>
      </c>
      <c r="D744" s="34" t="s">
        <v>1226</v>
      </c>
      <c r="E744" s="83">
        <v>4</v>
      </c>
      <c r="F744" s="43">
        <f t="shared" si="148"/>
        <v>2.9629629629629632</v>
      </c>
      <c r="G744" s="44">
        <f t="shared" si="155"/>
        <v>2</v>
      </c>
      <c r="H744" s="44">
        <f t="shared" si="156"/>
        <v>0.96296296296296324</v>
      </c>
      <c r="I744" cm="1">
        <f t="array" ref="I744">INT(F744)+IF(100-SUM(INT(F$741:F$749))&gt;=RANK(H744,H$741:H$749)+COUNTIF(H$741:H744,H744)-1,1,0)</f>
        <v>3</v>
      </c>
      <c r="J744" t="b">
        <f t="shared" si="157"/>
        <v>0</v>
      </c>
      <c r="K744" t="str">
        <f t="shared" si="158"/>
        <v/>
      </c>
      <c r="L744">
        <f>_xlfn.XLOOKUP(D744,BugList!C:C,BugList!N:N)</f>
        <v>0</v>
      </c>
      <c r="M744">
        <f t="shared" si="159"/>
        <v>0</v>
      </c>
      <c r="N744" t="b">
        <f>_xlfn.XLOOKUP(D744,BugList!C:C,BugList!L:L)</f>
        <v>1</v>
      </c>
      <c r="O744" t="b">
        <f t="shared" si="160"/>
        <v>0</v>
      </c>
      <c r="P744" s="18" t="b">
        <f>SUMPRODUCT(COUNTIF(_xlfn.XLOOKUP(D744,BugList!C:C,BugList!P:P), "*SC*"))&gt;0</f>
        <v>0</v>
      </c>
    </row>
    <row r="745" spans="1:16">
      <c r="A745" t="s">
        <v>2808</v>
      </c>
      <c r="B745">
        <v>97</v>
      </c>
      <c r="C745" s="34" t="s">
        <v>198</v>
      </c>
      <c r="D745" s="34" t="s">
        <v>89</v>
      </c>
      <c r="E745" s="83">
        <v>10</v>
      </c>
      <c r="F745" s="43">
        <f t="shared" si="148"/>
        <v>7.4074074074074066</v>
      </c>
      <c r="G745" s="44">
        <f t="shared" si="155"/>
        <v>7</v>
      </c>
      <c r="H745" s="44">
        <f t="shared" si="156"/>
        <v>0.40740740740740655</v>
      </c>
      <c r="I745" cm="1">
        <f t="array" ref="I745">INT(F745)+IF(100-SUM(INT(F$741:F$749))&gt;=RANK(H745,H$741:H$749)+COUNTIF(H$741:H745,H745)-1,1,0)</f>
        <v>7</v>
      </c>
      <c r="J745" t="b">
        <f t="shared" si="157"/>
        <v>1</v>
      </c>
      <c r="K745" t="str">
        <f t="shared" si="158"/>
        <v>Trichoptera</v>
      </c>
      <c r="L745">
        <f>_xlfn.XLOOKUP(D745,BugList!C:C,BugList!N:N)</f>
        <v>4</v>
      </c>
      <c r="M745">
        <f t="shared" si="159"/>
        <v>28</v>
      </c>
      <c r="N745" t="b">
        <f>_xlfn.XLOOKUP(D745,BugList!C:C,BugList!L:L)</f>
        <v>1</v>
      </c>
      <c r="O745" t="b">
        <f t="shared" si="160"/>
        <v>0</v>
      </c>
      <c r="P745" s="18" t="b">
        <f>SUMPRODUCT(COUNTIF(_xlfn.XLOOKUP(D745,BugList!C:C,BugList!P:P), "*SC*"))&gt;0</f>
        <v>0</v>
      </c>
    </row>
    <row r="746" spans="1:16">
      <c r="A746" t="s">
        <v>2808</v>
      </c>
      <c r="B746">
        <v>97</v>
      </c>
      <c r="C746" s="34" t="s">
        <v>198</v>
      </c>
      <c r="D746" s="34" t="s">
        <v>163</v>
      </c>
      <c r="E746" s="83">
        <v>2</v>
      </c>
      <c r="F746" s="43">
        <f t="shared" si="148"/>
        <v>1.4814814814814816</v>
      </c>
      <c r="G746" s="44">
        <f t="shared" si="155"/>
        <v>1</v>
      </c>
      <c r="H746" s="44">
        <f t="shared" si="156"/>
        <v>0.48148148148148162</v>
      </c>
      <c r="I746" cm="1">
        <f t="array" ref="I746">INT(F746)+IF(100-SUM(INT(F$741:F$749))&gt;=RANK(H746,H$741:H$749)+COUNTIF(H$741:H746,H746)-1,1,0)</f>
        <v>1</v>
      </c>
      <c r="J746" t="b">
        <f t="shared" si="157"/>
        <v>1</v>
      </c>
      <c r="K746" t="str">
        <f t="shared" si="158"/>
        <v>Trichoptera</v>
      </c>
      <c r="L746">
        <f>_xlfn.XLOOKUP(D746,BugList!C:C,BugList!N:N)</f>
        <v>6</v>
      </c>
      <c r="M746">
        <f t="shared" si="159"/>
        <v>6</v>
      </c>
      <c r="N746" t="b">
        <f>_xlfn.XLOOKUP(D746,BugList!C:C,BugList!L:L)</f>
        <v>1</v>
      </c>
      <c r="O746" t="b">
        <f t="shared" si="160"/>
        <v>1</v>
      </c>
      <c r="P746" s="18" t="b">
        <f>SUMPRODUCT(COUNTIF(_xlfn.XLOOKUP(D746,BugList!C:C,BugList!P:P), "*SC*"))&gt;0</f>
        <v>0</v>
      </c>
    </row>
    <row r="747" spans="1:16">
      <c r="A747" t="s">
        <v>2808</v>
      </c>
      <c r="B747">
        <v>97</v>
      </c>
      <c r="C747" s="34" t="s">
        <v>201</v>
      </c>
      <c r="D747" s="34" t="s">
        <v>85</v>
      </c>
      <c r="E747" s="83">
        <v>4</v>
      </c>
      <c r="F747" s="43">
        <f t="shared" si="148"/>
        <v>2.9629629629629632</v>
      </c>
      <c r="G747" s="44">
        <f t="shared" si="155"/>
        <v>2</v>
      </c>
      <c r="H747" s="44">
        <f t="shared" si="156"/>
        <v>0.96296296296296324</v>
      </c>
      <c r="I747" cm="1">
        <f t="array" ref="I747">INT(F747)+IF(100-SUM(INT(F$741:F$749))&gt;=RANK(H747,H$741:H$749)+COUNTIF(H$741:H747,H747)-1,1,0)</f>
        <v>3</v>
      </c>
      <c r="J747" t="b">
        <f t="shared" si="157"/>
        <v>0</v>
      </c>
      <c r="K747" t="str">
        <f t="shared" si="158"/>
        <v/>
      </c>
      <c r="L747">
        <f>_xlfn.XLOOKUP(D747,BugList!C:C,BugList!N:N)</f>
        <v>4</v>
      </c>
      <c r="M747">
        <f t="shared" si="159"/>
        <v>12</v>
      </c>
      <c r="N747" t="b">
        <f>_xlfn.XLOOKUP(D747,BugList!C:C,BugList!L:L)</f>
        <v>0</v>
      </c>
      <c r="O747" t="b">
        <f t="shared" si="160"/>
        <v>0</v>
      </c>
      <c r="P747" s="18" t="b">
        <f>SUMPRODUCT(COUNTIF(_xlfn.XLOOKUP(D747,BugList!C:C,BugList!P:P), "*SC*"))&gt;0</f>
        <v>0</v>
      </c>
    </row>
    <row r="748" spans="1:16">
      <c r="A748" t="s">
        <v>2808</v>
      </c>
      <c r="B748">
        <v>97</v>
      </c>
      <c r="C748" s="34" t="s">
        <v>205</v>
      </c>
      <c r="D748" s="34" t="s">
        <v>206</v>
      </c>
      <c r="E748" s="83">
        <v>1</v>
      </c>
      <c r="F748" s="43">
        <f t="shared" si="148"/>
        <v>0.74074074074074081</v>
      </c>
      <c r="G748" s="44">
        <f t="shared" si="155"/>
        <v>0</v>
      </c>
      <c r="H748" s="44">
        <f t="shared" si="156"/>
        <v>0.74074074074074081</v>
      </c>
      <c r="I748" cm="1">
        <f t="array" ref="I748">INT(F748)+IF(100-SUM(INT(F$741:F$749))&gt;=RANK(H748,H$741:H$749)+COUNTIF(H$741:H748,H748)-1,1,0)</f>
        <v>1</v>
      </c>
      <c r="J748" t="b">
        <f t="shared" si="157"/>
        <v>0</v>
      </c>
      <c r="K748" t="str">
        <f t="shared" si="158"/>
        <v/>
      </c>
      <c r="L748" s="71">
        <v>8</v>
      </c>
      <c r="M748">
        <f t="shared" si="159"/>
        <v>8</v>
      </c>
      <c r="N748" s="71" t="b">
        <v>0</v>
      </c>
      <c r="O748" t="b">
        <f t="shared" si="160"/>
        <v>0</v>
      </c>
      <c r="P748" s="72" t="b">
        <v>0</v>
      </c>
    </row>
    <row r="749" spans="1:16">
      <c r="A749" t="s">
        <v>2808</v>
      </c>
      <c r="B749">
        <v>97</v>
      </c>
      <c r="C749" s="34" t="s">
        <v>94</v>
      </c>
      <c r="D749" s="34" t="s">
        <v>94</v>
      </c>
      <c r="E749" s="83">
        <v>1</v>
      </c>
      <c r="F749" s="43">
        <f t="shared" si="148"/>
        <v>0.74074074074074081</v>
      </c>
      <c r="G749" s="44">
        <f t="shared" si="155"/>
        <v>0</v>
      </c>
      <c r="H749" s="44">
        <f t="shared" si="156"/>
        <v>0.74074074074074081</v>
      </c>
      <c r="I749" cm="1">
        <f t="array" ref="I749">INT(F749)+IF(100-SUM(INT(F$741:F$749))&gt;=RANK(H749,H$741:H$749)+COUNTIF(H$741:H749,H749)-1,1,0)</f>
        <v>1</v>
      </c>
      <c r="J749" t="b">
        <f t="shared" si="157"/>
        <v>0</v>
      </c>
      <c r="K749" t="str">
        <f t="shared" si="158"/>
        <v/>
      </c>
      <c r="L749">
        <f>_xlfn.XLOOKUP(D749,BugList!C:C,BugList!N:N)</f>
        <v>8</v>
      </c>
      <c r="M749">
        <f t="shared" si="159"/>
        <v>8</v>
      </c>
      <c r="N749" t="b">
        <f>_xlfn.XLOOKUP(D749,BugList!C:C,BugList!L:L)</f>
        <v>0</v>
      </c>
      <c r="O749" t="b">
        <f t="shared" si="160"/>
        <v>0</v>
      </c>
      <c r="P749" s="18" t="b">
        <f>SUMPRODUCT(COUNTIF(_xlfn.XLOOKUP(D749,BugList!C:C,BugList!P:P), "*SC*"))&gt;0</f>
        <v>0</v>
      </c>
    </row>
    <row r="750" spans="1:16">
      <c r="A750" t="s">
        <v>2809</v>
      </c>
      <c r="B750">
        <v>102</v>
      </c>
      <c r="C750" s="34" t="s">
        <v>200</v>
      </c>
      <c r="D750" s="34" t="s">
        <v>98</v>
      </c>
      <c r="E750" s="83">
        <v>61</v>
      </c>
      <c r="F750" s="43">
        <f t="shared" si="148"/>
        <v>46.564885496183209</v>
      </c>
      <c r="G750" s="44">
        <f t="shared" si="155"/>
        <v>46</v>
      </c>
      <c r="H750" s="44">
        <f t="shared" si="156"/>
        <v>0.5648854961832086</v>
      </c>
      <c r="I750" cm="1">
        <f t="array" ref="I750">INT(F750)+IF(100-SUM(INT(F$750:F$755))&gt;=RANK(H750,H$750:H$755)+COUNTIF(H$750:H750,H750)-1,1,0)</f>
        <v>46</v>
      </c>
      <c r="J750" t="b">
        <f t="shared" si="157"/>
        <v>0</v>
      </c>
      <c r="K750" t="str">
        <f t="shared" si="158"/>
        <v/>
      </c>
      <c r="L750">
        <f>_xlfn.XLOOKUP(D750,BugList!C:C,BugList!N:N)</f>
        <v>4</v>
      </c>
      <c r="M750">
        <f t="shared" si="159"/>
        <v>184</v>
      </c>
      <c r="N750" t="b">
        <f>_xlfn.XLOOKUP(D750,BugList!C:C,BugList!L:L)</f>
        <v>1</v>
      </c>
      <c r="O750" t="b">
        <f t="shared" si="160"/>
        <v>0</v>
      </c>
      <c r="P750" s="18" t="b">
        <f>SUMPRODUCT(COUNTIF(_xlfn.XLOOKUP(D750,BugList!C:C,BugList!P:P), "*SC*"))&gt;0</f>
        <v>1</v>
      </c>
    </row>
    <row r="751" spans="1:16">
      <c r="A751" t="s">
        <v>2809</v>
      </c>
      <c r="B751">
        <v>102</v>
      </c>
      <c r="C751" s="34" t="s">
        <v>200</v>
      </c>
      <c r="D751" s="34" t="s">
        <v>100</v>
      </c>
      <c r="E751" s="83">
        <v>10</v>
      </c>
      <c r="F751" s="43">
        <f t="shared" si="148"/>
        <v>7.6335877862595423</v>
      </c>
      <c r="G751" s="44">
        <f t="shared" si="155"/>
        <v>7</v>
      </c>
      <c r="H751" s="44">
        <f t="shared" si="156"/>
        <v>0.63358778625954226</v>
      </c>
      <c r="I751" cm="1">
        <f t="array" ref="I751">INT(F751)+IF(100-SUM(INT(F$750:F$755))&gt;=RANK(H751,H$750:H$755)+COUNTIF(H$750:H751,H751)-1,1,0)</f>
        <v>8</v>
      </c>
      <c r="J751" t="b">
        <f t="shared" si="157"/>
        <v>0</v>
      </c>
      <c r="K751" t="str">
        <f t="shared" si="158"/>
        <v/>
      </c>
      <c r="L751">
        <f>_xlfn.XLOOKUP(D751,BugList!C:C,BugList!N:N)</f>
        <v>4</v>
      </c>
      <c r="M751">
        <f t="shared" si="159"/>
        <v>32</v>
      </c>
      <c r="N751" t="b">
        <f>_xlfn.XLOOKUP(D751,BugList!C:C,BugList!L:L)</f>
        <v>1</v>
      </c>
      <c r="O751" t="b">
        <f t="shared" si="160"/>
        <v>0</v>
      </c>
      <c r="P751" s="18" t="b">
        <f>SUMPRODUCT(COUNTIF(_xlfn.XLOOKUP(D751,BugList!C:C,BugList!P:P), "*SC*"))&gt;0</f>
        <v>1</v>
      </c>
    </row>
    <row r="752" spans="1:16">
      <c r="A752" t="s">
        <v>2809</v>
      </c>
      <c r="B752">
        <v>102</v>
      </c>
      <c r="C752" s="34" t="s">
        <v>194</v>
      </c>
      <c r="D752" s="34" t="s">
        <v>90</v>
      </c>
      <c r="E752" s="83">
        <v>55</v>
      </c>
      <c r="F752" s="43">
        <f t="shared" si="148"/>
        <v>41.984732824427482</v>
      </c>
      <c r="G752" s="44">
        <f t="shared" si="155"/>
        <v>41</v>
      </c>
      <c r="H752" s="44">
        <f t="shared" si="156"/>
        <v>0.984732824427482</v>
      </c>
      <c r="I752" cm="1">
        <f t="array" ref="I752">INT(F752)+IF(100-SUM(INT(F$750:F$755))&gt;=RANK(H752,H$750:H$755)+COUNTIF(H$750:H752,H752)-1,1,0)</f>
        <v>42</v>
      </c>
      <c r="J752" t="b">
        <f t="shared" si="157"/>
        <v>0</v>
      </c>
      <c r="K752" t="str">
        <f t="shared" si="158"/>
        <v/>
      </c>
      <c r="L752">
        <f>_xlfn.XLOOKUP(D752,BugList!C:C,BugList!N:N)</f>
        <v>6</v>
      </c>
      <c r="M752">
        <f t="shared" si="159"/>
        <v>252</v>
      </c>
      <c r="N752" t="b">
        <f>_xlfn.XLOOKUP(D752,BugList!C:C,BugList!L:L)</f>
        <v>1</v>
      </c>
      <c r="O752" t="b">
        <f t="shared" si="160"/>
        <v>0</v>
      </c>
      <c r="P752" s="18" t="b">
        <f>SUMPRODUCT(COUNTIF(_xlfn.XLOOKUP(D752,BugList!C:C,BugList!P:P), "*SC*"))&gt;0</f>
        <v>0</v>
      </c>
    </row>
    <row r="753" spans="1:16">
      <c r="A753" t="s">
        <v>2809</v>
      </c>
      <c r="B753">
        <v>102</v>
      </c>
      <c r="C753" s="34" t="s">
        <v>198</v>
      </c>
      <c r="D753" s="34" t="s">
        <v>89</v>
      </c>
      <c r="E753" s="83">
        <v>3</v>
      </c>
      <c r="F753" s="43">
        <f t="shared" si="148"/>
        <v>2.2900763358778624</v>
      </c>
      <c r="G753" s="44">
        <f t="shared" si="155"/>
        <v>2</v>
      </c>
      <c r="H753" s="44">
        <f t="shared" si="156"/>
        <v>0.29007633587786241</v>
      </c>
      <c r="I753" cm="1">
        <f t="array" ref="I753">INT(F753)+IF(100-SUM(INT(F$750:F$755))&gt;=RANK(H753,H$750:H$755)+COUNTIF(H$750:H753,H753)-1,1,0)</f>
        <v>2</v>
      </c>
      <c r="J753" t="b">
        <f t="shared" si="157"/>
        <v>1</v>
      </c>
      <c r="K753" t="str">
        <f t="shared" si="158"/>
        <v>Trichoptera</v>
      </c>
      <c r="L753">
        <f>_xlfn.XLOOKUP(D753,BugList!C:C,BugList!N:N)</f>
        <v>4</v>
      </c>
      <c r="M753">
        <f t="shared" si="159"/>
        <v>8</v>
      </c>
      <c r="N753" t="b">
        <f>_xlfn.XLOOKUP(D753,BugList!C:C,BugList!L:L)</f>
        <v>1</v>
      </c>
      <c r="O753" t="b">
        <f t="shared" si="160"/>
        <v>0</v>
      </c>
      <c r="P753" s="18" t="b">
        <f>SUMPRODUCT(COUNTIF(_xlfn.XLOOKUP(D753,BugList!C:C,BugList!P:P), "*SC*"))&gt;0</f>
        <v>0</v>
      </c>
    </row>
    <row r="754" spans="1:16">
      <c r="A754" t="s">
        <v>2809</v>
      </c>
      <c r="B754">
        <v>102</v>
      </c>
      <c r="C754" s="34" t="s">
        <v>2315</v>
      </c>
      <c r="D754" s="34" t="s">
        <v>2315</v>
      </c>
      <c r="E754" s="83">
        <v>1</v>
      </c>
      <c r="F754" s="43">
        <f t="shared" si="148"/>
        <v>0.76335877862595414</v>
      </c>
      <c r="G754" s="44">
        <f t="shared" si="155"/>
        <v>0</v>
      </c>
      <c r="H754" s="44">
        <f t="shared" si="156"/>
        <v>0.76335877862595414</v>
      </c>
      <c r="I754" cm="1">
        <f t="array" ref="I754">INT(F754)+IF(100-SUM(INT(F$750:F$755))&gt;=RANK(H754,H$750:H$755)+COUNTIF(H$750:H754,H754)-1,1,0)</f>
        <v>1</v>
      </c>
      <c r="J754" t="b">
        <f t="shared" si="157"/>
        <v>0</v>
      </c>
      <c r="K754" t="str">
        <f t="shared" si="158"/>
        <v/>
      </c>
      <c r="L754">
        <f>_xlfn.XLOOKUP(D754,BugList!C:C,BugList!N:N)</f>
        <v>7</v>
      </c>
      <c r="M754">
        <f t="shared" si="159"/>
        <v>7</v>
      </c>
      <c r="N754" t="b">
        <f>_xlfn.XLOOKUP(D754,BugList!C:C,BugList!L:L)</f>
        <v>0</v>
      </c>
      <c r="O754" t="b">
        <f t="shared" si="160"/>
        <v>0</v>
      </c>
      <c r="P754" s="18" t="b">
        <f>SUMPRODUCT(COUNTIF(_xlfn.XLOOKUP(D754,BugList!C:C,BugList!P:P), "*SC*"))&gt;0</f>
        <v>1</v>
      </c>
    </row>
    <row r="755" spans="1:16">
      <c r="A755" t="s">
        <v>2809</v>
      </c>
      <c r="B755">
        <v>102</v>
      </c>
      <c r="C755" s="34" t="s">
        <v>94</v>
      </c>
      <c r="D755" s="34" t="s">
        <v>94</v>
      </c>
      <c r="E755" s="83">
        <v>1</v>
      </c>
      <c r="F755" s="43">
        <f t="shared" si="148"/>
        <v>0.76335877862595414</v>
      </c>
      <c r="G755" s="44">
        <f t="shared" si="155"/>
        <v>0</v>
      </c>
      <c r="H755" s="44">
        <f t="shared" si="156"/>
        <v>0.76335877862595414</v>
      </c>
      <c r="I755" cm="1">
        <f t="array" ref="I755">INT(F755)+IF(100-SUM(INT(F$750:F$755))&gt;=RANK(H755,H$750:H$755)+COUNTIF(H$750:H755,H755)-1,1,0)</f>
        <v>1</v>
      </c>
      <c r="J755" t="b">
        <f t="shared" si="157"/>
        <v>0</v>
      </c>
      <c r="K755" t="str">
        <f t="shared" si="158"/>
        <v/>
      </c>
      <c r="L755">
        <f>_xlfn.XLOOKUP(D755,BugList!C:C,BugList!N:N)</f>
        <v>8</v>
      </c>
      <c r="M755">
        <f t="shared" si="159"/>
        <v>8</v>
      </c>
      <c r="N755" t="b">
        <f>_xlfn.XLOOKUP(D755,BugList!C:C,BugList!L:L)</f>
        <v>0</v>
      </c>
      <c r="O755" t="b">
        <f t="shared" si="160"/>
        <v>0</v>
      </c>
      <c r="P755" s="18" t="b">
        <f>SUMPRODUCT(COUNTIF(_xlfn.XLOOKUP(D755,BugList!C:C,BugList!P:P), "*SC*"))&gt;0</f>
        <v>0</v>
      </c>
    </row>
    <row r="756" spans="1:16">
      <c r="A756" t="s">
        <v>2810</v>
      </c>
      <c r="B756">
        <v>113</v>
      </c>
      <c r="C756" s="34" t="s">
        <v>200</v>
      </c>
      <c r="D756" s="34" t="s">
        <v>98</v>
      </c>
      <c r="E756" s="83">
        <v>51</v>
      </c>
      <c r="F756" s="43">
        <f t="shared" si="148"/>
        <v>40.799999999999997</v>
      </c>
      <c r="G756" s="44">
        <f t="shared" si="155"/>
        <v>40</v>
      </c>
      <c r="H756" s="44">
        <f t="shared" si="156"/>
        <v>0.79999999999999716</v>
      </c>
      <c r="I756" cm="1">
        <f t="array" ref="I756">INT(F756)+IF(100-SUM(INT(F$756:F$766))&gt;=RANK(H756,H$756:H$766)+COUNTIF(H$756:H756,H756)-1,1,0)</f>
        <v>41</v>
      </c>
      <c r="J756" t="b">
        <f t="shared" si="157"/>
        <v>0</v>
      </c>
      <c r="K756" t="str">
        <f t="shared" si="158"/>
        <v/>
      </c>
      <c r="L756">
        <f>_xlfn.XLOOKUP(D756,BugList!C:C,BugList!N:N)</f>
        <v>4</v>
      </c>
      <c r="M756">
        <f t="shared" si="159"/>
        <v>164</v>
      </c>
      <c r="N756" t="b">
        <f>_xlfn.XLOOKUP(D756,BugList!C:C,BugList!L:L)</f>
        <v>1</v>
      </c>
      <c r="O756" t="b">
        <f t="shared" si="160"/>
        <v>0</v>
      </c>
      <c r="P756" s="18" t="b">
        <f>SUMPRODUCT(COUNTIF(_xlfn.XLOOKUP(D756,BugList!C:C,BugList!P:P), "*SC*"))&gt;0</f>
        <v>1</v>
      </c>
    </row>
    <row r="757" spans="1:16">
      <c r="A757" t="s">
        <v>2810</v>
      </c>
      <c r="B757">
        <v>113</v>
      </c>
      <c r="C757" s="34" t="s">
        <v>200</v>
      </c>
      <c r="D757" s="34" t="s">
        <v>100</v>
      </c>
      <c r="E757" s="83">
        <v>18</v>
      </c>
      <c r="F757" s="43">
        <f t="shared" si="148"/>
        <v>14.399999999999999</v>
      </c>
      <c r="G757" s="44">
        <f t="shared" si="155"/>
        <v>14</v>
      </c>
      <c r="H757" s="44">
        <f t="shared" si="156"/>
        <v>0.39999999999999858</v>
      </c>
      <c r="I757" cm="1">
        <f t="array" ref="I757">INT(F757)+IF(100-SUM(INT(F$756:F$766))&gt;=RANK(H757,H$756:H$766)+COUNTIF(H$756:H757,H757)-1,1,0)</f>
        <v>14</v>
      </c>
      <c r="J757" t="b">
        <f t="shared" si="157"/>
        <v>0</v>
      </c>
      <c r="K757" t="str">
        <f t="shared" si="158"/>
        <v/>
      </c>
      <c r="L757">
        <f>_xlfn.XLOOKUP(D757,BugList!C:C,BugList!N:N)</f>
        <v>4</v>
      </c>
      <c r="M757">
        <f t="shared" si="159"/>
        <v>56</v>
      </c>
      <c r="N757" t="b">
        <f>_xlfn.XLOOKUP(D757,BugList!C:C,BugList!L:L)</f>
        <v>1</v>
      </c>
      <c r="O757" t="b">
        <f t="shared" si="160"/>
        <v>0</v>
      </c>
      <c r="P757" s="18" t="b">
        <f>SUMPRODUCT(COUNTIF(_xlfn.XLOOKUP(D757,BugList!C:C,BugList!P:P), "*SC*"))&gt;0</f>
        <v>1</v>
      </c>
    </row>
    <row r="758" spans="1:16">
      <c r="A758" t="s">
        <v>2810</v>
      </c>
      <c r="B758">
        <v>113</v>
      </c>
      <c r="C758" s="34" t="s">
        <v>194</v>
      </c>
      <c r="D758" s="34" t="s">
        <v>90</v>
      </c>
      <c r="E758" s="83">
        <v>2</v>
      </c>
      <c r="F758" s="43">
        <f t="shared" si="148"/>
        <v>1.6</v>
      </c>
      <c r="G758" s="44">
        <f t="shared" si="155"/>
        <v>1</v>
      </c>
      <c r="H758" s="44">
        <f t="shared" si="156"/>
        <v>0.60000000000000009</v>
      </c>
      <c r="I758" cm="1">
        <f t="array" ref="I758">INT(F758)+IF(100-SUM(INT(F$756:F$766))&gt;=RANK(H758,H$756:H$766)+COUNTIF(H$756:H758,H758)-1,1,0)</f>
        <v>2</v>
      </c>
      <c r="J758" t="b">
        <f t="shared" si="157"/>
        <v>0</v>
      </c>
      <c r="K758" t="str">
        <f t="shared" si="158"/>
        <v/>
      </c>
      <c r="L758">
        <f>_xlfn.XLOOKUP(D758,BugList!C:C,BugList!N:N)</f>
        <v>6</v>
      </c>
      <c r="M758">
        <f t="shared" si="159"/>
        <v>12</v>
      </c>
      <c r="N758" t="b">
        <f>_xlfn.XLOOKUP(D758,BugList!C:C,BugList!L:L)</f>
        <v>1</v>
      </c>
      <c r="O758" t="b">
        <f t="shared" si="160"/>
        <v>0</v>
      </c>
      <c r="P758" s="18" t="b">
        <f>SUMPRODUCT(COUNTIF(_xlfn.XLOOKUP(D758,BugList!C:C,BugList!P:P), "*SC*"))&gt;0</f>
        <v>0</v>
      </c>
    </row>
    <row r="759" spans="1:16">
      <c r="A759" t="s">
        <v>2810</v>
      </c>
      <c r="B759">
        <v>113</v>
      </c>
      <c r="C759" s="34" t="s">
        <v>199</v>
      </c>
      <c r="D759" s="34" t="s">
        <v>154</v>
      </c>
      <c r="E759" s="83">
        <v>10</v>
      </c>
      <c r="F759" s="43">
        <f t="shared" si="148"/>
        <v>8</v>
      </c>
      <c r="G759" s="44">
        <f t="shared" si="155"/>
        <v>8</v>
      </c>
      <c r="H759" s="44">
        <f t="shared" si="156"/>
        <v>0</v>
      </c>
      <c r="I759" cm="1">
        <f t="array" ref="I759">INT(F759)+IF(100-SUM(INT(F$756:F$766))&gt;=RANK(H759,H$756:H$766)+COUNTIF(H$756:H759,H759)-1,1,0)</f>
        <v>8</v>
      </c>
      <c r="J759" t="b">
        <f t="shared" si="157"/>
        <v>1</v>
      </c>
      <c r="K759" t="str">
        <f t="shared" si="158"/>
        <v>Ephemeroptera</v>
      </c>
      <c r="L759">
        <f>_xlfn.XLOOKUP(D759,BugList!C:C,BugList!N:N)</f>
        <v>7</v>
      </c>
      <c r="M759">
        <f t="shared" si="159"/>
        <v>56</v>
      </c>
      <c r="N759" t="b">
        <f>_xlfn.XLOOKUP(D759,BugList!C:C,BugList!L:L)</f>
        <v>1</v>
      </c>
      <c r="O759" t="b">
        <f t="shared" si="160"/>
        <v>1</v>
      </c>
      <c r="P759" s="18" t="b">
        <f>SUMPRODUCT(COUNTIF(_xlfn.XLOOKUP(D759,BugList!C:C,BugList!P:P), "*SC*"))&gt;0</f>
        <v>0</v>
      </c>
    </row>
    <row r="760" spans="1:16">
      <c r="A760" t="s">
        <v>2810</v>
      </c>
      <c r="B760">
        <v>113</v>
      </c>
      <c r="C760" s="34" t="s">
        <v>199</v>
      </c>
      <c r="D760" s="34" t="s">
        <v>969</v>
      </c>
      <c r="E760" s="83">
        <v>1</v>
      </c>
      <c r="F760" s="43">
        <f t="shared" si="148"/>
        <v>0.8</v>
      </c>
      <c r="G760" s="44">
        <f t="shared" si="155"/>
        <v>0</v>
      </c>
      <c r="H760" s="44">
        <f t="shared" si="156"/>
        <v>0.8</v>
      </c>
      <c r="I760" cm="1">
        <f t="array" ref="I760">INT(F760)+IF(100-SUM(INT(F$756:F$766))&gt;=RANK(H760,H$756:H$766)+COUNTIF(H$756:H760,H760)-1,1,0)</f>
        <v>1</v>
      </c>
      <c r="J760" t="b">
        <f t="shared" si="157"/>
        <v>1</v>
      </c>
      <c r="K760" t="str">
        <f t="shared" si="158"/>
        <v>Ephemeroptera</v>
      </c>
      <c r="L760">
        <f>_xlfn.XLOOKUP(D760,BugList!C:C,BugList!N:N)</f>
        <v>7</v>
      </c>
      <c r="M760">
        <f t="shared" si="159"/>
        <v>7</v>
      </c>
      <c r="N760" t="b">
        <f>_xlfn.XLOOKUP(D760,BugList!C:C,BugList!L:L)</f>
        <v>1</v>
      </c>
      <c r="O760" t="b">
        <f t="shared" si="160"/>
        <v>1</v>
      </c>
      <c r="P760" s="18" t="b">
        <f>SUMPRODUCT(COUNTIF(_xlfn.XLOOKUP(D760,BugList!C:C,BugList!P:P), "*SC*"))&gt;0</f>
        <v>0</v>
      </c>
    </row>
    <row r="761" spans="1:16">
      <c r="A761" t="s">
        <v>2810</v>
      </c>
      <c r="B761">
        <v>113</v>
      </c>
      <c r="C761" s="34" t="s">
        <v>198</v>
      </c>
      <c r="D761" s="34" t="s">
        <v>89</v>
      </c>
      <c r="E761" s="83">
        <v>3</v>
      </c>
      <c r="F761" s="43">
        <f t="shared" si="148"/>
        <v>2.4</v>
      </c>
      <c r="G761" s="44">
        <f t="shared" si="155"/>
        <v>2</v>
      </c>
      <c r="H761" s="44">
        <f t="shared" si="156"/>
        <v>0.39999999999999991</v>
      </c>
      <c r="I761" cm="1">
        <f t="array" ref="I761">INT(F761)+IF(100-SUM(INT(F$756:F$766))&gt;=RANK(H761,H$756:H$766)+COUNTIF(H$756:H761,H761)-1,1,0)</f>
        <v>2</v>
      </c>
      <c r="J761" t="b">
        <f t="shared" si="157"/>
        <v>1</v>
      </c>
      <c r="K761" t="str">
        <f t="shared" si="158"/>
        <v>Trichoptera</v>
      </c>
      <c r="L761">
        <f>_xlfn.XLOOKUP(D761,BugList!C:C,BugList!N:N)</f>
        <v>4</v>
      </c>
      <c r="M761">
        <f t="shared" si="159"/>
        <v>8</v>
      </c>
      <c r="N761" t="b">
        <f>_xlfn.XLOOKUP(D761,BugList!C:C,BugList!L:L)</f>
        <v>1</v>
      </c>
      <c r="O761" t="b">
        <f t="shared" si="160"/>
        <v>0</v>
      </c>
      <c r="P761" s="18" t="b">
        <f>SUMPRODUCT(COUNTIF(_xlfn.XLOOKUP(D761,BugList!C:C,BugList!P:P), "*SC*"))&gt;0</f>
        <v>0</v>
      </c>
    </row>
    <row r="762" spans="1:16">
      <c r="A762" t="s">
        <v>2810</v>
      </c>
      <c r="B762">
        <v>113</v>
      </c>
      <c r="C762" s="34" t="s">
        <v>204</v>
      </c>
      <c r="D762" s="34" t="s">
        <v>84</v>
      </c>
      <c r="E762" s="83">
        <v>2</v>
      </c>
      <c r="F762" s="43">
        <f t="shared" si="148"/>
        <v>1.6</v>
      </c>
      <c r="G762" s="44">
        <f t="shared" si="155"/>
        <v>1</v>
      </c>
      <c r="H762" s="44">
        <f t="shared" si="156"/>
        <v>0.60000000000000009</v>
      </c>
      <c r="I762" cm="1">
        <f t="array" ref="I762">INT(F762)+IF(100-SUM(INT(F$756:F$766))&gt;=RANK(H762,H$756:H$766)+COUNTIF(H$756:H762,H762)-1,1,0)</f>
        <v>2</v>
      </c>
      <c r="J762" t="b">
        <f t="shared" si="157"/>
        <v>0</v>
      </c>
      <c r="K762" t="str">
        <f t="shared" si="158"/>
        <v/>
      </c>
      <c r="L762">
        <f>_xlfn.XLOOKUP(D762,BugList!C:C,BugList!N:N)</f>
        <v>8</v>
      </c>
      <c r="M762">
        <f t="shared" si="159"/>
        <v>16</v>
      </c>
      <c r="N762" t="b">
        <f>_xlfn.XLOOKUP(D762,BugList!C:C,BugList!L:L)</f>
        <v>0</v>
      </c>
      <c r="O762" t="b">
        <f t="shared" si="160"/>
        <v>0</v>
      </c>
      <c r="P762" s="18" t="b">
        <f>SUMPRODUCT(COUNTIF(_xlfn.XLOOKUP(D762,BugList!C:C,BugList!P:P), "*SC*"))&gt;0</f>
        <v>0</v>
      </c>
    </row>
    <row r="763" spans="1:16">
      <c r="A763" t="s">
        <v>2810</v>
      </c>
      <c r="B763">
        <v>113</v>
      </c>
      <c r="C763" s="34" t="s">
        <v>201</v>
      </c>
      <c r="D763" s="34" t="s">
        <v>85</v>
      </c>
      <c r="E763" s="83">
        <v>15</v>
      </c>
      <c r="F763" s="43">
        <f t="shared" si="148"/>
        <v>12</v>
      </c>
      <c r="G763" s="44">
        <f t="shared" si="155"/>
        <v>12</v>
      </c>
      <c r="H763" s="44">
        <f t="shared" si="156"/>
        <v>0</v>
      </c>
      <c r="I763" cm="1">
        <f t="array" ref="I763">INT(F763)+IF(100-SUM(INT(F$756:F$766))&gt;=RANK(H763,H$756:H$766)+COUNTIF(H$756:H763,H763)-1,1,0)</f>
        <v>12</v>
      </c>
      <c r="J763" t="b">
        <f t="shared" si="157"/>
        <v>0</v>
      </c>
      <c r="K763" t="str">
        <f t="shared" si="158"/>
        <v/>
      </c>
      <c r="L763">
        <f>_xlfn.XLOOKUP(D763,BugList!C:C,BugList!N:N)</f>
        <v>4</v>
      </c>
      <c r="M763">
        <f t="shared" si="159"/>
        <v>48</v>
      </c>
      <c r="N763" t="b">
        <f>_xlfn.XLOOKUP(D763,BugList!C:C,BugList!L:L)</f>
        <v>0</v>
      </c>
      <c r="O763" t="b">
        <f t="shared" si="160"/>
        <v>0</v>
      </c>
      <c r="P763" s="18" t="b">
        <f>SUMPRODUCT(COUNTIF(_xlfn.XLOOKUP(D763,BugList!C:C,BugList!P:P), "*SC*"))&gt;0</f>
        <v>0</v>
      </c>
    </row>
    <row r="764" spans="1:16">
      <c r="A764" t="s">
        <v>2810</v>
      </c>
      <c r="B764">
        <v>113</v>
      </c>
      <c r="C764" s="34" t="s">
        <v>210</v>
      </c>
      <c r="D764" s="34" t="s">
        <v>210</v>
      </c>
      <c r="E764" s="83">
        <v>1</v>
      </c>
      <c r="F764" s="43">
        <f t="shared" ref="F764:F795" si="161">(E764/(SUMIFS(E:E,A:A,A764))*100)</f>
        <v>0.8</v>
      </c>
      <c r="G764" s="44">
        <f t="shared" si="155"/>
        <v>0</v>
      </c>
      <c r="H764" s="44">
        <f t="shared" si="156"/>
        <v>0.8</v>
      </c>
      <c r="I764" cm="1">
        <f t="array" ref="I764">INT(F764)+IF(100-SUM(INT(F$756:F$766))&gt;=RANK(H764,H$756:H$766)+COUNTIF(H$756:H764,H764)-1,1,0)</f>
        <v>1</v>
      </c>
      <c r="J764" t="b">
        <f t="shared" si="157"/>
        <v>0</v>
      </c>
      <c r="K764" t="str">
        <f t="shared" si="158"/>
        <v/>
      </c>
      <c r="L764" s="71">
        <v>8</v>
      </c>
      <c r="M764">
        <f t="shared" si="159"/>
        <v>8</v>
      </c>
      <c r="N764" s="71" t="b">
        <v>0</v>
      </c>
      <c r="O764" t="b">
        <f t="shared" si="160"/>
        <v>0</v>
      </c>
      <c r="P764" s="72" t="b">
        <v>0</v>
      </c>
    </row>
    <row r="765" spans="1:16">
      <c r="A765" t="s">
        <v>2810</v>
      </c>
      <c r="B765">
        <v>113</v>
      </c>
      <c r="C765" s="34" t="s">
        <v>205</v>
      </c>
      <c r="D765" s="34" t="s">
        <v>206</v>
      </c>
      <c r="E765" s="83">
        <v>20</v>
      </c>
      <c r="F765" s="43">
        <f t="shared" si="161"/>
        <v>16</v>
      </c>
      <c r="G765" s="44">
        <f t="shared" si="155"/>
        <v>16</v>
      </c>
      <c r="H765" s="44">
        <f t="shared" si="156"/>
        <v>0</v>
      </c>
      <c r="I765" cm="1">
        <f t="array" ref="I765">INT(F765)+IF(100-SUM(INT(F$756:F$766))&gt;=RANK(H765,H$756:H$766)+COUNTIF(H$756:H765,H765)-1,1,0)</f>
        <v>16</v>
      </c>
      <c r="J765" t="b">
        <f t="shared" si="157"/>
        <v>0</v>
      </c>
      <c r="K765" t="str">
        <f t="shared" si="158"/>
        <v/>
      </c>
      <c r="L765" s="71">
        <v>8</v>
      </c>
      <c r="M765">
        <f t="shared" si="159"/>
        <v>128</v>
      </c>
      <c r="N765" s="71" t="b">
        <v>0</v>
      </c>
      <c r="O765" t="b">
        <f t="shared" si="160"/>
        <v>0</v>
      </c>
      <c r="P765" s="72" t="b">
        <v>0</v>
      </c>
    </row>
    <row r="766" spans="1:16">
      <c r="A766" t="s">
        <v>2810</v>
      </c>
      <c r="B766">
        <v>113</v>
      </c>
      <c r="C766" s="34" t="s">
        <v>94</v>
      </c>
      <c r="D766" s="34" t="s">
        <v>94</v>
      </c>
      <c r="E766" s="83">
        <v>2</v>
      </c>
      <c r="F766" s="43">
        <f t="shared" si="161"/>
        <v>1.6</v>
      </c>
      <c r="G766" s="44">
        <f t="shared" si="155"/>
        <v>1</v>
      </c>
      <c r="H766" s="44">
        <f t="shared" si="156"/>
        <v>0.60000000000000009</v>
      </c>
      <c r="I766" cm="1">
        <f t="array" ref="I766">INT(F766)+IF(100-SUM(INT(F$756:F$766))&gt;=RANK(H766,H$756:H$766)+COUNTIF(H$756:H766,H766)-1,1,0)</f>
        <v>1</v>
      </c>
      <c r="J766" t="b">
        <f t="shared" si="157"/>
        <v>0</v>
      </c>
      <c r="K766" t="str">
        <f t="shared" si="158"/>
        <v/>
      </c>
      <c r="L766">
        <f>_xlfn.XLOOKUP(D766,BugList!C:C,BugList!N:N)</f>
        <v>8</v>
      </c>
      <c r="M766">
        <f t="shared" si="159"/>
        <v>8</v>
      </c>
      <c r="N766" t="b">
        <f>_xlfn.XLOOKUP(D766,BugList!C:C,BugList!L:L)</f>
        <v>0</v>
      </c>
      <c r="O766" t="b">
        <f t="shared" si="160"/>
        <v>0</v>
      </c>
      <c r="P766" s="18" t="b">
        <f>SUMPRODUCT(COUNTIF(_xlfn.XLOOKUP(D766,BugList!C:C,BugList!P:P), "*SC*"))&gt;0</f>
        <v>0</v>
      </c>
    </row>
    <row r="767" spans="1:16">
      <c r="A767" t="s">
        <v>2811</v>
      </c>
      <c r="B767">
        <v>126</v>
      </c>
      <c r="C767" s="34" t="s">
        <v>200</v>
      </c>
      <c r="D767" s="34" t="s">
        <v>98</v>
      </c>
      <c r="E767" s="83">
        <v>63</v>
      </c>
      <c r="F767" s="43">
        <f t="shared" si="161"/>
        <v>44.680851063829785</v>
      </c>
      <c r="G767" s="44">
        <f t="shared" ref="G767:G792" si="162">INT(F767)</f>
        <v>44</v>
      </c>
      <c r="H767" s="44">
        <f t="shared" ref="H767:H792" si="163">F767-G767</f>
        <v>0.68085106382978466</v>
      </c>
      <c r="I767" cm="1">
        <f t="array" ref="I767">INT(F767)+IF(100-SUM(INT(F$767:F$781))&gt;=RANK(H767,H$767:H$781)+COUNTIF(H$767:H767,H767)-1,1,0)</f>
        <v>45</v>
      </c>
      <c r="J767" t="b">
        <f t="shared" ref="J767:J792" si="164">IF(OR(C767="Ephemeroptera", C767 ="Plecoptera", C767= "Trichoptera"), TRUE, FALSE)</f>
        <v>0</v>
      </c>
      <c r="K767" t="str">
        <f t="shared" ref="K767:K792" si="165">IF(J767=TRUE,C767,"")</f>
        <v/>
      </c>
      <c r="L767">
        <f>_xlfn.XLOOKUP(D767,BugList!C:C,BugList!N:N)</f>
        <v>4</v>
      </c>
      <c r="M767">
        <f t="shared" ref="M767:M792" si="166">L767*I767</f>
        <v>180</v>
      </c>
      <c r="N767" t="b">
        <f>_xlfn.XLOOKUP(D767,BugList!C:C,BugList!L:L)</f>
        <v>1</v>
      </c>
      <c r="O767" t="b">
        <f t="shared" ref="O767:O792" si="167">IF(J767=TRUE,IF(D767="Hydropsychidae", FALSE, TRUE), FALSE)</f>
        <v>0</v>
      </c>
      <c r="P767" s="18" t="b">
        <f>SUMPRODUCT(COUNTIF(_xlfn.XLOOKUP(D767,BugList!C:C,BugList!P:P), "*SC*"))&gt;0</f>
        <v>1</v>
      </c>
    </row>
    <row r="768" spans="1:16">
      <c r="A768" t="s">
        <v>2811</v>
      </c>
      <c r="B768">
        <v>126</v>
      </c>
      <c r="C768" s="34" t="s">
        <v>200</v>
      </c>
      <c r="D768" s="34" t="s">
        <v>99</v>
      </c>
      <c r="E768" s="83">
        <v>30</v>
      </c>
      <c r="F768" s="43">
        <f t="shared" si="161"/>
        <v>21.276595744680851</v>
      </c>
      <c r="G768" s="44">
        <f t="shared" si="162"/>
        <v>21</v>
      </c>
      <c r="H768" s="44">
        <f t="shared" si="163"/>
        <v>0.27659574468085069</v>
      </c>
      <c r="I768" cm="1">
        <f t="array" ref="I768">INT(F768)+IF(100-SUM(INT(F$767:F$781))&gt;=RANK(H768,H$767:H$781)+COUNTIF(H$767:H768,H768)-1,1,0)</f>
        <v>21</v>
      </c>
      <c r="J768" t="b">
        <f t="shared" si="164"/>
        <v>0</v>
      </c>
      <c r="K768" t="str">
        <f t="shared" si="165"/>
        <v/>
      </c>
      <c r="L768">
        <f>_xlfn.XLOOKUP(D768,BugList!C:C,BugList!N:N)</f>
        <v>5</v>
      </c>
      <c r="M768">
        <f t="shared" si="166"/>
        <v>105</v>
      </c>
      <c r="N768" t="b">
        <f>_xlfn.XLOOKUP(D768,BugList!C:C,BugList!L:L)</f>
        <v>1</v>
      </c>
      <c r="O768" t="b">
        <f t="shared" si="167"/>
        <v>0</v>
      </c>
      <c r="P768" s="18" t="b">
        <f>SUMPRODUCT(COUNTIF(_xlfn.XLOOKUP(D768,BugList!C:C,BugList!P:P), "*SC*"))&gt;0</f>
        <v>0</v>
      </c>
    </row>
    <row r="769" spans="1:16">
      <c r="A769" t="s">
        <v>2811</v>
      </c>
      <c r="B769">
        <v>126</v>
      </c>
      <c r="C769" s="34" t="s">
        <v>200</v>
      </c>
      <c r="D769" s="34" t="s">
        <v>100</v>
      </c>
      <c r="E769" s="83">
        <v>9</v>
      </c>
      <c r="F769" s="43">
        <f t="shared" si="161"/>
        <v>6.3829787234042552</v>
      </c>
      <c r="G769" s="44">
        <f t="shared" si="162"/>
        <v>6</v>
      </c>
      <c r="H769" s="44">
        <f t="shared" si="163"/>
        <v>0.38297872340425521</v>
      </c>
      <c r="I769" cm="1">
        <f t="array" ref="I769">INT(F769)+IF(100-SUM(INT(F$767:F$781))&gt;=RANK(H769,H$767:H$781)+COUNTIF(H$767:H769,H769)-1,1,0)</f>
        <v>6</v>
      </c>
      <c r="J769" t="b">
        <f t="shared" si="164"/>
        <v>0</v>
      </c>
      <c r="K769" t="str">
        <f t="shared" si="165"/>
        <v/>
      </c>
      <c r="L769">
        <f>_xlfn.XLOOKUP(D769,BugList!C:C,BugList!N:N)</f>
        <v>4</v>
      </c>
      <c r="M769">
        <f t="shared" si="166"/>
        <v>24</v>
      </c>
      <c r="N769" t="b">
        <f>_xlfn.XLOOKUP(D769,BugList!C:C,BugList!L:L)</f>
        <v>1</v>
      </c>
      <c r="O769" t="b">
        <f t="shared" si="167"/>
        <v>0</v>
      </c>
      <c r="P769" s="18" t="b">
        <f>SUMPRODUCT(COUNTIF(_xlfn.XLOOKUP(D769,BugList!C:C,BugList!P:P), "*SC*"))&gt;0</f>
        <v>1</v>
      </c>
    </row>
    <row r="770" spans="1:16">
      <c r="A770" t="s">
        <v>2811</v>
      </c>
      <c r="B770">
        <v>126</v>
      </c>
      <c r="C770" s="34" t="s">
        <v>194</v>
      </c>
      <c r="D770" s="34" t="s">
        <v>90</v>
      </c>
      <c r="E770" s="83">
        <v>3</v>
      </c>
      <c r="F770" s="43">
        <f t="shared" si="161"/>
        <v>2.1276595744680851</v>
      </c>
      <c r="G770" s="44">
        <f t="shared" si="162"/>
        <v>2</v>
      </c>
      <c r="H770" s="44">
        <f t="shared" si="163"/>
        <v>0.12765957446808507</v>
      </c>
      <c r="I770" cm="1">
        <f t="array" ref="I770">INT(F770)+IF(100-SUM(INT(F$767:F$781))&gt;=RANK(H770,H$767:H$781)+COUNTIF(H$767:H770,H770)-1,1,0)</f>
        <v>2</v>
      </c>
      <c r="J770" t="b">
        <f t="shared" si="164"/>
        <v>0</v>
      </c>
      <c r="K770" t="str">
        <f t="shared" si="165"/>
        <v/>
      </c>
      <c r="L770">
        <f>_xlfn.XLOOKUP(D770,BugList!C:C,BugList!N:N)</f>
        <v>6</v>
      </c>
      <c r="M770">
        <f t="shared" si="166"/>
        <v>12</v>
      </c>
      <c r="N770" t="b">
        <f>_xlfn.XLOOKUP(D770,BugList!C:C,BugList!L:L)</f>
        <v>1</v>
      </c>
      <c r="O770" t="b">
        <f t="shared" si="167"/>
        <v>0</v>
      </c>
      <c r="P770" s="18" t="b">
        <f>SUMPRODUCT(COUNTIF(_xlfn.XLOOKUP(D770,BugList!C:C,BugList!P:P), "*SC*"))&gt;0</f>
        <v>0</v>
      </c>
    </row>
    <row r="771" spans="1:16">
      <c r="A771" t="s">
        <v>2811</v>
      </c>
      <c r="B771">
        <v>126</v>
      </c>
      <c r="C771" s="34" t="s">
        <v>199</v>
      </c>
      <c r="D771" s="34" t="s">
        <v>154</v>
      </c>
      <c r="E771" s="83">
        <v>4</v>
      </c>
      <c r="F771" s="43">
        <f t="shared" si="161"/>
        <v>2.8368794326241136</v>
      </c>
      <c r="G771" s="44">
        <f t="shared" si="162"/>
        <v>2</v>
      </c>
      <c r="H771" s="44">
        <f t="shared" si="163"/>
        <v>0.83687943262411357</v>
      </c>
      <c r="I771" cm="1">
        <f t="array" ref="I771">INT(F771)+IF(100-SUM(INT(F$767:F$781))&gt;=RANK(H771,H$767:H$781)+COUNTIF(H$767:H771,H771)-1,1,0)</f>
        <v>3</v>
      </c>
      <c r="J771" t="b">
        <f t="shared" si="164"/>
        <v>1</v>
      </c>
      <c r="K771" t="str">
        <f t="shared" si="165"/>
        <v>Ephemeroptera</v>
      </c>
      <c r="L771">
        <f>_xlfn.XLOOKUP(D771,BugList!C:C,BugList!N:N)</f>
        <v>7</v>
      </c>
      <c r="M771">
        <f t="shared" si="166"/>
        <v>21</v>
      </c>
      <c r="N771" t="b">
        <f>_xlfn.XLOOKUP(D771,BugList!C:C,BugList!L:L)</f>
        <v>1</v>
      </c>
      <c r="O771" t="b">
        <f t="shared" si="167"/>
        <v>1</v>
      </c>
      <c r="P771" s="18" t="b">
        <f>SUMPRODUCT(COUNTIF(_xlfn.XLOOKUP(D771,BugList!C:C,BugList!P:P), "*SC*"))&gt;0</f>
        <v>0</v>
      </c>
    </row>
    <row r="772" spans="1:16">
      <c r="A772" t="s">
        <v>2811</v>
      </c>
      <c r="B772">
        <v>126</v>
      </c>
      <c r="C772" s="34" t="s">
        <v>195</v>
      </c>
      <c r="D772" s="34" t="s">
        <v>97</v>
      </c>
      <c r="E772" s="83">
        <v>2</v>
      </c>
      <c r="F772" s="43">
        <f t="shared" si="161"/>
        <v>1.4184397163120568</v>
      </c>
      <c r="G772" s="44">
        <f t="shared" si="162"/>
        <v>1</v>
      </c>
      <c r="H772" s="44">
        <f t="shared" si="163"/>
        <v>0.41843971631205679</v>
      </c>
      <c r="I772" cm="1">
        <f t="array" ref="I772">INT(F772)+IF(100-SUM(INT(F$767:F$781))&gt;=RANK(H772,H$767:H$781)+COUNTIF(H$767:H772,H772)-1,1,0)</f>
        <v>2</v>
      </c>
      <c r="J772" t="b">
        <f t="shared" si="164"/>
        <v>0</v>
      </c>
      <c r="K772" t="str">
        <f t="shared" si="165"/>
        <v/>
      </c>
      <c r="L772">
        <f>_xlfn.XLOOKUP(D772,BugList!C:C,BugList!N:N)</f>
        <v>9</v>
      </c>
      <c r="M772">
        <f t="shared" si="166"/>
        <v>18</v>
      </c>
      <c r="N772" t="b">
        <f>_xlfn.XLOOKUP(D772,BugList!C:C,BugList!L:L)</f>
        <v>1</v>
      </c>
      <c r="O772" t="b">
        <f t="shared" si="167"/>
        <v>0</v>
      </c>
      <c r="P772" s="18" t="b">
        <f>SUMPRODUCT(COUNTIF(_xlfn.XLOOKUP(D772,BugList!C:C,BugList!P:P), "*SC*"))&gt;0</f>
        <v>0</v>
      </c>
    </row>
    <row r="773" spans="1:16">
      <c r="A773" t="s">
        <v>2811</v>
      </c>
      <c r="B773">
        <v>126</v>
      </c>
      <c r="C773" s="34" t="s">
        <v>195</v>
      </c>
      <c r="D773" s="34" t="s">
        <v>113</v>
      </c>
      <c r="E773" s="83">
        <v>1</v>
      </c>
      <c r="F773" s="43">
        <f t="shared" si="161"/>
        <v>0.70921985815602839</v>
      </c>
      <c r="G773" s="44">
        <f t="shared" si="162"/>
        <v>0</v>
      </c>
      <c r="H773" s="44">
        <f t="shared" si="163"/>
        <v>0.70921985815602839</v>
      </c>
      <c r="I773" cm="1">
        <f t="array" ref="I773">INT(F773)+IF(100-SUM(INT(F$767:F$781))&gt;=RANK(H773,H$767:H$781)+COUNTIF(H$767:H773,H773)-1,1,0)</f>
        <v>1</v>
      </c>
      <c r="J773" t="b">
        <f t="shared" si="164"/>
        <v>0</v>
      </c>
      <c r="K773" t="str">
        <f t="shared" si="165"/>
        <v/>
      </c>
      <c r="L773">
        <f>_xlfn.XLOOKUP(D773,BugList!C:C,BugList!N:N)</f>
        <v>1</v>
      </c>
      <c r="M773">
        <f t="shared" si="166"/>
        <v>1</v>
      </c>
      <c r="N773" t="b">
        <f>_xlfn.XLOOKUP(D773,BugList!C:C,BugList!L:L)</f>
        <v>1</v>
      </c>
      <c r="O773" t="b">
        <f t="shared" si="167"/>
        <v>0</v>
      </c>
      <c r="P773" s="18" t="b">
        <f>SUMPRODUCT(COUNTIF(_xlfn.XLOOKUP(D773,BugList!C:C,BugList!P:P), "*SC*"))&gt;0</f>
        <v>0</v>
      </c>
    </row>
    <row r="774" spans="1:16">
      <c r="A774" t="s">
        <v>2811</v>
      </c>
      <c r="B774">
        <v>126</v>
      </c>
      <c r="C774" s="34" t="s">
        <v>198</v>
      </c>
      <c r="D774" s="34" t="s">
        <v>89</v>
      </c>
      <c r="E774" s="83">
        <v>1</v>
      </c>
      <c r="F774" s="43">
        <f t="shared" si="161"/>
        <v>0.70921985815602839</v>
      </c>
      <c r="G774" s="44">
        <f t="shared" si="162"/>
        <v>0</v>
      </c>
      <c r="H774" s="44">
        <f t="shared" si="163"/>
        <v>0.70921985815602839</v>
      </c>
      <c r="I774" cm="1">
        <f t="array" ref="I774">INT(F774)+IF(100-SUM(INT(F$767:F$781))&gt;=RANK(H774,H$767:H$781)+COUNTIF(H$767:H774,H774)-1,1,0)</f>
        <v>1</v>
      </c>
      <c r="J774" t="b">
        <f t="shared" si="164"/>
        <v>1</v>
      </c>
      <c r="K774" t="str">
        <f t="shared" si="165"/>
        <v>Trichoptera</v>
      </c>
      <c r="L774">
        <f>_xlfn.XLOOKUP(D774,BugList!C:C,BugList!N:N)</f>
        <v>4</v>
      </c>
      <c r="M774">
        <f t="shared" si="166"/>
        <v>4</v>
      </c>
      <c r="N774" t="b">
        <f>_xlfn.XLOOKUP(D774,BugList!C:C,BugList!L:L)</f>
        <v>1</v>
      </c>
      <c r="O774" t="b">
        <f t="shared" si="167"/>
        <v>0</v>
      </c>
      <c r="P774" s="18" t="b">
        <f>SUMPRODUCT(COUNTIF(_xlfn.XLOOKUP(D774,BugList!C:C,BugList!P:P), "*SC*"))&gt;0</f>
        <v>0</v>
      </c>
    </row>
    <row r="775" spans="1:16">
      <c r="A775" t="s">
        <v>2811</v>
      </c>
      <c r="B775">
        <v>126</v>
      </c>
      <c r="C775" s="34" t="s">
        <v>198</v>
      </c>
      <c r="D775" s="34" t="s">
        <v>163</v>
      </c>
      <c r="E775" s="83">
        <v>2</v>
      </c>
      <c r="F775" s="43">
        <f t="shared" si="161"/>
        <v>1.4184397163120568</v>
      </c>
      <c r="G775" s="44">
        <f t="shared" si="162"/>
        <v>1</v>
      </c>
      <c r="H775" s="44">
        <f t="shared" si="163"/>
        <v>0.41843971631205679</v>
      </c>
      <c r="I775" cm="1">
        <f t="array" ref="I775">INT(F775)+IF(100-SUM(INT(F$767:F$781))&gt;=RANK(H775,H$767:H$781)+COUNTIF(H$767:H775,H775)-1,1,0)</f>
        <v>1</v>
      </c>
      <c r="J775" t="b">
        <f t="shared" si="164"/>
        <v>1</v>
      </c>
      <c r="K775" t="str">
        <f t="shared" si="165"/>
        <v>Trichoptera</v>
      </c>
      <c r="L775">
        <f>_xlfn.XLOOKUP(D775,BugList!C:C,BugList!N:N)</f>
        <v>6</v>
      </c>
      <c r="M775">
        <f t="shared" si="166"/>
        <v>6</v>
      </c>
      <c r="N775" t="b">
        <f>_xlfn.XLOOKUP(D775,BugList!C:C,BugList!L:L)</f>
        <v>1</v>
      </c>
      <c r="O775" t="b">
        <f t="shared" si="167"/>
        <v>1</v>
      </c>
      <c r="P775" s="18" t="b">
        <f>SUMPRODUCT(COUNTIF(_xlfn.XLOOKUP(D775,BugList!C:C,BugList!P:P), "*SC*"))&gt;0</f>
        <v>0</v>
      </c>
    </row>
    <row r="776" spans="1:16">
      <c r="A776" t="s">
        <v>2811</v>
      </c>
      <c r="B776">
        <v>126</v>
      </c>
      <c r="C776" s="34" t="s">
        <v>204</v>
      </c>
      <c r="D776" s="34" t="s">
        <v>84</v>
      </c>
      <c r="E776" s="83">
        <v>2</v>
      </c>
      <c r="F776" s="43">
        <f t="shared" si="161"/>
        <v>1.4184397163120568</v>
      </c>
      <c r="G776" s="44">
        <f t="shared" si="162"/>
        <v>1</v>
      </c>
      <c r="H776" s="44">
        <f t="shared" si="163"/>
        <v>0.41843971631205679</v>
      </c>
      <c r="I776" cm="1">
        <f t="array" ref="I776">INT(F776)+IF(100-SUM(INT(F$767:F$781))&gt;=RANK(H776,H$767:H$781)+COUNTIF(H$767:H776,H776)-1,1,0)</f>
        <v>1</v>
      </c>
      <c r="J776" t="b">
        <f t="shared" si="164"/>
        <v>0</v>
      </c>
      <c r="K776" t="str">
        <f t="shared" si="165"/>
        <v/>
      </c>
      <c r="L776">
        <f>_xlfn.XLOOKUP(D776,BugList!C:C,BugList!N:N)</f>
        <v>8</v>
      </c>
      <c r="M776">
        <f t="shared" si="166"/>
        <v>8</v>
      </c>
      <c r="N776" t="b">
        <f>_xlfn.XLOOKUP(D776,BugList!C:C,BugList!L:L)</f>
        <v>0</v>
      </c>
      <c r="O776" t="b">
        <f t="shared" si="167"/>
        <v>0</v>
      </c>
      <c r="P776" s="18" t="b">
        <f>SUMPRODUCT(COUNTIF(_xlfn.XLOOKUP(D776,BugList!C:C,BugList!P:P), "*SC*"))&gt;0</f>
        <v>0</v>
      </c>
    </row>
    <row r="777" spans="1:16">
      <c r="A777" t="s">
        <v>2811</v>
      </c>
      <c r="B777">
        <v>126</v>
      </c>
      <c r="C777" s="34" t="s">
        <v>201</v>
      </c>
      <c r="D777" s="34" t="s">
        <v>85</v>
      </c>
      <c r="E777" s="83">
        <v>7</v>
      </c>
      <c r="F777" s="43">
        <f t="shared" si="161"/>
        <v>4.9645390070921991</v>
      </c>
      <c r="G777" s="44">
        <f t="shared" si="162"/>
        <v>4</v>
      </c>
      <c r="H777" s="44">
        <f t="shared" si="163"/>
        <v>0.96453900709219909</v>
      </c>
      <c r="I777" cm="1">
        <f t="array" ref="I777">INT(F777)+IF(100-SUM(INT(F$767:F$781))&gt;=RANK(H777,H$767:H$781)+COUNTIF(H$767:H777,H777)-1,1,0)</f>
        <v>5</v>
      </c>
      <c r="J777" t="b">
        <f t="shared" si="164"/>
        <v>0</v>
      </c>
      <c r="K777" t="str">
        <f t="shared" si="165"/>
        <v/>
      </c>
      <c r="L777">
        <f>_xlfn.XLOOKUP(D777,BugList!C:C,BugList!N:N)</f>
        <v>4</v>
      </c>
      <c r="M777">
        <f t="shared" si="166"/>
        <v>20</v>
      </c>
      <c r="N777" t="b">
        <f>_xlfn.XLOOKUP(D777,BugList!C:C,BugList!L:L)</f>
        <v>0</v>
      </c>
      <c r="O777" t="b">
        <f t="shared" si="167"/>
        <v>0</v>
      </c>
      <c r="P777" s="18" t="b">
        <f>SUMPRODUCT(COUNTIF(_xlfn.XLOOKUP(D777,BugList!C:C,BugList!P:P), "*SC*"))&gt;0</f>
        <v>0</v>
      </c>
    </row>
    <row r="778" spans="1:16">
      <c r="A778" t="s">
        <v>2811</v>
      </c>
      <c r="B778">
        <v>126</v>
      </c>
      <c r="C778" s="34" t="s">
        <v>210</v>
      </c>
      <c r="D778" s="34" t="s">
        <v>210</v>
      </c>
      <c r="E778" s="83">
        <v>1</v>
      </c>
      <c r="F778" s="43">
        <f t="shared" si="161"/>
        <v>0.70921985815602839</v>
      </c>
      <c r="G778" s="44">
        <f t="shared" si="162"/>
        <v>0</v>
      </c>
      <c r="H778" s="44">
        <f t="shared" si="163"/>
        <v>0.70921985815602839</v>
      </c>
      <c r="I778" cm="1">
        <f t="array" ref="I778">INT(F778)+IF(100-SUM(INT(F$767:F$781))&gt;=RANK(H778,H$767:H$781)+COUNTIF(H$767:H778,H778)-1,1,0)</f>
        <v>1</v>
      </c>
      <c r="J778" t="b">
        <f t="shared" si="164"/>
        <v>0</v>
      </c>
      <c r="K778" t="str">
        <f t="shared" si="165"/>
        <v/>
      </c>
      <c r="L778" s="71">
        <v>8</v>
      </c>
      <c r="M778">
        <f t="shared" si="166"/>
        <v>8</v>
      </c>
      <c r="N778" s="71" t="b">
        <v>0</v>
      </c>
      <c r="O778" t="b">
        <f t="shared" si="167"/>
        <v>0</v>
      </c>
      <c r="P778" s="72" t="b">
        <v>0</v>
      </c>
    </row>
    <row r="779" spans="1:16">
      <c r="A779" t="s">
        <v>2811</v>
      </c>
      <c r="B779">
        <v>126</v>
      </c>
      <c r="C779" s="34" t="s">
        <v>2315</v>
      </c>
      <c r="D779" s="34" t="s">
        <v>2315</v>
      </c>
      <c r="E779" s="83">
        <v>2</v>
      </c>
      <c r="F779" s="43">
        <f t="shared" si="161"/>
        <v>1.4184397163120568</v>
      </c>
      <c r="G779" s="44">
        <f t="shared" si="162"/>
        <v>1</v>
      </c>
      <c r="H779" s="44">
        <f t="shared" si="163"/>
        <v>0.41843971631205679</v>
      </c>
      <c r="I779" cm="1">
        <f t="array" ref="I779">INT(F779)+IF(100-SUM(INT(F$767:F$781))&gt;=RANK(H779,H$767:H$781)+COUNTIF(H$767:H779,H779)-1,1,0)</f>
        <v>1</v>
      </c>
      <c r="J779" t="b">
        <f t="shared" si="164"/>
        <v>0</v>
      </c>
      <c r="K779" t="str">
        <f t="shared" si="165"/>
        <v/>
      </c>
      <c r="L779">
        <f>_xlfn.XLOOKUP(D779,BugList!C:C,BugList!N:N)</f>
        <v>7</v>
      </c>
      <c r="M779">
        <f t="shared" si="166"/>
        <v>7</v>
      </c>
      <c r="N779" t="b">
        <f>_xlfn.XLOOKUP(D779,BugList!C:C,BugList!L:L)</f>
        <v>0</v>
      </c>
      <c r="O779" t="b">
        <f t="shared" si="167"/>
        <v>0</v>
      </c>
      <c r="P779" s="18" t="b">
        <f>SUMPRODUCT(COUNTIF(_xlfn.XLOOKUP(D779,BugList!C:C,BugList!P:P), "*SC*"))&gt;0</f>
        <v>1</v>
      </c>
    </row>
    <row r="780" spans="1:16">
      <c r="A780" t="s">
        <v>2811</v>
      </c>
      <c r="B780">
        <v>126</v>
      </c>
      <c r="C780" s="34" t="s">
        <v>205</v>
      </c>
      <c r="D780" s="34" t="s">
        <v>206</v>
      </c>
      <c r="E780" s="83">
        <v>8</v>
      </c>
      <c r="F780" s="43">
        <f t="shared" si="161"/>
        <v>5.6737588652482271</v>
      </c>
      <c r="G780" s="44">
        <f t="shared" si="162"/>
        <v>5</v>
      </c>
      <c r="H780" s="44">
        <f t="shared" si="163"/>
        <v>0.67375886524822715</v>
      </c>
      <c r="I780" cm="1">
        <f t="array" ref="I780">INT(F780)+IF(100-SUM(INT(F$767:F$781))&gt;=RANK(H780,H$767:H$781)+COUNTIF(H$767:H780,H780)-1,1,0)</f>
        <v>6</v>
      </c>
      <c r="J780" t="b">
        <f t="shared" si="164"/>
        <v>0</v>
      </c>
      <c r="K780" t="str">
        <f t="shared" si="165"/>
        <v/>
      </c>
      <c r="L780" s="71">
        <v>8</v>
      </c>
      <c r="M780">
        <f t="shared" si="166"/>
        <v>48</v>
      </c>
      <c r="N780" s="71" t="b">
        <v>0</v>
      </c>
      <c r="O780" t="b">
        <f t="shared" si="167"/>
        <v>0</v>
      </c>
      <c r="P780" s="72" t="b">
        <v>0</v>
      </c>
    </row>
    <row r="781" spans="1:16">
      <c r="A781" t="s">
        <v>2811</v>
      </c>
      <c r="B781">
        <v>126</v>
      </c>
      <c r="C781" s="34" t="s">
        <v>94</v>
      </c>
      <c r="D781" s="34" t="s">
        <v>94</v>
      </c>
      <c r="E781" s="83">
        <v>6</v>
      </c>
      <c r="F781" s="43">
        <f t="shared" si="161"/>
        <v>4.2553191489361701</v>
      </c>
      <c r="G781" s="44">
        <f t="shared" si="162"/>
        <v>4</v>
      </c>
      <c r="H781" s="44">
        <f t="shared" si="163"/>
        <v>0.25531914893617014</v>
      </c>
      <c r="I781" cm="1">
        <f t="array" ref="I781">INT(F781)+IF(100-SUM(INT(F$767:F$781))&gt;=RANK(H781,H$767:H$781)+COUNTIF(H$767:H781,H781)-1,1,0)</f>
        <v>4</v>
      </c>
      <c r="J781" t="b">
        <f t="shared" si="164"/>
        <v>0</v>
      </c>
      <c r="K781" t="str">
        <f t="shared" si="165"/>
        <v/>
      </c>
      <c r="L781">
        <f>_xlfn.XLOOKUP(D781,BugList!C:C,BugList!N:N)</f>
        <v>8</v>
      </c>
      <c r="M781">
        <f t="shared" si="166"/>
        <v>32</v>
      </c>
      <c r="N781" t="b">
        <f>_xlfn.XLOOKUP(D781,BugList!C:C,BugList!L:L)</f>
        <v>0</v>
      </c>
      <c r="O781" t="b">
        <f t="shared" si="167"/>
        <v>0</v>
      </c>
      <c r="P781" s="18" t="b">
        <f>SUMPRODUCT(COUNTIF(_xlfn.XLOOKUP(D781,BugList!C:C,BugList!P:P), "*SC*"))&gt;0</f>
        <v>0</v>
      </c>
    </row>
    <row r="782" spans="1:16">
      <c r="A782" t="s">
        <v>2812</v>
      </c>
      <c r="B782">
        <v>135</v>
      </c>
      <c r="C782" s="34" t="s">
        <v>200</v>
      </c>
      <c r="D782" s="34" t="s">
        <v>98</v>
      </c>
      <c r="E782" s="83">
        <v>75</v>
      </c>
      <c r="F782" s="43">
        <f t="shared" si="161"/>
        <v>55.147058823529413</v>
      </c>
      <c r="G782" s="44">
        <f t="shared" si="162"/>
        <v>55</v>
      </c>
      <c r="H782" s="44">
        <f t="shared" si="163"/>
        <v>0.14705882352941302</v>
      </c>
      <c r="I782" cm="1">
        <f t="array" ref="I782">INT(F782)+IF(100-SUM(INT(F$782:F$792))&gt;=RANK(H782,H$782:H$792)+COUNTIF(H$782:H782,H782)-1,1,0)</f>
        <v>55</v>
      </c>
      <c r="J782" t="b">
        <f t="shared" si="164"/>
        <v>0</v>
      </c>
      <c r="K782" t="str">
        <f t="shared" si="165"/>
        <v/>
      </c>
      <c r="L782">
        <f>_xlfn.XLOOKUP(D782,BugList!C:C,BugList!N:N)</f>
        <v>4</v>
      </c>
      <c r="M782">
        <f t="shared" si="166"/>
        <v>220</v>
      </c>
      <c r="N782" t="b">
        <f>_xlfn.XLOOKUP(D782,BugList!C:C,BugList!L:L)</f>
        <v>1</v>
      </c>
      <c r="O782" t="b">
        <f t="shared" si="167"/>
        <v>0</v>
      </c>
      <c r="P782" s="18" t="b">
        <f>SUMPRODUCT(COUNTIF(_xlfn.XLOOKUP(D782,BugList!C:C,BugList!P:P), "*SC*"))&gt;0</f>
        <v>1</v>
      </c>
    </row>
    <row r="783" spans="1:16">
      <c r="A783" t="s">
        <v>2812</v>
      </c>
      <c r="B783">
        <v>135</v>
      </c>
      <c r="C783" s="34" t="s">
        <v>200</v>
      </c>
      <c r="D783" s="34" t="s">
        <v>100</v>
      </c>
      <c r="E783" s="83">
        <v>13</v>
      </c>
      <c r="F783" s="43">
        <f t="shared" si="161"/>
        <v>9.5588235294117645</v>
      </c>
      <c r="G783" s="44">
        <f t="shared" si="162"/>
        <v>9</v>
      </c>
      <c r="H783" s="44">
        <f t="shared" si="163"/>
        <v>0.5588235294117645</v>
      </c>
      <c r="I783" cm="1">
        <f t="array" ref="I783">INT(F783)+IF(100-SUM(INT(F$782:F$792))&gt;=RANK(H783,H$782:H$792)+COUNTIF(H$782:H783,H783)-1,1,0)</f>
        <v>10</v>
      </c>
      <c r="J783" t="b">
        <f t="shared" si="164"/>
        <v>0</v>
      </c>
      <c r="K783" t="str">
        <f t="shared" si="165"/>
        <v/>
      </c>
      <c r="L783">
        <f>_xlfn.XLOOKUP(D783,BugList!C:C,BugList!N:N)</f>
        <v>4</v>
      </c>
      <c r="M783">
        <f t="shared" si="166"/>
        <v>40</v>
      </c>
      <c r="N783" t="b">
        <f>_xlfn.XLOOKUP(D783,BugList!C:C,BugList!L:L)</f>
        <v>1</v>
      </c>
      <c r="O783" t="b">
        <f t="shared" si="167"/>
        <v>0</v>
      </c>
      <c r="P783" s="18" t="b">
        <f>SUMPRODUCT(COUNTIF(_xlfn.XLOOKUP(D783,BugList!C:C,BugList!P:P), "*SC*"))&gt;0</f>
        <v>1</v>
      </c>
    </row>
    <row r="784" spans="1:16">
      <c r="A784" t="s">
        <v>2812</v>
      </c>
      <c r="B784">
        <v>135</v>
      </c>
      <c r="C784" s="34" t="s">
        <v>194</v>
      </c>
      <c r="D784" s="34" t="s">
        <v>90</v>
      </c>
      <c r="E784" s="83">
        <v>6</v>
      </c>
      <c r="F784" s="43">
        <f t="shared" si="161"/>
        <v>4.4117647058823533</v>
      </c>
      <c r="G784" s="44">
        <f t="shared" si="162"/>
        <v>4</v>
      </c>
      <c r="H784" s="44">
        <f t="shared" si="163"/>
        <v>0.41176470588235325</v>
      </c>
      <c r="I784" cm="1">
        <f t="array" ref="I784">INT(F784)+IF(100-SUM(INT(F$782:F$792))&gt;=RANK(H784,H$782:H$792)+COUNTIF(H$782:H784,H784)-1,1,0)</f>
        <v>4</v>
      </c>
      <c r="J784" t="b">
        <f t="shared" si="164"/>
        <v>0</v>
      </c>
      <c r="K784" t="str">
        <f t="shared" si="165"/>
        <v/>
      </c>
      <c r="L784">
        <f>_xlfn.XLOOKUP(D784,BugList!C:C,BugList!N:N)</f>
        <v>6</v>
      </c>
      <c r="M784">
        <f t="shared" si="166"/>
        <v>24</v>
      </c>
      <c r="N784" t="b">
        <f>_xlfn.XLOOKUP(D784,BugList!C:C,BugList!L:L)</f>
        <v>1</v>
      </c>
      <c r="O784" t="b">
        <f t="shared" si="167"/>
        <v>0</v>
      </c>
      <c r="P784" s="18" t="b">
        <f>SUMPRODUCT(COUNTIF(_xlfn.XLOOKUP(D784,BugList!C:C,BugList!P:P), "*SC*"))&gt;0</f>
        <v>0</v>
      </c>
    </row>
    <row r="785" spans="1:16">
      <c r="A785" t="s">
        <v>2812</v>
      </c>
      <c r="B785">
        <v>135</v>
      </c>
      <c r="C785" s="34" t="s">
        <v>194</v>
      </c>
      <c r="D785" s="34" t="s">
        <v>101</v>
      </c>
      <c r="E785" s="83">
        <v>2</v>
      </c>
      <c r="F785" s="43">
        <f t="shared" si="161"/>
        <v>1.4705882352941175</v>
      </c>
      <c r="G785" s="44">
        <f t="shared" si="162"/>
        <v>1</v>
      </c>
      <c r="H785" s="44">
        <f t="shared" si="163"/>
        <v>0.47058823529411753</v>
      </c>
      <c r="I785" cm="1">
        <f t="array" ref="I785">INT(F785)+IF(100-SUM(INT(F$782:F$792))&gt;=RANK(H785,H$782:H$792)+COUNTIF(H$782:H785,H785)-1,1,0)</f>
        <v>2</v>
      </c>
      <c r="J785" t="b">
        <f t="shared" si="164"/>
        <v>0</v>
      </c>
      <c r="K785" t="str">
        <f t="shared" si="165"/>
        <v/>
      </c>
      <c r="L785">
        <f>_xlfn.XLOOKUP(D785,BugList!C:C,BugList!N:N)</f>
        <v>6</v>
      </c>
      <c r="M785">
        <f t="shared" si="166"/>
        <v>12</v>
      </c>
      <c r="N785" t="b">
        <f>_xlfn.XLOOKUP(D785,BugList!C:C,BugList!L:L)</f>
        <v>1</v>
      </c>
      <c r="O785" t="b">
        <f t="shared" si="167"/>
        <v>0</v>
      </c>
      <c r="P785" s="18" t="b">
        <f>SUMPRODUCT(COUNTIF(_xlfn.XLOOKUP(D785,BugList!C:C,BugList!P:P), "*SC*"))&gt;0</f>
        <v>0</v>
      </c>
    </row>
    <row r="786" spans="1:16">
      <c r="A786" t="s">
        <v>2812</v>
      </c>
      <c r="B786">
        <v>135</v>
      </c>
      <c r="C786" s="34" t="s">
        <v>194</v>
      </c>
      <c r="D786" s="34" t="s">
        <v>108</v>
      </c>
      <c r="E786" s="83">
        <v>1</v>
      </c>
      <c r="F786" s="43">
        <f t="shared" si="161"/>
        <v>0.73529411764705876</v>
      </c>
      <c r="G786" s="44">
        <f t="shared" si="162"/>
        <v>0</v>
      </c>
      <c r="H786" s="44">
        <f t="shared" si="163"/>
        <v>0.73529411764705876</v>
      </c>
      <c r="I786" cm="1">
        <f t="array" ref="I786">INT(F786)+IF(100-SUM(INT(F$782:F$792))&gt;=RANK(H786,H$782:H$792)+COUNTIF(H$782:H786,H786)-1,1,0)</f>
        <v>1</v>
      </c>
      <c r="J786" t="b">
        <f t="shared" si="164"/>
        <v>0</v>
      </c>
      <c r="K786" t="str">
        <f t="shared" si="165"/>
        <v/>
      </c>
      <c r="L786">
        <f>_xlfn.XLOOKUP(D786,BugList!C:C,BugList!N:N)</f>
        <v>3</v>
      </c>
      <c r="M786">
        <f t="shared" si="166"/>
        <v>3</v>
      </c>
      <c r="N786" t="b">
        <f>_xlfn.XLOOKUP(D786,BugList!C:C,BugList!L:L)</f>
        <v>1</v>
      </c>
      <c r="O786" t="b">
        <f t="shared" si="167"/>
        <v>0</v>
      </c>
      <c r="P786" s="18" t="b">
        <f>SUMPRODUCT(COUNTIF(_xlfn.XLOOKUP(D786,BugList!C:C,BugList!P:P), "*SC*"))&gt;0</f>
        <v>0</v>
      </c>
    </row>
    <row r="787" spans="1:16">
      <c r="A787" t="s">
        <v>2812</v>
      </c>
      <c r="B787">
        <v>135</v>
      </c>
      <c r="C787" s="34" t="s">
        <v>195</v>
      </c>
      <c r="D787" s="34" t="s">
        <v>97</v>
      </c>
      <c r="E787" s="83">
        <v>2</v>
      </c>
      <c r="F787" s="43">
        <f t="shared" si="161"/>
        <v>1.4705882352941175</v>
      </c>
      <c r="G787" s="44">
        <f t="shared" si="162"/>
        <v>1</v>
      </c>
      <c r="H787" s="44">
        <f t="shared" si="163"/>
        <v>0.47058823529411753</v>
      </c>
      <c r="I787" cm="1">
        <f t="array" ref="I787">INT(F787)+IF(100-SUM(INT(F$782:F$792))&gt;=RANK(H787,H$782:H$792)+COUNTIF(H$782:H787,H787)-1,1,0)</f>
        <v>1</v>
      </c>
      <c r="J787" t="b">
        <f t="shared" si="164"/>
        <v>0</v>
      </c>
      <c r="K787" t="str">
        <f t="shared" si="165"/>
        <v/>
      </c>
      <c r="L787">
        <f>_xlfn.XLOOKUP(D787,BugList!C:C,BugList!N:N)</f>
        <v>9</v>
      </c>
      <c r="M787">
        <f t="shared" si="166"/>
        <v>9</v>
      </c>
      <c r="N787" t="b">
        <f>_xlfn.XLOOKUP(D787,BugList!C:C,BugList!L:L)</f>
        <v>1</v>
      </c>
      <c r="O787" t="b">
        <f t="shared" si="167"/>
        <v>0</v>
      </c>
      <c r="P787" s="18" t="b">
        <f>SUMPRODUCT(COUNTIF(_xlfn.XLOOKUP(D787,BugList!C:C,BugList!P:P), "*SC*"))&gt;0</f>
        <v>0</v>
      </c>
    </row>
    <row r="788" spans="1:16">
      <c r="A788" t="s">
        <v>2812</v>
      </c>
      <c r="B788">
        <v>135</v>
      </c>
      <c r="C788" s="34" t="s">
        <v>198</v>
      </c>
      <c r="D788" s="34" t="s">
        <v>89</v>
      </c>
      <c r="E788" s="83">
        <v>3</v>
      </c>
      <c r="F788" s="43">
        <f t="shared" si="161"/>
        <v>2.2058823529411766</v>
      </c>
      <c r="G788" s="44">
        <f t="shared" si="162"/>
        <v>2</v>
      </c>
      <c r="H788" s="44">
        <f t="shared" si="163"/>
        <v>0.20588235294117663</v>
      </c>
      <c r="I788" cm="1">
        <f t="array" ref="I788">INT(F788)+IF(100-SUM(INT(F$782:F$792))&gt;=RANK(H788,H$782:H$792)+COUNTIF(H$782:H788,H788)-1,1,0)</f>
        <v>2</v>
      </c>
      <c r="J788" t="b">
        <f t="shared" si="164"/>
        <v>1</v>
      </c>
      <c r="K788" t="str">
        <f t="shared" si="165"/>
        <v>Trichoptera</v>
      </c>
      <c r="L788">
        <f>_xlfn.XLOOKUP(D788,BugList!C:C,BugList!N:N)</f>
        <v>4</v>
      </c>
      <c r="M788">
        <f t="shared" si="166"/>
        <v>8</v>
      </c>
      <c r="N788" t="b">
        <f>_xlfn.XLOOKUP(D788,BugList!C:C,BugList!L:L)</f>
        <v>1</v>
      </c>
      <c r="O788" t="b">
        <f t="shared" si="167"/>
        <v>0</v>
      </c>
      <c r="P788" s="18" t="b">
        <f>SUMPRODUCT(COUNTIF(_xlfn.XLOOKUP(D788,BugList!C:C,BugList!P:P), "*SC*"))&gt;0</f>
        <v>0</v>
      </c>
    </row>
    <row r="789" spans="1:16">
      <c r="A789" t="s">
        <v>2812</v>
      </c>
      <c r="B789">
        <v>135</v>
      </c>
      <c r="C789" s="34" t="s">
        <v>204</v>
      </c>
      <c r="D789" s="34" t="s">
        <v>84</v>
      </c>
      <c r="E789" s="83">
        <v>5</v>
      </c>
      <c r="F789" s="43">
        <f t="shared" si="161"/>
        <v>3.6764705882352944</v>
      </c>
      <c r="G789" s="44">
        <f t="shared" si="162"/>
        <v>3</v>
      </c>
      <c r="H789" s="44">
        <f t="shared" si="163"/>
        <v>0.67647058823529438</v>
      </c>
      <c r="I789" cm="1">
        <f t="array" ref="I789">INT(F789)+IF(100-SUM(INT(F$782:F$792))&gt;=RANK(H789,H$782:H$792)+COUNTIF(H$782:H789,H789)-1,1,0)</f>
        <v>4</v>
      </c>
      <c r="J789" t="b">
        <f t="shared" si="164"/>
        <v>0</v>
      </c>
      <c r="K789" t="str">
        <f t="shared" si="165"/>
        <v/>
      </c>
      <c r="L789">
        <f>_xlfn.XLOOKUP(D789,BugList!C:C,BugList!N:N)</f>
        <v>8</v>
      </c>
      <c r="M789">
        <f t="shared" si="166"/>
        <v>32</v>
      </c>
      <c r="N789" t="b">
        <f>_xlfn.XLOOKUP(D789,BugList!C:C,BugList!L:L)</f>
        <v>0</v>
      </c>
      <c r="O789" t="b">
        <f t="shared" si="167"/>
        <v>0</v>
      </c>
      <c r="P789" s="18" t="b">
        <f>SUMPRODUCT(COUNTIF(_xlfn.XLOOKUP(D789,BugList!C:C,BugList!P:P), "*SC*"))&gt;0</f>
        <v>0</v>
      </c>
    </row>
    <row r="790" spans="1:16">
      <c r="A790" t="s">
        <v>2812</v>
      </c>
      <c r="B790">
        <v>135</v>
      </c>
      <c r="C790" s="34" t="s">
        <v>201</v>
      </c>
      <c r="D790" s="34" t="s">
        <v>85</v>
      </c>
      <c r="E790" s="83">
        <v>17</v>
      </c>
      <c r="F790" s="43">
        <f t="shared" si="161"/>
        <v>12.5</v>
      </c>
      <c r="G790" s="44">
        <f t="shared" si="162"/>
        <v>12</v>
      </c>
      <c r="H790" s="44">
        <f t="shared" si="163"/>
        <v>0.5</v>
      </c>
      <c r="I790" cm="1">
        <f t="array" ref="I790">INT(F790)+IF(100-SUM(INT(F$782:F$792))&gt;=RANK(H790,H$782:H$792)+COUNTIF(H$782:H790,H790)-1,1,0)</f>
        <v>13</v>
      </c>
      <c r="J790" t="b">
        <f t="shared" si="164"/>
        <v>0</v>
      </c>
      <c r="K790" t="str">
        <f t="shared" si="165"/>
        <v/>
      </c>
      <c r="L790">
        <f>_xlfn.XLOOKUP(D790,BugList!C:C,BugList!N:N)</f>
        <v>4</v>
      </c>
      <c r="M790">
        <f t="shared" si="166"/>
        <v>52</v>
      </c>
      <c r="N790" t="b">
        <f>_xlfn.XLOOKUP(D790,BugList!C:C,BugList!L:L)</f>
        <v>0</v>
      </c>
      <c r="O790" t="b">
        <f t="shared" si="167"/>
        <v>0</v>
      </c>
      <c r="P790" s="18" t="b">
        <f>SUMPRODUCT(COUNTIF(_xlfn.XLOOKUP(D790,BugList!C:C,BugList!P:P), "*SC*"))&gt;0</f>
        <v>0</v>
      </c>
    </row>
    <row r="791" spans="1:16">
      <c r="A791" t="s">
        <v>2812</v>
      </c>
      <c r="B791">
        <v>135</v>
      </c>
      <c r="C791" s="34" t="s">
        <v>205</v>
      </c>
      <c r="D791" s="34" t="s">
        <v>206</v>
      </c>
      <c r="E791" s="83">
        <v>2</v>
      </c>
      <c r="F791" s="43">
        <f t="shared" si="161"/>
        <v>1.4705882352941175</v>
      </c>
      <c r="G791" s="44">
        <f t="shared" si="162"/>
        <v>1</v>
      </c>
      <c r="H791" s="44">
        <f t="shared" si="163"/>
        <v>0.47058823529411753</v>
      </c>
      <c r="I791" cm="1">
        <f t="array" ref="I791">INT(F791)+IF(100-SUM(INT(F$782:F$792))&gt;=RANK(H791,H$782:H$792)+COUNTIF(H$782:H791,H791)-1,1,0)</f>
        <v>1</v>
      </c>
      <c r="J791" t="b">
        <f t="shared" si="164"/>
        <v>0</v>
      </c>
      <c r="K791" t="str">
        <f t="shared" si="165"/>
        <v/>
      </c>
      <c r="L791" s="71">
        <v>8</v>
      </c>
      <c r="M791">
        <f t="shared" ref="M791" si="168">L791*I791</f>
        <v>8</v>
      </c>
      <c r="N791" s="71" t="b">
        <v>0</v>
      </c>
      <c r="O791" t="b">
        <f t="shared" ref="O791" si="169">IF(J791=TRUE,IF(D791="Hydropsychidae", FALSE, TRUE), FALSE)</f>
        <v>0</v>
      </c>
      <c r="P791" s="72" t="b">
        <v>0</v>
      </c>
    </row>
    <row r="792" spans="1:16">
      <c r="A792" t="s">
        <v>2812</v>
      </c>
      <c r="B792">
        <v>135</v>
      </c>
      <c r="C792" s="34" t="s">
        <v>94</v>
      </c>
      <c r="D792" s="34" t="s">
        <v>94</v>
      </c>
      <c r="E792" s="83">
        <v>10</v>
      </c>
      <c r="F792" s="43">
        <f t="shared" si="161"/>
        <v>7.3529411764705888</v>
      </c>
      <c r="G792" s="44">
        <f t="shared" si="162"/>
        <v>7</v>
      </c>
      <c r="H792" s="44">
        <f t="shared" si="163"/>
        <v>0.35294117647058876</v>
      </c>
      <c r="I792" cm="1">
        <f t="array" ref="I792">INT(F792)+IF(100-SUM(INT(F$782:F$792))&gt;=RANK(H792,H$782:H$792)+COUNTIF(H$782:H792,H792)-1,1,0)</f>
        <v>7</v>
      </c>
      <c r="J792" t="b">
        <f t="shared" si="164"/>
        <v>0</v>
      </c>
      <c r="K792" t="str">
        <f t="shared" si="165"/>
        <v/>
      </c>
      <c r="L792">
        <f>_xlfn.XLOOKUP(D792,BugList!C:C,BugList!N:N)</f>
        <v>8</v>
      </c>
      <c r="M792">
        <f t="shared" si="166"/>
        <v>56</v>
      </c>
      <c r="N792" t="b">
        <f>_xlfn.XLOOKUP(D792,BugList!C:C,BugList!L:L)</f>
        <v>0</v>
      </c>
      <c r="O792" t="b">
        <f t="shared" si="167"/>
        <v>0</v>
      </c>
      <c r="P792" s="18" t="b">
        <f>SUMPRODUCT(COUNTIF(_xlfn.XLOOKUP(D792,BugList!C:C,BugList!P:P), "*SC*"))&gt;0</f>
        <v>0</v>
      </c>
    </row>
    <row r="793" spans="1:16">
      <c r="A793" t="s">
        <v>2813</v>
      </c>
      <c r="B793">
        <v>158</v>
      </c>
      <c r="C793" s="34" t="s">
        <v>200</v>
      </c>
      <c r="D793" s="34" t="s">
        <v>98</v>
      </c>
      <c r="E793" s="83">
        <v>48</v>
      </c>
      <c r="F793" s="43">
        <f t="shared" si="161"/>
        <v>29.629629629629626</v>
      </c>
      <c r="G793" s="44">
        <f t="shared" ref="G793:G801" si="170">INT(F793)</f>
        <v>29</v>
      </c>
      <c r="H793" s="44">
        <f t="shared" ref="H793:H801" si="171">F793-G793</f>
        <v>0.62962962962962621</v>
      </c>
      <c r="I793" cm="1">
        <f t="array" ref="I793">INT(F793)+IF(100-SUM(INT(F$793:F$801))&gt;=RANK(H793,H$793:H$801)+COUNTIF(H$793:H793,H793)-1,1,0)</f>
        <v>30</v>
      </c>
      <c r="J793" t="b">
        <f t="shared" ref="J793:J801" si="172">IF(OR(C793="Ephemeroptera", C793 ="Plecoptera", C793= "Trichoptera"), TRUE, FALSE)</f>
        <v>0</v>
      </c>
      <c r="K793" t="str">
        <f t="shared" ref="K793:K801" si="173">IF(J793=TRUE,C793,"")</f>
        <v/>
      </c>
      <c r="L793">
        <f>_xlfn.XLOOKUP(D793,BugList!C:C,BugList!N:N)</f>
        <v>4</v>
      </c>
      <c r="M793">
        <f t="shared" ref="M793:M801" si="174">L793*I793</f>
        <v>120</v>
      </c>
      <c r="N793" t="b">
        <f>_xlfn.XLOOKUP(D793,BugList!C:C,BugList!L:L)</f>
        <v>1</v>
      </c>
      <c r="O793" t="b">
        <f t="shared" ref="O793:O801" si="175">IF(J793=TRUE,IF(D793="Hydropsychidae", FALSE, TRUE), FALSE)</f>
        <v>0</v>
      </c>
      <c r="P793" s="18" t="b">
        <f>SUMPRODUCT(COUNTIF(_xlfn.XLOOKUP(D793,BugList!C:C,BugList!P:P), "*SC*"))&gt;0</f>
        <v>1</v>
      </c>
    </row>
    <row r="794" spans="1:16">
      <c r="A794" t="s">
        <v>2813</v>
      </c>
      <c r="B794">
        <v>158</v>
      </c>
      <c r="C794" s="34" t="s">
        <v>200</v>
      </c>
      <c r="D794" s="34" t="s">
        <v>100</v>
      </c>
      <c r="E794" s="83">
        <v>9</v>
      </c>
      <c r="F794" s="43">
        <f t="shared" si="161"/>
        <v>5.5555555555555554</v>
      </c>
      <c r="G794" s="44">
        <f t="shared" si="170"/>
        <v>5</v>
      </c>
      <c r="H794" s="44">
        <f t="shared" si="171"/>
        <v>0.55555555555555536</v>
      </c>
      <c r="I794" cm="1">
        <f t="array" ref="I794">INT(F794)+IF(100-SUM(INT(F$793:F$801))&gt;=RANK(H794,H$793:H$801)+COUNTIF(H$793:H794,H794)-1,1,0)</f>
        <v>5</v>
      </c>
      <c r="J794" t="b">
        <f t="shared" si="172"/>
        <v>0</v>
      </c>
      <c r="K794" t="str">
        <f t="shared" si="173"/>
        <v/>
      </c>
      <c r="L794">
        <f>_xlfn.XLOOKUP(D794,BugList!C:C,BugList!N:N)</f>
        <v>4</v>
      </c>
      <c r="M794">
        <f t="shared" si="174"/>
        <v>20</v>
      </c>
      <c r="N794" t="b">
        <f>_xlfn.XLOOKUP(D794,BugList!C:C,BugList!L:L)</f>
        <v>1</v>
      </c>
      <c r="O794" t="b">
        <f t="shared" si="175"/>
        <v>0</v>
      </c>
      <c r="P794" s="18" t="b">
        <f>SUMPRODUCT(COUNTIF(_xlfn.XLOOKUP(D794,BugList!C:C,BugList!P:P), "*SC*"))&gt;0</f>
        <v>1</v>
      </c>
    </row>
    <row r="795" spans="1:16">
      <c r="A795" t="s">
        <v>2813</v>
      </c>
      <c r="B795">
        <v>158</v>
      </c>
      <c r="C795" s="34" t="s">
        <v>194</v>
      </c>
      <c r="D795" s="34" t="s">
        <v>90</v>
      </c>
      <c r="E795" s="83">
        <v>3</v>
      </c>
      <c r="F795" s="43">
        <f t="shared" si="161"/>
        <v>1.8518518518518516</v>
      </c>
      <c r="G795" s="44">
        <f t="shared" si="170"/>
        <v>1</v>
      </c>
      <c r="H795" s="44">
        <f t="shared" si="171"/>
        <v>0.85185185185185164</v>
      </c>
      <c r="I795" cm="1">
        <f t="array" ref="I795">INT(F795)+IF(100-SUM(INT(F$793:F$801))&gt;=RANK(H795,H$793:H$801)+COUNTIF(H$793:H795,H795)-1,1,0)</f>
        <v>2</v>
      </c>
      <c r="J795" t="b">
        <f t="shared" si="172"/>
        <v>0</v>
      </c>
      <c r="K795" t="str">
        <f t="shared" si="173"/>
        <v/>
      </c>
      <c r="L795">
        <f>_xlfn.XLOOKUP(D795,BugList!C:C,BugList!N:N)</f>
        <v>6</v>
      </c>
      <c r="M795">
        <f t="shared" si="174"/>
        <v>12</v>
      </c>
      <c r="N795" t="b">
        <f>_xlfn.XLOOKUP(D795,BugList!C:C,BugList!L:L)</f>
        <v>1</v>
      </c>
      <c r="O795" t="b">
        <f t="shared" si="175"/>
        <v>0</v>
      </c>
      <c r="P795" s="18" t="b">
        <f>SUMPRODUCT(COUNTIF(_xlfn.XLOOKUP(D795,BugList!C:C,BugList!P:P), "*SC*"))&gt;0</f>
        <v>0</v>
      </c>
    </row>
    <row r="796" spans="1:16">
      <c r="A796" t="s">
        <v>2813</v>
      </c>
      <c r="B796">
        <v>158</v>
      </c>
      <c r="C796" s="34" t="s">
        <v>199</v>
      </c>
      <c r="D796" s="34" t="s">
        <v>96</v>
      </c>
      <c r="E796" s="83">
        <v>1</v>
      </c>
      <c r="F796" s="43">
        <f t="shared" ref="F796:F827" si="176">(E796/(SUMIFS(E:E,A:A,A796))*100)</f>
        <v>0.61728395061728392</v>
      </c>
      <c r="G796" s="44">
        <f t="shared" si="170"/>
        <v>0</v>
      </c>
      <c r="H796" s="44">
        <f t="shared" si="171"/>
        <v>0.61728395061728392</v>
      </c>
      <c r="I796" cm="1">
        <f t="array" ref="I796">INT(F796)+IF(100-SUM(INT(F$793:F$801))&gt;=RANK(H796,H$793:H$801)+COUNTIF(H$793:H796,H796)-1,1,0)</f>
        <v>1</v>
      </c>
      <c r="J796" t="b">
        <f t="shared" si="172"/>
        <v>1</v>
      </c>
      <c r="K796" t="str">
        <f t="shared" si="173"/>
        <v>Ephemeroptera</v>
      </c>
      <c r="L796">
        <f>_xlfn.XLOOKUP(D796,BugList!C:C,BugList!N:N)</f>
        <v>4</v>
      </c>
      <c r="M796">
        <f t="shared" si="174"/>
        <v>4</v>
      </c>
      <c r="N796" t="b">
        <f>_xlfn.XLOOKUP(D796,BugList!C:C,BugList!L:L)</f>
        <v>1</v>
      </c>
      <c r="O796" t="b">
        <f t="shared" si="175"/>
        <v>1</v>
      </c>
      <c r="P796" s="18" t="b">
        <f>SUMPRODUCT(COUNTIF(_xlfn.XLOOKUP(D796,BugList!C:C,BugList!P:P), "*SC*"))&gt;0</f>
        <v>1</v>
      </c>
    </row>
    <row r="797" spans="1:16">
      <c r="A797" t="s">
        <v>2813</v>
      </c>
      <c r="B797">
        <v>158</v>
      </c>
      <c r="C797" s="34" t="s">
        <v>199</v>
      </c>
      <c r="D797" s="34" t="s">
        <v>111</v>
      </c>
      <c r="E797" s="83">
        <v>2</v>
      </c>
      <c r="F797" s="43">
        <f t="shared" si="176"/>
        <v>1.2345679012345678</v>
      </c>
      <c r="G797" s="44">
        <f t="shared" si="170"/>
        <v>1</v>
      </c>
      <c r="H797" s="44">
        <f t="shared" si="171"/>
        <v>0.23456790123456783</v>
      </c>
      <c r="I797" cm="1">
        <f t="array" ref="I797">INT(F797)+IF(100-SUM(INT(F$793:F$801))&gt;=RANK(H797,H$793:H$801)+COUNTIF(H$793:H797,H797)-1,1,0)</f>
        <v>1</v>
      </c>
      <c r="J797" t="b">
        <f t="shared" si="172"/>
        <v>1</v>
      </c>
      <c r="K797" t="str">
        <f t="shared" si="173"/>
        <v>Ephemeroptera</v>
      </c>
      <c r="L797">
        <f>_xlfn.XLOOKUP(D797,BugList!C:C,BugList!N:N)</f>
        <v>4</v>
      </c>
      <c r="M797">
        <f t="shared" si="174"/>
        <v>4</v>
      </c>
      <c r="N797" t="b">
        <f>_xlfn.XLOOKUP(D797,BugList!C:C,BugList!L:L)</f>
        <v>1</v>
      </c>
      <c r="O797" t="b">
        <f t="shared" si="175"/>
        <v>1</v>
      </c>
      <c r="P797" s="18" t="b">
        <f>SUMPRODUCT(COUNTIF(_xlfn.XLOOKUP(D797,BugList!C:C,BugList!P:P), "*SC*"))&gt;0</f>
        <v>0</v>
      </c>
    </row>
    <row r="798" spans="1:16">
      <c r="A798" t="s">
        <v>2813</v>
      </c>
      <c r="B798">
        <v>158</v>
      </c>
      <c r="C798" s="34" t="s">
        <v>198</v>
      </c>
      <c r="D798" s="34" t="s">
        <v>89</v>
      </c>
      <c r="E798" s="83">
        <v>90</v>
      </c>
      <c r="F798" s="43">
        <f t="shared" si="176"/>
        <v>55.555555555555557</v>
      </c>
      <c r="G798" s="44">
        <f t="shared" si="170"/>
        <v>55</v>
      </c>
      <c r="H798" s="44">
        <f t="shared" si="171"/>
        <v>0.55555555555555713</v>
      </c>
      <c r="I798" cm="1">
        <f t="array" ref="I798">INT(F798)+IF(100-SUM(INT(F$793:F$801))&gt;=RANK(H798,H$793:H$801)+COUNTIF(H$793:H798,H798)-1,1,0)</f>
        <v>56</v>
      </c>
      <c r="J798" t="b">
        <f t="shared" si="172"/>
        <v>1</v>
      </c>
      <c r="K798" t="str">
        <f t="shared" si="173"/>
        <v>Trichoptera</v>
      </c>
      <c r="L798">
        <f>_xlfn.XLOOKUP(D798,BugList!C:C,BugList!N:N)</f>
        <v>4</v>
      </c>
      <c r="M798">
        <f t="shared" si="174"/>
        <v>224</v>
      </c>
      <c r="N798" t="b">
        <f>_xlfn.XLOOKUP(D798,BugList!C:C,BugList!L:L)</f>
        <v>1</v>
      </c>
      <c r="O798" t="b">
        <f t="shared" si="175"/>
        <v>0</v>
      </c>
      <c r="P798" s="18" t="b">
        <f>SUMPRODUCT(COUNTIF(_xlfn.XLOOKUP(D798,BugList!C:C,BugList!P:P), "*SC*"))&gt;0</f>
        <v>0</v>
      </c>
    </row>
    <row r="799" spans="1:16">
      <c r="A799" t="s">
        <v>2813</v>
      </c>
      <c r="B799">
        <v>158</v>
      </c>
      <c r="C799" s="34" t="s">
        <v>198</v>
      </c>
      <c r="D799" s="34" t="s">
        <v>163</v>
      </c>
      <c r="E799" s="83">
        <v>2</v>
      </c>
      <c r="F799" s="43">
        <f t="shared" si="176"/>
        <v>1.2345679012345678</v>
      </c>
      <c r="G799" s="44">
        <f t="shared" si="170"/>
        <v>1</v>
      </c>
      <c r="H799" s="44">
        <f t="shared" si="171"/>
        <v>0.23456790123456783</v>
      </c>
      <c r="I799" cm="1">
        <f t="array" ref="I799">INT(F799)+IF(100-SUM(INT(F$793:F$801))&gt;=RANK(H799,H$793:H$801)+COUNTIF(H$793:H799,H799)-1,1,0)</f>
        <v>1</v>
      </c>
      <c r="J799" t="b">
        <f t="shared" si="172"/>
        <v>1</v>
      </c>
      <c r="K799" t="str">
        <f t="shared" si="173"/>
        <v>Trichoptera</v>
      </c>
      <c r="L799">
        <f>_xlfn.XLOOKUP(D799,BugList!C:C,BugList!N:N)</f>
        <v>6</v>
      </c>
      <c r="M799">
        <f t="shared" si="174"/>
        <v>6</v>
      </c>
      <c r="N799" t="b">
        <f>_xlfn.XLOOKUP(D799,BugList!C:C,BugList!L:L)</f>
        <v>1</v>
      </c>
      <c r="O799" t="b">
        <f t="shared" si="175"/>
        <v>1</v>
      </c>
      <c r="P799" s="18" t="b">
        <f>SUMPRODUCT(COUNTIF(_xlfn.XLOOKUP(D799,BugList!C:C,BugList!P:P), "*SC*"))&gt;0</f>
        <v>0</v>
      </c>
    </row>
    <row r="800" spans="1:16">
      <c r="A800" t="s">
        <v>2813</v>
      </c>
      <c r="B800">
        <v>158</v>
      </c>
      <c r="C800" s="34" t="s">
        <v>201</v>
      </c>
      <c r="D800" s="34" t="s">
        <v>85</v>
      </c>
      <c r="E800" s="83">
        <v>4</v>
      </c>
      <c r="F800" s="43">
        <f t="shared" si="176"/>
        <v>2.4691358024691357</v>
      </c>
      <c r="G800" s="44">
        <f t="shared" si="170"/>
        <v>2</v>
      </c>
      <c r="H800" s="44">
        <f t="shared" si="171"/>
        <v>0.46913580246913567</v>
      </c>
      <c r="I800" cm="1">
        <f t="array" ref="I800">INT(F800)+IF(100-SUM(INT(F$793:F$801))&gt;=RANK(H800,H$793:H$801)+COUNTIF(H$793:H800,H800)-1,1,0)</f>
        <v>2</v>
      </c>
      <c r="J800" t="b">
        <f t="shared" si="172"/>
        <v>0</v>
      </c>
      <c r="K800" t="str">
        <f t="shared" si="173"/>
        <v/>
      </c>
      <c r="L800">
        <f>_xlfn.XLOOKUP(D800,BugList!C:C,BugList!N:N)</f>
        <v>4</v>
      </c>
      <c r="M800">
        <f t="shared" si="174"/>
        <v>8</v>
      </c>
      <c r="N800" t="b">
        <f>_xlfn.XLOOKUP(D800,BugList!C:C,BugList!L:L)</f>
        <v>0</v>
      </c>
      <c r="O800" t="b">
        <f t="shared" si="175"/>
        <v>0</v>
      </c>
      <c r="P800" s="18" t="b">
        <f>SUMPRODUCT(COUNTIF(_xlfn.XLOOKUP(D800,BugList!C:C,BugList!P:P), "*SC*"))&gt;0</f>
        <v>0</v>
      </c>
    </row>
    <row r="801" spans="1:16">
      <c r="A801" t="s">
        <v>2813</v>
      </c>
      <c r="B801">
        <v>158</v>
      </c>
      <c r="C801" s="34" t="s">
        <v>205</v>
      </c>
      <c r="D801" s="34" t="s">
        <v>206</v>
      </c>
      <c r="E801" s="83">
        <v>3</v>
      </c>
      <c r="F801" s="43">
        <f t="shared" si="176"/>
        <v>1.8518518518518516</v>
      </c>
      <c r="G801" s="44">
        <f t="shared" si="170"/>
        <v>1</v>
      </c>
      <c r="H801" s="44">
        <f t="shared" si="171"/>
        <v>0.85185185185185164</v>
      </c>
      <c r="I801" cm="1">
        <f t="array" ref="I801">INT(F801)+IF(100-SUM(INT(F$793:F$801))&gt;=RANK(H801,H$793:H$801)+COUNTIF(H$793:H801,H801)-1,1,0)</f>
        <v>2</v>
      </c>
      <c r="J801" t="b">
        <f t="shared" si="172"/>
        <v>0</v>
      </c>
      <c r="K801" t="str">
        <f t="shared" si="173"/>
        <v/>
      </c>
      <c r="L801" s="71">
        <v>8</v>
      </c>
      <c r="M801">
        <f t="shared" si="174"/>
        <v>16</v>
      </c>
      <c r="N801" s="71" t="b">
        <v>0</v>
      </c>
      <c r="O801" t="b">
        <f t="shared" si="175"/>
        <v>0</v>
      </c>
      <c r="P801" s="72" t="b">
        <v>0</v>
      </c>
    </row>
    <row r="802" spans="1:16">
      <c r="A802" t="s">
        <v>2814</v>
      </c>
      <c r="B802">
        <v>162</v>
      </c>
      <c r="C802" s="34" t="s">
        <v>200</v>
      </c>
      <c r="D802" s="34" t="s">
        <v>98</v>
      </c>
      <c r="E802" s="83">
        <v>12</v>
      </c>
      <c r="F802" s="43">
        <f t="shared" si="176"/>
        <v>10.714285714285714</v>
      </c>
      <c r="G802" s="44">
        <f t="shared" ref="G802:G810" si="177">INT(F802)</f>
        <v>10</v>
      </c>
      <c r="H802" s="44">
        <f t="shared" ref="H802:H810" si="178">F802-G802</f>
        <v>0.71428571428571352</v>
      </c>
      <c r="I802" cm="1">
        <f t="array" ref="I802">INT(F802)+IF(100-SUM(INT(F$802:F$810))&gt;=RANK(H802,H$802:H$810)+COUNTIF(H$802:H802,H802)-1,1,0)</f>
        <v>11</v>
      </c>
      <c r="J802" t="b">
        <f t="shared" ref="J802:J810" si="179">IF(OR(C802="Ephemeroptera", C802 ="Plecoptera", C802= "Trichoptera"), TRUE, FALSE)</f>
        <v>0</v>
      </c>
      <c r="K802" t="str">
        <f t="shared" ref="K802:K810" si="180">IF(J802=TRUE,C802,"")</f>
        <v/>
      </c>
      <c r="L802">
        <f>_xlfn.XLOOKUP(D802,BugList!C:C,BugList!N:N)</f>
        <v>4</v>
      </c>
      <c r="M802">
        <f t="shared" ref="M802" si="181">L802*I802</f>
        <v>44</v>
      </c>
      <c r="N802" t="b">
        <f>_xlfn.XLOOKUP(D802,BugList!C:C,BugList!L:L)</f>
        <v>1</v>
      </c>
      <c r="O802" t="b">
        <f t="shared" ref="O802" si="182">IF(J802=TRUE,IF(D802="Hydropsychidae", FALSE, TRUE), FALSE)</f>
        <v>0</v>
      </c>
      <c r="P802" s="18" t="b">
        <f>SUMPRODUCT(COUNTIF(_xlfn.XLOOKUP(D802,BugList!C:C,BugList!P:P), "*SC*"))&gt;0</f>
        <v>1</v>
      </c>
    </row>
    <row r="803" spans="1:16">
      <c r="A803" t="s">
        <v>2814</v>
      </c>
      <c r="B803">
        <v>162</v>
      </c>
      <c r="C803" s="34" t="s">
        <v>200</v>
      </c>
      <c r="D803" s="34" t="s">
        <v>100</v>
      </c>
      <c r="E803" s="83">
        <v>5</v>
      </c>
      <c r="F803" s="43">
        <f t="shared" si="176"/>
        <v>4.4642857142857144</v>
      </c>
      <c r="G803" s="44">
        <f t="shared" si="177"/>
        <v>4</v>
      </c>
      <c r="H803" s="44">
        <f t="shared" si="178"/>
        <v>0.46428571428571441</v>
      </c>
      <c r="I803" cm="1">
        <f t="array" ref="I803">INT(F803)+IF(100-SUM(INT(F$802:F$810))&gt;=RANK(H803,H$802:H$810)+COUNTIF(H$802:H803,H803)-1,1,0)</f>
        <v>4</v>
      </c>
      <c r="J803" t="b">
        <f t="shared" si="179"/>
        <v>0</v>
      </c>
      <c r="K803" t="str">
        <f t="shared" si="180"/>
        <v/>
      </c>
      <c r="L803">
        <f>_xlfn.XLOOKUP(D803,BugList!C:C,BugList!N:N)</f>
        <v>4</v>
      </c>
      <c r="M803">
        <f t="shared" ref="M803:M810" si="183">L803*I803</f>
        <v>16</v>
      </c>
      <c r="N803" t="b">
        <f>_xlfn.XLOOKUP(D803,BugList!C:C,BugList!L:L)</f>
        <v>1</v>
      </c>
      <c r="O803" t="b">
        <f t="shared" ref="O803:O810" si="184">IF(J803=TRUE,IF(D803="Hydropsychidae", FALSE, TRUE), FALSE)</f>
        <v>0</v>
      </c>
      <c r="P803" s="18" t="b">
        <f>SUMPRODUCT(COUNTIF(_xlfn.XLOOKUP(D803,BugList!C:C,BugList!P:P), "*SC*"))&gt;0</f>
        <v>1</v>
      </c>
    </row>
    <row r="804" spans="1:16">
      <c r="A804" t="s">
        <v>2814</v>
      </c>
      <c r="B804">
        <v>162</v>
      </c>
      <c r="C804" s="34" t="s">
        <v>194</v>
      </c>
      <c r="D804" s="34" t="s">
        <v>90</v>
      </c>
      <c r="E804" s="83">
        <v>1</v>
      </c>
      <c r="F804" s="43">
        <f t="shared" si="176"/>
        <v>0.89285714285714279</v>
      </c>
      <c r="G804" s="44">
        <f t="shared" si="177"/>
        <v>0</v>
      </c>
      <c r="H804" s="44">
        <f t="shared" si="178"/>
        <v>0.89285714285714279</v>
      </c>
      <c r="I804" cm="1">
        <f t="array" ref="I804">INT(F804)+IF(100-SUM(INT(F$802:F$810))&gt;=RANK(H804,H$802:H$810)+COUNTIF(H$802:H804,H804)-1,1,0)</f>
        <v>1</v>
      </c>
      <c r="J804" t="b">
        <f t="shared" si="179"/>
        <v>0</v>
      </c>
      <c r="K804" t="str">
        <f t="shared" si="180"/>
        <v/>
      </c>
      <c r="L804">
        <f>_xlfn.XLOOKUP(D804,BugList!C:C,BugList!N:N)</f>
        <v>6</v>
      </c>
      <c r="M804">
        <f t="shared" si="183"/>
        <v>6</v>
      </c>
      <c r="N804" t="b">
        <f>_xlfn.XLOOKUP(D804,BugList!C:C,BugList!L:L)</f>
        <v>1</v>
      </c>
      <c r="O804" t="b">
        <f t="shared" si="184"/>
        <v>0</v>
      </c>
      <c r="P804" s="18" t="b">
        <f>SUMPRODUCT(COUNTIF(_xlfn.XLOOKUP(D804,BugList!C:C,BugList!P:P), "*SC*"))&gt;0</f>
        <v>0</v>
      </c>
    </row>
    <row r="805" spans="1:16">
      <c r="A805" t="s">
        <v>2814</v>
      </c>
      <c r="B805">
        <v>162</v>
      </c>
      <c r="C805" s="34" t="s">
        <v>195</v>
      </c>
      <c r="D805" s="34" t="s">
        <v>97</v>
      </c>
      <c r="E805" s="83">
        <v>3</v>
      </c>
      <c r="F805" s="43">
        <f t="shared" si="176"/>
        <v>2.6785714285714284</v>
      </c>
      <c r="G805" s="44">
        <f t="shared" si="177"/>
        <v>2</v>
      </c>
      <c r="H805" s="44">
        <f t="shared" si="178"/>
        <v>0.67857142857142838</v>
      </c>
      <c r="I805" cm="1">
        <f t="array" ref="I805">INT(F805)+IF(100-SUM(INT(F$802:F$810))&gt;=RANK(H805,H$802:H$810)+COUNTIF(H$802:H805,H805)-1,1,0)</f>
        <v>3</v>
      </c>
      <c r="J805" t="b">
        <f t="shared" si="179"/>
        <v>0</v>
      </c>
      <c r="K805" t="str">
        <f t="shared" si="180"/>
        <v/>
      </c>
      <c r="L805">
        <f>_xlfn.XLOOKUP(D805,BugList!C:C,BugList!N:N)</f>
        <v>9</v>
      </c>
      <c r="M805">
        <f t="shared" si="183"/>
        <v>27</v>
      </c>
      <c r="N805" t="b">
        <f>_xlfn.XLOOKUP(D805,BugList!C:C,BugList!L:L)</f>
        <v>1</v>
      </c>
      <c r="O805" t="b">
        <f t="shared" si="184"/>
        <v>0</v>
      </c>
      <c r="P805" s="18" t="b">
        <f>SUMPRODUCT(COUNTIF(_xlfn.XLOOKUP(D805,BugList!C:C,BugList!P:P), "*SC*"))&gt;0</f>
        <v>0</v>
      </c>
    </row>
    <row r="806" spans="1:16">
      <c r="A806" t="s">
        <v>2814</v>
      </c>
      <c r="B806">
        <v>162</v>
      </c>
      <c r="C806" s="34" t="s">
        <v>198</v>
      </c>
      <c r="D806" s="34" t="s">
        <v>89</v>
      </c>
      <c r="E806" s="83">
        <v>56</v>
      </c>
      <c r="F806" s="43">
        <f t="shared" si="176"/>
        <v>50</v>
      </c>
      <c r="G806" s="44">
        <f t="shared" si="177"/>
        <v>50</v>
      </c>
      <c r="H806" s="44">
        <f t="shared" si="178"/>
        <v>0</v>
      </c>
      <c r="I806" cm="1">
        <f t="array" ref="I806">INT(F806)+IF(100-SUM(INT(F$802:F$810))&gt;=RANK(H806,H$802:H$810)+COUNTIF(H$802:H806,H806)-1,1,0)</f>
        <v>50</v>
      </c>
      <c r="J806" t="b">
        <f t="shared" si="179"/>
        <v>1</v>
      </c>
      <c r="K806" t="str">
        <f t="shared" si="180"/>
        <v>Trichoptera</v>
      </c>
      <c r="L806">
        <f>_xlfn.XLOOKUP(D806,BugList!C:C,BugList!N:N)</f>
        <v>4</v>
      </c>
      <c r="M806">
        <f t="shared" si="183"/>
        <v>200</v>
      </c>
      <c r="N806" t="b">
        <f>_xlfn.XLOOKUP(D806,BugList!C:C,BugList!L:L)</f>
        <v>1</v>
      </c>
      <c r="O806" t="b">
        <f t="shared" si="184"/>
        <v>0</v>
      </c>
      <c r="P806" s="18" t="b">
        <f>SUMPRODUCT(COUNTIF(_xlfn.XLOOKUP(D806,BugList!C:C,BugList!P:P), "*SC*"))&gt;0</f>
        <v>0</v>
      </c>
    </row>
    <row r="807" spans="1:16">
      <c r="A807" t="s">
        <v>2814</v>
      </c>
      <c r="B807">
        <v>162</v>
      </c>
      <c r="C807" s="34" t="s">
        <v>198</v>
      </c>
      <c r="D807" s="34" t="s">
        <v>107</v>
      </c>
      <c r="E807" s="83">
        <v>6</v>
      </c>
      <c r="F807" s="43">
        <f t="shared" si="176"/>
        <v>5.3571428571428568</v>
      </c>
      <c r="G807" s="44">
        <f t="shared" si="177"/>
        <v>5</v>
      </c>
      <c r="H807" s="44">
        <f t="shared" si="178"/>
        <v>0.35714285714285676</v>
      </c>
      <c r="I807" cm="1">
        <f t="array" ref="I807">INT(F807)+IF(100-SUM(INT(F$802:F$810))&gt;=RANK(H807,H$802:H$810)+COUNTIF(H$802:H807,H807)-1,1,0)</f>
        <v>5</v>
      </c>
      <c r="J807" t="b">
        <f t="shared" si="179"/>
        <v>1</v>
      </c>
      <c r="K807" t="str">
        <f t="shared" si="180"/>
        <v>Trichoptera</v>
      </c>
      <c r="L807">
        <f>_xlfn.XLOOKUP(D807,BugList!C:C,BugList!N:N)</f>
        <v>3</v>
      </c>
      <c r="M807">
        <f t="shared" si="183"/>
        <v>15</v>
      </c>
      <c r="N807" t="b">
        <f>_xlfn.XLOOKUP(D807,BugList!C:C,BugList!L:L)</f>
        <v>1</v>
      </c>
      <c r="O807" t="b">
        <f t="shared" si="184"/>
        <v>1</v>
      </c>
      <c r="P807" s="18" t="b">
        <f>SUMPRODUCT(COUNTIF(_xlfn.XLOOKUP(D807,BugList!C:C,BugList!P:P), "*SC*"))&gt;0</f>
        <v>0</v>
      </c>
    </row>
    <row r="808" spans="1:16">
      <c r="A808" t="s">
        <v>2814</v>
      </c>
      <c r="B808">
        <v>162</v>
      </c>
      <c r="C808" s="34" t="s">
        <v>201</v>
      </c>
      <c r="D808" s="34" t="s">
        <v>85</v>
      </c>
      <c r="E808" s="83">
        <v>20</v>
      </c>
      <c r="F808" s="43">
        <f t="shared" si="176"/>
        <v>17.857142857142858</v>
      </c>
      <c r="G808" s="44">
        <f t="shared" si="177"/>
        <v>17</v>
      </c>
      <c r="H808" s="44">
        <f t="shared" si="178"/>
        <v>0.85714285714285765</v>
      </c>
      <c r="I808" cm="1">
        <f t="array" ref="I808">INT(F808)+IF(100-SUM(INT(F$802:F$810))&gt;=RANK(H808,H$802:H$810)+COUNTIF(H$802:H808,H808)-1,1,0)</f>
        <v>18</v>
      </c>
      <c r="J808" t="b">
        <f t="shared" si="179"/>
        <v>0</v>
      </c>
      <c r="K808" t="str">
        <f t="shared" si="180"/>
        <v/>
      </c>
      <c r="L808">
        <f>_xlfn.XLOOKUP(D808,BugList!C:C,BugList!N:N)</f>
        <v>4</v>
      </c>
      <c r="M808">
        <f t="shared" si="183"/>
        <v>72</v>
      </c>
      <c r="N808" t="b">
        <f>_xlfn.XLOOKUP(D808,BugList!C:C,BugList!L:L)</f>
        <v>0</v>
      </c>
      <c r="O808" t="b">
        <f t="shared" si="184"/>
        <v>0</v>
      </c>
      <c r="P808" s="18" t="b">
        <f>SUMPRODUCT(COUNTIF(_xlfn.XLOOKUP(D808,BugList!C:C,BugList!P:P), "*SC*"))&gt;0</f>
        <v>0</v>
      </c>
    </row>
    <row r="809" spans="1:16">
      <c r="A809" t="s">
        <v>2814</v>
      </c>
      <c r="B809">
        <v>162</v>
      </c>
      <c r="C809" s="34" t="s">
        <v>205</v>
      </c>
      <c r="D809" s="34" t="s">
        <v>206</v>
      </c>
      <c r="E809" s="83">
        <v>8</v>
      </c>
      <c r="F809" s="43">
        <f t="shared" si="176"/>
        <v>7.1428571428571423</v>
      </c>
      <c r="G809" s="44">
        <f t="shared" si="177"/>
        <v>7</v>
      </c>
      <c r="H809" s="44">
        <f t="shared" si="178"/>
        <v>0.14285714285714235</v>
      </c>
      <c r="I809" cm="1">
        <f t="array" ref="I809">INT(F809)+IF(100-SUM(INT(F$802:F$810))&gt;=RANK(H809,H$802:H$810)+COUNTIF(H$802:H809,H809)-1,1,0)</f>
        <v>7</v>
      </c>
      <c r="J809" t="b">
        <f t="shared" si="179"/>
        <v>0</v>
      </c>
      <c r="K809" t="str">
        <f t="shared" si="180"/>
        <v/>
      </c>
      <c r="L809" s="71">
        <v>8</v>
      </c>
      <c r="M809">
        <f t="shared" si="183"/>
        <v>56</v>
      </c>
      <c r="N809" s="71" t="b">
        <v>0</v>
      </c>
      <c r="O809" t="b">
        <f t="shared" si="184"/>
        <v>0</v>
      </c>
      <c r="P809" s="72" t="b">
        <v>0</v>
      </c>
    </row>
    <row r="810" spans="1:16">
      <c r="A810" t="s">
        <v>2814</v>
      </c>
      <c r="B810">
        <v>162</v>
      </c>
      <c r="C810" s="34" t="s">
        <v>94</v>
      </c>
      <c r="D810" s="34" t="s">
        <v>94</v>
      </c>
      <c r="E810" s="83">
        <v>1</v>
      </c>
      <c r="F810" s="43">
        <f t="shared" si="176"/>
        <v>0.89285714285714279</v>
      </c>
      <c r="G810" s="44">
        <f t="shared" si="177"/>
        <v>0</v>
      </c>
      <c r="H810" s="44">
        <f t="shared" si="178"/>
        <v>0.89285714285714279</v>
      </c>
      <c r="I810" cm="1">
        <f t="array" ref="I810">INT(F810)+IF(100-SUM(INT(F$802:F$810))&gt;=RANK(H810,H$802:H$810)+COUNTIF(H$802:H810,H810)-1,1,0)</f>
        <v>1</v>
      </c>
      <c r="J810" t="b">
        <f t="shared" si="179"/>
        <v>0</v>
      </c>
      <c r="K810" t="str">
        <f t="shared" si="180"/>
        <v/>
      </c>
      <c r="L810">
        <f>_xlfn.XLOOKUP(D810,BugList!C:C,BugList!N:N)</f>
        <v>8</v>
      </c>
      <c r="M810">
        <f t="shared" si="183"/>
        <v>8</v>
      </c>
      <c r="N810" t="b">
        <f>_xlfn.XLOOKUP(D810,BugList!C:C,BugList!L:L)</f>
        <v>0</v>
      </c>
      <c r="O810" t="b">
        <f t="shared" si="184"/>
        <v>0</v>
      </c>
      <c r="P810" s="18" t="b">
        <f>SUMPRODUCT(COUNTIF(_xlfn.XLOOKUP(D810,BugList!C:C,BugList!P:P), "*SC*"))&gt;0</f>
        <v>0</v>
      </c>
    </row>
    <row r="811" spans="1:16">
      <c r="A811" t="s">
        <v>2815</v>
      </c>
      <c r="B811">
        <v>169</v>
      </c>
      <c r="C811" s="34" t="s">
        <v>200</v>
      </c>
      <c r="D811" s="34" t="s">
        <v>98</v>
      </c>
      <c r="E811" s="83">
        <v>11</v>
      </c>
      <c r="F811" s="43">
        <f t="shared" si="176"/>
        <v>5.6994818652849739</v>
      </c>
      <c r="G811" s="44">
        <f t="shared" ref="G811:G868" si="185">INT(F811)</f>
        <v>5</v>
      </c>
      <c r="H811" s="44">
        <f t="shared" ref="H811:H868" si="186">F811-G811</f>
        <v>0.69948186528497391</v>
      </c>
      <c r="I811" cm="1">
        <f t="array" ref="I811">INT(F811)+IF(100-SUM(INT(F$811:F$826))&gt;=RANK(H811,H$811:H$826)+COUNTIF(H$811:H811,H811)-1,1,0)</f>
        <v>6</v>
      </c>
      <c r="J811" t="b">
        <f t="shared" ref="J811:J868" si="187">IF(OR(C811="Ephemeroptera", C811 ="Plecoptera", C811= "Trichoptera"), TRUE, FALSE)</f>
        <v>0</v>
      </c>
      <c r="K811" t="str">
        <f t="shared" ref="K811:K868" si="188">IF(J811=TRUE,C811,"")</f>
        <v/>
      </c>
      <c r="L811">
        <f>_xlfn.XLOOKUP(D811,BugList!C:C,BugList!N:N)</f>
        <v>4</v>
      </c>
      <c r="M811">
        <f t="shared" ref="M811:M868" si="189">L811*I811</f>
        <v>24</v>
      </c>
      <c r="N811" t="b">
        <f>_xlfn.XLOOKUP(D811,BugList!C:C,BugList!L:L)</f>
        <v>1</v>
      </c>
      <c r="O811" t="b">
        <f t="shared" ref="O811:O868" si="190">IF(J811=TRUE,IF(D811="Hydropsychidae", FALSE, TRUE), FALSE)</f>
        <v>0</v>
      </c>
      <c r="P811" s="18" t="b">
        <f>SUMPRODUCT(COUNTIF(_xlfn.XLOOKUP(D811,BugList!C:C,BugList!P:P), "*SC*"))&gt;0</f>
        <v>1</v>
      </c>
    </row>
    <row r="812" spans="1:16">
      <c r="A812" t="s">
        <v>2815</v>
      </c>
      <c r="B812">
        <v>169</v>
      </c>
      <c r="C812" s="34" t="s">
        <v>200</v>
      </c>
      <c r="D812" s="34" t="s">
        <v>100</v>
      </c>
      <c r="E812" s="83">
        <v>6</v>
      </c>
      <c r="F812" s="43">
        <f t="shared" si="176"/>
        <v>3.1088082901554404</v>
      </c>
      <c r="G812" s="44">
        <f t="shared" si="185"/>
        <v>3</v>
      </c>
      <c r="H812" s="44">
        <f t="shared" si="186"/>
        <v>0.10880829015544036</v>
      </c>
      <c r="I812" cm="1">
        <f t="array" ref="I812">INT(F812)+IF(100-SUM(INT(F$811:F$826))&gt;=RANK(H812,H$811:H$826)+COUNTIF(H$811:H812,H812)-1,1,0)</f>
        <v>3</v>
      </c>
      <c r="J812" t="b">
        <f t="shared" si="187"/>
        <v>0</v>
      </c>
      <c r="K812" t="str">
        <f t="shared" si="188"/>
        <v/>
      </c>
      <c r="L812">
        <f>_xlfn.XLOOKUP(D812,BugList!C:C,BugList!N:N)</f>
        <v>4</v>
      </c>
      <c r="M812">
        <f t="shared" si="189"/>
        <v>12</v>
      </c>
      <c r="N812" t="b">
        <f>_xlfn.XLOOKUP(D812,BugList!C:C,BugList!L:L)</f>
        <v>1</v>
      </c>
      <c r="O812" t="b">
        <f t="shared" si="190"/>
        <v>0</v>
      </c>
      <c r="P812" s="18" t="b">
        <f>SUMPRODUCT(COUNTIF(_xlfn.XLOOKUP(D812,BugList!C:C,BugList!P:P), "*SC*"))&gt;0</f>
        <v>1</v>
      </c>
    </row>
    <row r="813" spans="1:16">
      <c r="A813" t="s">
        <v>2815</v>
      </c>
      <c r="B813">
        <v>169</v>
      </c>
      <c r="C813" s="34" t="s">
        <v>194</v>
      </c>
      <c r="D813" s="34" t="s">
        <v>126</v>
      </c>
      <c r="E813" s="83">
        <v>2</v>
      </c>
      <c r="F813" s="43">
        <f t="shared" si="176"/>
        <v>1.0362694300518136</v>
      </c>
      <c r="G813" s="44">
        <f t="shared" si="185"/>
        <v>1</v>
      </c>
      <c r="H813" s="44">
        <f t="shared" si="186"/>
        <v>3.62694300518136E-2</v>
      </c>
      <c r="I813" cm="1">
        <f t="array" ref="I813">INT(F813)+IF(100-SUM(INT(F$811:F$826))&gt;=RANK(H813,H$811:H$826)+COUNTIF(H$811:H813,H813)-1,1,0)</f>
        <v>1</v>
      </c>
      <c r="J813" t="b">
        <f t="shared" si="187"/>
        <v>0</v>
      </c>
      <c r="K813" t="str">
        <f t="shared" si="188"/>
        <v/>
      </c>
      <c r="L813">
        <f>_xlfn.XLOOKUP(D813,BugList!C:C,BugList!N:N)</f>
        <v>8</v>
      </c>
      <c r="M813">
        <f t="shared" si="189"/>
        <v>8</v>
      </c>
      <c r="N813" t="b">
        <f>_xlfn.XLOOKUP(D813,BugList!C:C,BugList!L:L)</f>
        <v>1</v>
      </c>
      <c r="O813" t="b">
        <f t="shared" si="190"/>
        <v>0</v>
      </c>
      <c r="P813" s="18" t="b">
        <f>SUMPRODUCT(COUNTIF(_xlfn.XLOOKUP(D813,BugList!C:C,BugList!P:P), "*SC*"))&gt;0</f>
        <v>0</v>
      </c>
    </row>
    <row r="814" spans="1:16">
      <c r="A814" t="s">
        <v>2815</v>
      </c>
      <c r="B814">
        <v>169</v>
      </c>
      <c r="C814" s="34" t="s">
        <v>194</v>
      </c>
      <c r="D814" s="34" t="s">
        <v>90</v>
      </c>
      <c r="E814" s="83">
        <v>19</v>
      </c>
      <c r="F814" s="43">
        <f t="shared" si="176"/>
        <v>9.8445595854922274</v>
      </c>
      <c r="G814" s="44">
        <f t="shared" si="185"/>
        <v>9</v>
      </c>
      <c r="H814" s="44">
        <f t="shared" si="186"/>
        <v>0.84455958549222743</v>
      </c>
      <c r="I814" cm="1">
        <f t="array" ref="I814">INT(F814)+IF(100-SUM(INT(F$811:F$826))&gt;=RANK(H814,H$811:H$826)+COUNTIF(H$811:H814,H814)-1,1,0)</f>
        <v>10</v>
      </c>
      <c r="J814" t="b">
        <f t="shared" si="187"/>
        <v>0</v>
      </c>
      <c r="K814" t="str">
        <f t="shared" si="188"/>
        <v/>
      </c>
      <c r="L814">
        <f>_xlfn.XLOOKUP(D814,BugList!C:C,BugList!N:N)</f>
        <v>6</v>
      </c>
      <c r="M814">
        <f t="shared" si="189"/>
        <v>60</v>
      </c>
      <c r="N814" t="b">
        <f>_xlfn.XLOOKUP(D814,BugList!C:C,BugList!L:L)</f>
        <v>1</v>
      </c>
      <c r="O814" t="b">
        <f t="shared" si="190"/>
        <v>0</v>
      </c>
      <c r="P814" s="18" t="b">
        <f>SUMPRODUCT(COUNTIF(_xlfn.XLOOKUP(D814,BugList!C:C,BugList!P:P), "*SC*"))&gt;0</f>
        <v>0</v>
      </c>
    </row>
    <row r="815" spans="1:16">
      <c r="A815" t="s">
        <v>2815</v>
      </c>
      <c r="B815">
        <v>169</v>
      </c>
      <c r="C815" s="34" t="s">
        <v>194</v>
      </c>
      <c r="D815" s="34" t="s">
        <v>131</v>
      </c>
      <c r="E815" s="83">
        <v>1</v>
      </c>
      <c r="F815" s="43">
        <f t="shared" si="176"/>
        <v>0.5181347150259068</v>
      </c>
      <c r="G815" s="44">
        <f t="shared" si="185"/>
        <v>0</v>
      </c>
      <c r="H815" s="44">
        <f t="shared" si="186"/>
        <v>0.5181347150259068</v>
      </c>
      <c r="I815" cm="1">
        <f t="array" ref="I815">INT(F815)+IF(100-SUM(INT(F$811:F$826))&gt;=RANK(H815,H$811:H$826)+COUNTIF(H$811:H815,H815)-1,1,0)</f>
        <v>0</v>
      </c>
      <c r="J815" t="b">
        <f t="shared" si="187"/>
        <v>0</v>
      </c>
      <c r="K815" t="str">
        <f t="shared" si="188"/>
        <v/>
      </c>
      <c r="L815">
        <f>_xlfn.XLOOKUP(D815,BugList!C:C,BugList!N:N)</f>
        <v>6</v>
      </c>
      <c r="M815">
        <f t="shared" si="189"/>
        <v>0</v>
      </c>
      <c r="N815" t="b">
        <f>_xlfn.XLOOKUP(D815,BugList!C:C,BugList!L:L)</f>
        <v>1</v>
      </c>
      <c r="O815" t="b">
        <f t="shared" si="190"/>
        <v>0</v>
      </c>
      <c r="P815" s="18" t="b">
        <f>SUMPRODUCT(COUNTIF(_xlfn.XLOOKUP(D815,BugList!C:C,BugList!P:P), "*SC*"))&gt;0</f>
        <v>0</v>
      </c>
    </row>
    <row r="816" spans="1:16">
      <c r="A816" t="s">
        <v>2815</v>
      </c>
      <c r="B816">
        <v>169</v>
      </c>
      <c r="C816" s="34" t="s">
        <v>194</v>
      </c>
      <c r="D816" s="34" t="s">
        <v>101</v>
      </c>
      <c r="E816" s="83">
        <v>13</v>
      </c>
      <c r="F816" s="43">
        <f t="shared" si="176"/>
        <v>6.7357512953367875</v>
      </c>
      <c r="G816" s="44">
        <f t="shared" si="185"/>
        <v>6</v>
      </c>
      <c r="H816" s="44">
        <f t="shared" si="186"/>
        <v>0.73575129533678751</v>
      </c>
      <c r="I816" cm="1">
        <f t="array" ref="I816">INT(F816)+IF(100-SUM(INT(F$811:F$826))&gt;=RANK(H816,H$811:H$826)+COUNTIF(H$811:H816,H816)-1,1,0)</f>
        <v>7</v>
      </c>
      <c r="J816" t="b">
        <f t="shared" si="187"/>
        <v>0</v>
      </c>
      <c r="K816" t="str">
        <f t="shared" si="188"/>
        <v/>
      </c>
      <c r="L816">
        <f>_xlfn.XLOOKUP(D816,BugList!C:C,BugList!N:N)</f>
        <v>6</v>
      </c>
      <c r="M816">
        <f t="shared" si="189"/>
        <v>42</v>
      </c>
      <c r="N816" t="b">
        <f>_xlfn.XLOOKUP(D816,BugList!C:C,BugList!L:L)</f>
        <v>1</v>
      </c>
      <c r="O816" t="b">
        <f t="shared" si="190"/>
        <v>0</v>
      </c>
      <c r="P816" s="18" t="b">
        <f>SUMPRODUCT(COUNTIF(_xlfn.XLOOKUP(D816,BugList!C:C,BugList!P:P), "*SC*"))&gt;0</f>
        <v>0</v>
      </c>
    </row>
    <row r="817" spans="1:16">
      <c r="A817" t="s">
        <v>2815</v>
      </c>
      <c r="B817">
        <v>169</v>
      </c>
      <c r="C817" s="34" t="s">
        <v>194</v>
      </c>
      <c r="D817" s="34" t="s">
        <v>1994</v>
      </c>
      <c r="E817" s="83">
        <v>3</v>
      </c>
      <c r="F817" s="43">
        <f t="shared" si="176"/>
        <v>1.5544041450777202</v>
      </c>
      <c r="G817" s="44">
        <f t="shared" si="185"/>
        <v>1</v>
      </c>
      <c r="H817" s="44">
        <f t="shared" si="186"/>
        <v>0.55440414507772018</v>
      </c>
      <c r="I817" cm="1">
        <f t="array" ref="I817">INT(F817)+IF(100-SUM(INT(F$811:F$826))&gt;=RANK(H817,H$811:H$826)+COUNTIF(H$811:H817,H817)-1,1,0)</f>
        <v>2</v>
      </c>
      <c r="J817" t="b">
        <f t="shared" si="187"/>
        <v>0</v>
      </c>
      <c r="K817" t="str">
        <f t="shared" si="188"/>
        <v/>
      </c>
      <c r="L817">
        <f>_xlfn.XLOOKUP(D817,BugList!C:C,BugList!N:N)</f>
        <v>10</v>
      </c>
      <c r="M817">
        <f t="shared" si="189"/>
        <v>20</v>
      </c>
      <c r="N817" t="b">
        <f>_xlfn.XLOOKUP(D817,BugList!C:C,BugList!L:L)</f>
        <v>1</v>
      </c>
      <c r="O817" t="b">
        <f t="shared" si="190"/>
        <v>0</v>
      </c>
      <c r="P817" s="18" t="b">
        <f>SUMPRODUCT(COUNTIF(_xlfn.XLOOKUP(D817,BugList!C:C,BugList!P:P), "*SC*"))&gt;0</f>
        <v>1</v>
      </c>
    </row>
    <row r="818" spans="1:16">
      <c r="A818" t="s">
        <v>2815</v>
      </c>
      <c r="B818">
        <v>169</v>
      </c>
      <c r="C818" s="34" t="s">
        <v>1483</v>
      </c>
      <c r="D818" s="34" t="s">
        <v>174</v>
      </c>
      <c r="E818" s="83">
        <v>1</v>
      </c>
      <c r="F818" s="43">
        <f t="shared" si="176"/>
        <v>0.5181347150259068</v>
      </c>
      <c r="G818" s="44">
        <f t="shared" si="185"/>
        <v>0</v>
      </c>
      <c r="H818" s="44">
        <f t="shared" si="186"/>
        <v>0.5181347150259068</v>
      </c>
      <c r="I818" cm="1">
        <f t="array" ref="I818">INT(F818)+IF(100-SUM(INT(F$811:F$826))&gt;=RANK(H818,H$811:H$826)+COUNTIF(H$811:H818,H818)-1,1,0)</f>
        <v>0</v>
      </c>
      <c r="J818" t="b">
        <f t="shared" si="187"/>
        <v>0</v>
      </c>
      <c r="K818" t="str">
        <f t="shared" si="188"/>
        <v/>
      </c>
      <c r="L818">
        <f>_xlfn.XLOOKUP(D818,BugList!C:C,BugList!N:N)</f>
        <v>5</v>
      </c>
      <c r="M818">
        <f t="shared" si="189"/>
        <v>0</v>
      </c>
      <c r="N818" t="b">
        <f>_xlfn.XLOOKUP(D818,BugList!C:C,BugList!L:L)</f>
        <v>1</v>
      </c>
      <c r="O818" t="b">
        <f t="shared" si="190"/>
        <v>0</v>
      </c>
      <c r="P818" s="18" t="b">
        <f>SUMPRODUCT(COUNTIF(_xlfn.XLOOKUP(D818,BugList!C:C,BugList!P:P), "*SC*"))&gt;0</f>
        <v>0</v>
      </c>
    </row>
    <row r="819" spans="1:16">
      <c r="A819" t="s">
        <v>2815</v>
      </c>
      <c r="B819">
        <v>169</v>
      </c>
      <c r="C819" s="34" t="s">
        <v>198</v>
      </c>
      <c r="D819" s="34" t="s">
        <v>89</v>
      </c>
      <c r="E819" s="83">
        <v>101</v>
      </c>
      <c r="F819" s="43">
        <f t="shared" si="176"/>
        <v>52.331606217616574</v>
      </c>
      <c r="G819" s="44">
        <f t="shared" si="185"/>
        <v>52</v>
      </c>
      <c r="H819" s="44">
        <f t="shared" si="186"/>
        <v>0.33160621761657438</v>
      </c>
      <c r="I819" cm="1">
        <f t="array" ref="I819">INT(F819)+IF(100-SUM(INT(F$811:F$826))&gt;=RANK(H819,H$811:H$826)+COUNTIF(H$811:H819,H819)-1,1,0)</f>
        <v>52</v>
      </c>
      <c r="J819" t="b">
        <f t="shared" si="187"/>
        <v>1</v>
      </c>
      <c r="K819" t="str">
        <f t="shared" si="188"/>
        <v>Trichoptera</v>
      </c>
      <c r="L819">
        <f>_xlfn.XLOOKUP(D819,BugList!C:C,BugList!N:N)</f>
        <v>4</v>
      </c>
      <c r="M819">
        <f t="shared" si="189"/>
        <v>208</v>
      </c>
      <c r="N819" t="b">
        <f>_xlfn.XLOOKUP(D819,BugList!C:C,BugList!L:L)</f>
        <v>1</v>
      </c>
      <c r="O819" t="b">
        <f t="shared" si="190"/>
        <v>0</v>
      </c>
      <c r="P819" s="18" t="b">
        <f>SUMPRODUCT(COUNTIF(_xlfn.XLOOKUP(D819,BugList!C:C,BugList!P:P), "*SC*"))&gt;0</f>
        <v>0</v>
      </c>
    </row>
    <row r="820" spans="1:16">
      <c r="A820" t="s">
        <v>2815</v>
      </c>
      <c r="B820">
        <v>169</v>
      </c>
      <c r="C820" s="34" t="s">
        <v>198</v>
      </c>
      <c r="D820" s="34" t="s">
        <v>107</v>
      </c>
      <c r="E820" s="83">
        <v>2</v>
      </c>
      <c r="F820" s="43">
        <f t="shared" si="176"/>
        <v>1.0362694300518136</v>
      </c>
      <c r="G820" s="44">
        <f t="shared" si="185"/>
        <v>1</v>
      </c>
      <c r="H820" s="44">
        <f t="shared" si="186"/>
        <v>3.62694300518136E-2</v>
      </c>
      <c r="I820" cm="1">
        <f t="array" ref="I820">INT(F820)+IF(100-SUM(INT(F$811:F$826))&gt;=RANK(H820,H$811:H$826)+COUNTIF(H$811:H820,H820)-1,1,0)</f>
        <v>1</v>
      </c>
      <c r="J820" t="b">
        <f t="shared" si="187"/>
        <v>1</v>
      </c>
      <c r="K820" t="str">
        <f t="shared" si="188"/>
        <v>Trichoptera</v>
      </c>
      <c r="L820">
        <f>_xlfn.XLOOKUP(D820,BugList!C:C,BugList!N:N)</f>
        <v>3</v>
      </c>
      <c r="M820">
        <f t="shared" si="189"/>
        <v>3</v>
      </c>
      <c r="N820" t="b">
        <f>_xlfn.XLOOKUP(D820,BugList!C:C,BugList!L:L)</f>
        <v>1</v>
      </c>
      <c r="O820" t="b">
        <f t="shared" si="190"/>
        <v>1</v>
      </c>
      <c r="P820" s="18" t="b">
        <f>SUMPRODUCT(COUNTIF(_xlfn.XLOOKUP(D820,BugList!C:C,BugList!P:P), "*SC*"))&gt;0</f>
        <v>0</v>
      </c>
    </row>
    <row r="821" spans="1:16">
      <c r="A821" t="s">
        <v>2815</v>
      </c>
      <c r="B821">
        <v>169</v>
      </c>
      <c r="C821" s="34" t="s">
        <v>198</v>
      </c>
      <c r="D821" s="34" t="s">
        <v>163</v>
      </c>
      <c r="E821" s="83">
        <v>3</v>
      </c>
      <c r="F821" s="43">
        <f t="shared" si="176"/>
        <v>1.5544041450777202</v>
      </c>
      <c r="G821" s="44">
        <f t="shared" si="185"/>
        <v>1</v>
      </c>
      <c r="H821" s="44">
        <f t="shared" si="186"/>
        <v>0.55440414507772018</v>
      </c>
      <c r="I821" cm="1">
        <f t="array" ref="I821">INT(F821)+IF(100-SUM(INT(F$811:F$826))&gt;=RANK(H821,H$811:H$826)+COUNTIF(H$811:H821,H821)-1,1,0)</f>
        <v>1</v>
      </c>
      <c r="J821" t="b">
        <f t="shared" si="187"/>
        <v>1</v>
      </c>
      <c r="K821" t="str">
        <f t="shared" si="188"/>
        <v>Trichoptera</v>
      </c>
      <c r="L821">
        <f>_xlfn.XLOOKUP(D821,BugList!C:C,BugList!N:N)</f>
        <v>6</v>
      </c>
      <c r="M821">
        <f t="shared" si="189"/>
        <v>6</v>
      </c>
      <c r="N821" t="b">
        <f>_xlfn.XLOOKUP(D821,BugList!C:C,BugList!L:L)</f>
        <v>1</v>
      </c>
      <c r="O821" t="b">
        <f t="shared" si="190"/>
        <v>1</v>
      </c>
      <c r="P821" s="18" t="b">
        <f>SUMPRODUCT(COUNTIF(_xlfn.XLOOKUP(D821,BugList!C:C,BugList!P:P), "*SC*"))&gt;0</f>
        <v>0</v>
      </c>
    </row>
    <row r="822" spans="1:16">
      <c r="A822" t="s">
        <v>2815</v>
      </c>
      <c r="B822">
        <v>169</v>
      </c>
      <c r="C822" s="34" t="s">
        <v>204</v>
      </c>
      <c r="D822" s="34" t="s">
        <v>84</v>
      </c>
      <c r="E822" s="83">
        <v>2</v>
      </c>
      <c r="F822" s="43">
        <f t="shared" si="176"/>
        <v>1.0362694300518136</v>
      </c>
      <c r="G822" s="44">
        <f t="shared" si="185"/>
        <v>1</v>
      </c>
      <c r="H822" s="44">
        <f t="shared" si="186"/>
        <v>3.62694300518136E-2</v>
      </c>
      <c r="I822" cm="1">
        <f t="array" ref="I822">INT(F822)+IF(100-SUM(INT(F$811:F$826))&gt;=RANK(H822,H$811:H$826)+COUNTIF(H$811:H822,H822)-1,1,0)</f>
        <v>1</v>
      </c>
      <c r="J822" t="b">
        <f t="shared" si="187"/>
        <v>0</v>
      </c>
      <c r="K822" t="str">
        <f t="shared" si="188"/>
        <v/>
      </c>
      <c r="L822">
        <f>_xlfn.XLOOKUP(D822,BugList!C:C,BugList!N:N)</f>
        <v>8</v>
      </c>
      <c r="M822">
        <f t="shared" si="189"/>
        <v>8</v>
      </c>
      <c r="N822" t="b">
        <f>_xlfn.XLOOKUP(D822,BugList!C:C,BugList!L:L)</f>
        <v>0</v>
      </c>
      <c r="O822" t="b">
        <f t="shared" si="190"/>
        <v>0</v>
      </c>
      <c r="P822" s="18" t="b">
        <f>SUMPRODUCT(COUNTIF(_xlfn.XLOOKUP(D822,BugList!C:C,BugList!P:P), "*SC*"))&gt;0</f>
        <v>0</v>
      </c>
    </row>
    <row r="823" spans="1:16">
      <c r="A823" t="s">
        <v>2815</v>
      </c>
      <c r="B823">
        <v>169</v>
      </c>
      <c r="C823" s="34" t="s">
        <v>201</v>
      </c>
      <c r="D823" s="34" t="s">
        <v>85</v>
      </c>
      <c r="E823" s="83">
        <v>9</v>
      </c>
      <c r="F823" s="43">
        <f t="shared" si="176"/>
        <v>4.6632124352331603</v>
      </c>
      <c r="G823" s="44">
        <f t="shared" si="185"/>
        <v>4</v>
      </c>
      <c r="H823" s="44">
        <f t="shared" si="186"/>
        <v>0.66321243523316031</v>
      </c>
      <c r="I823" cm="1">
        <f t="array" ref="I823">INT(F823)+IF(100-SUM(INT(F$811:F$826))&gt;=RANK(H823,H$811:H$826)+COUNTIF(H$811:H823,H823)-1,1,0)</f>
        <v>5</v>
      </c>
      <c r="J823" t="b">
        <f t="shared" si="187"/>
        <v>0</v>
      </c>
      <c r="K823" t="str">
        <f t="shared" si="188"/>
        <v/>
      </c>
      <c r="L823">
        <f>_xlfn.XLOOKUP(D823,BugList!C:C,BugList!N:N)</f>
        <v>4</v>
      </c>
      <c r="M823">
        <f t="shared" si="189"/>
        <v>20</v>
      </c>
      <c r="N823" t="b">
        <f>_xlfn.XLOOKUP(D823,BugList!C:C,BugList!L:L)</f>
        <v>0</v>
      </c>
      <c r="O823" t="b">
        <f t="shared" si="190"/>
        <v>0</v>
      </c>
      <c r="P823" s="18" t="b">
        <f>SUMPRODUCT(COUNTIF(_xlfn.XLOOKUP(D823,BugList!C:C,BugList!P:P), "*SC*"))&gt;0</f>
        <v>0</v>
      </c>
    </row>
    <row r="824" spans="1:16">
      <c r="A824" t="s">
        <v>2815</v>
      </c>
      <c r="B824">
        <v>169</v>
      </c>
      <c r="C824" s="34" t="s">
        <v>210</v>
      </c>
      <c r="D824" s="34" t="s">
        <v>210</v>
      </c>
      <c r="E824" s="83">
        <v>2</v>
      </c>
      <c r="F824" s="43">
        <f t="shared" si="176"/>
        <v>1.0362694300518136</v>
      </c>
      <c r="G824" s="44">
        <f t="shared" si="185"/>
        <v>1</v>
      </c>
      <c r="H824" s="44">
        <f t="shared" si="186"/>
        <v>3.62694300518136E-2</v>
      </c>
      <c r="I824" cm="1">
        <f t="array" ref="I824">INT(F824)+IF(100-SUM(INT(F$811:F$826))&gt;=RANK(H824,H$811:H$826)+COUNTIF(H$811:H824,H824)-1,1,0)</f>
        <v>1</v>
      </c>
      <c r="J824" t="b">
        <f t="shared" si="187"/>
        <v>0</v>
      </c>
      <c r="K824" t="str">
        <f t="shared" si="188"/>
        <v/>
      </c>
      <c r="L824" s="71">
        <v>8</v>
      </c>
      <c r="M824">
        <f t="shared" si="189"/>
        <v>8</v>
      </c>
      <c r="N824" s="71" t="b">
        <v>0</v>
      </c>
      <c r="O824" t="b">
        <f t="shared" si="190"/>
        <v>0</v>
      </c>
      <c r="P824" s="72" t="b">
        <v>0</v>
      </c>
    </row>
    <row r="825" spans="1:16">
      <c r="A825" t="s">
        <v>2815</v>
      </c>
      <c r="B825">
        <v>169</v>
      </c>
      <c r="C825" s="34" t="s">
        <v>205</v>
      </c>
      <c r="D825" s="34" t="s">
        <v>206</v>
      </c>
      <c r="E825" s="83">
        <v>13</v>
      </c>
      <c r="F825" s="43">
        <f t="shared" si="176"/>
        <v>6.7357512953367875</v>
      </c>
      <c r="G825" s="44">
        <f t="shared" si="185"/>
        <v>6</v>
      </c>
      <c r="H825" s="44">
        <f t="shared" si="186"/>
        <v>0.73575129533678751</v>
      </c>
      <c r="I825" cm="1">
        <f t="array" ref="I825">INT(F825)+IF(100-SUM(INT(F$811:F$826))&gt;=RANK(H825,H$811:H$826)+COUNTIF(H$811:H825,H825)-1,1,0)</f>
        <v>7</v>
      </c>
      <c r="J825" t="b">
        <f t="shared" si="187"/>
        <v>0</v>
      </c>
      <c r="K825" t="str">
        <f t="shared" si="188"/>
        <v/>
      </c>
      <c r="L825" s="71">
        <v>8</v>
      </c>
      <c r="M825">
        <f t="shared" si="189"/>
        <v>56</v>
      </c>
      <c r="N825" s="71" t="b">
        <v>0</v>
      </c>
      <c r="O825" t="b">
        <f t="shared" si="190"/>
        <v>0</v>
      </c>
      <c r="P825" s="72" t="b">
        <v>0</v>
      </c>
    </row>
    <row r="826" spans="1:16">
      <c r="A826" t="s">
        <v>2815</v>
      </c>
      <c r="B826">
        <v>169</v>
      </c>
      <c r="C826" s="34" t="s">
        <v>94</v>
      </c>
      <c r="D826" s="34" t="s">
        <v>94</v>
      </c>
      <c r="E826" s="83">
        <v>5</v>
      </c>
      <c r="F826" s="43">
        <f t="shared" si="176"/>
        <v>2.5906735751295336</v>
      </c>
      <c r="G826" s="44">
        <f t="shared" si="185"/>
        <v>2</v>
      </c>
      <c r="H826" s="44">
        <f t="shared" si="186"/>
        <v>0.59067357512953356</v>
      </c>
      <c r="I826" cm="1">
        <f t="array" ref="I826">INT(F826)+IF(100-SUM(INT(F$811:F$826))&gt;=RANK(H826,H$811:H$826)+COUNTIF(H$811:H826,H826)-1,1,0)</f>
        <v>3</v>
      </c>
      <c r="J826" t="b">
        <f t="shared" si="187"/>
        <v>0</v>
      </c>
      <c r="K826" t="str">
        <f t="shared" si="188"/>
        <v/>
      </c>
      <c r="L826">
        <f>_xlfn.XLOOKUP(D826,BugList!C:C,BugList!N:N)</f>
        <v>8</v>
      </c>
      <c r="M826">
        <f t="shared" si="189"/>
        <v>24</v>
      </c>
      <c r="N826" t="b">
        <f>_xlfn.XLOOKUP(D826,BugList!C:C,BugList!L:L)</f>
        <v>0</v>
      </c>
      <c r="O826" t="b">
        <f t="shared" si="190"/>
        <v>0</v>
      </c>
      <c r="P826" s="18" t="b">
        <f>SUMPRODUCT(COUNTIF(_xlfn.XLOOKUP(D826,BugList!C:C,BugList!P:P), "*SC*"))&gt;0</f>
        <v>0</v>
      </c>
    </row>
    <row r="827" spans="1:16">
      <c r="A827" t="s">
        <v>2816</v>
      </c>
      <c r="B827">
        <v>188</v>
      </c>
      <c r="C827" s="34" t="s">
        <v>200</v>
      </c>
      <c r="D827" s="34" t="s">
        <v>98</v>
      </c>
      <c r="E827" s="83">
        <v>29</v>
      </c>
      <c r="F827" s="43">
        <f t="shared" si="176"/>
        <v>16.666666666666664</v>
      </c>
      <c r="G827" s="44">
        <f t="shared" si="185"/>
        <v>16</v>
      </c>
      <c r="H827" s="44">
        <f t="shared" si="186"/>
        <v>0.6666666666666643</v>
      </c>
      <c r="I827" cm="1">
        <f t="array" ref="I827">INT(F827)+IF(100-SUM(INT(F$827:F$838))&gt;=RANK(H827,H$827:H$838)+COUNTIF(H$827:H827,H827)-1,1,0)</f>
        <v>17</v>
      </c>
      <c r="J827" t="b">
        <f t="shared" si="187"/>
        <v>0</v>
      </c>
      <c r="K827" t="str">
        <f t="shared" si="188"/>
        <v/>
      </c>
      <c r="L827">
        <f>_xlfn.XLOOKUP(D827,BugList!C:C,BugList!N:N)</f>
        <v>4</v>
      </c>
      <c r="M827">
        <f t="shared" si="189"/>
        <v>68</v>
      </c>
      <c r="N827" t="b">
        <f>_xlfn.XLOOKUP(D827,BugList!C:C,BugList!L:L)</f>
        <v>1</v>
      </c>
      <c r="O827" t="b">
        <f t="shared" si="190"/>
        <v>0</v>
      </c>
      <c r="P827" s="18" t="b">
        <f>SUMPRODUCT(COUNTIF(_xlfn.XLOOKUP(D827,BugList!C:C,BugList!P:P), "*SC*"))&gt;0</f>
        <v>1</v>
      </c>
    </row>
    <row r="828" spans="1:16">
      <c r="A828" t="s">
        <v>2816</v>
      </c>
      <c r="B828">
        <v>188</v>
      </c>
      <c r="C828" s="34" t="s">
        <v>200</v>
      </c>
      <c r="D828" s="34" t="s">
        <v>100</v>
      </c>
      <c r="E828" s="83">
        <v>41</v>
      </c>
      <c r="F828" s="43">
        <f t="shared" ref="F828:F859" si="191">(E828/(SUMIFS(E:E,A:A,A828))*100)</f>
        <v>23.563218390804597</v>
      </c>
      <c r="G828" s="44">
        <f t="shared" si="185"/>
        <v>23</v>
      </c>
      <c r="H828" s="44">
        <f t="shared" si="186"/>
        <v>0.56321839080459668</v>
      </c>
      <c r="I828" cm="1">
        <f t="array" ref="I828">INT(F828)+IF(100-SUM(INT(F$827:F$838))&gt;=RANK(H828,H$827:H$838)+COUNTIF(H$827:H828,H828)-1,1,0)</f>
        <v>23</v>
      </c>
      <c r="J828" t="b">
        <f t="shared" si="187"/>
        <v>0</v>
      </c>
      <c r="K828" t="str">
        <f t="shared" si="188"/>
        <v/>
      </c>
      <c r="L828">
        <f>_xlfn.XLOOKUP(D828,BugList!C:C,BugList!N:N)</f>
        <v>4</v>
      </c>
      <c r="M828">
        <f t="shared" si="189"/>
        <v>92</v>
      </c>
      <c r="N828" t="b">
        <f>_xlfn.XLOOKUP(D828,BugList!C:C,BugList!L:L)</f>
        <v>1</v>
      </c>
      <c r="O828" t="b">
        <f t="shared" si="190"/>
        <v>0</v>
      </c>
      <c r="P828" s="18" t="b">
        <f>SUMPRODUCT(COUNTIF(_xlfn.XLOOKUP(D828,BugList!C:C,BugList!P:P), "*SC*"))&gt;0</f>
        <v>1</v>
      </c>
    </row>
    <row r="829" spans="1:16">
      <c r="A829" t="s">
        <v>2816</v>
      </c>
      <c r="B829">
        <v>188</v>
      </c>
      <c r="C829" s="34" t="s">
        <v>194</v>
      </c>
      <c r="D829" s="34" t="s">
        <v>90</v>
      </c>
      <c r="E829" s="83">
        <v>2</v>
      </c>
      <c r="F829" s="43">
        <f t="shared" si="191"/>
        <v>1.1494252873563218</v>
      </c>
      <c r="G829" s="44">
        <f t="shared" si="185"/>
        <v>1</v>
      </c>
      <c r="H829" s="44">
        <f t="shared" si="186"/>
        <v>0.14942528735632177</v>
      </c>
      <c r="I829" cm="1">
        <f t="array" ref="I829">INT(F829)+IF(100-SUM(INT(F$827:F$838))&gt;=RANK(H829,H$827:H$838)+COUNTIF(H$827:H829,H829)-1,1,0)</f>
        <v>1</v>
      </c>
      <c r="J829" t="b">
        <f t="shared" si="187"/>
        <v>0</v>
      </c>
      <c r="K829" t="str">
        <f t="shared" si="188"/>
        <v/>
      </c>
      <c r="L829">
        <f>_xlfn.XLOOKUP(D829,BugList!C:C,BugList!N:N)</f>
        <v>6</v>
      </c>
      <c r="M829">
        <f t="shared" si="189"/>
        <v>6</v>
      </c>
      <c r="N829" t="b">
        <f>_xlfn.XLOOKUP(D829,BugList!C:C,BugList!L:L)</f>
        <v>1</v>
      </c>
      <c r="O829" t="b">
        <f t="shared" si="190"/>
        <v>0</v>
      </c>
      <c r="P829" s="18" t="b">
        <f>SUMPRODUCT(COUNTIF(_xlfn.XLOOKUP(D829,BugList!C:C,BugList!P:P), "*SC*"))&gt;0</f>
        <v>0</v>
      </c>
    </row>
    <row r="830" spans="1:16">
      <c r="A830" t="s">
        <v>2816</v>
      </c>
      <c r="B830">
        <v>188</v>
      </c>
      <c r="C830" s="34" t="s">
        <v>194</v>
      </c>
      <c r="D830" s="34" t="s">
        <v>108</v>
      </c>
      <c r="E830" s="83">
        <v>1</v>
      </c>
      <c r="F830" s="43">
        <f t="shared" si="191"/>
        <v>0.57471264367816088</v>
      </c>
      <c r="G830" s="44">
        <f t="shared" si="185"/>
        <v>0</v>
      </c>
      <c r="H830" s="44">
        <f t="shared" si="186"/>
        <v>0.57471264367816088</v>
      </c>
      <c r="I830" cm="1">
        <f t="array" ref="I830">INT(F830)+IF(100-SUM(INT(F$827:F$838))&gt;=RANK(H830,H$827:H$838)+COUNTIF(H$827:H830,H830)-1,1,0)</f>
        <v>1</v>
      </c>
      <c r="J830" t="b">
        <f t="shared" si="187"/>
        <v>0</v>
      </c>
      <c r="K830" t="str">
        <f t="shared" si="188"/>
        <v/>
      </c>
      <c r="L830">
        <f>_xlfn.XLOOKUP(D830,BugList!C:C,BugList!N:N)</f>
        <v>3</v>
      </c>
      <c r="M830">
        <f t="shared" si="189"/>
        <v>3</v>
      </c>
      <c r="N830" t="b">
        <f>_xlfn.XLOOKUP(D830,BugList!C:C,BugList!L:L)</f>
        <v>1</v>
      </c>
      <c r="O830" t="b">
        <f t="shared" si="190"/>
        <v>0</v>
      </c>
      <c r="P830" s="18" t="b">
        <f>SUMPRODUCT(COUNTIF(_xlfn.XLOOKUP(D830,BugList!C:C,BugList!P:P), "*SC*"))&gt;0</f>
        <v>0</v>
      </c>
    </row>
    <row r="831" spans="1:16">
      <c r="A831" t="s">
        <v>2816</v>
      </c>
      <c r="B831">
        <v>188</v>
      </c>
      <c r="C831" s="34" t="s">
        <v>199</v>
      </c>
      <c r="D831" s="34" t="s">
        <v>111</v>
      </c>
      <c r="E831" s="83">
        <v>16</v>
      </c>
      <c r="F831" s="43">
        <f t="shared" si="191"/>
        <v>9.1954022988505741</v>
      </c>
      <c r="G831" s="44">
        <f t="shared" si="185"/>
        <v>9</v>
      </c>
      <c r="H831" s="44">
        <f t="shared" si="186"/>
        <v>0.19540229885057414</v>
      </c>
      <c r="I831" cm="1">
        <f t="array" ref="I831">INT(F831)+IF(100-SUM(INT(F$827:F$838))&gt;=RANK(H831,H$827:H$838)+COUNTIF(H$827:H831,H831)-1,1,0)</f>
        <v>9</v>
      </c>
      <c r="J831" t="b">
        <f t="shared" si="187"/>
        <v>1</v>
      </c>
      <c r="K831" t="str">
        <f t="shared" si="188"/>
        <v>Ephemeroptera</v>
      </c>
      <c r="L831">
        <f>_xlfn.XLOOKUP(D831,BugList!C:C,BugList!N:N)</f>
        <v>4</v>
      </c>
      <c r="M831">
        <f t="shared" si="189"/>
        <v>36</v>
      </c>
      <c r="N831" t="b">
        <f>_xlfn.XLOOKUP(D831,BugList!C:C,BugList!L:L)</f>
        <v>1</v>
      </c>
      <c r="O831" t="b">
        <f t="shared" si="190"/>
        <v>1</v>
      </c>
      <c r="P831" s="18" t="b">
        <f>SUMPRODUCT(COUNTIF(_xlfn.XLOOKUP(D831,BugList!C:C,BugList!P:P), "*SC*"))&gt;0</f>
        <v>0</v>
      </c>
    </row>
    <row r="832" spans="1:16">
      <c r="A832" t="s">
        <v>2816</v>
      </c>
      <c r="B832">
        <v>188</v>
      </c>
      <c r="C832" s="34" t="s">
        <v>195</v>
      </c>
      <c r="D832" s="34" t="s">
        <v>97</v>
      </c>
      <c r="E832" s="83">
        <v>1</v>
      </c>
      <c r="F832" s="43">
        <f t="shared" si="191"/>
        <v>0.57471264367816088</v>
      </c>
      <c r="G832" s="44">
        <f t="shared" si="185"/>
        <v>0</v>
      </c>
      <c r="H832" s="44">
        <f t="shared" si="186"/>
        <v>0.57471264367816088</v>
      </c>
      <c r="I832" cm="1">
        <f t="array" ref="I832">INT(F832)+IF(100-SUM(INT(F$827:F$838))&gt;=RANK(H832,H$827:H$838)+COUNTIF(H$827:H832,H832)-1,1,0)</f>
        <v>1</v>
      </c>
      <c r="J832" t="b">
        <f t="shared" si="187"/>
        <v>0</v>
      </c>
      <c r="K832" t="str">
        <f t="shared" si="188"/>
        <v/>
      </c>
      <c r="L832">
        <f>_xlfn.XLOOKUP(D832,BugList!C:C,BugList!N:N)</f>
        <v>9</v>
      </c>
      <c r="M832">
        <f t="shared" si="189"/>
        <v>9</v>
      </c>
      <c r="N832" t="b">
        <f>_xlfn.XLOOKUP(D832,BugList!C:C,BugList!L:L)</f>
        <v>1</v>
      </c>
      <c r="O832" t="b">
        <f t="shared" si="190"/>
        <v>0</v>
      </c>
      <c r="P832" s="18" t="b">
        <f>SUMPRODUCT(COUNTIF(_xlfn.XLOOKUP(D832,BugList!C:C,BugList!P:P), "*SC*"))&gt;0</f>
        <v>0</v>
      </c>
    </row>
    <row r="833" spans="1:16">
      <c r="A833" t="s">
        <v>2816</v>
      </c>
      <c r="B833">
        <v>188</v>
      </c>
      <c r="C833" s="34" t="s">
        <v>198</v>
      </c>
      <c r="D833" s="34" t="s">
        <v>89</v>
      </c>
      <c r="E833" s="83">
        <v>7</v>
      </c>
      <c r="F833" s="43">
        <f t="shared" si="191"/>
        <v>4.0229885057471266</v>
      </c>
      <c r="G833" s="44">
        <f t="shared" si="185"/>
        <v>4</v>
      </c>
      <c r="H833" s="44">
        <f t="shared" si="186"/>
        <v>2.2988505747126631E-2</v>
      </c>
      <c r="I833" cm="1">
        <f t="array" ref="I833">INT(F833)+IF(100-SUM(INT(F$827:F$838))&gt;=RANK(H833,H$827:H$838)+COUNTIF(H$827:H833,H833)-1,1,0)</f>
        <v>4</v>
      </c>
      <c r="J833" t="b">
        <f t="shared" si="187"/>
        <v>1</v>
      </c>
      <c r="K833" t="str">
        <f t="shared" si="188"/>
        <v>Trichoptera</v>
      </c>
      <c r="L833">
        <f>_xlfn.XLOOKUP(D833,BugList!C:C,BugList!N:N)</f>
        <v>4</v>
      </c>
      <c r="M833">
        <f t="shared" si="189"/>
        <v>16</v>
      </c>
      <c r="N833" t="b">
        <f>_xlfn.XLOOKUP(D833,BugList!C:C,BugList!L:L)</f>
        <v>1</v>
      </c>
      <c r="O833" t="b">
        <f t="shared" si="190"/>
        <v>0</v>
      </c>
      <c r="P833" s="18" t="b">
        <f>SUMPRODUCT(COUNTIF(_xlfn.XLOOKUP(D833,BugList!C:C,BugList!P:P), "*SC*"))&gt;0</f>
        <v>0</v>
      </c>
    </row>
    <row r="834" spans="1:16">
      <c r="A834" t="s">
        <v>2816</v>
      </c>
      <c r="B834">
        <v>188</v>
      </c>
      <c r="C834" s="34" t="s">
        <v>204</v>
      </c>
      <c r="D834" s="34" t="s">
        <v>84</v>
      </c>
      <c r="E834" s="83">
        <v>6</v>
      </c>
      <c r="F834" s="43">
        <f t="shared" si="191"/>
        <v>3.4482758620689653</v>
      </c>
      <c r="G834" s="44">
        <f t="shared" si="185"/>
        <v>3</v>
      </c>
      <c r="H834" s="44">
        <f t="shared" si="186"/>
        <v>0.4482758620689653</v>
      </c>
      <c r="I834" cm="1">
        <f t="array" ref="I834">INT(F834)+IF(100-SUM(INT(F$827:F$838))&gt;=RANK(H834,H$827:H$838)+COUNTIF(H$827:H834,H834)-1,1,0)</f>
        <v>3</v>
      </c>
      <c r="J834" t="b">
        <f t="shared" si="187"/>
        <v>0</v>
      </c>
      <c r="K834" t="str">
        <f t="shared" si="188"/>
        <v/>
      </c>
      <c r="L834">
        <f>_xlfn.XLOOKUP(D834,BugList!C:C,BugList!N:N)</f>
        <v>8</v>
      </c>
      <c r="M834">
        <f t="shared" si="189"/>
        <v>24</v>
      </c>
      <c r="N834" t="b">
        <f>_xlfn.XLOOKUP(D834,BugList!C:C,BugList!L:L)</f>
        <v>0</v>
      </c>
      <c r="O834" t="b">
        <f t="shared" si="190"/>
        <v>0</v>
      </c>
      <c r="P834" s="18" t="b">
        <f>SUMPRODUCT(COUNTIF(_xlfn.XLOOKUP(D834,BugList!C:C,BugList!P:P), "*SC*"))&gt;0</f>
        <v>0</v>
      </c>
    </row>
    <row r="835" spans="1:16">
      <c r="A835" t="s">
        <v>2816</v>
      </c>
      <c r="B835">
        <v>188</v>
      </c>
      <c r="C835" s="34" t="s">
        <v>201</v>
      </c>
      <c r="D835" s="34" t="s">
        <v>85</v>
      </c>
      <c r="E835" s="83">
        <v>5</v>
      </c>
      <c r="F835" s="43">
        <f t="shared" si="191"/>
        <v>2.8735632183908044</v>
      </c>
      <c r="G835" s="44">
        <f t="shared" si="185"/>
        <v>2</v>
      </c>
      <c r="H835" s="44">
        <f t="shared" si="186"/>
        <v>0.87356321839080442</v>
      </c>
      <c r="I835" cm="1">
        <f t="array" ref="I835">INT(F835)+IF(100-SUM(INT(F$827:F$838))&gt;=RANK(H835,H$827:H$838)+COUNTIF(H$827:H835,H835)-1,1,0)</f>
        <v>3</v>
      </c>
      <c r="J835" t="b">
        <f t="shared" si="187"/>
        <v>0</v>
      </c>
      <c r="K835" t="str">
        <f t="shared" si="188"/>
        <v/>
      </c>
      <c r="L835">
        <f>_xlfn.XLOOKUP(D835,BugList!C:C,BugList!N:N)</f>
        <v>4</v>
      </c>
      <c r="M835">
        <f t="shared" si="189"/>
        <v>12</v>
      </c>
      <c r="N835" t="b">
        <f>_xlfn.XLOOKUP(D835,BugList!C:C,BugList!L:L)</f>
        <v>0</v>
      </c>
      <c r="O835" t="b">
        <f t="shared" si="190"/>
        <v>0</v>
      </c>
      <c r="P835" s="18" t="b">
        <f>SUMPRODUCT(COUNTIF(_xlfn.XLOOKUP(D835,BugList!C:C,BugList!P:P), "*SC*"))&gt;0</f>
        <v>0</v>
      </c>
    </row>
    <row r="836" spans="1:16">
      <c r="A836" t="s">
        <v>2816</v>
      </c>
      <c r="B836">
        <v>188</v>
      </c>
      <c r="C836" s="34" t="s">
        <v>2315</v>
      </c>
      <c r="D836" s="34" t="s">
        <v>2315</v>
      </c>
      <c r="E836" s="83">
        <v>3</v>
      </c>
      <c r="F836" s="43">
        <f t="shared" si="191"/>
        <v>1.7241379310344827</v>
      </c>
      <c r="G836" s="44">
        <f t="shared" si="185"/>
        <v>1</v>
      </c>
      <c r="H836" s="44">
        <f t="shared" si="186"/>
        <v>0.72413793103448265</v>
      </c>
      <c r="I836" cm="1">
        <f t="array" ref="I836">INT(F836)+IF(100-SUM(INT(F$827:F$838))&gt;=RANK(H836,H$827:H$838)+COUNTIF(H$827:H836,H836)-1,1,0)</f>
        <v>2</v>
      </c>
      <c r="J836" t="b">
        <f t="shared" si="187"/>
        <v>0</v>
      </c>
      <c r="K836" t="str">
        <f t="shared" si="188"/>
        <v/>
      </c>
      <c r="L836">
        <f>_xlfn.XLOOKUP(D836,BugList!C:C,BugList!N:N)</f>
        <v>7</v>
      </c>
      <c r="M836">
        <f t="shared" si="189"/>
        <v>14</v>
      </c>
      <c r="N836" t="b">
        <f>_xlfn.XLOOKUP(D836,BugList!C:C,BugList!L:L)</f>
        <v>0</v>
      </c>
      <c r="O836" t="b">
        <f t="shared" si="190"/>
        <v>0</v>
      </c>
      <c r="P836" s="18" t="b">
        <f>SUMPRODUCT(COUNTIF(_xlfn.XLOOKUP(D836,BugList!C:C,BugList!P:P), "*SC*"))&gt;0</f>
        <v>1</v>
      </c>
    </row>
    <row r="837" spans="1:16">
      <c r="A837" t="s">
        <v>2816</v>
      </c>
      <c r="B837">
        <v>188</v>
      </c>
      <c r="C837" s="34" t="s">
        <v>205</v>
      </c>
      <c r="D837" s="34" t="s">
        <v>206</v>
      </c>
      <c r="E837" s="83">
        <v>60</v>
      </c>
      <c r="F837" s="43">
        <f t="shared" si="191"/>
        <v>34.482758620689658</v>
      </c>
      <c r="G837" s="44">
        <f t="shared" si="185"/>
        <v>34</v>
      </c>
      <c r="H837" s="44">
        <f t="shared" si="186"/>
        <v>0.48275862068965836</v>
      </c>
      <c r="I837" cm="1">
        <f t="array" ref="I837">INT(F837)+IF(100-SUM(INT(F$827:F$838))&gt;=RANK(H837,H$827:H$838)+COUNTIF(H$827:H837,H837)-1,1,0)</f>
        <v>34</v>
      </c>
      <c r="J837" t="b">
        <f t="shared" si="187"/>
        <v>0</v>
      </c>
      <c r="K837" t="str">
        <f t="shared" si="188"/>
        <v/>
      </c>
      <c r="L837" s="71">
        <v>8</v>
      </c>
      <c r="M837">
        <f t="shared" ref="M837" si="192">L837*I837</f>
        <v>272</v>
      </c>
      <c r="N837" s="71" t="b">
        <v>0</v>
      </c>
      <c r="O837" t="b">
        <f t="shared" ref="O837" si="193">IF(J837=TRUE,IF(D837="Hydropsychidae", FALSE, TRUE), FALSE)</f>
        <v>0</v>
      </c>
      <c r="P837" s="72" t="b">
        <v>0</v>
      </c>
    </row>
    <row r="838" spans="1:16">
      <c r="A838" t="s">
        <v>2816</v>
      </c>
      <c r="B838">
        <v>188</v>
      </c>
      <c r="C838" s="34" t="s">
        <v>94</v>
      </c>
      <c r="D838" s="34" t="s">
        <v>94</v>
      </c>
      <c r="E838" s="83">
        <v>3</v>
      </c>
      <c r="F838" s="43">
        <f t="shared" si="191"/>
        <v>1.7241379310344827</v>
      </c>
      <c r="G838" s="44">
        <f t="shared" si="185"/>
        <v>1</v>
      </c>
      <c r="H838" s="44">
        <f t="shared" si="186"/>
        <v>0.72413793103448265</v>
      </c>
      <c r="I838" cm="1">
        <f t="array" ref="I838">INT(F838)+IF(100-SUM(INT(F$827:F$838))&gt;=RANK(H838,H$827:H$838)+COUNTIF(H$827:H838,H838)-1,1,0)</f>
        <v>2</v>
      </c>
      <c r="J838" t="b">
        <f t="shared" si="187"/>
        <v>0</v>
      </c>
      <c r="K838" t="str">
        <f t="shared" si="188"/>
        <v/>
      </c>
      <c r="L838">
        <f>_xlfn.XLOOKUP(D838,BugList!C:C,BugList!N:N)</f>
        <v>8</v>
      </c>
      <c r="M838">
        <f t="shared" si="189"/>
        <v>16</v>
      </c>
      <c r="N838" t="b">
        <f>_xlfn.XLOOKUP(D838,BugList!C:C,BugList!L:L)</f>
        <v>0</v>
      </c>
      <c r="O838" t="b">
        <f t="shared" si="190"/>
        <v>0</v>
      </c>
      <c r="P838" s="18" t="b">
        <f>SUMPRODUCT(COUNTIF(_xlfn.XLOOKUP(D838,BugList!C:C,BugList!P:P), "*SC*"))&gt;0</f>
        <v>0</v>
      </c>
    </row>
    <row r="839" spans="1:16">
      <c r="A839" t="s">
        <v>2817</v>
      </c>
      <c r="B839">
        <v>197</v>
      </c>
      <c r="C839" s="34" t="s">
        <v>200</v>
      </c>
      <c r="D839" s="34" t="s">
        <v>98</v>
      </c>
      <c r="E839" s="83">
        <v>15</v>
      </c>
      <c r="F839" s="43">
        <f t="shared" si="191"/>
        <v>13.157894736842104</v>
      </c>
      <c r="G839" s="44">
        <f t="shared" si="185"/>
        <v>13</v>
      </c>
      <c r="H839" s="44">
        <f t="shared" si="186"/>
        <v>0.15789473684210442</v>
      </c>
      <c r="I839" cm="1">
        <f t="array" ref="I839">INT(F839)+IF(100-SUM(INT(F$839:F$846))&gt;=RANK(H839,H$839:H$846)+COUNTIF(H$839:H839,H839)-1,1,0)</f>
        <v>13</v>
      </c>
      <c r="J839" t="b">
        <f t="shared" si="187"/>
        <v>0</v>
      </c>
      <c r="K839" t="str">
        <f t="shared" si="188"/>
        <v/>
      </c>
      <c r="L839">
        <f>_xlfn.XLOOKUP(D839,BugList!C:C,BugList!N:N)</f>
        <v>4</v>
      </c>
      <c r="M839">
        <f t="shared" si="189"/>
        <v>52</v>
      </c>
      <c r="N839" t="b">
        <f>_xlfn.XLOOKUP(D839,BugList!C:C,BugList!L:L)</f>
        <v>1</v>
      </c>
      <c r="O839" t="b">
        <f t="shared" si="190"/>
        <v>0</v>
      </c>
      <c r="P839" s="18" t="b">
        <f>SUMPRODUCT(COUNTIF(_xlfn.XLOOKUP(D839,BugList!C:C,BugList!P:P), "*SC*"))&gt;0</f>
        <v>1</v>
      </c>
    </row>
    <row r="840" spans="1:16">
      <c r="A840" t="s">
        <v>2817</v>
      </c>
      <c r="B840">
        <v>197</v>
      </c>
      <c r="C840" s="34" t="s">
        <v>200</v>
      </c>
      <c r="D840" s="34" t="s">
        <v>100</v>
      </c>
      <c r="E840" s="83">
        <v>20</v>
      </c>
      <c r="F840" s="43">
        <f t="shared" si="191"/>
        <v>17.543859649122805</v>
      </c>
      <c r="G840" s="44">
        <f t="shared" si="185"/>
        <v>17</v>
      </c>
      <c r="H840" s="44">
        <f t="shared" si="186"/>
        <v>0.54385964912280471</v>
      </c>
      <c r="I840" cm="1">
        <f t="array" ref="I840">INT(F840)+IF(100-SUM(INT(F$839:F$846))&gt;=RANK(H840,H$839:H$846)+COUNTIF(H$839:H840,H840)-1,1,0)</f>
        <v>17</v>
      </c>
      <c r="J840" t="b">
        <f t="shared" si="187"/>
        <v>0</v>
      </c>
      <c r="K840" t="str">
        <f t="shared" si="188"/>
        <v/>
      </c>
      <c r="L840">
        <f>_xlfn.XLOOKUP(D840,BugList!C:C,BugList!N:N)</f>
        <v>4</v>
      </c>
      <c r="M840">
        <f t="shared" si="189"/>
        <v>68</v>
      </c>
      <c r="N840" t="b">
        <f>_xlfn.XLOOKUP(D840,BugList!C:C,BugList!L:L)</f>
        <v>1</v>
      </c>
      <c r="O840" t="b">
        <f t="shared" si="190"/>
        <v>0</v>
      </c>
      <c r="P840" s="18" t="b">
        <f>SUMPRODUCT(COUNTIF(_xlfn.XLOOKUP(D840,BugList!C:C,BugList!P:P), "*SC*"))&gt;0</f>
        <v>1</v>
      </c>
    </row>
    <row r="841" spans="1:16">
      <c r="A841" t="s">
        <v>2817</v>
      </c>
      <c r="B841">
        <v>197</v>
      </c>
      <c r="C841" s="34" t="s">
        <v>195</v>
      </c>
      <c r="D841" s="34" t="s">
        <v>97</v>
      </c>
      <c r="E841" s="83">
        <v>1</v>
      </c>
      <c r="F841" s="43">
        <f t="shared" si="191"/>
        <v>0.8771929824561403</v>
      </c>
      <c r="G841" s="44">
        <f t="shared" si="185"/>
        <v>0</v>
      </c>
      <c r="H841" s="44">
        <f t="shared" si="186"/>
        <v>0.8771929824561403</v>
      </c>
      <c r="I841" cm="1">
        <f t="array" ref="I841">INT(F841)+IF(100-SUM(INT(F$839:F$846))&gt;=RANK(H841,H$839:H$846)+COUNTIF(H$839:H841,H841)-1,1,0)</f>
        <v>1</v>
      </c>
      <c r="J841" t="b">
        <f t="shared" si="187"/>
        <v>0</v>
      </c>
      <c r="K841" t="str">
        <f t="shared" si="188"/>
        <v/>
      </c>
      <c r="L841">
        <f>_xlfn.XLOOKUP(D841,BugList!C:C,BugList!N:N)</f>
        <v>9</v>
      </c>
      <c r="M841">
        <f t="shared" si="189"/>
        <v>9</v>
      </c>
      <c r="N841" t="b">
        <f>_xlfn.XLOOKUP(D841,BugList!C:C,BugList!L:L)</f>
        <v>1</v>
      </c>
      <c r="O841" t="b">
        <f t="shared" si="190"/>
        <v>0</v>
      </c>
      <c r="P841" s="18" t="b">
        <f>SUMPRODUCT(COUNTIF(_xlfn.XLOOKUP(D841,BugList!C:C,BugList!P:P), "*SC*"))&gt;0</f>
        <v>0</v>
      </c>
    </row>
    <row r="842" spans="1:16">
      <c r="A842" t="s">
        <v>2817</v>
      </c>
      <c r="B842">
        <v>197</v>
      </c>
      <c r="C842" s="34" t="s">
        <v>198</v>
      </c>
      <c r="D842" s="34" t="s">
        <v>89</v>
      </c>
      <c r="E842" s="83">
        <v>56</v>
      </c>
      <c r="F842" s="43">
        <f t="shared" si="191"/>
        <v>49.122807017543856</v>
      </c>
      <c r="G842" s="44">
        <f t="shared" si="185"/>
        <v>49</v>
      </c>
      <c r="H842" s="44">
        <f t="shared" si="186"/>
        <v>0.12280701754385603</v>
      </c>
      <c r="I842" cm="1">
        <f t="array" ref="I842">INT(F842)+IF(100-SUM(INT(F$839:F$846))&gt;=RANK(H842,H$839:H$846)+COUNTIF(H$839:H842,H842)-1,1,0)</f>
        <v>49</v>
      </c>
      <c r="J842" t="b">
        <f t="shared" si="187"/>
        <v>1</v>
      </c>
      <c r="K842" t="str">
        <f t="shared" si="188"/>
        <v>Trichoptera</v>
      </c>
      <c r="L842">
        <f>_xlfn.XLOOKUP(D842,BugList!C:C,BugList!N:N)</f>
        <v>4</v>
      </c>
      <c r="M842">
        <f t="shared" si="189"/>
        <v>196</v>
      </c>
      <c r="N842" t="b">
        <f>_xlfn.XLOOKUP(D842,BugList!C:C,BugList!L:L)</f>
        <v>1</v>
      </c>
      <c r="O842" t="b">
        <f t="shared" si="190"/>
        <v>0</v>
      </c>
      <c r="P842" s="18" t="b">
        <f>SUMPRODUCT(COUNTIF(_xlfn.XLOOKUP(D842,BugList!C:C,BugList!P:P), "*SC*"))&gt;0</f>
        <v>0</v>
      </c>
    </row>
    <row r="843" spans="1:16">
      <c r="A843" t="s">
        <v>2817</v>
      </c>
      <c r="B843">
        <v>197</v>
      </c>
      <c r="C843" s="34" t="s">
        <v>198</v>
      </c>
      <c r="D843" s="34" t="s">
        <v>163</v>
      </c>
      <c r="E843" s="83">
        <v>11</v>
      </c>
      <c r="F843" s="43">
        <f t="shared" si="191"/>
        <v>9.6491228070175428</v>
      </c>
      <c r="G843" s="44">
        <f t="shared" si="185"/>
        <v>9</v>
      </c>
      <c r="H843" s="44">
        <f t="shared" si="186"/>
        <v>0.64912280701754277</v>
      </c>
      <c r="I843" cm="1">
        <f t="array" ref="I843">INT(F843)+IF(100-SUM(INT(F$839:F$846))&gt;=RANK(H843,H$839:H$846)+COUNTIF(H$839:H843,H843)-1,1,0)</f>
        <v>10</v>
      </c>
      <c r="J843" t="b">
        <f t="shared" si="187"/>
        <v>1</v>
      </c>
      <c r="K843" t="str">
        <f t="shared" si="188"/>
        <v>Trichoptera</v>
      </c>
      <c r="L843">
        <f>_xlfn.XLOOKUP(D843,BugList!C:C,BugList!N:N)</f>
        <v>6</v>
      </c>
      <c r="M843">
        <f t="shared" si="189"/>
        <v>60</v>
      </c>
      <c r="N843" t="b">
        <f>_xlfn.XLOOKUP(D843,BugList!C:C,BugList!L:L)</f>
        <v>1</v>
      </c>
      <c r="O843" t="b">
        <f t="shared" si="190"/>
        <v>1</v>
      </c>
      <c r="P843" s="18" t="b">
        <f>SUMPRODUCT(COUNTIF(_xlfn.XLOOKUP(D843,BugList!C:C,BugList!P:P), "*SC*"))&gt;0</f>
        <v>0</v>
      </c>
    </row>
    <row r="844" spans="1:16">
      <c r="A844" t="s">
        <v>2817</v>
      </c>
      <c r="B844">
        <v>197</v>
      </c>
      <c r="C844" s="34" t="s">
        <v>204</v>
      </c>
      <c r="D844" s="34" t="s">
        <v>84</v>
      </c>
      <c r="E844" s="83">
        <v>2</v>
      </c>
      <c r="F844" s="43">
        <f t="shared" si="191"/>
        <v>1.7543859649122806</v>
      </c>
      <c r="G844" s="44">
        <f t="shared" si="185"/>
        <v>1</v>
      </c>
      <c r="H844" s="44">
        <f t="shared" si="186"/>
        <v>0.7543859649122806</v>
      </c>
      <c r="I844" cm="1">
        <f t="array" ref="I844">INT(F844)+IF(100-SUM(INT(F$839:F$846))&gt;=RANK(H844,H$839:H$846)+COUNTIF(H$839:H844,H844)-1,1,0)</f>
        <v>2</v>
      </c>
      <c r="J844" t="b">
        <f t="shared" si="187"/>
        <v>0</v>
      </c>
      <c r="K844" t="str">
        <f t="shared" si="188"/>
        <v/>
      </c>
      <c r="L844">
        <f>_xlfn.XLOOKUP(D844,BugList!C:C,BugList!N:N)</f>
        <v>8</v>
      </c>
      <c r="M844">
        <f t="shared" si="189"/>
        <v>16</v>
      </c>
      <c r="N844" t="b">
        <f>_xlfn.XLOOKUP(D844,BugList!C:C,BugList!L:L)</f>
        <v>0</v>
      </c>
      <c r="O844" t="b">
        <f t="shared" si="190"/>
        <v>0</v>
      </c>
      <c r="P844" s="18" t="b">
        <f>SUMPRODUCT(COUNTIF(_xlfn.XLOOKUP(D844,BugList!C:C,BugList!P:P), "*SC*"))&gt;0</f>
        <v>0</v>
      </c>
    </row>
    <row r="845" spans="1:16">
      <c r="A845" t="s">
        <v>2817</v>
      </c>
      <c r="B845">
        <v>197</v>
      </c>
      <c r="C845" s="34" t="s">
        <v>201</v>
      </c>
      <c r="D845" s="34" t="s">
        <v>85</v>
      </c>
      <c r="E845" s="83">
        <v>2</v>
      </c>
      <c r="F845" s="43">
        <f t="shared" si="191"/>
        <v>1.7543859649122806</v>
      </c>
      <c r="G845" s="44">
        <f t="shared" si="185"/>
        <v>1</v>
      </c>
      <c r="H845" s="44">
        <f t="shared" si="186"/>
        <v>0.7543859649122806</v>
      </c>
      <c r="I845" cm="1">
        <f t="array" ref="I845">INT(F845)+IF(100-SUM(INT(F$839:F$846))&gt;=RANK(H845,H$839:H$846)+COUNTIF(H$839:H845,H845)-1,1,0)</f>
        <v>2</v>
      </c>
      <c r="J845" t="b">
        <f t="shared" si="187"/>
        <v>0</v>
      </c>
      <c r="K845" t="str">
        <f t="shared" si="188"/>
        <v/>
      </c>
      <c r="L845">
        <f>_xlfn.XLOOKUP(D845,BugList!C:C,BugList!N:N)</f>
        <v>4</v>
      </c>
      <c r="M845">
        <f t="shared" si="189"/>
        <v>8</v>
      </c>
      <c r="N845" t="b">
        <f>_xlfn.XLOOKUP(D845,BugList!C:C,BugList!L:L)</f>
        <v>0</v>
      </c>
      <c r="O845" t="b">
        <f t="shared" si="190"/>
        <v>0</v>
      </c>
      <c r="P845" s="18" t="b">
        <f>SUMPRODUCT(COUNTIF(_xlfn.XLOOKUP(D845,BugList!C:C,BugList!P:P), "*SC*"))&gt;0</f>
        <v>0</v>
      </c>
    </row>
    <row r="846" spans="1:16">
      <c r="A846" t="s">
        <v>2817</v>
      </c>
      <c r="B846">
        <v>197</v>
      </c>
      <c r="C846" s="34" t="s">
        <v>205</v>
      </c>
      <c r="D846" s="34" t="s">
        <v>206</v>
      </c>
      <c r="E846" s="83">
        <v>7</v>
      </c>
      <c r="F846" s="43">
        <f t="shared" si="191"/>
        <v>6.140350877192982</v>
      </c>
      <c r="G846" s="44">
        <f t="shared" si="185"/>
        <v>6</v>
      </c>
      <c r="H846" s="44">
        <f t="shared" si="186"/>
        <v>0.140350877192982</v>
      </c>
      <c r="I846" cm="1">
        <f t="array" ref="I846">INT(F846)+IF(100-SUM(INT(F$839:F$846))&gt;=RANK(H846,H$839:H$846)+COUNTIF(H$839:H846,H846)-1,1,0)</f>
        <v>6</v>
      </c>
      <c r="J846" t="b">
        <f t="shared" si="187"/>
        <v>0</v>
      </c>
      <c r="K846" t="str">
        <f t="shared" si="188"/>
        <v/>
      </c>
      <c r="L846" s="71">
        <v>8</v>
      </c>
      <c r="M846">
        <f t="shared" si="189"/>
        <v>48</v>
      </c>
      <c r="N846" s="71" t="b">
        <v>0</v>
      </c>
      <c r="O846" t="b">
        <f t="shared" si="190"/>
        <v>0</v>
      </c>
      <c r="P846" s="72" t="b">
        <v>0</v>
      </c>
    </row>
    <row r="847" spans="1:16">
      <c r="A847" t="s">
        <v>2818</v>
      </c>
      <c r="B847">
        <v>210</v>
      </c>
      <c r="C847" s="34" t="s">
        <v>200</v>
      </c>
      <c r="D847" s="34" t="s">
        <v>98</v>
      </c>
      <c r="E847" s="83">
        <v>1</v>
      </c>
      <c r="F847" s="43">
        <f t="shared" si="191"/>
        <v>0.84033613445378152</v>
      </c>
      <c r="G847" s="44">
        <f t="shared" si="185"/>
        <v>0</v>
      </c>
      <c r="H847" s="44">
        <f t="shared" si="186"/>
        <v>0.84033613445378152</v>
      </c>
      <c r="I847" cm="1">
        <f t="array" ref="I847">INT(F847)+IF(100-SUM(INT(F$847:F$857))&gt;=RANK(H847,H$847:H$857)+COUNTIF(H$847:H847,H847)-1,1,0)</f>
        <v>1</v>
      </c>
      <c r="J847" t="b">
        <f t="shared" si="187"/>
        <v>0</v>
      </c>
      <c r="K847" t="str">
        <f t="shared" si="188"/>
        <v/>
      </c>
      <c r="L847">
        <f>_xlfn.XLOOKUP(D847,BugList!C:C,BugList!N:N)</f>
        <v>4</v>
      </c>
      <c r="M847">
        <f t="shared" si="189"/>
        <v>4</v>
      </c>
      <c r="N847" t="b">
        <f>_xlfn.XLOOKUP(D847,BugList!C:C,BugList!L:L)</f>
        <v>1</v>
      </c>
      <c r="O847" t="b">
        <f t="shared" si="190"/>
        <v>0</v>
      </c>
      <c r="P847" s="18" t="b">
        <f>SUMPRODUCT(COUNTIF(_xlfn.XLOOKUP(D847,BugList!C:C,BugList!P:P), "*SC*"))&gt;0</f>
        <v>1</v>
      </c>
    </row>
    <row r="848" spans="1:16">
      <c r="A848" t="s">
        <v>2818</v>
      </c>
      <c r="B848">
        <v>210</v>
      </c>
      <c r="C848" s="34" t="s">
        <v>200</v>
      </c>
      <c r="D848" s="34" t="s">
        <v>100</v>
      </c>
      <c r="E848" s="83">
        <v>13</v>
      </c>
      <c r="F848" s="43">
        <f t="shared" si="191"/>
        <v>10.92436974789916</v>
      </c>
      <c r="G848" s="44">
        <f t="shared" si="185"/>
        <v>10</v>
      </c>
      <c r="H848" s="44">
        <f t="shared" si="186"/>
        <v>0.92436974789915993</v>
      </c>
      <c r="I848" cm="1">
        <f t="array" ref="I848">INT(F848)+IF(100-SUM(INT(F$847:F$857))&gt;=RANK(H848,H$847:H$857)+COUNTIF(H$847:H848,H848)-1,1,0)</f>
        <v>11</v>
      </c>
      <c r="J848" t="b">
        <f t="shared" si="187"/>
        <v>0</v>
      </c>
      <c r="K848" t="str">
        <f t="shared" si="188"/>
        <v/>
      </c>
      <c r="L848">
        <f>_xlfn.XLOOKUP(D848,BugList!C:C,BugList!N:N)</f>
        <v>4</v>
      </c>
      <c r="M848">
        <f t="shared" si="189"/>
        <v>44</v>
      </c>
      <c r="N848" t="b">
        <f>_xlfn.XLOOKUP(D848,BugList!C:C,BugList!L:L)</f>
        <v>1</v>
      </c>
      <c r="O848" t="b">
        <f t="shared" si="190"/>
        <v>0</v>
      </c>
      <c r="P848" s="18" t="b">
        <f>SUMPRODUCT(COUNTIF(_xlfn.XLOOKUP(D848,BugList!C:C,BugList!P:P), "*SC*"))&gt;0</f>
        <v>1</v>
      </c>
    </row>
    <row r="849" spans="1:16">
      <c r="A849" t="s">
        <v>2818</v>
      </c>
      <c r="B849">
        <v>210</v>
      </c>
      <c r="C849" s="34" t="s">
        <v>194</v>
      </c>
      <c r="D849" s="34" t="s">
        <v>90</v>
      </c>
      <c r="E849" s="83">
        <v>63</v>
      </c>
      <c r="F849" s="43">
        <f t="shared" si="191"/>
        <v>52.941176470588239</v>
      </c>
      <c r="G849" s="44">
        <f t="shared" si="185"/>
        <v>52</v>
      </c>
      <c r="H849" s="44">
        <f t="shared" si="186"/>
        <v>0.94117647058823906</v>
      </c>
      <c r="I849" cm="1">
        <f t="array" ref="I849">INT(F849)+IF(100-SUM(INT(F$847:F$857))&gt;=RANK(H849,H$847:H$857)+COUNTIF(H$847:H849,H849)-1,1,0)</f>
        <v>53</v>
      </c>
      <c r="J849" t="b">
        <f t="shared" si="187"/>
        <v>0</v>
      </c>
      <c r="K849" t="str">
        <f t="shared" si="188"/>
        <v/>
      </c>
      <c r="L849">
        <f>_xlfn.XLOOKUP(D849,BugList!C:C,BugList!N:N)</f>
        <v>6</v>
      </c>
      <c r="M849">
        <f t="shared" si="189"/>
        <v>318</v>
      </c>
      <c r="N849" t="b">
        <f>_xlfn.XLOOKUP(D849,BugList!C:C,BugList!L:L)</f>
        <v>1</v>
      </c>
      <c r="O849" t="b">
        <f t="shared" si="190"/>
        <v>0</v>
      </c>
      <c r="P849" s="18" t="b">
        <f>SUMPRODUCT(COUNTIF(_xlfn.XLOOKUP(D849,BugList!C:C,BugList!P:P), "*SC*"))&gt;0</f>
        <v>0</v>
      </c>
    </row>
    <row r="850" spans="1:16">
      <c r="A850" t="s">
        <v>2818</v>
      </c>
      <c r="B850">
        <v>210</v>
      </c>
      <c r="C850" s="34" t="s">
        <v>194</v>
      </c>
      <c r="D850" s="34" t="s">
        <v>101</v>
      </c>
      <c r="E850" s="83">
        <v>14</v>
      </c>
      <c r="F850" s="43">
        <f t="shared" si="191"/>
        <v>11.76470588235294</v>
      </c>
      <c r="G850" s="44">
        <f t="shared" si="185"/>
        <v>11</v>
      </c>
      <c r="H850" s="44">
        <f t="shared" si="186"/>
        <v>0.76470588235294024</v>
      </c>
      <c r="I850" cm="1">
        <f t="array" ref="I850">INT(F850)+IF(100-SUM(INT(F$847:F$857))&gt;=RANK(H850,H$847:H$857)+COUNTIF(H$847:H850,H850)-1,1,0)</f>
        <v>12</v>
      </c>
      <c r="J850" t="b">
        <f t="shared" si="187"/>
        <v>0</v>
      </c>
      <c r="K850" t="str">
        <f t="shared" si="188"/>
        <v/>
      </c>
      <c r="L850">
        <f>_xlfn.XLOOKUP(D850,BugList!C:C,BugList!N:N)</f>
        <v>6</v>
      </c>
      <c r="M850">
        <f t="shared" si="189"/>
        <v>72</v>
      </c>
      <c r="N850" t="b">
        <f>_xlfn.XLOOKUP(D850,BugList!C:C,BugList!L:L)</f>
        <v>1</v>
      </c>
      <c r="O850" t="b">
        <f t="shared" si="190"/>
        <v>0</v>
      </c>
      <c r="P850" s="18" t="b">
        <f>SUMPRODUCT(COUNTIF(_xlfn.XLOOKUP(D850,BugList!C:C,BugList!P:P), "*SC*"))&gt;0</f>
        <v>0</v>
      </c>
    </row>
    <row r="851" spans="1:16">
      <c r="A851" t="s">
        <v>2818</v>
      </c>
      <c r="B851">
        <v>210</v>
      </c>
      <c r="C851" s="34" t="s">
        <v>199</v>
      </c>
      <c r="D851" s="34" t="s">
        <v>111</v>
      </c>
      <c r="E851" s="83">
        <v>2</v>
      </c>
      <c r="F851" s="43">
        <f t="shared" si="191"/>
        <v>1.680672268907563</v>
      </c>
      <c r="G851" s="44">
        <f t="shared" si="185"/>
        <v>1</v>
      </c>
      <c r="H851" s="44">
        <f t="shared" si="186"/>
        <v>0.68067226890756305</v>
      </c>
      <c r="I851" cm="1">
        <f t="array" ref="I851">INT(F851)+IF(100-SUM(INT(F$847:F$857))&gt;=RANK(H851,H$847:H$857)+COUNTIF(H$847:H851,H851)-1,1,0)</f>
        <v>2</v>
      </c>
      <c r="J851" t="b">
        <f t="shared" si="187"/>
        <v>1</v>
      </c>
      <c r="K851" t="str">
        <f t="shared" si="188"/>
        <v>Ephemeroptera</v>
      </c>
      <c r="L851">
        <f>_xlfn.XLOOKUP(D851,BugList!C:C,BugList!N:N)</f>
        <v>4</v>
      </c>
      <c r="M851">
        <f t="shared" si="189"/>
        <v>8</v>
      </c>
      <c r="N851" t="b">
        <f>_xlfn.XLOOKUP(D851,BugList!C:C,BugList!L:L)</f>
        <v>1</v>
      </c>
      <c r="O851" t="b">
        <f t="shared" si="190"/>
        <v>1</v>
      </c>
      <c r="P851" s="18" t="b">
        <f>SUMPRODUCT(COUNTIF(_xlfn.XLOOKUP(D851,BugList!C:C,BugList!P:P), "*SC*"))&gt;0</f>
        <v>0</v>
      </c>
    </row>
    <row r="852" spans="1:16">
      <c r="A852" t="s">
        <v>2818</v>
      </c>
      <c r="B852">
        <v>210</v>
      </c>
      <c r="C852" s="34" t="s">
        <v>195</v>
      </c>
      <c r="D852" s="34" t="s">
        <v>97</v>
      </c>
      <c r="E852" s="83">
        <v>2</v>
      </c>
      <c r="F852" s="43">
        <f t="shared" si="191"/>
        <v>1.680672268907563</v>
      </c>
      <c r="G852" s="44">
        <f t="shared" si="185"/>
        <v>1</v>
      </c>
      <c r="H852" s="44">
        <f t="shared" si="186"/>
        <v>0.68067226890756305</v>
      </c>
      <c r="I852" cm="1">
        <f t="array" ref="I852">INT(F852)+IF(100-SUM(INT(F$847:F$857))&gt;=RANK(H852,H$847:H$857)+COUNTIF(H$847:H852,H852)-1,1,0)</f>
        <v>2</v>
      </c>
      <c r="J852" t="b">
        <f t="shared" si="187"/>
        <v>0</v>
      </c>
      <c r="K852" t="str">
        <f t="shared" si="188"/>
        <v/>
      </c>
      <c r="L852">
        <f>_xlfn.XLOOKUP(D852,BugList!C:C,BugList!N:N)</f>
        <v>9</v>
      </c>
      <c r="M852">
        <f t="shared" si="189"/>
        <v>18</v>
      </c>
      <c r="N852" t="b">
        <f>_xlfn.XLOOKUP(D852,BugList!C:C,BugList!L:L)</f>
        <v>1</v>
      </c>
      <c r="O852" t="b">
        <f t="shared" si="190"/>
        <v>0</v>
      </c>
      <c r="P852" s="18" t="b">
        <f>SUMPRODUCT(COUNTIF(_xlfn.XLOOKUP(D852,BugList!C:C,BugList!P:P), "*SC*"))&gt;0</f>
        <v>0</v>
      </c>
    </row>
    <row r="853" spans="1:16">
      <c r="A853" t="s">
        <v>2818</v>
      </c>
      <c r="B853">
        <v>210</v>
      </c>
      <c r="C853" s="34" t="s">
        <v>198</v>
      </c>
      <c r="D853" s="34" t="s">
        <v>89</v>
      </c>
      <c r="E853" s="83">
        <v>15</v>
      </c>
      <c r="F853" s="43">
        <f t="shared" si="191"/>
        <v>12.605042016806722</v>
      </c>
      <c r="G853" s="44">
        <f t="shared" si="185"/>
        <v>12</v>
      </c>
      <c r="H853" s="44">
        <f t="shared" si="186"/>
        <v>0.60504201680672232</v>
      </c>
      <c r="I853" cm="1">
        <f t="array" ref="I853">INT(F853)+IF(100-SUM(INT(F$847:F$857))&gt;=RANK(H853,H$847:H$857)+COUNTIF(H$847:H853,H853)-1,1,0)</f>
        <v>12</v>
      </c>
      <c r="J853" t="b">
        <f t="shared" si="187"/>
        <v>1</v>
      </c>
      <c r="K853" t="str">
        <f t="shared" si="188"/>
        <v>Trichoptera</v>
      </c>
      <c r="L853">
        <f>_xlfn.XLOOKUP(D853,BugList!C:C,BugList!N:N)</f>
        <v>4</v>
      </c>
      <c r="M853">
        <f t="shared" si="189"/>
        <v>48</v>
      </c>
      <c r="N853" t="b">
        <f>_xlfn.XLOOKUP(D853,BugList!C:C,BugList!L:L)</f>
        <v>1</v>
      </c>
      <c r="O853" t="b">
        <f t="shared" si="190"/>
        <v>0</v>
      </c>
      <c r="P853" s="18" t="b">
        <f>SUMPRODUCT(COUNTIF(_xlfn.XLOOKUP(D853,BugList!C:C,BugList!P:P), "*SC*"))&gt;0</f>
        <v>0</v>
      </c>
    </row>
    <row r="854" spans="1:16">
      <c r="A854" t="s">
        <v>2818</v>
      </c>
      <c r="B854">
        <v>210</v>
      </c>
      <c r="C854" s="34" t="s">
        <v>198</v>
      </c>
      <c r="D854" s="34" t="s">
        <v>163</v>
      </c>
      <c r="E854" s="83">
        <v>1</v>
      </c>
      <c r="F854" s="43">
        <f t="shared" si="191"/>
        <v>0.84033613445378152</v>
      </c>
      <c r="G854" s="44">
        <f t="shared" si="185"/>
        <v>0</v>
      </c>
      <c r="H854" s="44">
        <f t="shared" si="186"/>
        <v>0.84033613445378152</v>
      </c>
      <c r="I854" cm="1">
        <f t="array" ref="I854">INT(F854)+IF(100-SUM(INT(F$847:F$857))&gt;=RANK(H854,H$847:H$857)+COUNTIF(H$847:H854,H854)-1,1,0)</f>
        <v>1</v>
      </c>
      <c r="J854" t="b">
        <f t="shared" si="187"/>
        <v>1</v>
      </c>
      <c r="K854" t="str">
        <f t="shared" si="188"/>
        <v>Trichoptera</v>
      </c>
      <c r="L854">
        <f>_xlfn.XLOOKUP(D854,BugList!C:C,BugList!N:N)</f>
        <v>6</v>
      </c>
      <c r="M854">
        <f t="shared" si="189"/>
        <v>6</v>
      </c>
      <c r="N854" t="b">
        <f>_xlfn.XLOOKUP(D854,BugList!C:C,BugList!L:L)</f>
        <v>1</v>
      </c>
      <c r="O854" t="b">
        <f t="shared" si="190"/>
        <v>1</v>
      </c>
      <c r="P854" s="18" t="b">
        <f>SUMPRODUCT(COUNTIF(_xlfn.XLOOKUP(D854,BugList!C:C,BugList!P:P), "*SC*"))&gt;0</f>
        <v>0</v>
      </c>
    </row>
    <row r="855" spans="1:16">
      <c r="A855" t="s">
        <v>2818</v>
      </c>
      <c r="B855">
        <v>210</v>
      </c>
      <c r="C855" s="34" t="s">
        <v>204</v>
      </c>
      <c r="D855" s="34" t="s">
        <v>84</v>
      </c>
      <c r="E855" s="83">
        <v>1</v>
      </c>
      <c r="F855" s="43">
        <f t="shared" si="191"/>
        <v>0.84033613445378152</v>
      </c>
      <c r="G855" s="44">
        <f t="shared" si="185"/>
        <v>0</v>
      </c>
      <c r="H855" s="44">
        <f t="shared" si="186"/>
        <v>0.84033613445378152</v>
      </c>
      <c r="I855" cm="1">
        <f t="array" ref="I855">INT(F855)+IF(100-SUM(INT(F$847:F$857))&gt;=RANK(H855,H$847:H$857)+COUNTIF(H$847:H855,H855)-1,1,0)</f>
        <v>1</v>
      </c>
      <c r="J855" t="b">
        <f t="shared" si="187"/>
        <v>0</v>
      </c>
      <c r="K855" t="str">
        <f t="shared" si="188"/>
        <v/>
      </c>
      <c r="L855">
        <f>_xlfn.XLOOKUP(D855,BugList!C:C,BugList!N:N)</f>
        <v>8</v>
      </c>
      <c r="M855">
        <f t="shared" si="189"/>
        <v>8</v>
      </c>
      <c r="N855" t="b">
        <f>_xlfn.XLOOKUP(D855,BugList!C:C,BugList!L:L)</f>
        <v>0</v>
      </c>
      <c r="O855" t="b">
        <f t="shared" si="190"/>
        <v>0</v>
      </c>
      <c r="P855" s="18" t="b">
        <f>SUMPRODUCT(COUNTIF(_xlfn.XLOOKUP(D855,BugList!C:C,BugList!P:P), "*SC*"))&gt;0</f>
        <v>0</v>
      </c>
    </row>
    <row r="856" spans="1:16">
      <c r="A856" t="s">
        <v>2818</v>
      </c>
      <c r="B856">
        <v>210</v>
      </c>
      <c r="C856" s="34" t="s">
        <v>201</v>
      </c>
      <c r="D856" s="34" t="s">
        <v>85</v>
      </c>
      <c r="E856" s="83">
        <v>2</v>
      </c>
      <c r="F856" s="43">
        <f t="shared" si="191"/>
        <v>1.680672268907563</v>
      </c>
      <c r="G856" s="44">
        <f t="shared" si="185"/>
        <v>1</v>
      </c>
      <c r="H856" s="44">
        <f t="shared" si="186"/>
        <v>0.68067226890756305</v>
      </c>
      <c r="I856" cm="1">
        <f t="array" ref="I856">INT(F856)+IF(100-SUM(INT(F$847:F$857))&gt;=RANK(H856,H$847:H$857)+COUNTIF(H$847:H856,H856)-1,1,0)</f>
        <v>1</v>
      </c>
      <c r="J856" t="b">
        <f t="shared" si="187"/>
        <v>0</v>
      </c>
      <c r="K856" t="str">
        <f t="shared" si="188"/>
        <v/>
      </c>
      <c r="L856">
        <f>_xlfn.XLOOKUP(D856,BugList!C:C,BugList!N:N)</f>
        <v>4</v>
      </c>
      <c r="M856">
        <f t="shared" si="189"/>
        <v>4</v>
      </c>
      <c r="N856" t="b">
        <f>_xlfn.XLOOKUP(D856,BugList!C:C,BugList!L:L)</f>
        <v>0</v>
      </c>
      <c r="O856" t="b">
        <f t="shared" si="190"/>
        <v>0</v>
      </c>
      <c r="P856" s="18" t="b">
        <f>SUMPRODUCT(COUNTIF(_xlfn.XLOOKUP(D856,BugList!C:C,BugList!P:P), "*SC*"))&gt;0</f>
        <v>0</v>
      </c>
    </row>
    <row r="857" spans="1:16">
      <c r="A857" t="s">
        <v>2818</v>
      </c>
      <c r="B857">
        <v>210</v>
      </c>
      <c r="C857" s="34" t="s">
        <v>205</v>
      </c>
      <c r="D857" s="34" t="s">
        <v>206</v>
      </c>
      <c r="E857" s="83">
        <v>5</v>
      </c>
      <c r="F857" s="43">
        <f t="shared" si="191"/>
        <v>4.2016806722689077</v>
      </c>
      <c r="G857" s="44">
        <f t="shared" si="185"/>
        <v>4</v>
      </c>
      <c r="H857" s="44">
        <f t="shared" si="186"/>
        <v>0.20168067226890773</v>
      </c>
      <c r="I857" cm="1">
        <f t="array" ref="I857">INT(F857)+IF(100-SUM(INT(F$847:F$857))&gt;=RANK(H857,H$847:H$857)+COUNTIF(H$847:H857,H857)-1,1,0)</f>
        <v>4</v>
      </c>
      <c r="J857" t="b">
        <f t="shared" si="187"/>
        <v>0</v>
      </c>
      <c r="K857" t="str">
        <f t="shared" si="188"/>
        <v/>
      </c>
      <c r="L857" s="71">
        <v>8</v>
      </c>
      <c r="M857">
        <f t="shared" ref="M857" si="194">L857*I857</f>
        <v>32</v>
      </c>
      <c r="N857" s="71" t="b">
        <v>0</v>
      </c>
      <c r="O857" t="b">
        <f t="shared" ref="O857" si="195">IF(J857=TRUE,IF(D857="Hydropsychidae", FALSE, TRUE), FALSE)</f>
        <v>0</v>
      </c>
      <c r="P857" s="72" t="b">
        <v>0</v>
      </c>
    </row>
    <row r="858" spans="1:16">
      <c r="A858" t="s">
        <v>2819</v>
      </c>
      <c r="B858">
        <v>226</v>
      </c>
      <c r="C858" s="34" t="s">
        <v>200</v>
      </c>
      <c r="D858" s="34" t="s">
        <v>98</v>
      </c>
      <c r="E858" s="83">
        <v>130</v>
      </c>
      <c r="F858" s="43">
        <f t="shared" si="191"/>
        <v>58.558558558558559</v>
      </c>
      <c r="G858" s="44">
        <f t="shared" si="185"/>
        <v>58</v>
      </c>
      <c r="H858" s="44">
        <f t="shared" si="186"/>
        <v>0.55855855855855907</v>
      </c>
      <c r="I858" cm="1">
        <f t="array" ref="I858">INT(F858)+IF(100-SUM(INT(F$858:F$868))&gt;=RANK(H858,H$858:H$868)+COUNTIF(H$858:H858,H858)-1,1,0)</f>
        <v>59</v>
      </c>
      <c r="J858" t="b">
        <f t="shared" si="187"/>
        <v>0</v>
      </c>
      <c r="K858" t="str">
        <f t="shared" si="188"/>
        <v/>
      </c>
      <c r="L858">
        <f>_xlfn.XLOOKUP(D858,BugList!C:C,BugList!N:N)</f>
        <v>4</v>
      </c>
      <c r="M858">
        <f t="shared" si="189"/>
        <v>236</v>
      </c>
      <c r="N858" t="b">
        <f>_xlfn.XLOOKUP(D858,BugList!C:C,BugList!L:L)</f>
        <v>1</v>
      </c>
      <c r="O858" t="b">
        <f t="shared" si="190"/>
        <v>0</v>
      </c>
      <c r="P858" s="18" t="b">
        <f>SUMPRODUCT(COUNTIF(_xlfn.XLOOKUP(D858,BugList!C:C,BugList!P:P), "*SC*"))&gt;0</f>
        <v>1</v>
      </c>
    </row>
    <row r="859" spans="1:16">
      <c r="A859" t="s">
        <v>2819</v>
      </c>
      <c r="B859">
        <v>226</v>
      </c>
      <c r="C859" s="34" t="s">
        <v>200</v>
      </c>
      <c r="D859" s="34" t="s">
        <v>100</v>
      </c>
      <c r="E859" s="83">
        <v>35</v>
      </c>
      <c r="F859" s="43">
        <f t="shared" si="191"/>
        <v>15.765765765765765</v>
      </c>
      <c r="G859" s="44">
        <f t="shared" si="185"/>
        <v>15</v>
      </c>
      <c r="H859" s="44">
        <f t="shared" si="186"/>
        <v>0.76576576576576549</v>
      </c>
      <c r="I859" cm="1">
        <f t="array" ref="I859">INT(F859)+IF(100-SUM(INT(F$858:F$868))&gt;=RANK(H859,H$858:H$868)+COUNTIF(H$858:H859,H859)-1,1,0)</f>
        <v>16</v>
      </c>
      <c r="J859" t="b">
        <f t="shared" si="187"/>
        <v>0</v>
      </c>
      <c r="K859" t="str">
        <f t="shared" si="188"/>
        <v/>
      </c>
      <c r="L859">
        <f>_xlfn.XLOOKUP(D859,BugList!C:C,BugList!N:N)</f>
        <v>4</v>
      </c>
      <c r="M859">
        <f t="shared" si="189"/>
        <v>64</v>
      </c>
      <c r="N859" t="b">
        <f>_xlfn.XLOOKUP(D859,BugList!C:C,BugList!L:L)</f>
        <v>1</v>
      </c>
      <c r="O859" t="b">
        <f t="shared" si="190"/>
        <v>0</v>
      </c>
      <c r="P859" s="18" t="b">
        <f>SUMPRODUCT(COUNTIF(_xlfn.XLOOKUP(D859,BugList!C:C,BugList!P:P), "*SC*"))&gt;0</f>
        <v>1</v>
      </c>
    </row>
    <row r="860" spans="1:16">
      <c r="A860" t="s">
        <v>2819</v>
      </c>
      <c r="B860">
        <v>226</v>
      </c>
      <c r="C860" s="34" t="s">
        <v>194</v>
      </c>
      <c r="D860" s="34" t="s">
        <v>108</v>
      </c>
      <c r="E860" s="83">
        <v>4</v>
      </c>
      <c r="F860" s="43">
        <f t="shared" ref="F860:F891" si="196">(E860/(SUMIFS(E:E,A:A,A860))*100)</f>
        <v>1.8018018018018018</v>
      </c>
      <c r="G860" s="44">
        <f t="shared" si="185"/>
        <v>1</v>
      </c>
      <c r="H860" s="44">
        <f t="shared" si="186"/>
        <v>0.80180180180180183</v>
      </c>
      <c r="I860" cm="1">
        <f t="array" ref="I860">INT(F860)+IF(100-SUM(INT(F$858:F$868))&gt;=RANK(H860,H$858:H$868)+COUNTIF(H$858:H860,H860)-1,1,0)</f>
        <v>2</v>
      </c>
      <c r="J860" t="b">
        <f t="shared" si="187"/>
        <v>0</v>
      </c>
      <c r="K860" t="str">
        <f t="shared" si="188"/>
        <v/>
      </c>
      <c r="L860">
        <f>_xlfn.XLOOKUP(D860,BugList!C:C,BugList!N:N)</f>
        <v>3</v>
      </c>
      <c r="M860">
        <f t="shared" si="189"/>
        <v>6</v>
      </c>
      <c r="N860" t="b">
        <f>_xlfn.XLOOKUP(D860,BugList!C:C,BugList!L:L)</f>
        <v>1</v>
      </c>
      <c r="O860" t="b">
        <f t="shared" si="190"/>
        <v>0</v>
      </c>
      <c r="P860" s="18" t="b">
        <f>SUMPRODUCT(COUNTIF(_xlfn.XLOOKUP(D860,BugList!C:C,BugList!P:P), "*SC*"))&gt;0</f>
        <v>0</v>
      </c>
    </row>
    <row r="861" spans="1:16">
      <c r="A861" t="s">
        <v>2819</v>
      </c>
      <c r="B861">
        <v>226</v>
      </c>
      <c r="C861" s="34" t="s">
        <v>195</v>
      </c>
      <c r="D861" s="34" t="s">
        <v>97</v>
      </c>
      <c r="E861" s="83">
        <v>5</v>
      </c>
      <c r="F861" s="43">
        <f t="shared" si="196"/>
        <v>2.2522522522522523</v>
      </c>
      <c r="G861" s="44">
        <f t="shared" si="185"/>
        <v>2</v>
      </c>
      <c r="H861" s="44">
        <f t="shared" si="186"/>
        <v>0.25225225225225234</v>
      </c>
      <c r="I861" cm="1">
        <f t="array" ref="I861">INT(F861)+IF(100-SUM(INT(F$858:F$868))&gt;=RANK(H861,H$858:H$868)+COUNTIF(H$858:H861,H861)-1,1,0)</f>
        <v>2</v>
      </c>
      <c r="J861" t="b">
        <f t="shared" si="187"/>
        <v>0</v>
      </c>
      <c r="K861" t="str">
        <f t="shared" si="188"/>
        <v/>
      </c>
      <c r="L861">
        <f>_xlfn.XLOOKUP(D861,BugList!C:C,BugList!N:N)</f>
        <v>9</v>
      </c>
      <c r="M861">
        <f t="shared" si="189"/>
        <v>18</v>
      </c>
      <c r="N861" t="b">
        <f>_xlfn.XLOOKUP(D861,BugList!C:C,BugList!L:L)</f>
        <v>1</v>
      </c>
      <c r="O861" t="b">
        <f t="shared" si="190"/>
        <v>0</v>
      </c>
      <c r="P861" s="18" t="b">
        <f>SUMPRODUCT(COUNTIF(_xlfn.XLOOKUP(D861,BugList!C:C,BugList!P:P), "*SC*"))&gt;0</f>
        <v>0</v>
      </c>
    </row>
    <row r="862" spans="1:16">
      <c r="A862" t="s">
        <v>2819</v>
      </c>
      <c r="B862">
        <v>226</v>
      </c>
      <c r="C862" s="34" t="s">
        <v>198</v>
      </c>
      <c r="D862" s="34" t="s">
        <v>89</v>
      </c>
      <c r="E862" s="83">
        <v>21</v>
      </c>
      <c r="F862" s="43">
        <f t="shared" si="196"/>
        <v>9.4594594594594597</v>
      </c>
      <c r="G862" s="44">
        <f t="shared" si="185"/>
        <v>9</v>
      </c>
      <c r="H862" s="44">
        <f t="shared" si="186"/>
        <v>0.45945945945945965</v>
      </c>
      <c r="I862" cm="1">
        <f t="array" ref="I862">INT(F862)+IF(100-SUM(INT(F$858:F$868))&gt;=RANK(H862,H$858:H$868)+COUNTIF(H$858:H862,H862)-1,1,0)</f>
        <v>9</v>
      </c>
      <c r="J862" t="b">
        <f t="shared" si="187"/>
        <v>1</v>
      </c>
      <c r="K862" t="str">
        <f t="shared" si="188"/>
        <v>Trichoptera</v>
      </c>
      <c r="L862">
        <f>_xlfn.XLOOKUP(D862,BugList!C:C,BugList!N:N)</f>
        <v>4</v>
      </c>
      <c r="M862">
        <f t="shared" si="189"/>
        <v>36</v>
      </c>
      <c r="N862" t="b">
        <f>_xlfn.XLOOKUP(D862,BugList!C:C,BugList!L:L)</f>
        <v>1</v>
      </c>
      <c r="O862" t="b">
        <f t="shared" si="190"/>
        <v>0</v>
      </c>
      <c r="P862" s="18" t="b">
        <f>SUMPRODUCT(COUNTIF(_xlfn.XLOOKUP(D862,BugList!C:C,BugList!P:P), "*SC*"))&gt;0</f>
        <v>0</v>
      </c>
    </row>
    <row r="863" spans="1:16">
      <c r="A863" t="s">
        <v>2819</v>
      </c>
      <c r="B863">
        <v>226</v>
      </c>
      <c r="C863" s="34" t="s">
        <v>198</v>
      </c>
      <c r="D863" s="34" t="s">
        <v>107</v>
      </c>
      <c r="E863" s="83">
        <v>5</v>
      </c>
      <c r="F863" s="43">
        <f t="shared" si="196"/>
        <v>2.2522522522522523</v>
      </c>
      <c r="G863" s="44">
        <f t="shared" si="185"/>
        <v>2</v>
      </c>
      <c r="H863" s="44">
        <f t="shared" si="186"/>
        <v>0.25225225225225234</v>
      </c>
      <c r="I863" cm="1">
        <f t="array" ref="I863">INT(F863)+IF(100-SUM(INT(F$858:F$868))&gt;=RANK(H863,H$858:H$868)+COUNTIF(H$858:H863,H863)-1,1,0)</f>
        <v>2</v>
      </c>
      <c r="J863" t="b">
        <f t="shared" si="187"/>
        <v>1</v>
      </c>
      <c r="K863" t="str">
        <f t="shared" si="188"/>
        <v>Trichoptera</v>
      </c>
      <c r="L863">
        <f>_xlfn.XLOOKUP(D863,BugList!C:C,BugList!N:N)</f>
        <v>3</v>
      </c>
      <c r="M863">
        <f t="shared" si="189"/>
        <v>6</v>
      </c>
      <c r="N863" t="b">
        <f>_xlfn.XLOOKUP(D863,BugList!C:C,BugList!L:L)</f>
        <v>1</v>
      </c>
      <c r="O863" t="b">
        <f t="shared" si="190"/>
        <v>1</v>
      </c>
      <c r="P863" s="18" t="b">
        <f>SUMPRODUCT(COUNTIF(_xlfn.XLOOKUP(D863,BugList!C:C,BugList!P:P), "*SC*"))&gt;0</f>
        <v>0</v>
      </c>
    </row>
    <row r="864" spans="1:16">
      <c r="A864" t="s">
        <v>2819</v>
      </c>
      <c r="B864">
        <v>226</v>
      </c>
      <c r="C864" s="34" t="s">
        <v>204</v>
      </c>
      <c r="D864" s="34" t="s">
        <v>84</v>
      </c>
      <c r="E864" s="83">
        <v>8</v>
      </c>
      <c r="F864" s="43">
        <f t="shared" si="196"/>
        <v>3.6036036036036037</v>
      </c>
      <c r="G864" s="44">
        <f t="shared" si="185"/>
        <v>3</v>
      </c>
      <c r="H864" s="44">
        <f t="shared" si="186"/>
        <v>0.60360360360360366</v>
      </c>
      <c r="I864" cm="1">
        <f t="array" ref="I864">INT(F864)+IF(100-SUM(INT(F$858:F$868))&gt;=RANK(H864,H$858:H$868)+COUNTIF(H$858:H864,H864)-1,1,0)</f>
        <v>4</v>
      </c>
      <c r="J864" t="b">
        <f t="shared" si="187"/>
        <v>0</v>
      </c>
      <c r="K864" t="str">
        <f t="shared" si="188"/>
        <v/>
      </c>
      <c r="L864">
        <f>_xlfn.XLOOKUP(D864,BugList!C:C,BugList!N:N)</f>
        <v>8</v>
      </c>
      <c r="M864">
        <f t="shared" si="189"/>
        <v>32</v>
      </c>
      <c r="N864" t="b">
        <f>_xlfn.XLOOKUP(D864,BugList!C:C,BugList!L:L)</f>
        <v>0</v>
      </c>
      <c r="O864" t="b">
        <f t="shared" si="190"/>
        <v>0</v>
      </c>
      <c r="P864" s="18" t="b">
        <f>SUMPRODUCT(COUNTIF(_xlfn.XLOOKUP(D864,BugList!C:C,BugList!P:P), "*SC*"))&gt;0</f>
        <v>0</v>
      </c>
    </row>
    <row r="865" spans="1:16">
      <c r="A865" t="s">
        <v>2819</v>
      </c>
      <c r="B865">
        <v>226</v>
      </c>
      <c r="C865" s="34" t="s">
        <v>210</v>
      </c>
      <c r="D865" s="34" t="s">
        <v>210</v>
      </c>
      <c r="E865" s="83">
        <v>1</v>
      </c>
      <c r="F865" s="43">
        <f t="shared" si="196"/>
        <v>0.45045045045045046</v>
      </c>
      <c r="G865" s="44">
        <f t="shared" si="185"/>
        <v>0</v>
      </c>
      <c r="H865" s="44">
        <f t="shared" si="186"/>
        <v>0.45045045045045046</v>
      </c>
      <c r="I865" cm="1">
        <f t="array" ref="I865">INT(F865)+IF(100-SUM(INT(F$858:F$868))&gt;=RANK(H865,H$858:H$868)+COUNTIF(H$858:H865,H865)-1,1,0)</f>
        <v>0</v>
      </c>
      <c r="J865" t="b">
        <f t="shared" si="187"/>
        <v>0</v>
      </c>
      <c r="K865" t="str">
        <f t="shared" si="188"/>
        <v/>
      </c>
      <c r="L865" s="71">
        <v>8</v>
      </c>
      <c r="M865">
        <f t="shared" ref="M865:M866" si="197">L865*I865</f>
        <v>0</v>
      </c>
      <c r="N865" s="71" t="b">
        <v>0</v>
      </c>
      <c r="O865" t="b">
        <f t="shared" ref="O865:O866" si="198">IF(J865=TRUE,IF(D865="Hydropsychidae", FALSE, TRUE), FALSE)</f>
        <v>0</v>
      </c>
      <c r="P865" s="72" t="b">
        <v>0</v>
      </c>
    </row>
    <row r="866" spans="1:16">
      <c r="A866" t="s">
        <v>2819</v>
      </c>
      <c r="B866">
        <v>226</v>
      </c>
      <c r="C866" s="34" t="s">
        <v>205</v>
      </c>
      <c r="D866" s="34" t="s">
        <v>206</v>
      </c>
      <c r="E866" s="83">
        <v>10</v>
      </c>
      <c r="F866" s="43">
        <f t="shared" si="196"/>
        <v>4.5045045045045047</v>
      </c>
      <c r="G866" s="44">
        <f t="shared" si="185"/>
        <v>4</v>
      </c>
      <c r="H866" s="44">
        <f t="shared" si="186"/>
        <v>0.50450450450450468</v>
      </c>
      <c r="I866" cm="1">
        <f t="array" ref="I866">INT(F866)+IF(100-SUM(INT(F$858:F$868))&gt;=RANK(H866,H$858:H$868)+COUNTIF(H$858:H866,H866)-1,1,0)</f>
        <v>5</v>
      </c>
      <c r="J866" t="b">
        <f t="shared" si="187"/>
        <v>0</v>
      </c>
      <c r="K866" t="str">
        <f t="shared" si="188"/>
        <v/>
      </c>
      <c r="L866" s="71">
        <v>8</v>
      </c>
      <c r="M866">
        <f t="shared" si="197"/>
        <v>40</v>
      </c>
      <c r="N866" s="71" t="b">
        <v>0</v>
      </c>
      <c r="O866" t="b">
        <f t="shared" si="198"/>
        <v>0</v>
      </c>
      <c r="P866" s="72" t="b">
        <v>0</v>
      </c>
    </row>
    <row r="867" spans="1:16">
      <c r="A867" t="s">
        <v>2819</v>
      </c>
      <c r="B867">
        <v>226</v>
      </c>
      <c r="C867" s="34" t="s">
        <v>94</v>
      </c>
      <c r="D867" s="34" t="s">
        <v>94</v>
      </c>
      <c r="E867" s="83">
        <v>2</v>
      </c>
      <c r="F867" s="43">
        <f t="shared" si="196"/>
        <v>0.90090090090090091</v>
      </c>
      <c r="G867" s="44">
        <f t="shared" si="185"/>
        <v>0</v>
      </c>
      <c r="H867" s="44">
        <f t="shared" si="186"/>
        <v>0.90090090090090091</v>
      </c>
      <c r="I867" cm="1">
        <f t="array" ref="I867">INT(F867)+IF(100-SUM(INT(F$858:F$868))&gt;=RANK(H867,H$858:H$868)+COUNTIF(H$858:H867,H867)-1,1,0)</f>
        <v>1</v>
      </c>
      <c r="J867" t="b">
        <f t="shared" si="187"/>
        <v>0</v>
      </c>
      <c r="K867" t="str">
        <f t="shared" si="188"/>
        <v/>
      </c>
      <c r="L867">
        <f>_xlfn.XLOOKUP(D867,BugList!C:C,BugList!N:N)</f>
        <v>8</v>
      </c>
      <c r="M867">
        <f t="shared" si="189"/>
        <v>8</v>
      </c>
      <c r="N867" t="b">
        <f>_xlfn.XLOOKUP(D867,BugList!C:C,BugList!L:L)</f>
        <v>0</v>
      </c>
      <c r="O867" t="b">
        <f t="shared" si="190"/>
        <v>0</v>
      </c>
      <c r="P867" s="18" t="b">
        <f>SUMPRODUCT(COUNTIF(_xlfn.XLOOKUP(D867,BugList!C:C,BugList!P:P), "*SC*"))&gt;0</f>
        <v>0</v>
      </c>
    </row>
    <row r="868" spans="1:16">
      <c r="A868" t="s">
        <v>2819</v>
      </c>
      <c r="B868">
        <v>226</v>
      </c>
      <c r="C868" s="34" t="s">
        <v>443</v>
      </c>
      <c r="D868" s="34" t="s">
        <v>444</v>
      </c>
      <c r="E868" s="83">
        <v>1</v>
      </c>
      <c r="F868" s="43">
        <f t="shared" si="196"/>
        <v>0.45045045045045046</v>
      </c>
      <c r="G868" s="44">
        <f t="shared" si="185"/>
        <v>0</v>
      </c>
      <c r="H868" s="44">
        <f t="shared" si="186"/>
        <v>0.45045045045045046</v>
      </c>
      <c r="I868" cm="1">
        <f t="array" ref="I868">INT(F868)+IF(100-SUM(INT(F$858:F$868))&gt;=RANK(H868,H$858:H$868)+COUNTIF(H$858:H868,H868)-1,1,0)</f>
        <v>0</v>
      </c>
      <c r="J868" t="b">
        <f t="shared" si="187"/>
        <v>0</v>
      </c>
      <c r="K868" t="str">
        <f t="shared" si="188"/>
        <v/>
      </c>
      <c r="L868">
        <f>_xlfn.XLOOKUP(D868,BugList!C:C,BugList!N:N)</f>
        <v>10</v>
      </c>
      <c r="M868">
        <f t="shared" si="189"/>
        <v>0</v>
      </c>
      <c r="N868" t="b">
        <f>_xlfn.XLOOKUP(D868,BugList!C:C,BugList!L:L)</f>
        <v>0</v>
      </c>
      <c r="O868" t="b">
        <f t="shared" si="190"/>
        <v>0</v>
      </c>
      <c r="P868" s="18" t="b">
        <f>SUMPRODUCT(COUNTIF(_xlfn.XLOOKUP(D868,BugList!C:C,BugList!P:P), "*SC*"))&gt;0</f>
        <v>0</v>
      </c>
    </row>
    <row r="869" spans="1:16">
      <c r="A869" t="s">
        <v>2820</v>
      </c>
      <c r="B869">
        <v>240</v>
      </c>
      <c r="C869" s="34" t="s">
        <v>200</v>
      </c>
      <c r="D869" s="34" t="s">
        <v>98</v>
      </c>
      <c r="E869" s="83">
        <v>16</v>
      </c>
      <c r="F869" s="43">
        <f t="shared" si="196"/>
        <v>12.8</v>
      </c>
      <c r="G869" s="44">
        <f t="shared" ref="G869:G925" si="199">INT(F869)</f>
        <v>12</v>
      </c>
      <c r="H869" s="44">
        <f t="shared" ref="H869:H925" si="200">F869-G869</f>
        <v>0.80000000000000071</v>
      </c>
      <c r="I869" cm="1">
        <f t="array" ref="I869">INT(F869)+IF(100-SUM(INT(F$869:F$881))&gt;=RANK(H869,H$869:H$881)+COUNTIF(H$869:H869,H869)-1,1,0)</f>
        <v>13</v>
      </c>
      <c r="J869" t="b">
        <f t="shared" ref="J869:J932" si="201">IF(OR(C869="Ephemeroptera", C869 ="Plecoptera", C869= "Trichoptera"), TRUE, FALSE)</f>
        <v>0</v>
      </c>
      <c r="K869" t="str">
        <f t="shared" ref="K869:K932" si="202">IF(J869=TRUE,C869,"")</f>
        <v/>
      </c>
      <c r="L869">
        <f>_xlfn.XLOOKUP(D869,BugList!C:C,BugList!N:N)</f>
        <v>4</v>
      </c>
      <c r="M869">
        <f t="shared" ref="M869:M925" si="203">L869*I869</f>
        <v>52</v>
      </c>
      <c r="N869" t="b">
        <f>_xlfn.XLOOKUP(D869,BugList!C:C,BugList!L:L)</f>
        <v>1</v>
      </c>
      <c r="O869" t="b">
        <f t="shared" ref="O869:O932" si="204">IF(J869=TRUE,IF(D869="Hydropsychidae", FALSE, TRUE), FALSE)</f>
        <v>0</v>
      </c>
      <c r="P869" s="18" t="b">
        <f>SUMPRODUCT(COUNTIF(_xlfn.XLOOKUP(D869,BugList!C:C,BugList!P:P), "*SC*"))&gt;0</f>
        <v>1</v>
      </c>
    </row>
    <row r="870" spans="1:16">
      <c r="A870" t="s">
        <v>2820</v>
      </c>
      <c r="B870">
        <v>240</v>
      </c>
      <c r="C870" s="34" t="s">
        <v>200</v>
      </c>
      <c r="D870" s="34" t="s">
        <v>100</v>
      </c>
      <c r="E870" s="83">
        <v>9</v>
      </c>
      <c r="F870" s="43">
        <f t="shared" si="196"/>
        <v>7.1999999999999993</v>
      </c>
      <c r="G870" s="44">
        <f t="shared" si="199"/>
        <v>7</v>
      </c>
      <c r="H870" s="44">
        <f t="shared" si="200"/>
        <v>0.19999999999999929</v>
      </c>
      <c r="I870" cm="1">
        <f t="array" ref="I870">INT(F870)+IF(100-SUM(INT(F$869:F$881))&gt;=RANK(H870,H$869:H$881)+COUNTIF(H$869:H870,H870)-1,1,0)</f>
        <v>7</v>
      </c>
      <c r="J870" t="b">
        <f t="shared" si="201"/>
        <v>0</v>
      </c>
      <c r="K870" t="str">
        <f t="shared" si="202"/>
        <v/>
      </c>
      <c r="L870">
        <f>_xlfn.XLOOKUP(D870,BugList!C:C,BugList!N:N)</f>
        <v>4</v>
      </c>
      <c r="M870">
        <f t="shared" si="203"/>
        <v>28</v>
      </c>
      <c r="N870" t="b">
        <f>_xlfn.XLOOKUP(D870,BugList!C:C,BugList!L:L)</f>
        <v>1</v>
      </c>
      <c r="O870" t="b">
        <f t="shared" si="204"/>
        <v>0</v>
      </c>
      <c r="P870" s="18" t="b">
        <f>SUMPRODUCT(COUNTIF(_xlfn.XLOOKUP(D870,BugList!C:C,BugList!P:P), "*SC*"))&gt;0</f>
        <v>1</v>
      </c>
    </row>
    <row r="871" spans="1:16">
      <c r="A871" t="s">
        <v>2820</v>
      </c>
      <c r="B871">
        <v>240</v>
      </c>
      <c r="C871" s="34" t="s">
        <v>194</v>
      </c>
      <c r="D871" s="34" t="s">
        <v>126</v>
      </c>
      <c r="E871" s="83">
        <v>32</v>
      </c>
      <c r="F871" s="43">
        <f t="shared" si="196"/>
        <v>25.6</v>
      </c>
      <c r="G871" s="44">
        <f t="shared" si="199"/>
        <v>25</v>
      </c>
      <c r="H871" s="44">
        <f t="shared" si="200"/>
        <v>0.60000000000000142</v>
      </c>
      <c r="I871" cm="1">
        <f t="array" ref="I871">INT(F871)+IF(100-SUM(INT(F$869:F$881))&gt;=RANK(H871,H$869:H$881)+COUNTIF(H$869:H871,H871)-1,1,0)</f>
        <v>25</v>
      </c>
      <c r="J871" t="b">
        <f t="shared" si="201"/>
        <v>0</v>
      </c>
      <c r="K871" t="str">
        <f t="shared" si="202"/>
        <v/>
      </c>
      <c r="L871">
        <f>_xlfn.XLOOKUP(D871,BugList!C:C,BugList!N:N)</f>
        <v>8</v>
      </c>
      <c r="M871">
        <f t="shared" si="203"/>
        <v>200</v>
      </c>
      <c r="N871" t="b">
        <f>_xlfn.XLOOKUP(D871,BugList!C:C,BugList!L:L)</f>
        <v>1</v>
      </c>
      <c r="O871" t="b">
        <f t="shared" si="204"/>
        <v>0</v>
      </c>
      <c r="P871" s="18" t="b">
        <f>SUMPRODUCT(COUNTIF(_xlfn.XLOOKUP(D871,BugList!C:C,BugList!P:P), "*SC*"))&gt;0</f>
        <v>0</v>
      </c>
    </row>
    <row r="872" spans="1:16">
      <c r="A872" t="s">
        <v>2820</v>
      </c>
      <c r="B872">
        <v>240</v>
      </c>
      <c r="C872" s="34" t="s">
        <v>194</v>
      </c>
      <c r="D872" s="34" t="s">
        <v>90</v>
      </c>
      <c r="E872" s="83">
        <v>30</v>
      </c>
      <c r="F872" s="43">
        <f t="shared" si="196"/>
        <v>24</v>
      </c>
      <c r="G872" s="44">
        <f t="shared" si="199"/>
        <v>24</v>
      </c>
      <c r="H872" s="44">
        <f t="shared" si="200"/>
        <v>0</v>
      </c>
      <c r="I872" cm="1">
        <f t="array" ref="I872">INT(F872)+IF(100-SUM(INT(F$869:F$881))&gt;=RANK(H872,H$869:H$881)+COUNTIF(H$869:H872,H872)-1,1,0)</f>
        <v>24</v>
      </c>
      <c r="J872" t="b">
        <f t="shared" si="201"/>
        <v>0</v>
      </c>
      <c r="K872" t="str">
        <f t="shared" si="202"/>
        <v/>
      </c>
      <c r="L872">
        <f>_xlfn.XLOOKUP(D872,BugList!C:C,BugList!N:N)</f>
        <v>6</v>
      </c>
      <c r="M872">
        <f t="shared" si="203"/>
        <v>144</v>
      </c>
      <c r="N872" t="b">
        <f>_xlfn.XLOOKUP(D872,BugList!C:C,BugList!L:L)</f>
        <v>1</v>
      </c>
      <c r="O872" t="b">
        <f t="shared" si="204"/>
        <v>0</v>
      </c>
      <c r="P872" s="18" t="b">
        <f>SUMPRODUCT(COUNTIF(_xlfn.XLOOKUP(D872,BugList!C:C,BugList!P:P), "*SC*"))&gt;0</f>
        <v>0</v>
      </c>
    </row>
    <row r="873" spans="1:16">
      <c r="A873" t="s">
        <v>2820</v>
      </c>
      <c r="B873">
        <v>240</v>
      </c>
      <c r="C873" s="34" t="s">
        <v>194</v>
      </c>
      <c r="D873" s="34" t="s">
        <v>101</v>
      </c>
      <c r="E873" s="83">
        <v>29</v>
      </c>
      <c r="F873" s="43">
        <f t="shared" si="196"/>
        <v>23.200000000000003</v>
      </c>
      <c r="G873" s="44">
        <f t="shared" si="199"/>
        <v>23</v>
      </c>
      <c r="H873" s="44">
        <f t="shared" si="200"/>
        <v>0.20000000000000284</v>
      </c>
      <c r="I873" cm="1">
        <f t="array" ref="I873">INT(F873)+IF(100-SUM(INT(F$869:F$881))&gt;=RANK(H873,H$869:H$881)+COUNTIF(H$869:H873,H873)-1,1,0)</f>
        <v>23</v>
      </c>
      <c r="J873" t="b">
        <f t="shared" si="201"/>
        <v>0</v>
      </c>
      <c r="K873" t="str">
        <f t="shared" si="202"/>
        <v/>
      </c>
      <c r="L873">
        <f>_xlfn.XLOOKUP(D873,BugList!C:C,BugList!N:N)</f>
        <v>6</v>
      </c>
      <c r="M873">
        <f t="shared" si="203"/>
        <v>138</v>
      </c>
      <c r="N873" t="b">
        <f>_xlfn.XLOOKUP(D873,BugList!C:C,BugList!L:L)</f>
        <v>1</v>
      </c>
      <c r="O873" t="b">
        <f t="shared" si="204"/>
        <v>0</v>
      </c>
      <c r="P873" s="18" t="b">
        <f>SUMPRODUCT(COUNTIF(_xlfn.XLOOKUP(D873,BugList!C:C,BugList!P:P), "*SC*"))&gt;0</f>
        <v>0</v>
      </c>
    </row>
    <row r="874" spans="1:16">
      <c r="A874" t="s">
        <v>2820</v>
      </c>
      <c r="B874">
        <v>240</v>
      </c>
      <c r="C874" s="34" t="s">
        <v>1483</v>
      </c>
      <c r="D874" s="34" t="s">
        <v>174</v>
      </c>
      <c r="E874" s="83">
        <v>1</v>
      </c>
      <c r="F874" s="43">
        <f t="shared" si="196"/>
        <v>0.8</v>
      </c>
      <c r="G874" s="44">
        <f t="shared" si="199"/>
        <v>0</v>
      </c>
      <c r="H874" s="44">
        <f t="shared" si="200"/>
        <v>0.8</v>
      </c>
      <c r="I874" cm="1">
        <f t="array" ref="I874">INT(F874)+IF(100-SUM(INT(F$869:F$881))&gt;=RANK(H874,H$869:H$881)+COUNTIF(H$869:H874,H874)-1,1,0)</f>
        <v>1</v>
      </c>
      <c r="J874" t="b">
        <f t="shared" si="201"/>
        <v>0</v>
      </c>
      <c r="K874" t="str">
        <f t="shared" si="202"/>
        <v/>
      </c>
      <c r="L874">
        <f>_xlfn.XLOOKUP(D874,BugList!C:C,BugList!N:N)</f>
        <v>5</v>
      </c>
      <c r="M874">
        <f t="shared" si="203"/>
        <v>5</v>
      </c>
      <c r="N874" t="b">
        <f>_xlfn.XLOOKUP(D874,BugList!C:C,BugList!L:L)</f>
        <v>1</v>
      </c>
      <c r="O874" t="b">
        <f t="shared" si="204"/>
        <v>0</v>
      </c>
      <c r="P874" s="18" t="b">
        <f>SUMPRODUCT(COUNTIF(_xlfn.XLOOKUP(D874,BugList!C:C,BugList!P:P), "*SC*"))&gt;0</f>
        <v>0</v>
      </c>
    </row>
    <row r="875" spans="1:16">
      <c r="A875" t="s">
        <v>2820</v>
      </c>
      <c r="B875">
        <v>240</v>
      </c>
      <c r="C875" s="34" t="s">
        <v>195</v>
      </c>
      <c r="D875" s="34" t="s">
        <v>97</v>
      </c>
      <c r="E875" s="83">
        <v>1</v>
      </c>
      <c r="F875" s="43">
        <f t="shared" si="196"/>
        <v>0.8</v>
      </c>
      <c r="G875" s="44">
        <f t="shared" si="199"/>
        <v>0</v>
      </c>
      <c r="H875" s="44">
        <f t="shared" si="200"/>
        <v>0.8</v>
      </c>
      <c r="I875" cm="1">
        <f t="array" ref="I875">INT(F875)+IF(100-SUM(INT(F$869:F$881))&gt;=RANK(H875,H$869:H$881)+COUNTIF(H$869:H875,H875)-1,1,0)</f>
        <v>1</v>
      </c>
      <c r="J875" t="b">
        <f t="shared" si="201"/>
        <v>0</v>
      </c>
      <c r="K875" t="str">
        <f t="shared" si="202"/>
        <v/>
      </c>
      <c r="L875">
        <f>_xlfn.XLOOKUP(D875,BugList!C:C,BugList!N:N)</f>
        <v>9</v>
      </c>
      <c r="M875">
        <f t="shared" si="203"/>
        <v>9</v>
      </c>
      <c r="N875" t="b">
        <f>_xlfn.XLOOKUP(D875,BugList!C:C,BugList!L:L)</f>
        <v>1</v>
      </c>
      <c r="O875" t="b">
        <f t="shared" si="204"/>
        <v>0</v>
      </c>
      <c r="P875" s="18" t="b">
        <f>SUMPRODUCT(COUNTIF(_xlfn.XLOOKUP(D875,BugList!C:C,BugList!P:P), "*SC*"))&gt;0</f>
        <v>0</v>
      </c>
    </row>
    <row r="876" spans="1:16">
      <c r="A876" t="s">
        <v>2820</v>
      </c>
      <c r="B876">
        <v>240</v>
      </c>
      <c r="C876" s="34" t="s">
        <v>197</v>
      </c>
      <c r="D876" s="34" t="s">
        <v>106</v>
      </c>
      <c r="E876" s="83">
        <v>1</v>
      </c>
      <c r="F876" s="43">
        <f t="shared" si="196"/>
        <v>0.8</v>
      </c>
      <c r="G876" s="44">
        <f t="shared" si="199"/>
        <v>0</v>
      </c>
      <c r="H876" s="44">
        <f t="shared" si="200"/>
        <v>0.8</v>
      </c>
      <c r="I876" cm="1">
        <f t="array" ref="I876">INT(F876)+IF(100-SUM(INT(F$869:F$881))&gt;=RANK(H876,H$869:H$881)+COUNTIF(H$869:H876,H876)-1,1,0)</f>
        <v>1</v>
      </c>
      <c r="J876" t="b">
        <f t="shared" si="201"/>
        <v>1</v>
      </c>
      <c r="K876" t="str">
        <f t="shared" si="202"/>
        <v>Plecoptera</v>
      </c>
      <c r="L876">
        <f>_xlfn.XLOOKUP(D876,BugList!C:C,BugList!N:N)</f>
        <v>2</v>
      </c>
      <c r="M876">
        <f t="shared" si="203"/>
        <v>2</v>
      </c>
      <c r="N876" t="b">
        <f>_xlfn.XLOOKUP(D876,BugList!C:C,BugList!L:L)</f>
        <v>1</v>
      </c>
      <c r="O876" t="b">
        <f t="shared" si="204"/>
        <v>1</v>
      </c>
      <c r="P876" s="18" t="b">
        <f>SUMPRODUCT(COUNTIF(_xlfn.XLOOKUP(D876,BugList!C:C,BugList!P:P), "*SC*"))&gt;0</f>
        <v>0</v>
      </c>
    </row>
    <row r="877" spans="1:16">
      <c r="A877" t="s">
        <v>2820</v>
      </c>
      <c r="B877">
        <v>240</v>
      </c>
      <c r="C877" s="34" t="s">
        <v>197</v>
      </c>
      <c r="D877" s="34" t="s">
        <v>104</v>
      </c>
      <c r="E877" s="83">
        <v>2</v>
      </c>
      <c r="F877" s="43">
        <f t="shared" si="196"/>
        <v>1.6</v>
      </c>
      <c r="G877" s="44">
        <f t="shared" si="199"/>
        <v>1</v>
      </c>
      <c r="H877" s="44">
        <f t="shared" si="200"/>
        <v>0.60000000000000009</v>
      </c>
      <c r="I877" cm="1">
        <f t="array" ref="I877">INT(F877)+IF(100-SUM(INT(F$869:F$881))&gt;=RANK(H877,H$869:H$881)+COUNTIF(H$869:H877,H877)-1,1,0)</f>
        <v>1</v>
      </c>
      <c r="J877" t="b">
        <f t="shared" si="201"/>
        <v>1</v>
      </c>
      <c r="K877" t="str">
        <f t="shared" si="202"/>
        <v>Plecoptera</v>
      </c>
      <c r="L877">
        <f>_xlfn.XLOOKUP(D877,BugList!C:C,BugList!N:N)</f>
        <v>2</v>
      </c>
      <c r="M877">
        <f t="shared" si="203"/>
        <v>2</v>
      </c>
      <c r="N877" t="b">
        <f>_xlfn.XLOOKUP(D877,BugList!C:C,BugList!L:L)</f>
        <v>1</v>
      </c>
      <c r="O877" t="b">
        <f t="shared" si="204"/>
        <v>1</v>
      </c>
      <c r="P877" s="18" t="b">
        <f>SUMPRODUCT(COUNTIF(_xlfn.XLOOKUP(D877,BugList!C:C,BugList!P:P), "*SC*"))&gt;0</f>
        <v>0</v>
      </c>
    </row>
    <row r="878" spans="1:16">
      <c r="A878" t="s">
        <v>2820</v>
      </c>
      <c r="B878">
        <v>240</v>
      </c>
      <c r="C878" s="34" t="s">
        <v>201</v>
      </c>
      <c r="D878" s="34" t="s">
        <v>85</v>
      </c>
      <c r="E878" s="83">
        <v>1</v>
      </c>
      <c r="F878" s="43">
        <f t="shared" si="196"/>
        <v>0.8</v>
      </c>
      <c r="G878" s="44">
        <f t="shared" si="199"/>
        <v>0</v>
      </c>
      <c r="H878" s="44">
        <f t="shared" si="200"/>
        <v>0.8</v>
      </c>
      <c r="I878" cm="1">
        <f t="array" ref="I878">INT(F878)+IF(100-SUM(INT(F$869:F$881))&gt;=RANK(H878,H$869:H$881)+COUNTIF(H$869:H878,H878)-1,1,0)</f>
        <v>1</v>
      </c>
      <c r="J878" t="b">
        <f t="shared" si="201"/>
        <v>0</v>
      </c>
      <c r="K878" t="str">
        <f t="shared" si="202"/>
        <v/>
      </c>
      <c r="L878">
        <f>_xlfn.XLOOKUP(D878,BugList!C:C,BugList!N:N)</f>
        <v>4</v>
      </c>
      <c r="M878">
        <f t="shared" si="203"/>
        <v>4</v>
      </c>
      <c r="N878" t="b">
        <f>_xlfn.XLOOKUP(D878,BugList!C:C,BugList!L:L)</f>
        <v>0</v>
      </c>
      <c r="O878" t="b">
        <f t="shared" si="204"/>
        <v>0</v>
      </c>
      <c r="P878" s="18" t="b">
        <f>SUMPRODUCT(COUNTIF(_xlfn.XLOOKUP(D878,BugList!C:C,BugList!P:P), "*SC*"))&gt;0</f>
        <v>0</v>
      </c>
    </row>
    <row r="879" spans="1:16">
      <c r="A879" t="s">
        <v>2820</v>
      </c>
      <c r="B879">
        <v>240</v>
      </c>
      <c r="C879" s="34" t="s">
        <v>210</v>
      </c>
      <c r="D879" s="34" t="s">
        <v>210</v>
      </c>
      <c r="E879" s="83">
        <v>1</v>
      </c>
      <c r="F879" s="43">
        <f t="shared" si="196"/>
        <v>0.8</v>
      </c>
      <c r="G879" s="44">
        <f t="shared" si="199"/>
        <v>0</v>
      </c>
      <c r="H879" s="44">
        <f t="shared" si="200"/>
        <v>0.8</v>
      </c>
      <c r="I879" cm="1">
        <f t="array" ref="I879">INT(F879)+IF(100-SUM(INT(F$869:F$881))&gt;=RANK(H879,H$869:H$881)+COUNTIF(H$869:H879,H879)-1,1,0)</f>
        <v>1</v>
      </c>
      <c r="J879" t="b">
        <f t="shared" si="201"/>
        <v>0</v>
      </c>
      <c r="K879" t="str">
        <f t="shared" si="202"/>
        <v/>
      </c>
      <c r="L879" s="71">
        <v>8</v>
      </c>
      <c r="M879">
        <f t="shared" si="203"/>
        <v>8</v>
      </c>
      <c r="N879" s="71" t="b">
        <v>0</v>
      </c>
      <c r="O879" t="b">
        <f t="shared" si="204"/>
        <v>0</v>
      </c>
      <c r="P879" s="72" t="b">
        <v>0</v>
      </c>
    </row>
    <row r="880" spans="1:16">
      <c r="A880" t="s">
        <v>2820</v>
      </c>
      <c r="B880">
        <v>240</v>
      </c>
      <c r="C880" s="34" t="s">
        <v>94</v>
      </c>
      <c r="D880" s="34" t="s">
        <v>94</v>
      </c>
      <c r="E880" s="83">
        <v>1</v>
      </c>
      <c r="F880" s="43">
        <f t="shared" si="196"/>
        <v>0.8</v>
      </c>
      <c r="G880" s="44">
        <f t="shared" si="199"/>
        <v>0</v>
      </c>
      <c r="H880" s="44">
        <f t="shared" si="200"/>
        <v>0.8</v>
      </c>
      <c r="I880" cm="1">
        <f t="array" ref="I880">INT(F880)+IF(100-SUM(INT(F$869:F$881))&gt;=RANK(H880,H$869:H$881)+COUNTIF(H$869:H880,H880)-1,1,0)</f>
        <v>1</v>
      </c>
      <c r="J880" t="b">
        <f t="shared" si="201"/>
        <v>0</v>
      </c>
      <c r="K880" t="str">
        <f t="shared" si="202"/>
        <v/>
      </c>
      <c r="L880">
        <f>_xlfn.XLOOKUP(D880,BugList!C:C,BugList!N:N)</f>
        <v>8</v>
      </c>
      <c r="M880">
        <f t="shared" si="203"/>
        <v>8</v>
      </c>
      <c r="N880" t="b">
        <f>_xlfn.XLOOKUP(D880,BugList!C:C,BugList!L:L)</f>
        <v>0</v>
      </c>
      <c r="O880" t="b">
        <f t="shared" si="204"/>
        <v>0</v>
      </c>
      <c r="P880" s="18" t="b">
        <f>SUMPRODUCT(COUNTIF(_xlfn.XLOOKUP(D880,BugList!C:C,BugList!P:P), "*SC*"))&gt;0</f>
        <v>0</v>
      </c>
    </row>
    <row r="881" spans="1:16">
      <c r="A881" t="s">
        <v>2820</v>
      </c>
      <c r="B881">
        <v>240</v>
      </c>
      <c r="C881" s="34" t="s">
        <v>198</v>
      </c>
      <c r="D881" s="34" t="s">
        <v>89</v>
      </c>
      <c r="E881" s="83">
        <v>1</v>
      </c>
      <c r="F881" s="43">
        <f t="shared" si="196"/>
        <v>0.8</v>
      </c>
      <c r="G881" s="44">
        <f t="shared" si="199"/>
        <v>0</v>
      </c>
      <c r="H881" s="44">
        <f t="shared" si="200"/>
        <v>0.8</v>
      </c>
      <c r="I881" cm="1">
        <f t="array" ref="I881">INT(F881)+IF(100-SUM(INT(F$869:F$881))&gt;=RANK(H881,H$869:H$881)+COUNTIF(H$869:H881,H881)-1,1,0)</f>
        <v>1</v>
      </c>
      <c r="J881" t="b">
        <f t="shared" si="201"/>
        <v>1</v>
      </c>
      <c r="K881" t="str">
        <f t="shared" si="202"/>
        <v>Trichoptera</v>
      </c>
      <c r="L881">
        <f>_xlfn.XLOOKUP(D881,BugList!C:C,BugList!N:N)</f>
        <v>4</v>
      </c>
      <c r="M881">
        <f t="shared" si="203"/>
        <v>4</v>
      </c>
      <c r="N881" t="b">
        <f>_xlfn.XLOOKUP(D881,BugList!C:C,BugList!L:L)</f>
        <v>1</v>
      </c>
      <c r="O881" t="b">
        <f t="shared" si="204"/>
        <v>0</v>
      </c>
      <c r="P881" s="18" t="b">
        <f>SUMPRODUCT(COUNTIF(_xlfn.XLOOKUP(D881,BugList!C:C,BugList!P:P), "*SC*"))&gt;0</f>
        <v>0</v>
      </c>
    </row>
    <row r="882" spans="1:16">
      <c r="A882" t="s">
        <v>2821</v>
      </c>
      <c r="B882">
        <v>252</v>
      </c>
      <c r="C882" s="34" t="s">
        <v>200</v>
      </c>
      <c r="D882" s="34" t="s">
        <v>98</v>
      </c>
      <c r="E882" s="83">
        <v>50</v>
      </c>
      <c r="F882" s="43">
        <f t="shared" si="196"/>
        <v>25.125628140703515</v>
      </c>
      <c r="G882" s="44">
        <f t="shared" si="199"/>
        <v>25</v>
      </c>
      <c r="H882" s="44">
        <f t="shared" si="200"/>
        <v>0.12562814070351536</v>
      </c>
      <c r="I882" cm="1">
        <f t="array" ref="I882">INT(F882)+IF(100-SUM(INT(F$882:F$890))&gt;=RANK(H882,H$882:H$890)+COUNTIF(H$882:H882,H882)-1,1,0)</f>
        <v>25</v>
      </c>
      <c r="J882" t="b">
        <f t="shared" si="201"/>
        <v>0</v>
      </c>
      <c r="K882" t="str">
        <f t="shared" si="202"/>
        <v/>
      </c>
      <c r="L882">
        <f>_xlfn.XLOOKUP(D882,BugList!C:C,BugList!N:N)</f>
        <v>4</v>
      </c>
      <c r="M882">
        <f t="shared" si="203"/>
        <v>100</v>
      </c>
      <c r="N882" t="b">
        <f>_xlfn.XLOOKUP(D882,BugList!C:C,BugList!L:L)</f>
        <v>1</v>
      </c>
      <c r="O882" t="b">
        <f t="shared" si="204"/>
        <v>0</v>
      </c>
      <c r="P882" s="18" t="b">
        <f>SUMPRODUCT(COUNTIF(_xlfn.XLOOKUP(D882,BugList!C:C,BugList!P:P), "*SC*"))&gt;0</f>
        <v>1</v>
      </c>
    </row>
    <row r="883" spans="1:16">
      <c r="A883" t="s">
        <v>2821</v>
      </c>
      <c r="B883">
        <v>252</v>
      </c>
      <c r="C883" s="34" t="s">
        <v>200</v>
      </c>
      <c r="D883" s="34" t="s">
        <v>100</v>
      </c>
      <c r="E883" s="83">
        <v>17</v>
      </c>
      <c r="F883" s="43">
        <f t="shared" si="196"/>
        <v>8.5427135678391952</v>
      </c>
      <c r="G883" s="44">
        <f t="shared" si="199"/>
        <v>8</v>
      </c>
      <c r="H883" s="44">
        <f t="shared" si="200"/>
        <v>0.54271356783919522</v>
      </c>
      <c r="I883" cm="1">
        <f t="array" ref="I883">INT(F883)+IF(100-SUM(INT(F$882:F$890))&gt;=RANK(H883,H$882:H$890)+COUNTIF(H$882:H883,H883)-1,1,0)</f>
        <v>9</v>
      </c>
      <c r="J883" t="b">
        <f t="shared" si="201"/>
        <v>0</v>
      </c>
      <c r="K883" t="str">
        <f t="shared" si="202"/>
        <v/>
      </c>
      <c r="L883">
        <f>_xlfn.XLOOKUP(D883,BugList!C:C,BugList!N:N)</f>
        <v>4</v>
      </c>
      <c r="M883">
        <f t="shared" si="203"/>
        <v>36</v>
      </c>
      <c r="N883" t="b">
        <f>_xlfn.XLOOKUP(D883,BugList!C:C,BugList!L:L)</f>
        <v>1</v>
      </c>
      <c r="O883" t="b">
        <f t="shared" si="204"/>
        <v>0</v>
      </c>
      <c r="P883" s="18" t="b">
        <f>SUMPRODUCT(COUNTIF(_xlfn.XLOOKUP(D883,BugList!C:C,BugList!P:P), "*SC*"))&gt;0</f>
        <v>1</v>
      </c>
    </row>
    <row r="884" spans="1:16">
      <c r="A884" t="s">
        <v>2821</v>
      </c>
      <c r="B884">
        <v>252</v>
      </c>
      <c r="C884" s="34" t="s">
        <v>194</v>
      </c>
      <c r="D884" s="34" t="s">
        <v>90</v>
      </c>
      <c r="E884" s="83">
        <v>1</v>
      </c>
      <c r="F884" s="43">
        <f t="shared" si="196"/>
        <v>0.50251256281407031</v>
      </c>
      <c r="G884" s="44">
        <f t="shared" si="199"/>
        <v>0</v>
      </c>
      <c r="H884" s="44">
        <f t="shared" si="200"/>
        <v>0.50251256281407031</v>
      </c>
      <c r="I884" cm="1">
        <f t="array" ref="I884">INT(F884)+IF(100-SUM(INT(F$882:F$890))&gt;=RANK(H884,H$882:H$890)+COUNTIF(H$882:H884,H884)-1,1,0)</f>
        <v>0</v>
      </c>
      <c r="J884" t="b">
        <f t="shared" si="201"/>
        <v>0</v>
      </c>
      <c r="K884" t="str">
        <f t="shared" si="202"/>
        <v/>
      </c>
      <c r="L884">
        <f>_xlfn.XLOOKUP(D884,BugList!C:C,BugList!N:N)</f>
        <v>6</v>
      </c>
      <c r="M884">
        <f t="shared" si="203"/>
        <v>0</v>
      </c>
      <c r="N884" t="b">
        <f>_xlfn.XLOOKUP(D884,BugList!C:C,BugList!L:L)</f>
        <v>1</v>
      </c>
      <c r="O884" t="b">
        <f t="shared" si="204"/>
        <v>0</v>
      </c>
      <c r="P884" s="18" t="b">
        <f>SUMPRODUCT(COUNTIF(_xlfn.XLOOKUP(D884,BugList!C:C,BugList!P:P), "*SC*"))&gt;0</f>
        <v>0</v>
      </c>
    </row>
    <row r="885" spans="1:16">
      <c r="A885" t="s">
        <v>2821</v>
      </c>
      <c r="B885">
        <v>252</v>
      </c>
      <c r="C885" s="34" t="s">
        <v>194</v>
      </c>
      <c r="D885" s="34" t="s">
        <v>101</v>
      </c>
      <c r="E885" s="83">
        <v>2</v>
      </c>
      <c r="F885" s="43">
        <f t="shared" si="196"/>
        <v>1.0050251256281406</v>
      </c>
      <c r="G885" s="44">
        <f t="shared" si="199"/>
        <v>1</v>
      </c>
      <c r="H885" s="44">
        <f t="shared" si="200"/>
        <v>5.0251256281406143E-3</v>
      </c>
      <c r="I885" cm="1">
        <f t="array" ref="I885">INT(F885)+IF(100-SUM(INT(F$882:F$890))&gt;=RANK(H885,H$882:H$890)+COUNTIF(H$882:H885,H885)-1,1,0)</f>
        <v>1</v>
      </c>
      <c r="J885" t="b">
        <f t="shared" si="201"/>
        <v>0</v>
      </c>
      <c r="K885" t="str">
        <f t="shared" si="202"/>
        <v/>
      </c>
      <c r="L885">
        <f>_xlfn.XLOOKUP(D885,BugList!C:C,BugList!N:N)</f>
        <v>6</v>
      </c>
      <c r="M885">
        <f t="shared" si="203"/>
        <v>6</v>
      </c>
      <c r="N885" t="b">
        <f>_xlfn.XLOOKUP(D885,BugList!C:C,BugList!L:L)</f>
        <v>1</v>
      </c>
      <c r="O885" t="b">
        <f t="shared" si="204"/>
        <v>0</v>
      </c>
      <c r="P885" s="18" t="b">
        <f>SUMPRODUCT(COUNTIF(_xlfn.XLOOKUP(D885,BugList!C:C,BugList!P:P), "*SC*"))&gt;0</f>
        <v>0</v>
      </c>
    </row>
    <row r="886" spans="1:16">
      <c r="A886" t="s">
        <v>2821</v>
      </c>
      <c r="B886">
        <v>252</v>
      </c>
      <c r="C886" s="34" t="s">
        <v>119</v>
      </c>
      <c r="D886" s="34" t="s">
        <v>87</v>
      </c>
      <c r="E886" s="83">
        <v>3</v>
      </c>
      <c r="F886" s="43">
        <f t="shared" si="196"/>
        <v>1.5075376884422109</v>
      </c>
      <c r="G886" s="44">
        <f t="shared" si="199"/>
        <v>1</v>
      </c>
      <c r="H886" s="44">
        <f t="shared" si="200"/>
        <v>0.50753768844221092</v>
      </c>
      <c r="I886" cm="1">
        <f t="array" ref="I886">INT(F886)+IF(100-SUM(INT(F$882:F$890))&gt;=RANK(H886,H$882:H$890)+COUNTIF(H$882:H886,H886)-1,1,0)</f>
        <v>2</v>
      </c>
      <c r="J886" t="b">
        <f t="shared" si="201"/>
        <v>0</v>
      </c>
      <c r="K886" t="str">
        <f t="shared" si="202"/>
        <v/>
      </c>
      <c r="L886">
        <f>_xlfn.XLOOKUP(D886,BugList!C:C,BugList!N:N)</f>
        <v>4</v>
      </c>
      <c r="M886">
        <f t="shared" si="203"/>
        <v>8</v>
      </c>
      <c r="N886" t="b">
        <f>_xlfn.XLOOKUP(D886,BugList!C:C,BugList!L:L)</f>
        <v>0</v>
      </c>
      <c r="O886" t="b">
        <f t="shared" si="204"/>
        <v>0</v>
      </c>
      <c r="P886" s="18" t="b">
        <f>SUMPRODUCT(COUNTIF(_xlfn.XLOOKUP(D886,BugList!C:C,BugList!P:P), "*SC*"))&gt;0</f>
        <v>0</v>
      </c>
    </row>
    <row r="887" spans="1:16">
      <c r="A887" t="s">
        <v>2821</v>
      </c>
      <c r="B887">
        <v>252</v>
      </c>
      <c r="C887" s="34" t="s">
        <v>198</v>
      </c>
      <c r="D887" s="34" t="s">
        <v>89</v>
      </c>
      <c r="E887" s="83">
        <v>111</v>
      </c>
      <c r="F887" s="43">
        <f t="shared" si="196"/>
        <v>55.778894472361806</v>
      </c>
      <c r="G887" s="44">
        <f t="shared" si="199"/>
        <v>55</v>
      </c>
      <c r="H887" s="44">
        <f t="shared" si="200"/>
        <v>0.77889447236180587</v>
      </c>
      <c r="I887" cm="1">
        <f t="array" ref="I887">INT(F887)+IF(100-SUM(INT(F$882:F$890))&gt;=RANK(H887,H$882:H$890)+COUNTIF(H$882:H887,H887)-1,1,0)</f>
        <v>56</v>
      </c>
      <c r="J887" t="b">
        <f t="shared" si="201"/>
        <v>1</v>
      </c>
      <c r="K887" t="str">
        <f t="shared" si="202"/>
        <v>Trichoptera</v>
      </c>
      <c r="L887">
        <f>_xlfn.XLOOKUP(D887,BugList!C:C,BugList!N:N)</f>
        <v>4</v>
      </c>
      <c r="M887">
        <f t="shared" si="203"/>
        <v>224</v>
      </c>
      <c r="N887" t="b">
        <f>_xlfn.XLOOKUP(D887,BugList!C:C,BugList!L:L)</f>
        <v>1</v>
      </c>
      <c r="O887" t="b">
        <f t="shared" si="204"/>
        <v>0</v>
      </c>
      <c r="P887" s="18" t="b">
        <f>SUMPRODUCT(COUNTIF(_xlfn.XLOOKUP(D887,BugList!C:C,BugList!P:P), "*SC*"))&gt;0</f>
        <v>0</v>
      </c>
    </row>
    <row r="888" spans="1:16">
      <c r="A888" t="s">
        <v>2821</v>
      </c>
      <c r="B888">
        <v>252</v>
      </c>
      <c r="C888" s="34" t="s">
        <v>198</v>
      </c>
      <c r="D888" s="34" t="s">
        <v>107</v>
      </c>
      <c r="E888" s="83">
        <v>4</v>
      </c>
      <c r="F888" s="43">
        <f t="shared" si="196"/>
        <v>2.0100502512562812</v>
      </c>
      <c r="G888" s="44">
        <f t="shared" si="199"/>
        <v>2</v>
      </c>
      <c r="H888" s="44">
        <f t="shared" si="200"/>
        <v>1.0050251256281229E-2</v>
      </c>
      <c r="I888" cm="1">
        <f t="array" ref="I888">INT(F888)+IF(100-SUM(INT(F$882:F$890))&gt;=RANK(H888,H$882:H$890)+COUNTIF(H$882:H888,H888)-1,1,0)</f>
        <v>2</v>
      </c>
      <c r="J888" t="b">
        <f t="shared" si="201"/>
        <v>1</v>
      </c>
      <c r="K888" t="str">
        <f t="shared" si="202"/>
        <v>Trichoptera</v>
      </c>
      <c r="L888">
        <f>_xlfn.XLOOKUP(D888,BugList!C:C,BugList!N:N)</f>
        <v>3</v>
      </c>
      <c r="M888">
        <f t="shared" si="203"/>
        <v>6</v>
      </c>
      <c r="N888" t="b">
        <f>_xlfn.XLOOKUP(D888,BugList!C:C,BugList!L:L)</f>
        <v>1</v>
      </c>
      <c r="O888" t="b">
        <f t="shared" si="204"/>
        <v>1</v>
      </c>
      <c r="P888" s="18" t="b">
        <f>SUMPRODUCT(COUNTIF(_xlfn.XLOOKUP(D888,BugList!C:C,BugList!P:P), "*SC*"))&gt;0</f>
        <v>0</v>
      </c>
    </row>
    <row r="889" spans="1:16">
      <c r="A889" t="s">
        <v>2821</v>
      </c>
      <c r="B889">
        <v>252</v>
      </c>
      <c r="C889" s="34" t="s">
        <v>205</v>
      </c>
      <c r="D889" s="34" t="s">
        <v>206</v>
      </c>
      <c r="E889" s="83">
        <v>10</v>
      </c>
      <c r="F889" s="43">
        <f t="shared" si="196"/>
        <v>5.025125628140704</v>
      </c>
      <c r="G889" s="44">
        <f t="shared" si="199"/>
        <v>5</v>
      </c>
      <c r="H889" s="44">
        <f t="shared" si="200"/>
        <v>2.5125628140703959E-2</v>
      </c>
      <c r="I889" cm="1">
        <f t="array" ref="I889">INT(F889)+IF(100-SUM(INT(F$882:F$890))&gt;=RANK(H889,H$882:H$890)+COUNTIF(H$882:H889,H889)-1,1,0)</f>
        <v>5</v>
      </c>
      <c r="J889" t="b">
        <f t="shared" si="201"/>
        <v>0</v>
      </c>
      <c r="K889" t="str">
        <f t="shared" si="202"/>
        <v/>
      </c>
      <c r="L889" s="71">
        <v>8</v>
      </c>
      <c r="M889">
        <f t="shared" si="203"/>
        <v>40</v>
      </c>
      <c r="N889" s="71" t="b">
        <v>0</v>
      </c>
      <c r="O889" t="b">
        <f t="shared" si="204"/>
        <v>0</v>
      </c>
      <c r="P889" s="72" t="b">
        <v>0</v>
      </c>
    </row>
    <row r="890" spans="1:16">
      <c r="A890" t="s">
        <v>2821</v>
      </c>
      <c r="B890">
        <v>252</v>
      </c>
      <c r="C890" s="34" t="s">
        <v>94</v>
      </c>
      <c r="D890" s="34" t="s">
        <v>94</v>
      </c>
      <c r="E890" s="83">
        <v>1</v>
      </c>
      <c r="F890" s="43">
        <f t="shared" si="196"/>
        <v>0.50251256281407031</v>
      </c>
      <c r="G890" s="44">
        <f t="shared" si="199"/>
        <v>0</v>
      </c>
      <c r="H890" s="44">
        <f t="shared" si="200"/>
        <v>0.50251256281407031</v>
      </c>
      <c r="I890" cm="1">
        <f t="array" ref="I890">INT(F890)+IF(100-SUM(INT(F$882:F$890))&gt;=RANK(H890,H$882:H$890)+COUNTIF(H$882:H890,H890)-1,1,0)</f>
        <v>0</v>
      </c>
      <c r="J890" t="b">
        <f t="shared" si="201"/>
        <v>0</v>
      </c>
      <c r="K890" t="str">
        <f t="shared" si="202"/>
        <v/>
      </c>
      <c r="L890">
        <f>_xlfn.XLOOKUP(D890,BugList!C:C,BugList!N:N)</f>
        <v>8</v>
      </c>
      <c r="M890">
        <f t="shared" si="203"/>
        <v>0</v>
      </c>
      <c r="N890" t="b">
        <f>_xlfn.XLOOKUP(D890,BugList!C:C,BugList!L:L)</f>
        <v>0</v>
      </c>
      <c r="O890" t="b">
        <f t="shared" si="204"/>
        <v>0</v>
      </c>
      <c r="P890" s="18" t="b">
        <f>SUMPRODUCT(COUNTIF(_xlfn.XLOOKUP(D890,BugList!C:C,BugList!P:P), "*SC*"))&gt;0</f>
        <v>0</v>
      </c>
    </row>
    <row r="891" spans="1:16">
      <c r="A891" t="s">
        <v>2822</v>
      </c>
      <c r="B891">
        <v>271</v>
      </c>
      <c r="C891" s="34" t="s">
        <v>200</v>
      </c>
      <c r="D891" s="34" t="s">
        <v>98</v>
      </c>
      <c r="E891" s="83">
        <v>19</v>
      </c>
      <c r="F891" s="43">
        <f t="shared" si="196"/>
        <v>16.666666666666664</v>
      </c>
      <c r="G891" s="44">
        <f t="shared" si="199"/>
        <v>16</v>
      </c>
      <c r="H891" s="44">
        <f t="shared" si="200"/>
        <v>0.6666666666666643</v>
      </c>
      <c r="I891" cm="1">
        <f t="array" ref="I891">INT(F891)+IF(100-SUM(INT(F$891:F$907))&gt;=RANK(H891,H$891:H$907)+COUNTIF(H$891:H891,H891)-1,1,0)</f>
        <v>17</v>
      </c>
      <c r="J891" t="b">
        <f t="shared" si="201"/>
        <v>0</v>
      </c>
      <c r="K891" t="str">
        <f t="shared" si="202"/>
        <v/>
      </c>
      <c r="L891">
        <f>_xlfn.XLOOKUP(D891,BugList!C:C,BugList!N:N)</f>
        <v>4</v>
      </c>
      <c r="M891">
        <f t="shared" si="203"/>
        <v>68</v>
      </c>
      <c r="N891" t="b">
        <f>_xlfn.XLOOKUP(D891,BugList!C:C,BugList!L:L)</f>
        <v>1</v>
      </c>
      <c r="O891" t="b">
        <f t="shared" si="204"/>
        <v>0</v>
      </c>
      <c r="P891" s="18" t="b">
        <f>SUMPRODUCT(COUNTIF(_xlfn.XLOOKUP(D891,BugList!C:C,BugList!P:P), "*SC*"))&gt;0</f>
        <v>1</v>
      </c>
    </row>
    <row r="892" spans="1:16">
      <c r="A892" t="s">
        <v>2822</v>
      </c>
      <c r="B892">
        <v>271</v>
      </c>
      <c r="C892" s="34" t="s">
        <v>200</v>
      </c>
      <c r="D892" s="34" t="s">
        <v>99</v>
      </c>
      <c r="E892" s="83">
        <v>1</v>
      </c>
      <c r="F892" s="43">
        <f t="shared" ref="F892:F923" si="205">(E892/(SUMIFS(E:E,A:A,A892))*100)</f>
        <v>0.8771929824561403</v>
      </c>
      <c r="G892" s="44">
        <f t="shared" si="199"/>
        <v>0</v>
      </c>
      <c r="H892" s="44">
        <f t="shared" si="200"/>
        <v>0.8771929824561403</v>
      </c>
      <c r="I892" cm="1">
        <f t="array" ref="I892">INT(F892)+IF(100-SUM(INT(F$891:F$907))&gt;=RANK(H892,H$891:H$907)+COUNTIF(H$891:H892,H892)-1,1,0)</f>
        <v>1</v>
      </c>
      <c r="J892" t="b">
        <f t="shared" si="201"/>
        <v>0</v>
      </c>
      <c r="K892" t="str">
        <f t="shared" si="202"/>
        <v/>
      </c>
      <c r="L892">
        <f>_xlfn.XLOOKUP(D892,BugList!C:C,BugList!N:N)</f>
        <v>5</v>
      </c>
      <c r="M892">
        <f t="shared" si="203"/>
        <v>5</v>
      </c>
      <c r="N892" t="b">
        <f>_xlfn.XLOOKUP(D892,BugList!C:C,BugList!L:L)</f>
        <v>1</v>
      </c>
      <c r="O892" t="b">
        <f t="shared" si="204"/>
        <v>0</v>
      </c>
      <c r="P892" s="18" t="b">
        <f>SUMPRODUCT(COUNTIF(_xlfn.XLOOKUP(D892,BugList!C:C,BugList!P:P), "*SC*"))&gt;0</f>
        <v>0</v>
      </c>
    </row>
    <row r="893" spans="1:16">
      <c r="A893" t="s">
        <v>2822</v>
      </c>
      <c r="B893">
        <v>271</v>
      </c>
      <c r="C893" s="34" t="s">
        <v>200</v>
      </c>
      <c r="D893" s="34" t="s">
        <v>100</v>
      </c>
      <c r="E893" s="83">
        <v>28</v>
      </c>
      <c r="F893" s="43">
        <f t="shared" si="205"/>
        <v>24.561403508771928</v>
      </c>
      <c r="G893" s="44">
        <f t="shared" si="199"/>
        <v>24</v>
      </c>
      <c r="H893" s="44">
        <f t="shared" si="200"/>
        <v>0.56140350877192802</v>
      </c>
      <c r="I893" cm="1">
        <f t="array" ref="I893">INT(F893)+IF(100-SUM(INT(F$891:F$907))&gt;=RANK(H893,H$891:H$907)+COUNTIF(H$891:H893,H893)-1,1,0)</f>
        <v>24</v>
      </c>
      <c r="J893" t="b">
        <f t="shared" si="201"/>
        <v>0</v>
      </c>
      <c r="K893" t="str">
        <f t="shared" si="202"/>
        <v/>
      </c>
      <c r="L893">
        <f>_xlfn.XLOOKUP(D893,BugList!C:C,BugList!N:N)</f>
        <v>4</v>
      </c>
      <c r="M893">
        <f t="shared" si="203"/>
        <v>96</v>
      </c>
      <c r="N893" t="b">
        <f>_xlfn.XLOOKUP(D893,BugList!C:C,BugList!L:L)</f>
        <v>1</v>
      </c>
      <c r="O893" t="b">
        <f t="shared" si="204"/>
        <v>0</v>
      </c>
      <c r="P893" s="18" t="b">
        <f>SUMPRODUCT(COUNTIF(_xlfn.XLOOKUP(D893,BugList!C:C,BugList!P:P), "*SC*"))&gt;0</f>
        <v>1</v>
      </c>
    </row>
    <row r="894" spans="1:16">
      <c r="A894" t="s">
        <v>2822</v>
      </c>
      <c r="B894">
        <v>271</v>
      </c>
      <c r="C894" s="34" t="s">
        <v>194</v>
      </c>
      <c r="D894" s="34" t="s">
        <v>90</v>
      </c>
      <c r="E894" s="83">
        <v>1</v>
      </c>
      <c r="F894" s="43">
        <f t="shared" si="205"/>
        <v>0.8771929824561403</v>
      </c>
      <c r="G894" s="44">
        <f t="shared" si="199"/>
        <v>0</v>
      </c>
      <c r="H894" s="44">
        <f t="shared" si="200"/>
        <v>0.8771929824561403</v>
      </c>
      <c r="I894" cm="1">
        <f t="array" ref="I894">INT(F894)+IF(100-SUM(INT(F$891:F$907))&gt;=RANK(H894,H$891:H$907)+COUNTIF(H$891:H894,H894)-1,1,0)</f>
        <v>1</v>
      </c>
      <c r="J894" t="b">
        <f t="shared" si="201"/>
        <v>0</v>
      </c>
      <c r="K894" t="str">
        <f t="shared" si="202"/>
        <v/>
      </c>
      <c r="L894">
        <f>_xlfn.XLOOKUP(D894,BugList!C:C,BugList!N:N)</f>
        <v>6</v>
      </c>
      <c r="M894">
        <f t="shared" si="203"/>
        <v>6</v>
      </c>
      <c r="N894" t="b">
        <f>_xlfn.XLOOKUP(D894,BugList!C:C,BugList!L:L)</f>
        <v>1</v>
      </c>
      <c r="O894" t="b">
        <f t="shared" si="204"/>
        <v>0</v>
      </c>
      <c r="P894" s="18" t="b">
        <f>SUMPRODUCT(COUNTIF(_xlfn.XLOOKUP(D894,BugList!C:C,BugList!P:P), "*SC*"))&gt;0</f>
        <v>0</v>
      </c>
    </row>
    <row r="895" spans="1:16">
      <c r="A895" t="s">
        <v>2822</v>
      </c>
      <c r="B895">
        <v>271</v>
      </c>
      <c r="C895" s="34" t="s">
        <v>194</v>
      </c>
      <c r="D895" s="34" t="s">
        <v>101</v>
      </c>
      <c r="E895" s="83">
        <v>1</v>
      </c>
      <c r="F895" s="43">
        <f t="shared" si="205"/>
        <v>0.8771929824561403</v>
      </c>
      <c r="G895" s="44">
        <f t="shared" si="199"/>
        <v>0</v>
      </c>
      <c r="H895" s="44">
        <f t="shared" si="200"/>
        <v>0.8771929824561403</v>
      </c>
      <c r="I895" cm="1">
        <f t="array" ref="I895">INT(F895)+IF(100-SUM(INT(F$891:F$907))&gt;=RANK(H895,H$891:H$907)+COUNTIF(H$891:H895,H895)-1,1,0)</f>
        <v>1</v>
      </c>
      <c r="J895" t="b">
        <f t="shared" si="201"/>
        <v>0</v>
      </c>
      <c r="K895" t="str">
        <f t="shared" si="202"/>
        <v/>
      </c>
      <c r="L895">
        <f>_xlfn.XLOOKUP(D895,BugList!C:C,BugList!N:N)</f>
        <v>6</v>
      </c>
      <c r="M895">
        <f t="shared" si="203"/>
        <v>6</v>
      </c>
      <c r="N895" t="b">
        <f>_xlfn.XLOOKUP(D895,BugList!C:C,BugList!L:L)</f>
        <v>1</v>
      </c>
      <c r="O895" t="b">
        <f t="shared" si="204"/>
        <v>0</v>
      </c>
      <c r="P895" s="18" t="b">
        <f>SUMPRODUCT(COUNTIF(_xlfn.XLOOKUP(D895,BugList!C:C,BugList!P:P), "*SC*"))&gt;0</f>
        <v>0</v>
      </c>
    </row>
    <row r="896" spans="1:16">
      <c r="A896" t="s">
        <v>2822</v>
      </c>
      <c r="B896">
        <v>271</v>
      </c>
      <c r="C896" s="34" t="s">
        <v>194</v>
      </c>
      <c r="D896" s="34" t="s">
        <v>108</v>
      </c>
      <c r="E896" s="83">
        <v>1</v>
      </c>
      <c r="F896" s="43">
        <f t="shared" si="205"/>
        <v>0.8771929824561403</v>
      </c>
      <c r="G896" s="44">
        <f t="shared" si="199"/>
        <v>0</v>
      </c>
      <c r="H896" s="44">
        <f t="shared" si="200"/>
        <v>0.8771929824561403</v>
      </c>
      <c r="I896" cm="1">
        <f t="array" ref="I896">INT(F896)+IF(100-SUM(INT(F$891:F$907))&gt;=RANK(H896,H$891:H$907)+COUNTIF(H$891:H896,H896)-1,1,0)</f>
        <v>1</v>
      </c>
      <c r="J896" t="b">
        <f t="shared" si="201"/>
        <v>0</v>
      </c>
      <c r="K896" t="str">
        <f t="shared" si="202"/>
        <v/>
      </c>
      <c r="L896">
        <f>_xlfn.XLOOKUP(D896,BugList!C:C,BugList!N:N)</f>
        <v>3</v>
      </c>
      <c r="M896">
        <f t="shared" si="203"/>
        <v>3</v>
      </c>
      <c r="N896" t="b">
        <f>_xlfn.XLOOKUP(D896,BugList!C:C,BugList!L:L)</f>
        <v>1</v>
      </c>
      <c r="O896" t="b">
        <f t="shared" si="204"/>
        <v>0</v>
      </c>
      <c r="P896" s="18" t="b">
        <f>SUMPRODUCT(COUNTIF(_xlfn.XLOOKUP(D896,BugList!C:C,BugList!P:P), "*SC*"))&gt;0</f>
        <v>0</v>
      </c>
    </row>
    <row r="897" spans="1:16">
      <c r="A897" t="s">
        <v>2822</v>
      </c>
      <c r="B897">
        <v>271</v>
      </c>
      <c r="C897" s="34" t="s">
        <v>199</v>
      </c>
      <c r="D897" s="34" t="s">
        <v>96</v>
      </c>
      <c r="E897" s="83">
        <v>1</v>
      </c>
      <c r="F897" s="43">
        <f t="shared" si="205"/>
        <v>0.8771929824561403</v>
      </c>
      <c r="G897" s="44">
        <f t="shared" si="199"/>
        <v>0</v>
      </c>
      <c r="H897" s="44">
        <f t="shared" si="200"/>
        <v>0.8771929824561403</v>
      </c>
      <c r="I897" cm="1">
        <f t="array" ref="I897">INT(F897)+IF(100-SUM(INT(F$891:F$907))&gt;=RANK(H897,H$891:H$907)+COUNTIF(H$891:H897,H897)-1,1,0)</f>
        <v>1</v>
      </c>
      <c r="J897" t="b">
        <f t="shared" si="201"/>
        <v>1</v>
      </c>
      <c r="K897" t="str">
        <f t="shared" si="202"/>
        <v>Ephemeroptera</v>
      </c>
      <c r="L897">
        <f>_xlfn.XLOOKUP(D897,BugList!C:C,BugList!N:N)</f>
        <v>4</v>
      </c>
      <c r="M897">
        <f t="shared" si="203"/>
        <v>4</v>
      </c>
      <c r="N897" t="b">
        <f>_xlfn.XLOOKUP(D897,BugList!C:C,BugList!L:L)</f>
        <v>1</v>
      </c>
      <c r="O897" t="b">
        <f t="shared" si="204"/>
        <v>1</v>
      </c>
      <c r="P897" s="18" t="b">
        <f>SUMPRODUCT(COUNTIF(_xlfn.XLOOKUP(D897,BugList!C:C,BugList!P:P), "*SC*"))&gt;0</f>
        <v>1</v>
      </c>
    </row>
    <row r="898" spans="1:16">
      <c r="A898" t="s">
        <v>2822</v>
      </c>
      <c r="B898">
        <v>271</v>
      </c>
      <c r="C898" s="34" t="s">
        <v>199</v>
      </c>
      <c r="D898" s="34" t="s">
        <v>154</v>
      </c>
      <c r="E898" s="83">
        <v>9</v>
      </c>
      <c r="F898" s="43">
        <f t="shared" si="205"/>
        <v>7.8947368421052628</v>
      </c>
      <c r="G898" s="44">
        <f t="shared" si="199"/>
        <v>7</v>
      </c>
      <c r="H898" s="44">
        <f t="shared" si="200"/>
        <v>0.89473684210526283</v>
      </c>
      <c r="I898" cm="1">
        <f t="array" ref="I898">INT(F898)+IF(100-SUM(INT(F$891:F$907))&gt;=RANK(H898,H$891:H$907)+COUNTIF(H$891:H898,H898)-1,1,0)</f>
        <v>8</v>
      </c>
      <c r="J898" t="b">
        <f t="shared" si="201"/>
        <v>1</v>
      </c>
      <c r="K898" t="str">
        <f t="shared" si="202"/>
        <v>Ephemeroptera</v>
      </c>
      <c r="L898">
        <f>_xlfn.XLOOKUP(D898,BugList!C:C,BugList!N:N)</f>
        <v>7</v>
      </c>
      <c r="M898">
        <f t="shared" si="203"/>
        <v>56</v>
      </c>
      <c r="N898" t="b">
        <f>_xlfn.XLOOKUP(D898,BugList!C:C,BugList!L:L)</f>
        <v>1</v>
      </c>
      <c r="O898" t="b">
        <f t="shared" si="204"/>
        <v>1</v>
      </c>
      <c r="P898" s="18" t="b">
        <f>SUMPRODUCT(COUNTIF(_xlfn.XLOOKUP(D898,BugList!C:C,BugList!P:P), "*SC*"))&gt;0</f>
        <v>0</v>
      </c>
    </row>
    <row r="899" spans="1:16">
      <c r="A899" t="s">
        <v>2822</v>
      </c>
      <c r="B899">
        <v>271</v>
      </c>
      <c r="C899" s="34" t="s">
        <v>199</v>
      </c>
      <c r="D899" s="34" t="s">
        <v>111</v>
      </c>
      <c r="E899" s="83">
        <v>4</v>
      </c>
      <c r="F899" s="43">
        <f t="shared" si="205"/>
        <v>3.5087719298245612</v>
      </c>
      <c r="G899" s="44">
        <f t="shared" si="199"/>
        <v>3</v>
      </c>
      <c r="H899" s="44">
        <f t="shared" si="200"/>
        <v>0.50877192982456121</v>
      </c>
      <c r="I899" cm="1">
        <f t="array" ref="I899">INT(F899)+IF(100-SUM(INT(F$891:F$907))&gt;=RANK(H899,H$891:H$907)+COUNTIF(H$891:H899,H899)-1,1,0)</f>
        <v>3</v>
      </c>
      <c r="J899" t="b">
        <f t="shared" si="201"/>
        <v>1</v>
      </c>
      <c r="K899" t="str">
        <f t="shared" si="202"/>
        <v>Ephemeroptera</v>
      </c>
      <c r="L899">
        <f>_xlfn.XLOOKUP(D899,BugList!C:C,BugList!N:N)</f>
        <v>4</v>
      </c>
      <c r="M899">
        <f t="shared" si="203"/>
        <v>12</v>
      </c>
      <c r="N899" t="b">
        <f>_xlfn.XLOOKUP(D899,BugList!C:C,BugList!L:L)</f>
        <v>1</v>
      </c>
      <c r="O899" t="b">
        <f t="shared" si="204"/>
        <v>1</v>
      </c>
      <c r="P899" s="18" t="b">
        <f>SUMPRODUCT(COUNTIF(_xlfn.XLOOKUP(D899,BugList!C:C,BugList!P:P), "*SC*"))&gt;0</f>
        <v>0</v>
      </c>
    </row>
    <row r="900" spans="1:16">
      <c r="A900" t="s">
        <v>2822</v>
      </c>
      <c r="B900">
        <v>271</v>
      </c>
      <c r="C900" s="34" t="s">
        <v>195</v>
      </c>
      <c r="D900" s="34" t="s">
        <v>97</v>
      </c>
      <c r="E900" s="83">
        <v>8</v>
      </c>
      <c r="F900" s="43">
        <f t="shared" si="205"/>
        <v>7.0175438596491224</v>
      </c>
      <c r="G900" s="44">
        <f t="shared" si="199"/>
        <v>7</v>
      </c>
      <c r="H900" s="44">
        <f t="shared" si="200"/>
        <v>1.7543859649122417E-2</v>
      </c>
      <c r="I900" cm="1">
        <f t="array" ref="I900">INT(F900)+IF(100-SUM(INT(F$891:F$907))&gt;=RANK(H900,H$891:H$907)+COUNTIF(H$891:H900,H900)-1,1,0)</f>
        <v>7</v>
      </c>
      <c r="J900" t="b">
        <f t="shared" si="201"/>
        <v>0</v>
      </c>
      <c r="K900" t="str">
        <f t="shared" si="202"/>
        <v/>
      </c>
      <c r="L900">
        <f>_xlfn.XLOOKUP(D900,BugList!C:C,BugList!N:N)</f>
        <v>9</v>
      </c>
      <c r="M900">
        <f t="shared" si="203"/>
        <v>63</v>
      </c>
      <c r="N900" t="b">
        <f>_xlfn.XLOOKUP(D900,BugList!C:C,BugList!L:L)</f>
        <v>1</v>
      </c>
      <c r="O900" t="b">
        <f t="shared" si="204"/>
        <v>0</v>
      </c>
      <c r="P900" s="18" t="b">
        <f>SUMPRODUCT(COUNTIF(_xlfn.XLOOKUP(D900,BugList!C:C,BugList!P:P), "*SC*"))&gt;0</f>
        <v>0</v>
      </c>
    </row>
    <row r="901" spans="1:16">
      <c r="A901" t="s">
        <v>2822</v>
      </c>
      <c r="B901">
        <v>271</v>
      </c>
      <c r="C901" s="34" t="s">
        <v>119</v>
      </c>
      <c r="D901" s="34" t="s">
        <v>87</v>
      </c>
      <c r="E901" s="83">
        <v>8</v>
      </c>
      <c r="F901" s="43">
        <f t="shared" si="205"/>
        <v>7.0175438596491224</v>
      </c>
      <c r="G901" s="44">
        <f t="shared" si="199"/>
        <v>7</v>
      </c>
      <c r="H901" s="44">
        <f t="shared" si="200"/>
        <v>1.7543859649122417E-2</v>
      </c>
      <c r="I901" cm="1">
        <f t="array" ref="I901">INT(F901)+IF(100-SUM(INT(F$891:F$907))&gt;=RANK(H901,H$891:H$907)+COUNTIF(H$891:H901,H901)-1,1,0)</f>
        <v>7</v>
      </c>
      <c r="J901" t="b">
        <f t="shared" si="201"/>
        <v>0</v>
      </c>
      <c r="K901" t="str">
        <f t="shared" si="202"/>
        <v/>
      </c>
      <c r="L901">
        <f>_xlfn.XLOOKUP(D901,BugList!C:C,BugList!N:N)</f>
        <v>4</v>
      </c>
      <c r="M901">
        <f t="shared" si="203"/>
        <v>28</v>
      </c>
      <c r="N901" t="b">
        <f>_xlfn.XLOOKUP(D901,BugList!C:C,BugList!L:L)</f>
        <v>0</v>
      </c>
      <c r="O901" t="b">
        <f t="shared" si="204"/>
        <v>0</v>
      </c>
      <c r="P901" s="18" t="b">
        <f>SUMPRODUCT(COUNTIF(_xlfn.XLOOKUP(D901,BugList!C:C,BugList!P:P), "*SC*"))&gt;0</f>
        <v>0</v>
      </c>
    </row>
    <row r="902" spans="1:16">
      <c r="A902" t="s">
        <v>2822</v>
      </c>
      <c r="B902">
        <v>271</v>
      </c>
      <c r="C902" s="34" t="s">
        <v>198</v>
      </c>
      <c r="D902" s="34" t="s">
        <v>89</v>
      </c>
      <c r="E902" s="83">
        <v>6</v>
      </c>
      <c r="F902" s="43">
        <f t="shared" si="205"/>
        <v>5.2631578947368416</v>
      </c>
      <c r="G902" s="44">
        <f t="shared" si="199"/>
        <v>5</v>
      </c>
      <c r="H902" s="44">
        <f t="shared" si="200"/>
        <v>0.26315789473684159</v>
      </c>
      <c r="I902" cm="1">
        <f t="array" ref="I902">INT(F902)+IF(100-SUM(INT(F$891:F$907))&gt;=RANK(H902,H$891:H$907)+COUNTIF(H$891:H902,H902)-1,1,0)</f>
        <v>5</v>
      </c>
      <c r="J902" t="b">
        <f t="shared" si="201"/>
        <v>1</v>
      </c>
      <c r="K902" t="str">
        <f t="shared" si="202"/>
        <v>Trichoptera</v>
      </c>
      <c r="L902">
        <f>_xlfn.XLOOKUP(D902,BugList!C:C,BugList!N:N)</f>
        <v>4</v>
      </c>
      <c r="M902">
        <f t="shared" si="203"/>
        <v>20</v>
      </c>
      <c r="N902" t="b">
        <f>_xlfn.XLOOKUP(D902,BugList!C:C,BugList!L:L)</f>
        <v>1</v>
      </c>
      <c r="O902" t="b">
        <f t="shared" si="204"/>
        <v>0</v>
      </c>
      <c r="P902" s="18" t="b">
        <f>SUMPRODUCT(COUNTIF(_xlfn.XLOOKUP(D902,BugList!C:C,BugList!P:P), "*SC*"))&gt;0</f>
        <v>0</v>
      </c>
    </row>
    <row r="903" spans="1:16">
      <c r="A903" t="s">
        <v>2822</v>
      </c>
      <c r="B903">
        <v>271</v>
      </c>
      <c r="C903" s="34" t="s">
        <v>198</v>
      </c>
      <c r="D903" s="34" t="s">
        <v>107</v>
      </c>
      <c r="E903" s="83">
        <v>1</v>
      </c>
      <c r="F903" s="43">
        <f t="shared" si="205"/>
        <v>0.8771929824561403</v>
      </c>
      <c r="G903" s="44">
        <f t="shared" si="199"/>
        <v>0</v>
      </c>
      <c r="H903" s="44">
        <f t="shared" si="200"/>
        <v>0.8771929824561403</v>
      </c>
      <c r="I903" cm="1">
        <f t="array" ref="I903">INT(F903)+IF(100-SUM(INT(F$891:F$907))&gt;=RANK(H903,H$891:H$907)+COUNTIF(H$891:H903,H903)-1,1,0)</f>
        <v>1</v>
      </c>
      <c r="J903" t="b">
        <f t="shared" si="201"/>
        <v>1</v>
      </c>
      <c r="K903" t="str">
        <f t="shared" si="202"/>
        <v>Trichoptera</v>
      </c>
      <c r="L903">
        <f>_xlfn.XLOOKUP(D903,BugList!C:C,BugList!N:N)</f>
        <v>3</v>
      </c>
      <c r="M903">
        <f t="shared" si="203"/>
        <v>3</v>
      </c>
      <c r="N903" t="b">
        <f>_xlfn.XLOOKUP(D903,BugList!C:C,BugList!L:L)</f>
        <v>1</v>
      </c>
      <c r="O903" t="b">
        <f t="shared" si="204"/>
        <v>1</v>
      </c>
      <c r="P903" s="18" t="b">
        <f>SUMPRODUCT(COUNTIF(_xlfn.XLOOKUP(D903,BugList!C:C,BugList!P:P), "*SC*"))&gt;0</f>
        <v>0</v>
      </c>
    </row>
    <row r="904" spans="1:16">
      <c r="A904" t="s">
        <v>2822</v>
      </c>
      <c r="B904">
        <v>271</v>
      </c>
      <c r="C904" s="34" t="s">
        <v>201</v>
      </c>
      <c r="D904" s="34" t="s">
        <v>85</v>
      </c>
      <c r="E904" s="83">
        <v>14</v>
      </c>
      <c r="F904" s="43">
        <f t="shared" si="205"/>
        <v>12.280701754385964</v>
      </c>
      <c r="G904" s="44">
        <f t="shared" si="199"/>
        <v>12</v>
      </c>
      <c r="H904" s="44">
        <f t="shared" si="200"/>
        <v>0.28070175438596401</v>
      </c>
      <c r="I904" cm="1">
        <f t="array" ref="I904">INT(F904)+IF(100-SUM(INT(F$891:F$907))&gt;=RANK(H904,H$891:H$907)+COUNTIF(H$891:H904,H904)-1,1,0)</f>
        <v>12</v>
      </c>
      <c r="J904" t="b">
        <f t="shared" si="201"/>
        <v>0</v>
      </c>
      <c r="K904" t="str">
        <f t="shared" si="202"/>
        <v/>
      </c>
      <c r="L904">
        <f>_xlfn.XLOOKUP(D904,BugList!C:C,BugList!N:N)</f>
        <v>4</v>
      </c>
      <c r="M904">
        <f t="shared" si="203"/>
        <v>48</v>
      </c>
      <c r="N904" t="b">
        <f>_xlfn.XLOOKUP(D904,BugList!C:C,BugList!L:L)</f>
        <v>0</v>
      </c>
      <c r="O904" t="b">
        <f t="shared" si="204"/>
        <v>0</v>
      </c>
      <c r="P904" s="18" t="b">
        <f>SUMPRODUCT(COUNTIF(_xlfn.XLOOKUP(D904,BugList!C:C,BugList!P:P), "*SC*"))&gt;0</f>
        <v>0</v>
      </c>
    </row>
    <row r="905" spans="1:16">
      <c r="A905" t="s">
        <v>2822</v>
      </c>
      <c r="B905">
        <v>271</v>
      </c>
      <c r="C905" s="34" t="s">
        <v>210</v>
      </c>
      <c r="D905" s="34" t="s">
        <v>210</v>
      </c>
      <c r="E905" s="83">
        <v>2</v>
      </c>
      <c r="F905" s="43">
        <f t="shared" si="205"/>
        <v>1.7543859649122806</v>
      </c>
      <c r="G905" s="44">
        <f t="shared" si="199"/>
        <v>1</v>
      </c>
      <c r="H905" s="44">
        <f t="shared" si="200"/>
        <v>0.7543859649122806</v>
      </c>
      <c r="I905" cm="1">
        <f t="array" ref="I905">INT(F905)+IF(100-SUM(INT(F$891:F$907))&gt;=RANK(H905,H$891:H$907)+COUNTIF(H$891:H905,H905)-1,1,0)</f>
        <v>2</v>
      </c>
      <c r="J905" t="b">
        <f t="shared" si="201"/>
        <v>0</v>
      </c>
      <c r="K905" t="str">
        <f t="shared" si="202"/>
        <v/>
      </c>
      <c r="L905" s="71">
        <v>8</v>
      </c>
      <c r="M905">
        <f t="shared" si="203"/>
        <v>16</v>
      </c>
      <c r="N905" s="71" t="b">
        <v>0</v>
      </c>
      <c r="O905" t="b">
        <f t="shared" si="204"/>
        <v>0</v>
      </c>
      <c r="P905" s="72" t="b">
        <v>0</v>
      </c>
    </row>
    <row r="906" spans="1:16">
      <c r="A906" t="s">
        <v>2822</v>
      </c>
      <c r="B906">
        <v>271</v>
      </c>
      <c r="C906" s="34" t="s">
        <v>205</v>
      </c>
      <c r="D906" s="34" t="s">
        <v>206</v>
      </c>
      <c r="E906" s="83">
        <v>7</v>
      </c>
      <c r="F906" s="43">
        <f t="shared" si="205"/>
        <v>6.140350877192982</v>
      </c>
      <c r="G906" s="44">
        <f t="shared" si="199"/>
        <v>6</v>
      </c>
      <c r="H906" s="44">
        <f t="shared" si="200"/>
        <v>0.140350877192982</v>
      </c>
      <c r="I906" cm="1">
        <f t="array" ref="I906">INT(F906)+IF(100-SUM(INT(F$891:F$907))&gt;=RANK(H906,H$891:H$907)+COUNTIF(H$891:H906,H906)-1,1,0)</f>
        <v>6</v>
      </c>
      <c r="J906" t="b">
        <f t="shared" si="201"/>
        <v>0</v>
      </c>
      <c r="K906" t="str">
        <f t="shared" si="202"/>
        <v/>
      </c>
      <c r="L906" s="71">
        <v>8</v>
      </c>
      <c r="M906">
        <f t="shared" si="203"/>
        <v>48</v>
      </c>
      <c r="N906" s="71" t="b">
        <v>0</v>
      </c>
      <c r="O906" t="b">
        <f t="shared" si="204"/>
        <v>0</v>
      </c>
      <c r="P906" s="72" t="b">
        <v>0</v>
      </c>
    </row>
    <row r="907" spans="1:16">
      <c r="A907" t="s">
        <v>2822</v>
      </c>
      <c r="B907">
        <v>271</v>
      </c>
      <c r="C907" s="34" t="s">
        <v>94</v>
      </c>
      <c r="D907" s="34" t="s">
        <v>94</v>
      </c>
      <c r="E907" s="83">
        <v>3</v>
      </c>
      <c r="F907" s="43">
        <f t="shared" si="205"/>
        <v>2.6315789473684208</v>
      </c>
      <c r="G907" s="44">
        <f t="shared" si="199"/>
        <v>2</v>
      </c>
      <c r="H907" s="44">
        <f t="shared" si="200"/>
        <v>0.6315789473684208</v>
      </c>
      <c r="I907" cm="1">
        <f t="array" ref="I907">INT(F907)+IF(100-SUM(INT(F$891:F$907))&gt;=RANK(H907,H$891:H$907)+COUNTIF(H$891:H907,H907)-1,1,0)</f>
        <v>3</v>
      </c>
      <c r="J907" t="b">
        <f t="shared" si="201"/>
        <v>0</v>
      </c>
      <c r="K907" t="str">
        <f t="shared" si="202"/>
        <v/>
      </c>
      <c r="L907">
        <f>_xlfn.XLOOKUP(D907,BugList!C:C,BugList!N:N)</f>
        <v>8</v>
      </c>
      <c r="M907">
        <f t="shared" si="203"/>
        <v>24</v>
      </c>
      <c r="N907" t="b">
        <f>_xlfn.XLOOKUP(D907,BugList!C:C,BugList!L:L)</f>
        <v>0</v>
      </c>
      <c r="O907" t="b">
        <f t="shared" si="204"/>
        <v>0</v>
      </c>
      <c r="P907" s="18" t="b">
        <f>SUMPRODUCT(COUNTIF(_xlfn.XLOOKUP(D907,BugList!C:C,BugList!P:P), "*SC*"))&gt;0</f>
        <v>0</v>
      </c>
    </row>
    <row r="908" spans="1:16">
      <c r="A908" t="s">
        <v>2823</v>
      </c>
      <c r="B908">
        <v>290</v>
      </c>
      <c r="C908" s="34" t="s">
        <v>200</v>
      </c>
      <c r="D908" s="34" t="s">
        <v>98</v>
      </c>
      <c r="E908" s="83">
        <v>6</v>
      </c>
      <c r="F908" s="43">
        <f t="shared" si="205"/>
        <v>4.4117647058823533</v>
      </c>
      <c r="G908" s="44">
        <f t="shared" si="199"/>
        <v>4</v>
      </c>
      <c r="H908" s="44">
        <f t="shared" si="200"/>
        <v>0.41176470588235325</v>
      </c>
      <c r="I908" cm="1">
        <f t="array" ref="I908">INT(F908)+IF(100-SUM(INT(F$908:F$925))&gt;=RANK(H908,H$908:H$925)+COUNTIF(H$908:H908,H908)-1,1,0)</f>
        <v>4</v>
      </c>
      <c r="J908" t="b">
        <f t="shared" si="201"/>
        <v>0</v>
      </c>
      <c r="K908" t="str">
        <f t="shared" si="202"/>
        <v/>
      </c>
      <c r="L908">
        <f>_xlfn.XLOOKUP(D908,BugList!C:C,BugList!N:N)</f>
        <v>4</v>
      </c>
      <c r="M908">
        <f t="shared" si="203"/>
        <v>16</v>
      </c>
      <c r="N908" t="b">
        <f>_xlfn.XLOOKUP(D908,BugList!C:C,BugList!L:L)</f>
        <v>1</v>
      </c>
      <c r="O908" t="b">
        <f t="shared" si="204"/>
        <v>0</v>
      </c>
      <c r="P908" s="18" t="b">
        <f>SUMPRODUCT(COUNTIF(_xlfn.XLOOKUP(D908,BugList!C:C,BugList!P:P), "*SC*"))&gt;0</f>
        <v>1</v>
      </c>
    </row>
    <row r="909" spans="1:16">
      <c r="A909" t="s">
        <v>2823</v>
      </c>
      <c r="B909">
        <v>290</v>
      </c>
      <c r="C909" s="34" t="s">
        <v>200</v>
      </c>
      <c r="D909" s="34" t="s">
        <v>100</v>
      </c>
      <c r="E909" s="83">
        <v>16</v>
      </c>
      <c r="F909" s="43">
        <f t="shared" si="205"/>
        <v>11.76470588235294</v>
      </c>
      <c r="G909" s="44">
        <f t="shared" si="199"/>
        <v>11</v>
      </c>
      <c r="H909" s="44">
        <f t="shared" si="200"/>
        <v>0.76470588235294024</v>
      </c>
      <c r="I909" cm="1">
        <f t="array" ref="I909">INT(F909)+IF(100-SUM(INT(F$908:F$925))&gt;=RANK(H909,H$908:H$925)+COUNTIF(H$908:H909,H909)-1,1,0)</f>
        <v>12</v>
      </c>
      <c r="J909" t="b">
        <f t="shared" si="201"/>
        <v>0</v>
      </c>
      <c r="K909" t="str">
        <f t="shared" si="202"/>
        <v/>
      </c>
      <c r="L909">
        <f>_xlfn.XLOOKUP(D909,BugList!C:C,BugList!N:N)</f>
        <v>4</v>
      </c>
      <c r="M909">
        <f t="shared" si="203"/>
        <v>48</v>
      </c>
      <c r="N909" t="b">
        <f>_xlfn.XLOOKUP(D909,BugList!C:C,BugList!L:L)</f>
        <v>1</v>
      </c>
      <c r="O909" t="b">
        <f t="shared" si="204"/>
        <v>0</v>
      </c>
      <c r="P909" s="18" t="b">
        <f>SUMPRODUCT(COUNTIF(_xlfn.XLOOKUP(D909,BugList!C:C,BugList!P:P), "*SC*"))&gt;0</f>
        <v>1</v>
      </c>
    </row>
    <row r="910" spans="1:16">
      <c r="A910" t="s">
        <v>2823</v>
      </c>
      <c r="B910">
        <v>290</v>
      </c>
      <c r="C910" s="34" t="s">
        <v>194</v>
      </c>
      <c r="D910" s="34" t="s">
        <v>90</v>
      </c>
      <c r="E910" s="83">
        <v>56</v>
      </c>
      <c r="F910" s="43">
        <f t="shared" si="205"/>
        <v>41.17647058823529</v>
      </c>
      <c r="G910" s="44">
        <f t="shared" si="199"/>
        <v>41</v>
      </c>
      <c r="H910" s="44">
        <f t="shared" si="200"/>
        <v>0.17647058823528994</v>
      </c>
      <c r="I910" cm="1">
        <f t="array" ref="I910">INT(F910)+IF(100-SUM(INT(F$908:F$925))&gt;=RANK(H910,H$908:H$925)+COUNTIF(H$908:H910,H910)-1,1,0)</f>
        <v>41</v>
      </c>
      <c r="J910" t="b">
        <f t="shared" si="201"/>
        <v>0</v>
      </c>
      <c r="K910" t="str">
        <f t="shared" si="202"/>
        <v/>
      </c>
      <c r="L910">
        <f>_xlfn.XLOOKUP(D910,BugList!C:C,BugList!N:N)</f>
        <v>6</v>
      </c>
      <c r="M910">
        <f t="shared" si="203"/>
        <v>246</v>
      </c>
      <c r="N910" t="b">
        <f>_xlfn.XLOOKUP(D910,BugList!C:C,BugList!L:L)</f>
        <v>1</v>
      </c>
      <c r="O910" t="b">
        <f t="shared" si="204"/>
        <v>0</v>
      </c>
      <c r="P910" s="18" t="b">
        <f>SUMPRODUCT(COUNTIF(_xlfn.XLOOKUP(D910,BugList!C:C,BugList!P:P), "*SC*"))&gt;0</f>
        <v>0</v>
      </c>
    </row>
    <row r="911" spans="1:16">
      <c r="A911" t="s">
        <v>2823</v>
      </c>
      <c r="B911">
        <v>290</v>
      </c>
      <c r="C911" s="34" t="s">
        <v>194</v>
      </c>
      <c r="D911" s="34" t="s">
        <v>101</v>
      </c>
      <c r="E911" s="83">
        <v>7</v>
      </c>
      <c r="F911" s="43">
        <f t="shared" si="205"/>
        <v>5.1470588235294112</v>
      </c>
      <c r="G911" s="44">
        <f t="shared" si="199"/>
        <v>5</v>
      </c>
      <c r="H911" s="44">
        <f t="shared" si="200"/>
        <v>0.14705882352941124</v>
      </c>
      <c r="I911" cm="1">
        <f t="array" ref="I911">INT(F911)+IF(100-SUM(INT(F$908:F$925))&gt;=RANK(H911,H$908:H$925)+COUNTIF(H$908:H911,H911)-1,1,0)</f>
        <v>5</v>
      </c>
      <c r="J911" t="b">
        <f t="shared" si="201"/>
        <v>0</v>
      </c>
      <c r="K911" t="str">
        <f t="shared" si="202"/>
        <v/>
      </c>
      <c r="L911">
        <f>_xlfn.XLOOKUP(D911,BugList!C:C,BugList!N:N)</f>
        <v>6</v>
      </c>
      <c r="M911">
        <f t="shared" si="203"/>
        <v>30</v>
      </c>
      <c r="N911" t="b">
        <f>_xlfn.XLOOKUP(D911,BugList!C:C,BugList!L:L)</f>
        <v>1</v>
      </c>
      <c r="O911" t="b">
        <f t="shared" si="204"/>
        <v>0</v>
      </c>
      <c r="P911" s="18" t="b">
        <f>SUMPRODUCT(COUNTIF(_xlfn.XLOOKUP(D911,BugList!C:C,BugList!P:P), "*SC*"))&gt;0</f>
        <v>0</v>
      </c>
    </row>
    <row r="912" spans="1:16">
      <c r="A912" t="s">
        <v>2823</v>
      </c>
      <c r="B912">
        <v>290</v>
      </c>
      <c r="C912" s="34" t="s">
        <v>194</v>
      </c>
      <c r="D912" s="34" t="s">
        <v>108</v>
      </c>
      <c r="E912" s="83">
        <v>2</v>
      </c>
      <c r="F912" s="43">
        <f t="shared" si="205"/>
        <v>1.4705882352941175</v>
      </c>
      <c r="G912" s="44">
        <f t="shared" si="199"/>
        <v>1</v>
      </c>
      <c r="H912" s="44">
        <f t="shared" si="200"/>
        <v>0.47058823529411753</v>
      </c>
      <c r="I912" cm="1">
        <f t="array" ref="I912">INT(F912)+IF(100-SUM(INT(F$908:F$925))&gt;=RANK(H912,H$908:H$925)+COUNTIF(H$908:H912,H912)-1,1,0)</f>
        <v>2</v>
      </c>
      <c r="J912" t="b">
        <f t="shared" si="201"/>
        <v>0</v>
      </c>
      <c r="K912" t="str">
        <f t="shared" si="202"/>
        <v/>
      </c>
      <c r="L912">
        <f>_xlfn.XLOOKUP(D912,BugList!C:C,BugList!N:N)</f>
        <v>3</v>
      </c>
      <c r="M912">
        <f t="shared" si="203"/>
        <v>6</v>
      </c>
      <c r="N912" t="b">
        <f>_xlfn.XLOOKUP(D912,BugList!C:C,BugList!L:L)</f>
        <v>1</v>
      </c>
      <c r="O912" t="b">
        <f t="shared" si="204"/>
        <v>0</v>
      </c>
      <c r="P912" s="18" t="b">
        <f>SUMPRODUCT(COUNTIF(_xlfn.XLOOKUP(D912,BugList!C:C,BugList!P:P), "*SC*"))&gt;0</f>
        <v>0</v>
      </c>
    </row>
    <row r="913" spans="1:16">
      <c r="A913" t="s">
        <v>2823</v>
      </c>
      <c r="B913">
        <v>290</v>
      </c>
      <c r="C913" s="34" t="s">
        <v>199</v>
      </c>
      <c r="D913" s="34" t="s">
        <v>151</v>
      </c>
      <c r="E913" s="83">
        <v>1</v>
      </c>
      <c r="F913" s="43">
        <f t="shared" si="205"/>
        <v>0.73529411764705876</v>
      </c>
      <c r="G913" s="44">
        <f t="shared" si="199"/>
        <v>0</v>
      </c>
      <c r="H913" s="44">
        <f t="shared" si="200"/>
        <v>0.73529411764705876</v>
      </c>
      <c r="I913" cm="1">
        <f t="array" ref="I913">INT(F913)+IF(100-SUM(INT(F$908:F$925))&gt;=RANK(H913,H$908:H$925)+COUNTIF(H$908:H913,H913)-1,1,0)</f>
        <v>1</v>
      </c>
      <c r="J913" t="b">
        <f t="shared" si="201"/>
        <v>1</v>
      </c>
      <c r="K913" t="str">
        <f t="shared" si="202"/>
        <v>Ephemeroptera</v>
      </c>
      <c r="L913">
        <f>_xlfn.XLOOKUP(D913,BugList!C:C,BugList!N:N)</f>
        <v>1</v>
      </c>
      <c r="M913">
        <f t="shared" si="203"/>
        <v>1</v>
      </c>
      <c r="N913" t="b">
        <f>_xlfn.XLOOKUP(D913,BugList!C:C,BugList!L:L)</f>
        <v>1</v>
      </c>
      <c r="O913" t="b">
        <f t="shared" si="204"/>
        <v>1</v>
      </c>
      <c r="P913" s="18" t="b">
        <f>SUMPRODUCT(COUNTIF(_xlfn.XLOOKUP(D913,BugList!C:C,BugList!P:P), "*SC*"))&gt;0</f>
        <v>0</v>
      </c>
    </row>
    <row r="914" spans="1:16">
      <c r="A914" t="s">
        <v>2823</v>
      </c>
      <c r="B914">
        <v>290</v>
      </c>
      <c r="C914" s="34" t="s">
        <v>199</v>
      </c>
      <c r="D914" s="34" t="s">
        <v>111</v>
      </c>
      <c r="E914" s="83">
        <v>2</v>
      </c>
      <c r="F914" s="43">
        <f t="shared" si="205"/>
        <v>1.4705882352941175</v>
      </c>
      <c r="G914" s="44">
        <f t="shared" si="199"/>
        <v>1</v>
      </c>
      <c r="H914" s="44">
        <f t="shared" si="200"/>
        <v>0.47058823529411753</v>
      </c>
      <c r="I914" cm="1">
        <f t="array" ref="I914">INT(F914)+IF(100-SUM(INT(F$908:F$925))&gt;=RANK(H914,H$908:H$925)+COUNTIF(H$908:H914,H914)-1,1,0)</f>
        <v>1</v>
      </c>
      <c r="J914" t="b">
        <f t="shared" si="201"/>
        <v>1</v>
      </c>
      <c r="K914" t="str">
        <f t="shared" si="202"/>
        <v>Ephemeroptera</v>
      </c>
      <c r="L914">
        <f>_xlfn.XLOOKUP(D914,BugList!C:C,BugList!N:N)</f>
        <v>4</v>
      </c>
      <c r="M914">
        <f t="shared" si="203"/>
        <v>4</v>
      </c>
      <c r="N914" t="b">
        <f>_xlfn.XLOOKUP(D914,BugList!C:C,BugList!L:L)</f>
        <v>1</v>
      </c>
      <c r="O914" t="b">
        <f t="shared" si="204"/>
        <v>1</v>
      </c>
      <c r="P914" s="18" t="b">
        <f>SUMPRODUCT(COUNTIF(_xlfn.XLOOKUP(D914,BugList!C:C,BugList!P:P), "*SC*"))&gt;0</f>
        <v>0</v>
      </c>
    </row>
    <row r="915" spans="1:16">
      <c r="A915" t="s">
        <v>2823</v>
      </c>
      <c r="B915">
        <v>290</v>
      </c>
      <c r="C915" s="34" t="s">
        <v>195</v>
      </c>
      <c r="D915" s="34" t="s">
        <v>97</v>
      </c>
      <c r="E915" s="83">
        <v>2</v>
      </c>
      <c r="F915" s="43">
        <f t="shared" si="205"/>
        <v>1.4705882352941175</v>
      </c>
      <c r="G915" s="44">
        <f t="shared" si="199"/>
        <v>1</v>
      </c>
      <c r="H915" s="44">
        <f t="shared" si="200"/>
        <v>0.47058823529411753</v>
      </c>
      <c r="I915" cm="1">
        <f t="array" ref="I915">INT(F915)+IF(100-SUM(INT(F$908:F$925))&gt;=RANK(H915,H$908:H$925)+COUNTIF(H$908:H915,H915)-1,1,0)</f>
        <v>1</v>
      </c>
      <c r="J915" t="b">
        <f t="shared" si="201"/>
        <v>0</v>
      </c>
      <c r="K915" t="str">
        <f t="shared" si="202"/>
        <v/>
      </c>
      <c r="L915">
        <f>_xlfn.XLOOKUP(D915,BugList!C:C,BugList!N:N)</f>
        <v>9</v>
      </c>
      <c r="M915">
        <f t="shared" si="203"/>
        <v>9</v>
      </c>
      <c r="N915" t="b">
        <f>_xlfn.XLOOKUP(D915,BugList!C:C,BugList!L:L)</f>
        <v>1</v>
      </c>
      <c r="O915" t="b">
        <f t="shared" si="204"/>
        <v>0</v>
      </c>
      <c r="P915" s="18" t="b">
        <f>SUMPRODUCT(COUNTIF(_xlfn.XLOOKUP(D915,BugList!C:C,BugList!P:P), "*SC*"))&gt;0</f>
        <v>0</v>
      </c>
    </row>
    <row r="916" spans="1:16">
      <c r="A916" t="s">
        <v>2823</v>
      </c>
      <c r="B916">
        <v>290</v>
      </c>
      <c r="C916" s="34" t="s">
        <v>211</v>
      </c>
      <c r="D916" s="34" t="s">
        <v>87</v>
      </c>
      <c r="E916" s="83">
        <v>4</v>
      </c>
      <c r="F916" s="43">
        <f t="shared" si="205"/>
        <v>2.9411764705882351</v>
      </c>
      <c r="G916" s="44">
        <f t="shared" si="199"/>
        <v>2</v>
      </c>
      <c r="H916" s="44">
        <f t="shared" si="200"/>
        <v>0.94117647058823506</v>
      </c>
      <c r="I916" cm="1">
        <f t="array" ref="I916">INT(F916)+IF(100-SUM(INT(F$908:F$925))&gt;=RANK(H916,H$908:H$925)+COUNTIF(H$908:H916,H916)-1,1,0)</f>
        <v>3</v>
      </c>
      <c r="J916" t="b">
        <f t="shared" si="201"/>
        <v>0</v>
      </c>
      <c r="K916" t="str">
        <f t="shared" si="202"/>
        <v/>
      </c>
      <c r="L916">
        <f>_xlfn.XLOOKUP(D916,BugList!C:C,BugList!N:N)</f>
        <v>4</v>
      </c>
      <c r="M916">
        <f t="shared" si="203"/>
        <v>12</v>
      </c>
      <c r="N916" t="b">
        <f>_xlfn.XLOOKUP(D916,BugList!C:C,BugList!L:L)</f>
        <v>0</v>
      </c>
      <c r="O916" t="b">
        <f t="shared" si="204"/>
        <v>0</v>
      </c>
      <c r="P916" s="18" t="b">
        <f>SUMPRODUCT(COUNTIF(_xlfn.XLOOKUP(D916,BugList!C:C,BugList!P:P), "*SC*"))&gt;0</f>
        <v>0</v>
      </c>
    </row>
    <row r="917" spans="1:16">
      <c r="A917" t="s">
        <v>2823</v>
      </c>
      <c r="B917">
        <v>290</v>
      </c>
      <c r="C917" s="34" t="s">
        <v>197</v>
      </c>
      <c r="D917" s="34" t="s">
        <v>498</v>
      </c>
      <c r="E917" s="83">
        <v>1</v>
      </c>
      <c r="F917" s="43">
        <f t="shared" si="205"/>
        <v>0.73529411764705876</v>
      </c>
      <c r="G917" s="44">
        <f t="shared" si="199"/>
        <v>0</v>
      </c>
      <c r="H917" s="44">
        <f t="shared" si="200"/>
        <v>0.73529411764705876</v>
      </c>
      <c r="I917" cm="1">
        <f t="array" ref="I917">INT(F917)+IF(100-SUM(INT(F$908:F$925))&gt;=RANK(H917,H$908:H$925)+COUNTIF(H$908:H917,H917)-1,1,0)</f>
        <v>1</v>
      </c>
      <c r="J917" t="b">
        <f t="shared" si="201"/>
        <v>1</v>
      </c>
      <c r="K917" t="str">
        <f t="shared" si="202"/>
        <v>Plecoptera</v>
      </c>
      <c r="L917">
        <f>_xlfn.XLOOKUP(D917,BugList!C:C,BugList!N:N)</f>
        <v>1</v>
      </c>
      <c r="M917">
        <f t="shared" si="203"/>
        <v>1</v>
      </c>
      <c r="N917" t="b">
        <f>_xlfn.XLOOKUP(D917,BugList!C:C,BugList!L:L)</f>
        <v>1</v>
      </c>
      <c r="O917" t="b">
        <f t="shared" si="204"/>
        <v>1</v>
      </c>
      <c r="P917" s="18" t="b">
        <f>SUMPRODUCT(COUNTIF(_xlfn.XLOOKUP(D917,BugList!C:C,BugList!P:P), "*SC*"))&gt;0</f>
        <v>0</v>
      </c>
    </row>
    <row r="918" spans="1:16">
      <c r="A918" t="s">
        <v>2823</v>
      </c>
      <c r="B918">
        <v>290</v>
      </c>
      <c r="C918" s="34" t="s">
        <v>197</v>
      </c>
      <c r="D918" s="34" t="s">
        <v>104</v>
      </c>
      <c r="E918" s="83">
        <v>3</v>
      </c>
      <c r="F918" s="43">
        <f t="shared" si="205"/>
        <v>2.2058823529411766</v>
      </c>
      <c r="G918" s="44">
        <f t="shared" si="199"/>
        <v>2</v>
      </c>
      <c r="H918" s="44">
        <f t="shared" si="200"/>
        <v>0.20588235294117663</v>
      </c>
      <c r="I918" cm="1">
        <f t="array" ref="I918">INT(F918)+IF(100-SUM(INT(F$908:F$925))&gt;=RANK(H918,H$908:H$925)+COUNTIF(H$908:H918,H918)-1,1,0)</f>
        <v>2</v>
      </c>
      <c r="J918" t="b">
        <f t="shared" si="201"/>
        <v>1</v>
      </c>
      <c r="K918" t="str">
        <f t="shared" si="202"/>
        <v>Plecoptera</v>
      </c>
      <c r="L918">
        <f>_xlfn.XLOOKUP(D918,BugList!C:C,BugList!N:N)</f>
        <v>2</v>
      </c>
      <c r="M918">
        <f t="shared" si="203"/>
        <v>4</v>
      </c>
      <c r="N918" t="b">
        <f>_xlfn.XLOOKUP(D918,BugList!C:C,BugList!L:L)</f>
        <v>1</v>
      </c>
      <c r="O918" t="b">
        <f t="shared" si="204"/>
        <v>1</v>
      </c>
      <c r="P918" s="18" t="b">
        <f>SUMPRODUCT(COUNTIF(_xlfn.XLOOKUP(D918,BugList!C:C,BugList!P:P), "*SC*"))&gt;0</f>
        <v>0</v>
      </c>
    </row>
    <row r="919" spans="1:16">
      <c r="A919" t="s">
        <v>2823</v>
      </c>
      <c r="B919">
        <v>290</v>
      </c>
      <c r="C919" s="34" t="s">
        <v>198</v>
      </c>
      <c r="D919" s="34" t="s">
        <v>89</v>
      </c>
      <c r="E919" s="83">
        <v>17</v>
      </c>
      <c r="F919" s="43">
        <f t="shared" si="205"/>
        <v>12.5</v>
      </c>
      <c r="G919" s="44">
        <f t="shared" si="199"/>
        <v>12</v>
      </c>
      <c r="H919" s="44">
        <f t="shared" si="200"/>
        <v>0.5</v>
      </c>
      <c r="I919" cm="1">
        <f t="array" ref="I919">INT(F919)+IF(100-SUM(INT(F$908:F$925))&gt;=RANK(H919,H$908:H$925)+COUNTIF(H$908:H919,H919)-1,1,0)</f>
        <v>13</v>
      </c>
      <c r="J919" t="b">
        <f t="shared" si="201"/>
        <v>1</v>
      </c>
      <c r="K919" t="str">
        <f t="shared" si="202"/>
        <v>Trichoptera</v>
      </c>
      <c r="L919">
        <f>_xlfn.XLOOKUP(D919,BugList!C:C,BugList!N:N)</f>
        <v>4</v>
      </c>
      <c r="M919">
        <f t="shared" si="203"/>
        <v>52</v>
      </c>
      <c r="N919" t="b">
        <f>_xlfn.XLOOKUP(D919,BugList!C:C,BugList!L:L)</f>
        <v>1</v>
      </c>
      <c r="O919" t="b">
        <f t="shared" si="204"/>
        <v>0</v>
      </c>
      <c r="P919" s="18" t="b">
        <f>SUMPRODUCT(COUNTIF(_xlfn.XLOOKUP(D919,BugList!C:C,BugList!P:P), "*SC*"))&gt;0</f>
        <v>0</v>
      </c>
    </row>
    <row r="920" spans="1:16">
      <c r="A920" t="s">
        <v>2823</v>
      </c>
      <c r="B920">
        <v>290</v>
      </c>
      <c r="C920" s="34" t="s">
        <v>198</v>
      </c>
      <c r="D920" s="34" t="s">
        <v>163</v>
      </c>
      <c r="E920" s="83">
        <v>3</v>
      </c>
      <c r="F920" s="43">
        <f t="shared" si="205"/>
        <v>2.2058823529411766</v>
      </c>
      <c r="G920" s="44">
        <f t="shared" si="199"/>
        <v>2</v>
      </c>
      <c r="H920" s="44">
        <f t="shared" si="200"/>
        <v>0.20588235294117663</v>
      </c>
      <c r="I920" cm="1">
        <f t="array" ref="I920">INT(F920)+IF(100-SUM(INT(F$908:F$925))&gt;=RANK(H920,H$908:H$925)+COUNTIF(H$908:H920,H920)-1,1,0)</f>
        <v>2</v>
      </c>
      <c r="J920" t="b">
        <f t="shared" si="201"/>
        <v>1</v>
      </c>
      <c r="K920" t="str">
        <f t="shared" si="202"/>
        <v>Trichoptera</v>
      </c>
      <c r="L920">
        <f>_xlfn.XLOOKUP(D920,BugList!C:C,BugList!N:N)</f>
        <v>6</v>
      </c>
      <c r="M920">
        <f t="shared" si="203"/>
        <v>12</v>
      </c>
      <c r="N920" t="b">
        <f>_xlfn.XLOOKUP(D920,BugList!C:C,BugList!L:L)</f>
        <v>1</v>
      </c>
      <c r="O920" t="b">
        <f t="shared" si="204"/>
        <v>1</v>
      </c>
      <c r="P920" s="18" t="b">
        <f>SUMPRODUCT(COUNTIF(_xlfn.XLOOKUP(D920,BugList!C:C,BugList!P:P), "*SC*"))&gt;0</f>
        <v>0</v>
      </c>
    </row>
    <row r="921" spans="1:16">
      <c r="A921" t="s">
        <v>2823</v>
      </c>
      <c r="B921">
        <v>290</v>
      </c>
      <c r="C921" s="34" t="s">
        <v>204</v>
      </c>
      <c r="D921" s="34" t="s">
        <v>84</v>
      </c>
      <c r="E921" s="83">
        <v>1</v>
      </c>
      <c r="F921" s="43">
        <f t="shared" si="205"/>
        <v>0.73529411764705876</v>
      </c>
      <c r="G921" s="44">
        <f t="shared" si="199"/>
        <v>0</v>
      </c>
      <c r="H921" s="44">
        <f t="shared" si="200"/>
        <v>0.73529411764705876</v>
      </c>
      <c r="I921" cm="1">
        <f t="array" ref="I921">INT(F921)+IF(100-SUM(INT(F$908:F$925))&gt;=RANK(H921,H$908:H$925)+COUNTIF(H$908:H921,H921)-1,1,0)</f>
        <v>1</v>
      </c>
      <c r="J921" t="b">
        <f t="shared" si="201"/>
        <v>0</v>
      </c>
      <c r="K921" t="str">
        <f t="shared" si="202"/>
        <v/>
      </c>
      <c r="L921">
        <f>_xlfn.XLOOKUP(D921,BugList!C:C,BugList!N:N)</f>
        <v>8</v>
      </c>
      <c r="M921">
        <f t="shared" si="203"/>
        <v>8</v>
      </c>
      <c r="N921" t="b">
        <f>_xlfn.XLOOKUP(D921,BugList!C:C,BugList!L:L)</f>
        <v>0</v>
      </c>
      <c r="O921" t="b">
        <f t="shared" si="204"/>
        <v>0</v>
      </c>
      <c r="P921" s="18" t="b">
        <f>SUMPRODUCT(COUNTIF(_xlfn.XLOOKUP(D921,BugList!C:C,BugList!P:P), "*SC*"))&gt;0</f>
        <v>0</v>
      </c>
    </row>
    <row r="922" spans="1:16">
      <c r="A922" t="s">
        <v>2823</v>
      </c>
      <c r="B922">
        <v>290</v>
      </c>
      <c r="C922" s="34" t="s">
        <v>201</v>
      </c>
      <c r="D922" s="34" t="s">
        <v>85</v>
      </c>
      <c r="E922" s="83">
        <v>5</v>
      </c>
      <c r="F922" s="43">
        <f t="shared" si="205"/>
        <v>3.6764705882352944</v>
      </c>
      <c r="G922" s="44">
        <f t="shared" si="199"/>
        <v>3</v>
      </c>
      <c r="H922" s="44">
        <f t="shared" si="200"/>
        <v>0.67647058823529438</v>
      </c>
      <c r="I922" cm="1">
        <f t="array" ref="I922">INT(F922)+IF(100-SUM(INT(F$908:F$925))&gt;=RANK(H922,H$908:H$925)+COUNTIF(H$908:H922,H922)-1,1,0)</f>
        <v>4</v>
      </c>
      <c r="J922" t="b">
        <f t="shared" si="201"/>
        <v>0</v>
      </c>
      <c r="K922" t="str">
        <f t="shared" si="202"/>
        <v/>
      </c>
      <c r="L922">
        <f>_xlfn.XLOOKUP(D922,BugList!C:C,BugList!N:N)</f>
        <v>4</v>
      </c>
      <c r="M922">
        <f t="shared" si="203"/>
        <v>16</v>
      </c>
      <c r="N922" t="b">
        <f>_xlfn.XLOOKUP(D922,BugList!C:C,BugList!L:L)</f>
        <v>0</v>
      </c>
      <c r="O922" t="b">
        <f t="shared" si="204"/>
        <v>0</v>
      </c>
      <c r="P922" s="18" t="b">
        <f>SUMPRODUCT(COUNTIF(_xlfn.XLOOKUP(D922,BugList!C:C,BugList!P:P), "*SC*"))&gt;0</f>
        <v>0</v>
      </c>
    </row>
    <row r="923" spans="1:16">
      <c r="A923" t="s">
        <v>2823</v>
      </c>
      <c r="B923">
        <v>290</v>
      </c>
      <c r="C923" s="34" t="s">
        <v>210</v>
      </c>
      <c r="D923" s="34" t="s">
        <v>93</v>
      </c>
      <c r="E923" s="83">
        <v>3</v>
      </c>
      <c r="F923" s="43">
        <f t="shared" si="205"/>
        <v>2.2058823529411766</v>
      </c>
      <c r="G923" s="44">
        <f t="shared" si="199"/>
        <v>2</v>
      </c>
      <c r="H923" s="44">
        <f t="shared" si="200"/>
        <v>0.20588235294117663</v>
      </c>
      <c r="I923" cm="1">
        <f t="array" ref="I923">INT(F923)+IF(100-SUM(INT(F$908:F$925))&gt;=RANK(H923,H$908:H$925)+COUNTIF(H$908:H923,H923)-1,1,0)</f>
        <v>2</v>
      </c>
      <c r="J923" t="b">
        <f t="shared" si="201"/>
        <v>0</v>
      </c>
      <c r="K923" t="str">
        <f t="shared" si="202"/>
        <v/>
      </c>
      <c r="L923">
        <f>_xlfn.XLOOKUP(D923,BugList!C:C,BugList!N:N)</f>
        <v>8</v>
      </c>
      <c r="M923">
        <f t="shared" si="203"/>
        <v>16</v>
      </c>
      <c r="N923" t="b">
        <f>_xlfn.XLOOKUP(D923,BugList!C:C,BugList!L:L)</f>
        <v>0</v>
      </c>
      <c r="O923" t="b">
        <f t="shared" si="204"/>
        <v>0</v>
      </c>
      <c r="P923" s="18" t="b">
        <f>SUMPRODUCT(COUNTIF(_xlfn.XLOOKUP(D923,BugList!C:C,BugList!P:P), "*SC*"))&gt;0</f>
        <v>0</v>
      </c>
    </row>
    <row r="924" spans="1:16">
      <c r="A924" t="s">
        <v>2823</v>
      </c>
      <c r="B924">
        <v>290</v>
      </c>
      <c r="C924" s="34" t="s">
        <v>205</v>
      </c>
      <c r="D924" s="34" t="s">
        <v>206</v>
      </c>
      <c r="E924" s="83">
        <v>1</v>
      </c>
      <c r="F924" s="43">
        <f t="shared" ref="F924:F925" si="206">(E924/(SUMIFS(E:E,A:A,A924))*100)</f>
        <v>0.73529411764705876</v>
      </c>
      <c r="G924" s="44">
        <f t="shared" si="199"/>
        <v>0</v>
      </c>
      <c r="H924" s="44">
        <f t="shared" si="200"/>
        <v>0.73529411764705876</v>
      </c>
      <c r="I924" cm="1">
        <f t="array" ref="I924">INT(F924)+IF(100-SUM(INT(F$908:F$925))&gt;=RANK(H924,H$908:H$925)+COUNTIF(H$908:H924,H924)-1,1,0)</f>
        <v>1</v>
      </c>
      <c r="J924" t="b">
        <f t="shared" si="201"/>
        <v>0</v>
      </c>
      <c r="K924" t="str">
        <f t="shared" si="202"/>
        <v/>
      </c>
      <c r="L924" s="71">
        <v>8</v>
      </c>
      <c r="M924">
        <f t="shared" si="203"/>
        <v>8</v>
      </c>
      <c r="N924" s="71" t="b">
        <v>0</v>
      </c>
      <c r="O924" t="b">
        <f t="shared" si="204"/>
        <v>0</v>
      </c>
      <c r="P924" s="72" t="b">
        <v>0</v>
      </c>
    </row>
    <row r="925" spans="1:16">
      <c r="A925" t="s">
        <v>2823</v>
      </c>
      <c r="B925">
        <v>290</v>
      </c>
      <c r="C925" s="34" t="s">
        <v>94</v>
      </c>
      <c r="D925" s="34" t="s">
        <v>94</v>
      </c>
      <c r="E925" s="83">
        <v>6</v>
      </c>
      <c r="F925" s="43">
        <f t="shared" si="206"/>
        <v>4.4117647058823533</v>
      </c>
      <c r="G925" s="44">
        <f t="shared" si="199"/>
        <v>4</v>
      </c>
      <c r="H925" s="44">
        <f t="shared" si="200"/>
        <v>0.41176470588235325</v>
      </c>
      <c r="I925" cm="1">
        <f t="array" ref="I925">INT(F925)+IF(100-SUM(INT(F$908:F$925))&gt;=RANK(H925,H$908:H$925)+COUNTIF(H$908:H925,H925)-1,1,0)</f>
        <v>4</v>
      </c>
      <c r="J925" t="b">
        <f t="shared" si="201"/>
        <v>0</v>
      </c>
      <c r="K925" t="str">
        <f t="shared" si="202"/>
        <v/>
      </c>
      <c r="L925">
        <f>_xlfn.XLOOKUP(D925,BugList!C:C,BugList!N:N)</f>
        <v>8</v>
      </c>
      <c r="M925">
        <f t="shared" si="203"/>
        <v>32</v>
      </c>
      <c r="N925" t="b">
        <f>_xlfn.XLOOKUP(D925,BugList!C:C,BugList!L:L)</f>
        <v>0</v>
      </c>
      <c r="O925" t="b">
        <f t="shared" si="204"/>
        <v>0</v>
      </c>
      <c r="P925" s="18" t="b">
        <f>SUMPRODUCT(COUNTIF(_xlfn.XLOOKUP(D925,BugList!C:C,BugList!P:P), "*SC*"))&gt;0</f>
        <v>0</v>
      </c>
    </row>
    <row r="926" spans="1:16">
      <c r="A926" t="s">
        <v>2824</v>
      </c>
      <c r="B926">
        <v>340</v>
      </c>
      <c r="C926" s="34" t="s">
        <v>200</v>
      </c>
      <c r="D926" s="34" t="s">
        <v>98</v>
      </c>
      <c r="E926" s="83">
        <v>1</v>
      </c>
      <c r="F926" s="43"/>
      <c r="G926" s="44"/>
      <c r="H926" s="44"/>
      <c r="J926" t="b">
        <f t="shared" si="201"/>
        <v>0</v>
      </c>
      <c r="K926" t="str">
        <f t="shared" si="202"/>
        <v/>
      </c>
      <c r="L926">
        <f>_xlfn.XLOOKUP(D926,BugList!C:C,BugList!N:N)</f>
        <v>4</v>
      </c>
      <c r="N926" t="b">
        <f>_xlfn.XLOOKUP(D926,BugList!C:C,BugList!L:L)</f>
        <v>1</v>
      </c>
      <c r="O926" t="b">
        <f t="shared" si="204"/>
        <v>0</v>
      </c>
      <c r="P926" s="18" t="b">
        <f>SUMPRODUCT(COUNTIF(_xlfn.XLOOKUP(D926,BugList!C:C,BugList!P:P), "*SC*"))&gt;0</f>
        <v>1</v>
      </c>
    </row>
    <row r="927" spans="1:16">
      <c r="A927" t="s">
        <v>2824</v>
      </c>
      <c r="B927">
        <v>340</v>
      </c>
      <c r="C927" s="34" t="s">
        <v>200</v>
      </c>
      <c r="D927" s="34" t="s">
        <v>100</v>
      </c>
      <c r="E927" s="83">
        <v>9</v>
      </c>
      <c r="F927" s="43"/>
      <c r="G927" s="44"/>
      <c r="H927" s="44"/>
      <c r="J927" t="b">
        <f t="shared" si="201"/>
        <v>0</v>
      </c>
      <c r="K927" t="str">
        <f t="shared" si="202"/>
        <v/>
      </c>
      <c r="L927">
        <f>_xlfn.XLOOKUP(D927,BugList!C:C,BugList!N:N)</f>
        <v>4</v>
      </c>
      <c r="N927" t="b">
        <f>_xlfn.XLOOKUP(D927,BugList!C:C,BugList!L:L)</f>
        <v>1</v>
      </c>
      <c r="O927" t="b">
        <f t="shared" si="204"/>
        <v>0</v>
      </c>
      <c r="P927" s="18" t="b">
        <f>SUMPRODUCT(COUNTIF(_xlfn.XLOOKUP(D927,BugList!C:C,BugList!P:P), "*SC*"))&gt;0</f>
        <v>1</v>
      </c>
    </row>
    <row r="928" spans="1:16">
      <c r="A928" t="s">
        <v>2824</v>
      </c>
      <c r="B928">
        <v>340</v>
      </c>
      <c r="C928" s="34" t="s">
        <v>195</v>
      </c>
      <c r="D928" s="34" t="s">
        <v>97</v>
      </c>
      <c r="E928" s="83">
        <v>13</v>
      </c>
      <c r="F928" s="43"/>
      <c r="G928" s="44"/>
      <c r="H928" s="44"/>
      <c r="J928" t="b">
        <f t="shared" si="201"/>
        <v>0</v>
      </c>
      <c r="K928" t="str">
        <f t="shared" si="202"/>
        <v/>
      </c>
      <c r="L928">
        <f>_xlfn.XLOOKUP(D928,BugList!C:C,BugList!N:N)</f>
        <v>9</v>
      </c>
      <c r="N928" t="b">
        <f>_xlfn.XLOOKUP(D928,BugList!C:C,BugList!L:L)</f>
        <v>1</v>
      </c>
      <c r="O928" t="b">
        <f t="shared" si="204"/>
        <v>0</v>
      </c>
      <c r="P928" s="18" t="b">
        <f>SUMPRODUCT(COUNTIF(_xlfn.XLOOKUP(D928,BugList!C:C,BugList!P:P), "*SC*"))&gt;0</f>
        <v>0</v>
      </c>
    </row>
    <row r="929" spans="1:16">
      <c r="A929" t="s">
        <v>2824</v>
      </c>
      <c r="B929">
        <v>340</v>
      </c>
      <c r="C929" s="34" t="s">
        <v>198</v>
      </c>
      <c r="D929" s="34" t="s">
        <v>163</v>
      </c>
      <c r="E929" s="83">
        <v>1</v>
      </c>
      <c r="F929" s="43"/>
      <c r="G929" s="44"/>
      <c r="H929" s="44"/>
      <c r="J929" t="b">
        <f t="shared" si="201"/>
        <v>1</v>
      </c>
      <c r="K929" t="str">
        <f t="shared" si="202"/>
        <v>Trichoptera</v>
      </c>
      <c r="L929">
        <f>_xlfn.XLOOKUP(D929,BugList!C:C,BugList!N:N)</f>
        <v>6</v>
      </c>
      <c r="N929" t="b">
        <f>_xlfn.XLOOKUP(D929,BugList!C:C,BugList!L:L)</f>
        <v>1</v>
      </c>
      <c r="O929" t="b">
        <f t="shared" si="204"/>
        <v>1</v>
      </c>
      <c r="P929" s="18" t="b">
        <f>SUMPRODUCT(COUNTIF(_xlfn.XLOOKUP(D929,BugList!C:C,BugList!P:P), "*SC*"))&gt;0</f>
        <v>0</v>
      </c>
    </row>
    <row r="930" spans="1:16">
      <c r="A930" t="s">
        <v>2824</v>
      </c>
      <c r="B930">
        <v>340</v>
      </c>
      <c r="C930" s="34" t="s">
        <v>204</v>
      </c>
      <c r="D930" s="34" t="s">
        <v>84</v>
      </c>
      <c r="E930" s="83">
        <v>1</v>
      </c>
      <c r="F930" s="43"/>
      <c r="G930" s="44"/>
      <c r="H930" s="44"/>
      <c r="J930" t="b">
        <f t="shared" si="201"/>
        <v>0</v>
      </c>
      <c r="K930" t="str">
        <f t="shared" si="202"/>
        <v/>
      </c>
      <c r="L930">
        <f>_xlfn.XLOOKUP(D930,BugList!C:C,BugList!N:N)</f>
        <v>8</v>
      </c>
      <c r="N930" t="b">
        <f>_xlfn.XLOOKUP(D930,BugList!C:C,BugList!L:L)</f>
        <v>0</v>
      </c>
      <c r="O930" t="b">
        <f t="shared" si="204"/>
        <v>0</v>
      </c>
      <c r="P930" s="18" t="b">
        <f>SUMPRODUCT(COUNTIF(_xlfn.XLOOKUP(D930,BugList!C:C,BugList!P:P), "*SC*"))&gt;0</f>
        <v>0</v>
      </c>
    </row>
    <row r="931" spans="1:16">
      <c r="A931" t="s">
        <v>2824</v>
      </c>
      <c r="B931">
        <v>340</v>
      </c>
      <c r="C931" s="34" t="s">
        <v>201</v>
      </c>
      <c r="D931" s="34" t="s">
        <v>85</v>
      </c>
      <c r="E931" s="83">
        <v>20</v>
      </c>
      <c r="F931" s="43"/>
      <c r="G931" s="44"/>
      <c r="H931" s="44"/>
      <c r="J931" t="b">
        <f t="shared" si="201"/>
        <v>0</v>
      </c>
      <c r="K931" t="str">
        <f t="shared" si="202"/>
        <v/>
      </c>
      <c r="L931">
        <f>_xlfn.XLOOKUP(D931,BugList!C:C,BugList!N:N)</f>
        <v>4</v>
      </c>
      <c r="N931" t="b">
        <f>_xlfn.XLOOKUP(D931,BugList!C:C,BugList!L:L)</f>
        <v>0</v>
      </c>
      <c r="O931" t="b">
        <f t="shared" si="204"/>
        <v>0</v>
      </c>
      <c r="P931" s="18" t="b">
        <f>SUMPRODUCT(COUNTIF(_xlfn.XLOOKUP(D931,BugList!C:C,BugList!P:P), "*SC*"))&gt;0</f>
        <v>0</v>
      </c>
    </row>
    <row r="932" spans="1:16">
      <c r="A932" t="s">
        <v>2824</v>
      </c>
      <c r="B932">
        <v>340</v>
      </c>
      <c r="C932" s="34" t="s">
        <v>2315</v>
      </c>
      <c r="D932" s="34" t="s">
        <v>121</v>
      </c>
      <c r="E932" s="83">
        <v>4</v>
      </c>
      <c r="F932" s="43"/>
      <c r="G932" s="44"/>
      <c r="H932" s="44"/>
      <c r="J932" t="b">
        <f t="shared" si="201"/>
        <v>0</v>
      </c>
      <c r="K932" t="str">
        <f t="shared" si="202"/>
        <v/>
      </c>
      <c r="L932">
        <f>_xlfn.XLOOKUP(D932,BugList!C:C,BugList!N:N)</f>
        <v>6</v>
      </c>
      <c r="N932" t="b">
        <f>_xlfn.XLOOKUP(D932,BugList!C:C,BugList!L:L)</f>
        <v>0</v>
      </c>
      <c r="O932" t="b">
        <f t="shared" si="204"/>
        <v>0</v>
      </c>
      <c r="P932" s="18" t="b">
        <f>SUMPRODUCT(COUNTIF(_xlfn.XLOOKUP(D932,BugList!C:C,BugList!P:P), "*SC*"))&gt;0</f>
        <v>0</v>
      </c>
    </row>
    <row r="933" spans="1:16">
      <c r="A933" t="s">
        <v>2824</v>
      </c>
      <c r="B933">
        <v>340</v>
      </c>
      <c r="C933" s="34" t="s">
        <v>205</v>
      </c>
      <c r="D933" s="34" t="s">
        <v>206</v>
      </c>
      <c r="E933" s="83">
        <v>2</v>
      </c>
      <c r="F933" s="43"/>
      <c r="G933" s="44"/>
      <c r="H933" s="44"/>
      <c r="J933" t="b">
        <f t="shared" ref="J933:J996" si="207">IF(OR(C933="Ephemeroptera", C933 ="Plecoptera", C933= "Trichoptera"), TRUE, FALSE)</f>
        <v>0</v>
      </c>
      <c r="K933" t="str">
        <f t="shared" ref="K933:K996" si="208">IF(J933=TRUE,C933,"")</f>
        <v/>
      </c>
      <c r="L933" s="71">
        <v>8</v>
      </c>
      <c r="N933" s="71" t="b">
        <v>0</v>
      </c>
      <c r="O933" t="b">
        <f t="shared" ref="O933" si="209">IF(J933=TRUE,IF(D933="Hydropsychidae", FALSE, TRUE), FALSE)</f>
        <v>0</v>
      </c>
      <c r="P933" s="72" t="b">
        <v>0</v>
      </c>
    </row>
    <row r="934" spans="1:16">
      <c r="A934" t="s">
        <v>2825</v>
      </c>
      <c r="B934">
        <v>356</v>
      </c>
      <c r="C934" s="34" t="s">
        <v>200</v>
      </c>
      <c r="D934" s="34" t="s">
        <v>100</v>
      </c>
      <c r="E934" s="83">
        <v>8</v>
      </c>
      <c r="F934" s="43">
        <f t="shared" ref="F934:F965" si="210">(E934/(SUMIFS(E:E,A:A,A934))*100)</f>
        <v>7.6923076923076925</v>
      </c>
      <c r="G934" s="44">
        <f t="shared" ref="G934:G996" si="211">INT(F934)</f>
        <v>7</v>
      </c>
      <c r="H934" s="44">
        <f t="shared" ref="H934:H996" si="212">F934-G934</f>
        <v>0.69230769230769251</v>
      </c>
      <c r="I934" cm="1">
        <f t="array" ref="I934">INT(F934)+IF(100-SUM(INT(F$934:F$943))&gt;=RANK(H934,H$934:H$943)+COUNTIF(H$934:H934,H934)-1,1,0)</f>
        <v>8</v>
      </c>
      <c r="J934" t="b">
        <f t="shared" si="207"/>
        <v>0</v>
      </c>
      <c r="K934" t="str">
        <f t="shared" si="208"/>
        <v/>
      </c>
      <c r="L934">
        <f>_xlfn.XLOOKUP(D934,BugList!C:C,BugList!N:N)</f>
        <v>4</v>
      </c>
      <c r="M934">
        <f t="shared" ref="M934:M996" si="213">L934*I934</f>
        <v>32</v>
      </c>
      <c r="N934" t="b">
        <f>_xlfn.XLOOKUP(D934,BugList!C:C,BugList!L:L)</f>
        <v>1</v>
      </c>
      <c r="O934" t="b">
        <f t="shared" ref="O934:O996" si="214">IF(J934=TRUE,IF(D934="Hydropsychidae", FALSE, TRUE), FALSE)</f>
        <v>0</v>
      </c>
      <c r="P934" s="18" t="b">
        <f>SUMPRODUCT(COUNTIF(_xlfn.XLOOKUP(D934,BugList!C:C,BugList!P:P), "*SC*"))&gt;0</f>
        <v>1</v>
      </c>
    </row>
    <row r="935" spans="1:16">
      <c r="A935" t="s">
        <v>2825</v>
      </c>
      <c r="B935">
        <v>356</v>
      </c>
      <c r="C935" s="34" t="s">
        <v>194</v>
      </c>
      <c r="D935" s="34" t="s">
        <v>90</v>
      </c>
      <c r="E935" s="83">
        <v>76</v>
      </c>
      <c r="F935" s="43">
        <f t="shared" si="210"/>
        <v>73.076923076923066</v>
      </c>
      <c r="G935" s="44">
        <f t="shared" si="211"/>
        <v>73</v>
      </c>
      <c r="H935" s="44">
        <f t="shared" si="212"/>
        <v>7.6923076923065992E-2</v>
      </c>
      <c r="I935" cm="1">
        <f t="array" ref="I935">INT(F935)+IF(100-SUM(INT(F$934:F$943))&gt;=RANK(H935,H$934:H$943)+COUNTIF(H$934:H935,H935)-1,1,0)</f>
        <v>73</v>
      </c>
      <c r="J935" t="b">
        <f t="shared" si="207"/>
        <v>0</v>
      </c>
      <c r="K935" t="str">
        <f t="shared" si="208"/>
        <v/>
      </c>
      <c r="L935">
        <f>_xlfn.XLOOKUP(D935,BugList!C:C,BugList!N:N)</f>
        <v>6</v>
      </c>
      <c r="M935">
        <f t="shared" si="213"/>
        <v>438</v>
      </c>
      <c r="N935" t="b">
        <f>_xlfn.XLOOKUP(D935,BugList!C:C,BugList!L:L)</f>
        <v>1</v>
      </c>
      <c r="O935" t="b">
        <f t="shared" si="214"/>
        <v>0</v>
      </c>
      <c r="P935" s="18" t="b">
        <f>SUMPRODUCT(COUNTIF(_xlfn.XLOOKUP(D935,BugList!C:C,BugList!P:P), "*SC*"))&gt;0</f>
        <v>0</v>
      </c>
    </row>
    <row r="936" spans="1:16">
      <c r="A936" t="s">
        <v>2825</v>
      </c>
      <c r="B936">
        <v>356</v>
      </c>
      <c r="C936" s="34" t="s">
        <v>199</v>
      </c>
      <c r="D936" s="34" t="s">
        <v>111</v>
      </c>
      <c r="E936" s="83">
        <v>2</v>
      </c>
      <c r="F936" s="43">
        <f t="shared" si="210"/>
        <v>1.9230769230769231</v>
      </c>
      <c r="G936" s="44">
        <f t="shared" si="211"/>
        <v>1</v>
      </c>
      <c r="H936" s="44">
        <f t="shared" si="212"/>
        <v>0.92307692307692313</v>
      </c>
      <c r="I936" cm="1">
        <f t="array" ref="I936">INT(F936)+IF(100-SUM(INT(F$934:F$943))&gt;=RANK(H936,H$934:H$943)+COUNTIF(H$934:H936,H936)-1,1,0)</f>
        <v>2</v>
      </c>
      <c r="J936" t="b">
        <f t="shared" si="207"/>
        <v>1</v>
      </c>
      <c r="K936" t="str">
        <f t="shared" si="208"/>
        <v>Ephemeroptera</v>
      </c>
      <c r="L936">
        <f>_xlfn.XLOOKUP(D936,BugList!C:C,BugList!N:N)</f>
        <v>4</v>
      </c>
      <c r="M936">
        <f t="shared" si="213"/>
        <v>8</v>
      </c>
      <c r="N936" t="b">
        <f>_xlfn.XLOOKUP(D936,BugList!C:C,BugList!L:L)</f>
        <v>1</v>
      </c>
      <c r="O936" t="b">
        <f t="shared" si="214"/>
        <v>1</v>
      </c>
      <c r="P936" s="18" t="b">
        <f>SUMPRODUCT(COUNTIF(_xlfn.XLOOKUP(D936,BugList!C:C,BugList!P:P), "*SC*"))&gt;0</f>
        <v>0</v>
      </c>
    </row>
    <row r="937" spans="1:16">
      <c r="A937" t="s">
        <v>2825</v>
      </c>
      <c r="B937">
        <v>356</v>
      </c>
      <c r="C937" s="34" t="s">
        <v>195</v>
      </c>
      <c r="D937" s="34" t="s">
        <v>97</v>
      </c>
      <c r="E937" s="83">
        <v>3</v>
      </c>
      <c r="F937" s="43">
        <f t="shared" si="210"/>
        <v>2.8846153846153846</v>
      </c>
      <c r="G937" s="44">
        <f t="shared" si="211"/>
        <v>2</v>
      </c>
      <c r="H937" s="44">
        <f t="shared" si="212"/>
        <v>0.88461538461538458</v>
      </c>
      <c r="I937" cm="1">
        <f t="array" ref="I937">INT(F937)+IF(100-SUM(INT(F$934:F$943))&gt;=RANK(H937,H$934:H$943)+COUNTIF(H$934:H937,H937)-1,1,0)</f>
        <v>3</v>
      </c>
      <c r="J937" t="b">
        <f t="shared" si="207"/>
        <v>0</v>
      </c>
      <c r="K937" t="str">
        <f t="shared" si="208"/>
        <v/>
      </c>
      <c r="L937">
        <f>_xlfn.XLOOKUP(D937,BugList!C:C,BugList!N:N)</f>
        <v>9</v>
      </c>
      <c r="M937">
        <f t="shared" si="213"/>
        <v>27</v>
      </c>
      <c r="N937" t="b">
        <f>_xlfn.XLOOKUP(D937,BugList!C:C,BugList!L:L)</f>
        <v>1</v>
      </c>
      <c r="O937" t="b">
        <f t="shared" si="214"/>
        <v>0</v>
      </c>
      <c r="P937" s="18" t="b">
        <f>SUMPRODUCT(COUNTIF(_xlfn.XLOOKUP(D937,BugList!C:C,BugList!P:P), "*SC*"))&gt;0</f>
        <v>0</v>
      </c>
    </row>
    <row r="938" spans="1:16">
      <c r="A938" t="s">
        <v>2825</v>
      </c>
      <c r="B938">
        <v>356</v>
      </c>
      <c r="C938" s="34" t="s">
        <v>211</v>
      </c>
      <c r="D938" s="34" t="s">
        <v>87</v>
      </c>
      <c r="E938" s="83">
        <v>1</v>
      </c>
      <c r="F938" s="43">
        <f t="shared" si="210"/>
        <v>0.96153846153846156</v>
      </c>
      <c r="G938" s="44">
        <f t="shared" si="211"/>
        <v>0</v>
      </c>
      <c r="H938" s="44">
        <f t="shared" si="212"/>
        <v>0.96153846153846156</v>
      </c>
      <c r="I938" cm="1">
        <f t="array" ref="I938">INT(F938)+IF(100-SUM(INT(F$934:F$943))&gt;=RANK(H938,H$934:H$943)+COUNTIF(H$934:H938,H938)-1,1,0)</f>
        <v>1</v>
      </c>
      <c r="J938" t="b">
        <f t="shared" si="207"/>
        <v>0</v>
      </c>
      <c r="K938" t="str">
        <f t="shared" si="208"/>
        <v/>
      </c>
      <c r="L938">
        <f>_xlfn.XLOOKUP(D938,BugList!C:C,BugList!N:N)</f>
        <v>4</v>
      </c>
      <c r="M938">
        <f t="shared" si="213"/>
        <v>4</v>
      </c>
      <c r="N938" t="b">
        <f>_xlfn.XLOOKUP(D938,BugList!C:C,BugList!L:L)</f>
        <v>0</v>
      </c>
      <c r="O938" t="b">
        <f t="shared" si="214"/>
        <v>0</v>
      </c>
      <c r="P938" s="18" t="b">
        <f>SUMPRODUCT(COUNTIF(_xlfn.XLOOKUP(D938,BugList!C:C,BugList!P:P), "*SC*"))&gt;0</f>
        <v>0</v>
      </c>
    </row>
    <row r="939" spans="1:16">
      <c r="A939" t="s">
        <v>2825</v>
      </c>
      <c r="B939">
        <v>356</v>
      </c>
      <c r="C939" s="34" t="s">
        <v>204</v>
      </c>
      <c r="D939" s="34" t="s">
        <v>84</v>
      </c>
      <c r="E939" s="83">
        <v>1</v>
      </c>
      <c r="F939" s="43">
        <f t="shared" si="210"/>
        <v>0.96153846153846156</v>
      </c>
      <c r="G939" s="44">
        <f t="shared" si="211"/>
        <v>0</v>
      </c>
      <c r="H939" s="44">
        <f t="shared" si="212"/>
        <v>0.96153846153846156</v>
      </c>
      <c r="I939" cm="1">
        <f t="array" ref="I939">INT(F939)+IF(100-SUM(INT(F$934:F$943))&gt;=RANK(H939,H$934:H$943)+COUNTIF(H$934:H939,H939)-1,1,0)</f>
        <v>1</v>
      </c>
      <c r="J939" t="b">
        <f t="shared" si="207"/>
        <v>0</v>
      </c>
      <c r="K939" t="str">
        <f t="shared" si="208"/>
        <v/>
      </c>
      <c r="L939">
        <f>_xlfn.XLOOKUP(D939,BugList!C:C,BugList!N:N)</f>
        <v>8</v>
      </c>
      <c r="M939">
        <f t="shared" si="213"/>
        <v>8</v>
      </c>
      <c r="N939" t="b">
        <f>_xlfn.XLOOKUP(D939,BugList!C:C,BugList!L:L)</f>
        <v>0</v>
      </c>
      <c r="O939" t="b">
        <f t="shared" si="214"/>
        <v>0</v>
      </c>
      <c r="P939" s="18" t="b">
        <f>SUMPRODUCT(COUNTIF(_xlfn.XLOOKUP(D939,BugList!C:C,BugList!P:P), "*SC*"))&gt;0</f>
        <v>0</v>
      </c>
    </row>
    <row r="940" spans="1:16">
      <c r="A940" t="s">
        <v>2825</v>
      </c>
      <c r="B940">
        <v>356</v>
      </c>
      <c r="C940" s="34" t="s">
        <v>201</v>
      </c>
      <c r="D940" s="34" t="s">
        <v>85</v>
      </c>
      <c r="E940" s="83">
        <v>8</v>
      </c>
      <c r="F940" s="43">
        <f t="shared" si="210"/>
        <v>7.6923076923076925</v>
      </c>
      <c r="G940" s="44">
        <f t="shared" si="211"/>
        <v>7</v>
      </c>
      <c r="H940" s="44">
        <f t="shared" si="212"/>
        <v>0.69230769230769251</v>
      </c>
      <c r="I940" cm="1">
        <f t="array" ref="I940">INT(F940)+IF(100-SUM(INT(F$934:F$943))&gt;=RANK(H940,H$934:H$943)+COUNTIF(H$934:H940,H940)-1,1,0)</f>
        <v>7</v>
      </c>
      <c r="J940" t="b">
        <f t="shared" si="207"/>
        <v>0</v>
      </c>
      <c r="K940" t="str">
        <f t="shared" si="208"/>
        <v/>
      </c>
      <c r="L940">
        <f>_xlfn.XLOOKUP(D940,BugList!C:C,BugList!N:N)</f>
        <v>4</v>
      </c>
      <c r="M940">
        <f t="shared" si="213"/>
        <v>28</v>
      </c>
      <c r="N940" t="b">
        <f>_xlfn.XLOOKUP(D940,BugList!C:C,BugList!L:L)</f>
        <v>0</v>
      </c>
      <c r="O940" t="b">
        <f t="shared" si="214"/>
        <v>0</v>
      </c>
      <c r="P940" s="18" t="b">
        <f>SUMPRODUCT(COUNTIF(_xlfn.XLOOKUP(D940,BugList!C:C,BugList!P:P), "*SC*"))&gt;0</f>
        <v>0</v>
      </c>
    </row>
    <row r="941" spans="1:16">
      <c r="A941" t="s">
        <v>2825</v>
      </c>
      <c r="B941">
        <v>356</v>
      </c>
      <c r="C941" s="34" t="s">
        <v>2315</v>
      </c>
      <c r="D941" s="34" t="s">
        <v>102</v>
      </c>
      <c r="E941" s="83">
        <v>2</v>
      </c>
      <c r="F941" s="43">
        <f t="shared" si="210"/>
        <v>1.9230769230769231</v>
      </c>
      <c r="G941" s="44">
        <f t="shared" si="211"/>
        <v>1</v>
      </c>
      <c r="H941" s="44">
        <f t="shared" si="212"/>
        <v>0.92307692307692313</v>
      </c>
      <c r="I941" cm="1">
        <f t="array" ref="I941">INT(F941)+IF(100-SUM(INT(F$934:F$943))&gt;=RANK(H941,H$934:H$943)+COUNTIF(H$934:H941,H941)-1,1,0)</f>
        <v>2</v>
      </c>
      <c r="J941" t="b">
        <f t="shared" si="207"/>
        <v>0</v>
      </c>
      <c r="K941" t="str">
        <f t="shared" si="208"/>
        <v/>
      </c>
      <c r="L941">
        <f>_xlfn.XLOOKUP(D941,BugList!C:C,BugList!N:N)</f>
        <v>7</v>
      </c>
      <c r="M941">
        <f t="shared" si="213"/>
        <v>14</v>
      </c>
      <c r="N941" t="b">
        <f>_xlfn.XLOOKUP(D941,BugList!C:C,BugList!L:L)</f>
        <v>0</v>
      </c>
      <c r="O941" t="b">
        <f t="shared" si="214"/>
        <v>0</v>
      </c>
      <c r="P941" s="18" t="b">
        <f>SUMPRODUCT(COUNTIF(_xlfn.XLOOKUP(D941,BugList!C:C,BugList!P:P), "*SC*"))&gt;0</f>
        <v>1</v>
      </c>
    </row>
    <row r="942" spans="1:16">
      <c r="A942" t="s">
        <v>2825</v>
      </c>
      <c r="B942">
        <v>356</v>
      </c>
      <c r="C942" s="34" t="s">
        <v>2315</v>
      </c>
      <c r="D942" s="34" t="s">
        <v>121</v>
      </c>
      <c r="E942" s="83">
        <v>1</v>
      </c>
      <c r="F942" s="43">
        <f t="shared" si="210"/>
        <v>0.96153846153846156</v>
      </c>
      <c r="G942" s="44">
        <f t="shared" si="211"/>
        <v>0</v>
      </c>
      <c r="H942" s="44">
        <f t="shared" si="212"/>
        <v>0.96153846153846156</v>
      </c>
      <c r="I942" cm="1">
        <f t="array" ref="I942">INT(F942)+IF(100-SUM(INT(F$934:F$943))&gt;=RANK(H942,H$934:H$943)+COUNTIF(H$934:H942,H942)-1,1,0)</f>
        <v>1</v>
      </c>
      <c r="J942" t="b">
        <f t="shared" si="207"/>
        <v>0</v>
      </c>
      <c r="K942" t="str">
        <f t="shared" si="208"/>
        <v/>
      </c>
      <c r="L942">
        <f>_xlfn.XLOOKUP(D942,BugList!C:C,BugList!N:N)</f>
        <v>6</v>
      </c>
      <c r="M942">
        <f t="shared" si="213"/>
        <v>6</v>
      </c>
      <c r="N942" t="b">
        <f>_xlfn.XLOOKUP(D942,BugList!C:C,BugList!L:L)</f>
        <v>0</v>
      </c>
      <c r="O942" t="b">
        <f t="shared" si="214"/>
        <v>0</v>
      </c>
      <c r="P942" s="18" t="b">
        <f>SUMPRODUCT(COUNTIF(_xlfn.XLOOKUP(D942,BugList!C:C,BugList!P:P), "*SC*"))&gt;0</f>
        <v>0</v>
      </c>
    </row>
    <row r="943" spans="1:16">
      <c r="A943" t="s">
        <v>2825</v>
      </c>
      <c r="B943">
        <v>356</v>
      </c>
      <c r="C943" s="34" t="s">
        <v>205</v>
      </c>
      <c r="D943" s="34" t="s">
        <v>206</v>
      </c>
      <c r="E943" s="83">
        <v>2</v>
      </c>
      <c r="F943" s="43">
        <f t="shared" si="210"/>
        <v>1.9230769230769231</v>
      </c>
      <c r="G943" s="44">
        <f t="shared" si="211"/>
        <v>1</v>
      </c>
      <c r="H943" s="44">
        <f t="shared" si="212"/>
        <v>0.92307692307692313</v>
      </c>
      <c r="I943" cm="1">
        <f t="array" ref="I943">INT(F943)+IF(100-SUM(INT(F$934:F$943))&gt;=RANK(H943,H$934:H$943)+COUNTIF(H$934:H943,H943)-1,1,0)</f>
        <v>2</v>
      </c>
      <c r="J943" t="b">
        <f t="shared" si="207"/>
        <v>0</v>
      </c>
      <c r="K943" t="str">
        <f t="shared" si="208"/>
        <v/>
      </c>
      <c r="L943" s="71">
        <v>8</v>
      </c>
      <c r="M943">
        <f t="shared" si="213"/>
        <v>16</v>
      </c>
      <c r="N943" s="71" t="b">
        <v>0</v>
      </c>
      <c r="O943" t="b">
        <f t="shared" si="214"/>
        <v>0</v>
      </c>
      <c r="P943" s="72" t="b">
        <v>0</v>
      </c>
    </row>
    <row r="944" spans="1:16">
      <c r="A944" t="s">
        <v>2826</v>
      </c>
      <c r="B944">
        <v>383</v>
      </c>
      <c r="C944" s="34" t="s">
        <v>200</v>
      </c>
      <c r="D944" s="34" t="s">
        <v>98</v>
      </c>
      <c r="E944" s="83">
        <v>1</v>
      </c>
      <c r="F944" s="43">
        <f t="shared" si="210"/>
        <v>0.98039215686274506</v>
      </c>
      <c r="G944" s="44">
        <f t="shared" si="211"/>
        <v>0</v>
      </c>
      <c r="H944" s="44">
        <f t="shared" si="212"/>
        <v>0.98039215686274506</v>
      </c>
      <c r="I944" cm="1">
        <f t="array" ref="I944">INT(F944)+IF(100-SUM(INT(F$944:F$952))&gt;=RANK(H944,H$944:H$952)+COUNTIF(H$944:H944,H944)-1,1,0)</f>
        <v>1</v>
      </c>
      <c r="J944" t="b">
        <f t="shared" si="207"/>
        <v>0</v>
      </c>
      <c r="K944" t="str">
        <f t="shared" si="208"/>
        <v/>
      </c>
      <c r="L944">
        <f>_xlfn.XLOOKUP(D944,BugList!C:C,BugList!N:N)</f>
        <v>4</v>
      </c>
      <c r="M944">
        <f t="shared" si="213"/>
        <v>4</v>
      </c>
      <c r="N944" t="b">
        <f>_xlfn.XLOOKUP(D944,BugList!C:C,BugList!L:L)</f>
        <v>1</v>
      </c>
      <c r="O944" t="b">
        <f t="shared" si="214"/>
        <v>0</v>
      </c>
      <c r="P944" s="18" t="b">
        <f>SUMPRODUCT(COUNTIF(_xlfn.XLOOKUP(D944,BugList!C:C,BugList!P:P), "*SC*"))&gt;0</f>
        <v>1</v>
      </c>
    </row>
    <row r="945" spans="1:16">
      <c r="A945" t="s">
        <v>2826</v>
      </c>
      <c r="B945">
        <v>383</v>
      </c>
      <c r="C945" s="34" t="s">
        <v>200</v>
      </c>
      <c r="D945" s="34" t="s">
        <v>1536</v>
      </c>
      <c r="E945" s="83">
        <v>5</v>
      </c>
      <c r="F945" s="43">
        <f t="shared" si="210"/>
        <v>4.9019607843137258</v>
      </c>
      <c r="G945" s="44">
        <f t="shared" si="211"/>
        <v>4</v>
      </c>
      <c r="H945" s="44">
        <f t="shared" si="212"/>
        <v>0.90196078431372584</v>
      </c>
      <c r="I945" cm="1">
        <f t="array" ref="I945">INT(F945)+IF(100-SUM(INT(F$944:F$952))&gt;=RANK(H945,H$944:H$952)+COUNTIF(H$944:H945,H945)-1,1,0)</f>
        <v>5</v>
      </c>
      <c r="J945" t="b">
        <f t="shared" si="207"/>
        <v>0</v>
      </c>
      <c r="K945" t="str">
        <f t="shared" si="208"/>
        <v/>
      </c>
      <c r="L945">
        <f>_xlfn.XLOOKUP(D945,BugList!C:C,BugList!N:N)</f>
        <v>3</v>
      </c>
      <c r="M945">
        <f t="shared" si="213"/>
        <v>15</v>
      </c>
      <c r="N945" t="b">
        <f>_xlfn.XLOOKUP(D945,BugList!C:C,BugList!L:L)</f>
        <v>1</v>
      </c>
      <c r="O945" t="b">
        <f t="shared" si="214"/>
        <v>0</v>
      </c>
      <c r="P945" s="18" t="b">
        <f>SUMPRODUCT(COUNTIF(_xlfn.XLOOKUP(D945,BugList!C:C,BugList!P:P), "*SC*"))&gt;0</f>
        <v>0</v>
      </c>
    </row>
    <row r="946" spans="1:16">
      <c r="A946" t="s">
        <v>2826</v>
      </c>
      <c r="B946">
        <v>383</v>
      </c>
      <c r="C946" s="34" t="s">
        <v>200</v>
      </c>
      <c r="D946" s="34" t="s">
        <v>100</v>
      </c>
      <c r="E946" s="83">
        <v>12</v>
      </c>
      <c r="F946" s="43">
        <f t="shared" si="210"/>
        <v>11.76470588235294</v>
      </c>
      <c r="G946" s="44">
        <f t="shared" si="211"/>
        <v>11</v>
      </c>
      <c r="H946" s="44">
        <f t="shared" si="212"/>
        <v>0.76470588235294024</v>
      </c>
      <c r="I946" cm="1">
        <f t="array" ref="I946">INT(F946)+IF(100-SUM(INT(F$944:F$952))&gt;=RANK(H946,H$944:H$952)+COUNTIF(H$944:H946,H946)-1,1,0)</f>
        <v>12</v>
      </c>
      <c r="J946" t="b">
        <f t="shared" si="207"/>
        <v>0</v>
      </c>
      <c r="K946" t="str">
        <f t="shared" si="208"/>
        <v/>
      </c>
      <c r="L946">
        <f>_xlfn.XLOOKUP(D946,BugList!C:C,BugList!N:N)</f>
        <v>4</v>
      </c>
      <c r="M946">
        <f t="shared" si="213"/>
        <v>48</v>
      </c>
      <c r="N946" t="b">
        <f>_xlfn.XLOOKUP(D946,BugList!C:C,BugList!L:L)</f>
        <v>1</v>
      </c>
      <c r="O946" t="b">
        <f t="shared" si="214"/>
        <v>0</v>
      </c>
      <c r="P946" s="18" t="b">
        <f>SUMPRODUCT(COUNTIF(_xlfn.XLOOKUP(D946,BugList!C:C,BugList!P:P), "*SC*"))&gt;0</f>
        <v>1</v>
      </c>
    </row>
    <row r="947" spans="1:16">
      <c r="A947" t="s">
        <v>2826</v>
      </c>
      <c r="B947">
        <v>383</v>
      </c>
      <c r="C947" s="34" t="s">
        <v>195</v>
      </c>
      <c r="D947" s="34" t="s">
        <v>97</v>
      </c>
      <c r="E947" s="83">
        <v>4</v>
      </c>
      <c r="F947" s="43">
        <f t="shared" si="210"/>
        <v>3.9215686274509802</v>
      </c>
      <c r="G947" s="44">
        <f t="shared" si="211"/>
        <v>3</v>
      </c>
      <c r="H947" s="44">
        <f t="shared" si="212"/>
        <v>0.92156862745098023</v>
      </c>
      <c r="I947" cm="1">
        <f t="array" ref="I947">INT(F947)+IF(100-SUM(INT(F$944:F$952))&gt;=RANK(H947,H$944:H$952)+COUNTIF(H$944:H947,H947)-1,1,0)</f>
        <v>4</v>
      </c>
      <c r="J947" t="b">
        <f t="shared" si="207"/>
        <v>0</v>
      </c>
      <c r="K947" t="str">
        <f t="shared" si="208"/>
        <v/>
      </c>
      <c r="L947">
        <f>_xlfn.XLOOKUP(D947,BugList!C:C,BugList!N:N)</f>
        <v>9</v>
      </c>
      <c r="M947">
        <f t="shared" si="213"/>
        <v>36</v>
      </c>
      <c r="N947" t="b">
        <f>_xlfn.XLOOKUP(D947,BugList!C:C,BugList!L:L)</f>
        <v>1</v>
      </c>
      <c r="O947" t="b">
        <f t="shared" si="214"/>
        <v>0</v>
      </c>
      <c r="P947" s="18" t="b">
        <f>SUMPRODUCT(COUNTIF(_xlfn.XLOOKUP(D947,BugList!C:C,BugList!P:P), "*SC*"))&gt;0</f>
        <v>0</v>
      </c>
    </row>
    <row r="948" spans="1:16">
      <c r="A948" t="s">
        <v>2826</v>
      </c>
      <c r="B948">
        <v>383</v>
      </c>
      <c r="C948" s="34" t="s">
        <v>198</v>
      </c>
      <c r="D948" s="34" t="s">
        <v>89</v>
      </c>
      <c r="E948" s="83">
        <v>52</v>
      </c>
      <c r="F948" s="43">
        <f t="shared" si="210"/>
        <v>50.980392156862742</v>
      </c>
      <c r="G948" s="44">
        <f t="shared" si="211"/>
        <v>50</v>
      </c>
      <c r="H948" s="44">
        <f t="shared" si="212"/>
        <v>0.98039215686274161</v>
      </c>
      <c r="I948" cm="1">
        <f t="array" ref="I948">INT(F948)+IF(100-SUM(INT(F$944:F$952))&gt;=RANK(H948,H$944:H$952)+COUNTIF(H$944:H948,H948)-1,1,0)</f>
        <v>51</v>
      </c>
      <c r="J948" t="b">
        <f t="shared" si="207"/>
        <v>1</v>
      </c>
      <c r="K948" t="str">
        <f t="shared" si="208"/>
        <v>Trichoptera</v>
      </c>
      <c r="L948">
        <f>_xlfn.XLOOKUP(D948,BugList!C:C,BugList!N:N)</f>
        <v>4</v>
      </c>
      <c r="M948">
        <f t="shared" si="213"/>
        <v>204</v>
      </c>
      <c r="N948" t="b">
        <f>_xlfn.XLOOKUP(D948,BugList!C:C,BugList!L:L)</f>
        <v>1</v>
      </c>
      <c r="O948" t="b">
        <f t="shared" si="214"/>
        <v>0</v>
      </c>
      <c r="P948" s="18" t="b">
        <f>SUMPRODUCT(COUNTIF(_xlfn.XLOOKUP(D948,BugList!C:C,BugList!P:P), "*SC*"))&gt;0</f>
        <v>0</v>
      </c>
    </row>
    <row r="949" spans="1:16">
      <c r="A949" t="s">
        <v>2826</v>
      </c>
      <c r="B949">
        <v>383</v>
      </c>
      <c r="C949" s="34" t="s">
        <v>198</v>
      </c>
      <c r="D949" s="34" t="s">
        <v>1263</v>
      </c>
      <c r="E949" s="83">
        <v>2</v>
      </c>
      <c r="F949" s="43">
        <f t="shared" si="210"/>
        <v>1.9607843137254901</v>
      </c>
      <c r="G949" s="44">
        <f t="shared" si="211"/>
        <v>1</v>
      </c>
      <c r="H949" s="44">
        <f t="shared" si="212"/>
        <v>0.96078431372549011</v>
      </c>
      <c r="I949" cm="1">
        <f t="array" ref="I949">INT(F949)+IF(100-SUM(INT(F$944:F$952))&gt;=RANK(H949,H$944:H$952)+COUNTIF(H$944:H949,H949)-1,1,0)</f>
        <v>2</v>
      </c>
      <c r="J949" t="b">
        <f t="shared" si="207"/>
        <v>1</v>
      </c>
      <c r="K949" t="str">
        <f t="shared" si="208"/>
        <v>Trichoptera</v>
      </c>
      <c r="L949">
        <f>_xlfn.XLOOKUP(D949,BugList!C:C,BugList!N:N)</f>
        <v>4</v>
      </c>
      <c r="M949">
        <f t="shared" si="213"/>
        <v>8</v>
      </c>
      <c r="N949" t="b">
        <f>_xlfn.XLOOKUP(D949,BugList!C:C,BugList!L:L)</f>
        <v>1</v>
      </c>
      <c r="O949" t="b">
        <f t="shared" si="214"/>
        <v>1</v>
      </c>
      <c r="P949" s="18" t="b">
        <f>SUMPRODUCT(COUNTIF(_xlfn.XLOOKUP(D949,BugList!C:C,BugList!P:P), "*SC*"))&gt;0</f>
        <v>0</v>
      </c>
    </row>
    <row r="950" spans="1:16">
      <c r="A950" t="s">
        <v>2826</v>
      </c>
      <c r="B950">
        <v>383</v>
      </c>
      <c r="C950" s="34" t="s">
        <v>201</v>
      </c>
      <c r="D950" s="34" t="s">
        <v>85</v>
      </c>
      <c r="E950" s="83">
        <v>23</v>
      </c>
      <c r="F950" s="43">
        <f t="shared" si="210"/>
        <v>22.549019607843139</v>
      </c>
      <c r="G950" s="44">
        <f t="shared" si="211"/>
        <v>22</v>
      </c>
      <c r="H950" s="44">
        <f t="shared" si="212"/>
        <v>0.54901960784313886</v>
      </c>
      <c r="I950" cm="1">
        <f t="array" ref="I950">INT(F950)+IF(100-SUM(INT(F$944:F$952))&gt;=RANK(H950,H$944:H$952)+COUNTIF(H$944:H950,H950)-1,1,0)</f>
        <v>22</v>
      </c>
      <c r="J950" t="b">
        <f t="shared" si="207"/>
        <v>0</v>
      </c>
      <c r="K950" t="str">
        <f t="shared" si="208"/>
        <v/>
      </c>
      <c r="L950">
        <f>_xlfn.XLOOKUP(D950,BugList!C:C,BugList!N:N)</f>
        <v>4</v>
      </c>
      <c r="M950">
        <f t="shared" si="213"/>
        <v>88</v>
      </c>
      <c r="N950" t="b">
        <f>_xlfn.XLOOKUP(D950,BugList!C:C,BugList!L:L)</f>
        <v>0</v>
      </c>
      <c r="O950" t="b">
        <f t="shared" si="214"/>
        <v>0</v>
      </c>
      <c r="P950" s="18" t="b">
        <f>SUMPRODUCT(COUNTIF(_xlfn.XLOOKUP(D950,BugList!C:C,BugList!P:P), "*SC*"))&gt;0</f>
        <v>0</v>
      </c>
    </row>
    <row r="951" spans="1:16">
      <c r="A951" t="s">
        <v>2826</v>
      </c>
      <c r="B951">
        <v>383</v>
      </c>
      <c r="C951" s="34" t="s">
        <v>205</v>
      </c>
      <c r="D951" s="34" t="s">
        <v>206</v>
      </c>
      <c r="E951" s="83">
        <v>2</v>
      </c>
      <c r="F951" s="43">
        <f t="shared" si="210"/>
        <v>1.9607843137254901</v>
      </c>
      <c r="G951" s="44">
        <f t="shared" si="211"/>
        <v>1</v>
      </c>
      <c r="H951" s="44">
        <f t="shared" si="212"/>
        <v>0.96078431372549011</v>
      </c>
      <c r="I951" cm="1">
        <f t="array" ref="I951">INT(F951)+IF(100-SUM(INT(F$944:F$952))&gt;=RANK(H951,H$944:H$952)+COUNTIF(H$944:H951,H951)-1,1,0)</f>
        <v>2</v>
      </c>
      <c r="J951" t="b">
        <f t="shared" si="207"/>
        <v>0</v>
      </c>
      <c r="K951" t="str">
        <f t="shared" si="208"/>
        <v/>
      </c>
      <c r="L951" s="71">
        <v>8</v>
      </c>
      <c r="M951">
        <f t="shared" si="213"/>
        <v>16</v>
      </c>
      <c r="N951" s="71" t="b">
        <v>0</v>
      </c>
      <c r="O951" t="b">
        <f t="shared" si="214"/>
        <v>0</v>
      </c>
      <c r="P951" s="72" t="b">
        <v>0</v>
      </c>
    </row>
    <row r="952" spans="1:16">
      <c r="A952" t="s">
        <v>2826</v>
      </c>
      <c r="B952">
        <v>383</v>
      </c>
      <c r="C952" s="34" t="s">
        <v>94</v>
      </c>
      <c r="D952" s="34" t="s">
        <v>94</v>
      </c>
      <c r="E952" s="83">
        <v>1</v>
      </c>
      <c r="F952" s="43">
        <f t="shared" si="210"/>
        <v>0.98039215686274506</v>
      </c>
      <c r="G952" s="44">
        <f t="shared" si="211"/>
        <v>0</v>
      </c>
      <c r="H952" s="44">
        <f t="shared" si="212"/>
        <v>0.98039215686274506</v>
      </c>
      <c r="I952" cm="1">
        <f t="array" ref="I952">INT(F952)+IF(100-SUM(INT(F$944:F$952))&gt;=RANK(H952,H$944:H$952)+COUNTIF(H$944:H952,H952)-1,1,0)</f>
        <v>1</v>
      </c>
      <c r="J952" t="b">
        <f t="shared" si="207"/>
        <v>0</v>
      </c>
      <c r="K952" t="str">
        <f t="shared" si="208"/>
        <v/>
      </c>
      <c r="L952">
        <f>_xlfn.XLOOKUP(D952,BugList!C:C,BugList!N:N)</f>
        <v>8</v>
      </c>
      <c r="M952">
        <f t="shared" si="213"/>
        <v>8</v>
      </c>
      <c r="N952" t="b">
        <f>_xlfn.XLOOKUP(D952,BugList!C:C,BugList!L:L)</f>
        <v>0</v>
      </c>
      <c r="O952" t="b">
        <f t="shared" si="214"/>
        <v>0</v>
      </c>
      <c r="P952" s="18" t="b">
        <f>SUMPRODUCT(COUNTIF(_xlfn.XLOOKUP(D952,BugList!C:C,BugList!P:P), "*SC*"))&gt;0</f>
        <v>0</v>
      </c>
    </row>
    <row r="953" spans="1:16">
      <c r="A953" t="s">
        <v>2827</v>
      </c>
      <c r="B953">
        <v>426</v>
      </c>
      <c r="C953" s="34" t="s">
        <v>200</v>
      </c>
      <c r="D953" s="34" t="s">
        <v>98</v>
      </c>
      <c r="E953" s="83">
        <v>1</v>
      </c>
      <c r="F953" s="43">
        <f t="shared" si="210"/>
        <v>0.96153846153846156</v>
      </c>
      <c r="G953" s="44">
        <f t="shared" si="211"/>
        <v>0</v>
      </c>
      <c r="H953" s="44">
        <f t="shared" si="212"/>
        <v>0.96153846153846156</v>
      </c>
      <c r="I953" cm="1">
        <f t="array" ref="I953">INT(F953)+IF(100-SUM(INT(F$953:F$968))&gt;=RANK(H953,H$953:H$968)+COUNTIF(H$953:H953,H953)-1,1,0)</f>
        <v>1</v>
      </c>
      <c r="J953" t="b">
        <f t="shared" si="207"/>
        <v>0</v>
      </c>
      <c r="K953" t="str">
        <f t="shared" si="208"/>
        <v/>
      </c>
      <c r="L953">
        <f>_xlfn.XLOOKUP(D953,BugList!C:C,BugList!N:N)</f>
        <v>4</v>
      </c>
      <c r="M953">
        <f t="shared" si="213"/>
        <v>4</v>
      </c>
      <c r="N953" t="b">
        <f>_xlfn.XLOOKUP(D953,BugList!C:C,BugList!L:L)</f>
        <v>1</v>
      </c>
      <c r="O953" t="b">
        <f t="shared" si="214"/>
        <v>0</v>
      </c>
      <c r="P953" s="18" t="b">
        <f>SUMPRODUCT(COUNTIF(_xlfn.XLOOKUP(D953,BugList!C:C,BugList!P:P), "*SC*"))&gt;0</f>
        <v>1</v>
      </c>
    </row>
    <row r="954" spans="1:16">
      <c r="A954" t="s">
        <v>2827</v>
      </c>
      <c r="B954">
        <v>426</v>
      </c>
      <c r="C954" s="34" t="s">
        <v>200</v>
      </c>
      <c r="D954" s="34" t="s">
        <v>99</v>
      </c>
      <c r="E954" s="83">
        <v>1</v>
      </c>
      <c r="F954" s="43">
        <f t="shared" si="210"/>
        <v>0.96153846153846156</v>
      </c>
      <c r="G954" s="44">
        <f t="shared" si="211"/>
        <v>0</v>
      </c>
      <c r="H954" s="44">
        <f t="shared" si="212"/>
        <v>0.96153846153846156</v>
      </c>
      <c r="I954" cm="1">
        <f t="array" ref="I954">INT(F954)+IF(100-SUM(INT(F$953:F$968))&gt;=RANK(H954,H$953:H$968)+COUNTIF(H$953:H954,H954)-1,1,0)</f>
        <v>1</v>
      </c>
      <c r="J954" t="b">
        <f t="shared" si="207"/>
        <v>0</v>
      </c>
      <c r="K954" t="str">
        <f t="shared" si="208"/>
        <v/>
      </c>
      <c r="L954">
        <f>_xlfn.XLOOKUP(D954,BugList!C:C,BugList!N:N)</f>
        <v>5</v>
      </c>
      <c r="M954">
        <f t="shared" si="213"/>
        <v>5</v>
      </c>
      <c r="N954" t="b">
        <f>_xlfn.XLOOKUP(D954,BugList!C:C,BugList!L:L)</f>
        <v>1</v>
      </c>
      <c r="O954" t="b">
        <f t="shared" si="214"/>
        <v>0</v>
      </c>
      <c r="P954" s="18" t="b">
        <f>SUMPRODUCT(COUNTIF(_xlfn.XLOOKUP(D954,BugList!C:C,BugList!P:P), "*SC*"))&gt;0</f>
        <v>0</v>
      </c>
    </row>
    <row r="955" spans="1:16">
      <c r="A955" t="s">
        <v>2827</v>
      </c>
      <c r="B955">
        <v>426</v>
      </c>
      <c r="C955" s="34" t="s">
        <v>194</v>
      </c>
      <c r="D955" s="34" t="s">
        <v>126</v>
      </c>
      <c r="E955" s="83">
        <v>24</v>
      </c>
      <c r="F955" s="43">
        <f t="shared" si="210"/>
        <v>23.076923076923077</v>
      </c>
      <c r="G955" s="44">
        <f t="shared" si="211"/>
        <v>23</v>
      </c>
      <c r="H955" s="44">
        <f t="shared" si="212"/>
        <v>7.692307692307665E-2</v>
      </c>
      <c r="I955" cm="1">
        <f t="array" ref="I955">INT(F955)+IF(100-SUM(INT(F$953:F$968))&gt;=RANK(H955,H$953:H$968)+COUNTIF(H$953:H955,H955)-1,1,0)</f>
        <v>23</v>
      </c>
      <c r="J955" t="b">
        <f t="shared" si="207"/>
        <v>0</v>
      </c>
      <c r="K955" t="str">
        <f t="shared" si="208"/>
        <v/>
      </c>
      <c r="L955">
        <f>_xlfn.XLOOKUP(D955,BugList!C:C,BugList!N:N)</f>
        <v>8</v>
      </c>
      <c r="M955">
        <f t="shared" si="213"/>
        <v>184</v>
      </c>
      <c r="N955" t="b">
        <f>_xlfn.XLOOKUP(D955,BugList!C:C,BugList!L:L)</f>
        <v>1</v>
      </c>
      <c r="O955" t="b">
        <f t="shared" si="214"/>
        <v>0</v>
      </c>
      <c r="P955" s="18" t="b">
        <f>SUMPRODUCT(COUNTIF(_xlfn.XLOOKUP(D955,BugList!C:C,BugList!P:P), "*SC*"))&gt;0</f>
        <v>0</v>
      </c>
    </row>
    <row r="956" spans="1:16">
      <c r="A956" t="s">
        <v>2827</v>
      </c>
      <c r="B956">
        <v>426</v>
      </c>
      <c r="C956" s="34" t="s">
        <v>194</v>
      </c>
      <c r="D956" s="34" t="s">
        <v>90</v>
      </c>
      <c r="E956" s="83">
        <v>16</v>
      </c>
      <c r="F956" s="43">
        <f t="shared" si="210"/>
        <v>15.384615384615385</v>
      </c>
      <c r="G956" s="44">
        <f t="shared" si="211"/>
        <v>15</v>
      </c>
      <c r="H956" s="44">
        <f t="shared" si="212"/>
        <v>0.38461538461538503</v>
      </c>
      <c r="I956" cm="1">
        <f t="array" ref="I956">INT(F956)+IF(100-SUM(INT(F$953:F$968))&gt;=RANK(H956,H$953:H$968)+COUNTIF(H$953:H956,H956)-1,1,0)</f>
        <v>15</v>
      </c>
      <c r="J956" t="b">
        <f t="shared" si="207"/>
        <v>0</v>
      </c>
      <c r="K956" t="str">
        <f t="shared" si="208"/>
        <v/>
      </c>
      <c r="L956">
        <f>_xlfn.XLOOKUP(D956,BugList!C:C,BugList!N:N)</f>
        <v>6</v>
      </c>
      <c r="M956">
        <f t="shared" si="213"/>
        <v>90</v>
      </c>
      <c r="N956" t="b">
        <f>_xlfn.XLOOKUP(D956,BugList!C:C,BugList!L:L)</f>
        <v>1</v>
      </c>
      <c r="O956" t="b">
        <f t="shared" si="214"/>
        <v>0</v>
      </c>
      <c r="P956" s="18" t="b">
        <f>SUMPRODUCT(COUNTIF(_xlfn.XLOOKUP(D956,BugList!C:C,BugList!P:P), "*SC*"))&gt;0</f>
        <v>0</v>
      </c>
    </row>
    <row r="957" spans="1:16">
      <c r="A957" t="s">
        <v>2827</v>
      </c>
      <c r="B957">
        <v>426</v>
      </c>
      <c r="C957" s="34" t="s">
        <v>194</v>
      </c>
      <c r="D957" s="34" t="s">
        <v>101</v>
      </c>
      <c r="E957" s="83">
        <v>3</v>
      </c>
      <c r="F957" s="43">
        <f t="shared" si="210"/>
        <v>2.8846153846153846</v>
      </c>
      <c r="G957" s="44">
        <f t="shared" si="211"/>
        <v>2</v>
      </c>
      <c r="H957" s="44">
        <f t="shared" si="212"/>
        <v>0.88461538461538458</v>
      </c>
      <c r="I957" cm="1">
        <f t="array" ref="I957">INT(F957)+IF(100-SUM(INT(F$953:F$968))&gt;=RANK(H957,H$953:H$968)+COUNTIF(H$953:H957,H957)-1,1,0)</f>
        <v>3</v>
      </c>
      <c r="J957" t="b">
        <f t="shared" si="207"/>
        <v>0</v>
      </c>
      <c r="K957" t="str">
        <f t="shared" si="208"/>
        <v/>
      </c>
      <c r="L957">
        <f>_xlfn.XLOOKUP(D957,BugList!C:C,BugList!N:N)</f>
        <v>6</v>
      </c>
      <c r="M957">
        <f t="shared" si="213"/>
        <v>18</v>
      </c>
      <c r="N957" t="b">
        <f>_xlfn.XLOOKUP(D957,BugList!C:C,BugList!L:L)</f>
        <v>1</v>
      </c>
      <c r="O957" t="b">
        <f t="shared" si="214"/>
        <v>0</v>
      </c>
      <c r="P957" s="18" t="b">
        <f>SUMPRODUCT(COUNTIF(_xlfn.XLOOKUP(D957,BugList!C:C,BugList!P:P), "*SC*"))&gt;0</f>
        <v>0</v>
      </c>
    </row>
    <row r="958" spans="1:16">
      <c r="A958" t="s">
        <v>2827</v>
      </c>
      <c r="B958">
        <v>426</v>
      </c>
      <c r="C958" s="34" t="s">
        <v>194</v>
      </c>
      <c r="D958" s="34" t="s">
        <v>108</v>
      </c>
      <c r="E958" s="83">
        <v>7</v>
      </c>
      <c r="F958" s="43">
        <f t="shared" si="210"/>
        <v>6.7307692307692308</v>
      </c>
      <c r="G958" s="44">
        <f t="shared" si="211"/>
        <v>6</v>
      </c>
      <c r="H958" s="44">
        <f t="shared" si="212"/>
        <v>0.73076923076923084</v>
      </c>
      <c r="I958" cm="1">
        <f t="array" ref="I958">INT(F958)+IF(100-SUM(INT(F$953:F$968))&gt;=RANK(H958,H$953:H$968)+COUNTIF(H$953:H958,H958)-1,1,0)</f>
        <v>7</v>
      </c>
      <c r="J958" t="b">
        <f t="shared" si="207"/>
        <v>0</v>
      </c>
      <c r="K958" t="str">
        <f t="shared" si="208"/>
        <v/>
      </c>
      <c r="L958">
        <f>_xlfn.XLOOKUP(D958,BugList!C:C,BugList!N:N)</f>
        <v>3</v>
      </c>
      <c r="M958">
        <f t="shared" si="213"/>
        <v>21</v>
      </c>
      <c r="N958" t="b">
        <f>_xlfn.XLOOKUP(D958,BugList!C:C,BugList!L:L)</f>
        <v>1</v>
      </c>
      <c r="O958" t="b">
        <f t="shared" si="214"/>
        <v>0</v>
      </c>
      <c r="P958" s="18" t="b">
        <f>SUMPRODUCT(COUNTIF(_xlfn.XLOOKUP(D958,BugList!C:C,BugList!P:P), "*SC*"))&gt;0</f>
        <v>0</v>
      </c>
    </row>
    <row r="959" spans="1:16">
      <c r="A959" t="s">
        <v>2827</v>
      </c>
      <c r="B959">
        <v>426</v>
      </c>
      <c r="C959" s="34" t="s">
        <v>199</v>
      </c>
      <c r="D959" s="34" t="s">
        <v>96</v>
      </c>
      <c r="E959" s="83">
        <v>7</v>
      </c>
      <c r="F959" s="43">
        <f t="shared" si="210"/>
        <v>6.7307692307692308</v>
      </c>
      <c r="G959" s="44">
        <f t="shared" si="211"/>
        <v>6</v>
      </c>
      <c r="H959" s="44">
        <f t="shared" si="212"/>
        <v>0.73076923076923084</v>
      </c>
      <c r="I959" cm="1">
        <f t="array" ref="I959">INT(F959)+IF(100-SUM(INT(F$953:F$968))&gt;=RANK(H959,H$953:H$968)+COUNTIF(H$953:H959,H959)-1,1,0)</f>
        <v>7</v>
      </c>
      <c r="J959" t="b">
        <f t="shared" si="207"/>
        <v>1</v>
      </c>
      <c r="K959" t="str">
        <f t="shared" si="208"/>
        <v>Ephemeroptera</v>
      </c>
      <c r="L959">
        <f>_xlfn.XLOOKUP(D959,BugList!C:C,BugList!N:N)</f>
        <v>4</v>
      </c>
      <c r="M959">
        <f t="shared" si="213"/>
        <v>28</v>
      </c>
      <c r="N959" t="b">
        <f>_xlfn.XLOOKUP(D959,BugList!C:C,BugList!L:L)</f>
        <v>1</v>
      </c>
      <c r="O959" t="b">
        <f t="shared" si="214"/>
        <v>1</v>
      </c>
      <c r="P959" s="18" t="b">
        <f>SUMPRODUCT(COUNTIF(_xlfn.XLOOKUP(D959,BugList!C:C,BugList!P:P), "*SC*"))&gt;0</f>
        <v>1</v>
      </c>
    </row>
    <row r="960" spans="1:16">
      <c r="A960" t="s">
        <v>2827</v>
      </c>
      <c r="B960">
        <v>426</v>
      </c>
      <c r="C960" s="34" t="s">
        <v>195</v>
      </c>
      <c r="D960" s="34" t="s">
        <v>97</v>
      </c>
      <c r="E960" s="83">
        <v>5</v>
      </c>
      <c r="F960" s="43">
        <f t="shared" si="210"/>
        <v>4.8076923076923084</v>
      </c>
      <c r="G960" s="44">
        <f t="shared" si="211"/>
        <v>4</v>
      </c>
      <c r="H960" s="44">
        <f t="shared" si="212"/>
        <v>0.80769230769230838</v>
      </c>
      <c r="I960" cm="1">
        <f t="array" ref="I960">INT(F960)+IF(100-SUM(INT(F$953:F$968))&gt;=RANK(H960,H$953:H$968)+COUNTIF(H$953:H960,H960)-1,1,0)</f>
        <v>5</v>
      </c>
      <c r="J960" t="b">
        <f t="shared" si="207"/>
        <v>0</v>
      </c>
      <c r="K960" t="str">
        <f t="shared" si="208"/>
        <v/>
      </c>
      <c r="L960">
        <f>_xlfn.XLOOKUP(D960,BugList!C:C,BugList!N:N)</f>
        <v>9</v>
      </c>
      <c r="M960">
        <f t="shared" si="213"/>
        <v>45</v>
      </c>
      <c r="N960" t="b">
        <f>_xlfn.XLOOKUP(D960,BugList!C:C,BugList!L:L)</f>
        <v>1</v>
      </c>
      <c r="O960" t="b">
        <f t="shared" si="214"/>
        <v>0</v>
      </c>
      <c r="P960" s="18" t="b">
        <f>SUMPRODUCT(COUNTIF(_xlfn.XLOOKUP(D960,BugList!C:C,BugList!P:P), "*SC*"))&gt;0</f>
        <v>0</v>
      </c>
    </row>
    <row r="961" spans="1:16">
      <c r="A961" t="s">
        <v>2827</v>
      </c>
      <c r="B961">
        <v>426</v>
      </c>
      <c r="C961" s="34" t="s">
        <v>197</v>
      </c>
      <c r="D961" s="34" t="s">
        <v>104</v>
      </c>
      <c r="E961" s="83">
        <v>1</v>
      </c>
      <c r="F961" s="43">
        <f t="shared" si="210"/>
        <v>0.96153846153846156</v>
      </c>
      <c r="G961" s="44">
        <f t="shared" si="211"/>
        <v>0</v>
      </c>
      <c r="H961" s="44">
        <f t="shared" si="212"/>
        <v>0.96153846153846156</v>
      </c>
      <c r="I961" cm="1">
        <f t="array" ref="I961">INT(F961)+IF(100-SUM(INT(F$953:F$968))&gt;=RANK(H961,H$953:H$968)+COUNTIF(H$953:H961,H961)-1,1,0)</f>
        <v>1</v>
      </c>
      <c r="J961" t="b">
        <f t="shared" si="207"/>
        <v>1</v>
      </c>
      <c r="K961" t="str">
        <f t="shared" si="208"/>
        <v>Plecoptera</v>
      </c>
      <c r="L961">
        <f>_xlfn.XLOOKUP(D961,BugList!C:C,BugList!N:N)</f>
        <v>2</v>
      </c>
      <c r="M961">
        <f t="shared" si="213"/>
        <v>2</v>
      </c>
      <c r="N961" t="b">
        <f>_xlfn.XLOOKUP(D961,BugList!C:C,BugList!L:L)</f>
        <v>1</v>
      </c>
      <c r="O961" t="b">
        <f t="shared" si="214"/>
        <v>1</v>
      </c>
      <c r="P961" s="18" t="b">
        <f>SUMPRODUCT(COUNTIF(_xlfn.XLOOKUP(D961,BugList!C:C,BugList!P:P), "*SC*"))&gt;0</f>
        <v>0</v>
      </c>
    </row>
    <row r="962" spans="1:16">
      <c r="A962" t="s">
        <v>2827</v>
      </c>
      <c r="B962">
        <v>426</v>
      </c>
      <c r="C962" s="34" t="s">
        <v>197</v>
      </c>
      <c r="D962" s="34" t="s">
        <v>2838</v>
      </c>
      <c r="E962" s="83">
        <v>1</v>
      </c>
      <c r="F962" s="43">
        <f t="shared" si="210"/>
        <v>0.96153846153846156</v>
      </c>
      <c r="G962" s="44">
        <f t="shared" si="211"/>
        <v>0</v>
      </c>
      <c r="H962" s="44">
        <f t="shared" si="212"/>
        <v>0.96153846153846156</v>
      </c>
      <c r="I962" cm="1">
        <f t="array" ref="I962">INT(F962)+IF(100-SUM(INT(F$953:F$968))&gt;=RANK(H962,H$953:H$968)+COUNTIF(H$953:H962,H962)-1,1,0)</f>
        <v>1</v>
      </c>
      <c r="J962" t="b">
        <f t="shared" si="207"/>
        <v>1</v>
      </c>
      <c r="K962" t="str">
        <f t="shared" si="208"/>
        <v>Plecoptera</v>
      </c>
      <c r="L962">
        <f>_xlfn.XLOOKUP(D962,BugList!C:C,BugList!N:N)</f>
        <v>2</v>
      </c>
      <c r="M962">
        <f t="shared" si="213"/>
        <v>2</v>
      </c>
      <c r="N962" t="b">
        <f>_xlfn.XLOOKUP(D962,BugList!C:C,BugList!L:L)</f>
        <v>1</v>
      </c>
      <c r="O962" t="b">
        <f t="shared" si="214"/>
        <v>1</v>
      </c>
      <c r="P962" s="18" t="b">
        <f>SUMPRODUCT(COUNTIF(_xlfn.XLOOKUP(D962,BugList!C:C,BugList!P:P), "*SC*"))&gt;0</f>
        <v>0</v>
      </c>
    </row>
    <row r="963" spans="1:16">
      <c r="A963" t="s">
        <v>2827</v>
      </c>
      <c r="B963">
        <v>426</v>
      </c>
      <c r="C963" s="34" t="s">
        <v>198</v>
      </c>
      <c r="D963" s="34" t="s">
        <v>107</v>
      </c>
      <c r="E963" s="83">
        <v>2</v>
      </c>
      <c r="F963" s="43">
        <f t="shared" si="210"/>
        <v>1.9230769230769231</v>
      </c>
      <c r="G963" s="44">
        <f t="shared" si="211"/>
        <v>1</v>
      </c>
      <c r="H963" s="44">
        <f t="shared" si="212"/>
        <v>0.92307692307692313</v>
      </c>
      <c r="I963" cm="1">
        <f t="array" ref="I963">INT(F963)+IF(100-SUM(INT(F$953:F$968))&gt;=RANK(H963,H$953:H$968)+COUNTIF(H$953:H963,H963)-1,1,0)</f>
        <v>2</v>
      </c>
      <c r="J963" t="b">
        <f t="shared" si="207"/>
        <v>1</v>
      </c>
      <c r="K963" t="str">
        <f t="shared" si="208"/>
        <v>Trichoptera</v>
      </c>
      <c r="L963">
        <f>_xlfn.XLOOKUP(D963,BugList!C:C,BugList!N:N)</f>
        <v>3</v>
      </c>
      <c r="M963">
        <f t="shared" si="213"/>
        <v>6</v>
      </c>
      <c r="N963" t="b">
        <f>_xlfn.XLOOKUP(D963,BugList!C:C,BugList!L:L)</f>
        <v>1</v>
      </c>
      <c r="O963" t="b">
        <f t="shared" si="214"/>
        <v>1</v>
      </c>
      <c r="P963" s="18" t="b">
        <f>SUMPRODUCT(COUNTIF(_xlfn.XLOOKUP(D963,BugList!C:C,BugList!P:P), "*SC*"))&gt;0</f>
        <v>0</v>
      </c>
    </row>
    <row r="964" spans="1:16">
      <c r="A964" t="s">
        <v>2827</v>
      </c>
      <c r="B964">
        <v>426</v>
      </c>
      <c r="C964" s="34" t="s">
        <v>201</v>
      </c>
      <c r="D964" s="34" t="s">
        <v>2839</v>
      </c>
      <c r="E964" s="83">
        <v>1</v>
      </c>
      <c r="F964" s="43">
        <f t="shared" si="210"/>
        <v>0.96153846153846156</v>
      </c>
      <c r="G964" s="44">
        <f t="shared" si="211"/>
        <v>0</v>
      </c>
      <c r="H964" s="44">
        <f t="shared" si="212"/>
        <v>0.96153846153846156</v>
      </c>
      <c r="I964" cm="1">
        <f t="array" ref="I964">INT(F964)+IF(100-SUM(INT(F$953:F$968))&gt;=RANK(H964,H$953:H$968)+COUNTIF(H$953:H964,H964)-1,1,0)</f>
        <v>1</v>
      </c>
      <c r="J964" t="b">
        <f t="shared" si="207"/>
        <v>0</v>
      </c>
      <c r="K964" t="str">
        <f t="shared" si="208"/>
        <v/>
      </c>
      <c r="L964">
        <f>_xlfn.XLOOKUP(D964,BugList!C:C,BugList!N:N)</f>
        <v>6</v>
      </c>
      <c r="M964">
        <f t="shared" si="213"/>
        <v>6</v>
      </c>
      <c r="N964" t="b">
        <f>_xlfn.XLOOKUP(D964,BugList!C:C,BugList!L:L)</f>
        <v>0</v>
      </c>
      <c r="O964" t="b">
        <f t="shared" si="214"/>
        <v>0</v>
      </c>
      <c r="P964" s="18" t="b">
        <f>SUMPRODUCT(COUNTIF(_xlfn.XLOOKUP(D964,BugList!C:C,BugList!P:P), "*SC*"))&gt;0</f>
        <v>0</v>
      </c>
    </row>
    <row r="965" spans="1:16">
      <c r="A965" t="s">
        <v>2827</v>
      </c>
      <c r="B965">
        <v>426</v>
      </c>
      <c r="C965" s="34" t="s">
        <v>201</v>
      </c>
      <c r="D965" s="34" t="s">
        <v>85</v>
      </c>
      <c r="E965" s="83">
        <v>19</v>
      </c>
      <c r="F965" s="43">
        <f t="shared" si="210"/>
        <v>18.269230769230766</v>
      </c>
      <c r="G965" s="44">
        <f t="shared" si="211"/>
        <v>18</v>
      </c>
      <c r="H965" s="44">
        <f t="shared" si="212"/>
        <v>0.2692307692307665</v>
      </c>
      <c r="I965" cm="1">
        <f t="array" ref="I965">INT(F965)+IF(100-SUM(INT(F$953:F$968))&gt;=RANK(H965,H$953:H$968)+COUNTIF(H$953:H965,H965)-1,1,0)</f>
        <v>18</v>
      </c>
      <c r="J965" t="b">
        <f t="shared" si="207"/>
        <v>0</v>
      </c>
      <c r="K965" t="str">
        <f t="shared" si="208"/>
        <v/>
      </c>
      <c r="L965">
        <f>_xlfn.XLOOKUP(D965,BugList!C:C,BugList!N:N)</f>
        <v>4</v>
      </c>
      <c r="M965">
        <f t="shared" si="213"/>
        <v>72</v>
      </c>
      <c r="N965" t="b">
        <f>_xlfn.XLOOKUP(D965,BugList!C:C,BugList!L:L)</f>
        <v>0</v>
      </c>
      <c r="O965" t="b">
        <f t="shared" si="214"/>
        <v>0</v>
      </c>
      <c r="P965" s="18" t="b">
        <f>SUMPRODUCT(COUNTIF(_xlfn.XLOOKUP(D965,BugList!C:C,BugList!P:P), "*SC*"))&gt;0</f>
        <v>0</v>
      </c>
    </row>
    <row r="966" spans="1:16">
      <c r="A966" t="s">
        <v>2827</v>
      </c>
      <c r="B966">
        <v>426</v>
      </c>
      <c r="C966" s="34" t="s">
        <v>2315</v>
      </c>
      <c r="D966" s="34" t="s">
        <v>102</v>
      </c>
      <c r="E966" s="83">
        <v>4</v>
      </c>
      <c r="F966" s="43">
        <f t="shared" ref="F966:F997" si="215">(E966/(SUMIFS(E:E,A:A,A966))*100)</f>
        <v>3.8461538461538463</v>
      </c>
      <c r="G966" s="44">
        <f t="shared" si="211"/>
        <v>3</v>
      </c>
      <c r="H966" s="44">
        <f t="shared" si="212"/>
        <v>0.84615384615384626</v>
      </c>
      <c r="I966" cm="1">
        <f t="array" ref="I966">INT(F966)+IF(100-SUM(INT(F$953:F$968))&gt;=RANK(H966,H$953:H$968)+COUNTIF(H$953:H966,H966)-1,1,0)</f>
        <v>4</v>
      </c>
      <c r="J966" t="b">
        <f t="shared" si="207"/>
        <v>0</v>
      </c>
      <c r="K966" t="str">
        <f t="shared" si="208"/>
        <v/>
      </c>
      <c r="L966">
        <f>_xlfn.XLOOKUP(D966,BugList!C:C,BugList!N:N)</f>
        <v>7</v>
      </c>
      <c r="M966">
        <f t="shared" si="213"/>
        <v>28</v>
      </c>
      <c r="N966" t="b">
        <f>_xlfn.XLOOKUP(D966,BugList!C:C,BugList!L:L)</f>
        <v>0</v>
      </c>
      <c r="O966" t="b">
        <f t="shared" si="214"/>
        <v>0</v>
      </c>
      <c r="P966" s="18" t="b">
        <f>SUMPRODUCT(COUNTIF(_xlfn.XLOOKUP(D966,BugList!C:C,BugList!P:P), "*SC*"))&gt;0</f>
        <v>1</v>
      </c>
    </row>
    <row r="967" spans="1:16">
      <c r="A967" t="s">
        <v>2827</v>
      </c>
      <c r="B967">
        <v>426</v>
      </c>
      <c r="C967" s="34" t="s">
        <v>2315</v>
      </c>
      <c r="D967" s="34" t="s">
        <v>121</v>
      </c>
      <c r="E967" s="83">
        <v>2</v>
      </c>
      <c r="F967" s="43">
        <f t="shared" si="215"/>
        <v>1.9230769230769231</v>
      </c>
      <c r="G967" s="44">
        <f t="shared" si="211"/>
        <v>1</v>
      </c>
      <c r="H967" s="44">
        <f t="shared" si="212"/>
        <v>0.92307692307692313</v>
      </c>
      <c r="I967" cm="1">
        <f t="array" ref="I967">INT(F967)+IF(100-SUM(INT(F$953:F$968))&gt;=RANK(H967,H$953:H$968)+COUNTIF(H$953:H967,H967)-1,1,0)</f>
        <v>2</v>
      </c>
      <c r="J967" t="b">
        <f t="shared" si="207"/>
        <v>0</v>
      </c>
      <c r="K967" t="str">
        <f t="shared" si="208"/>
        <v/>
      </c>
      <c r="L967">
        <f>_xlfn.XLOOKUP(D967,BugList!C:C,BugList!N:N)</f>
        <v>6</v>
      </c>
      <c r="M967">
        <f t="shared" si="213"/>
        <v>12</v>
      </c>
      <c r="N967" t="b">
        <f>_xlfn.XLOOKUP(D967,BugList!C:C,BugList!L:L)</f>
        <v>0</v>
      </c>
      <c r="O967" t="b">
        <f t="shared" si="214"/>
        <v>0</v>
      </c>
      <c r="P967" s="18" t="b">
        <f>SUMPRODUCT(COUNTIF(_xlfn.XLOOKUP(D967,BugList!C:C,BugList!P:P), "*SC*"))&gt;0</f>
        <v>0</v>
      </c>
    </row>
    <row r="968" spans="1:16">
      <c r="A968" t="s">
        <v>2827</v>
      </c>
      <c r="B968">
        <v>426</v>
      </c>
      <c r="C968" s="34" t="s">
        <v>94</v>
      </c>
      <c r="D968" s="34" t="s">
        <v>94</v>
      </c>
      <c r="E968" s="83">
        <v>10</v>
      </c>
      <c r="F968" s="43">
        <f t="shared" si="215"/>
        <v>9.6153846153846168</v>
      </c>
      <c r="G968" s="44">
        <f t="shared" si="211"/>
        <v>9</v>
      </c>
      <c r="H968" s="44">
        <f t="shared" si="212"/>
        <v>0.61538461538461675</v>
      </c>
      <c r="I968" cm="1">
        <f t="array" ref="I968">INT(F968)+IF(100-SUM(INT(F$953:F$968))&gt;=RANK(H968,H$953:H$968)+COUNTIF(H$953:H968,H968)-1,1,0)</f>
        <v>9</v>
      </c>
      <c r="J968" t="b">
        <f t="shared" si="207"/>
        <v>0</v>
      </c>
      <c r="K968" t="str">
        <f t="shared" si="208"/>
        <v/>
      </c>
      <c r="L968">
        <f>_xlfn.XLOOKUP(D968,BugList!C:C,BugList!N:N)</f>
        <v>8</v>
      </c>
      <c r="M968">
        <f t="shared" si="213"/>
        <v>72</v>
      </c>
      <c r="N968" t="b">
        <f>_xlfn.XLOOKUP(D968,BugList!C:C,BugList!L:L)</f>
        <v>0</v>
      </c>
      <c r="O968" t="b">
        <f t="shared" si="214"/>
        <v>0</v>
      </c>
      <c r="P968" s="18" t="b">
        <f>SUMPRODUCT(COUNTIF(_xlfn.XLOOKUP(D968,BugList!C:C,BugList!P:P), "*SC*"))&gt;0</f>
        <v>0</v>
      </c>
    </row>
    <row r="969" spans="1:16">
      <c r="A969" t="s">
        <v>2828</v>
      </c>
      <c r="B969">
        <v>443</v>
      </c>
      <c r="C969" s="34" t="s">
        <v>200</v>
      </c>
      <c r="D969" s="34" t="s">
        <v>98</v>
      </c>
      <c r="E969" s="83">
        <v>6</v>
      </c>
      <c r="F969" s="43">
        <f t="shared" si="215"/>
        <v>4.918032786885246</v>
      </c>
      <c r="G969" s="44">
        <f t="shared" si="211"/>
        <v>4</v>
      </c>
      <c r="H969" s="44">
        <f t="shared" si="212"/>
        <v>0.91803278688524603</v>
      </c>
      <c r="I969" cm="1">
        <f t="array" ref="I969">INT(F969)+IF(100-SUM(INT(F$969:F$984))&gt;=RANK(H969,H$969:H$984)+COUNTIF(H$969:H969,H969)-1,1,0)</f>
        <v>5</v>
      </c>
      <c r="J969" t="b">
        <f t="shared" si="207"/>
        <v>0</v>
      </c>
      <c r="K969" t="str">
        <f t="shared" si="208"/>
        <v/>
      </c>
      <c r="L969">
        <f>_xlfn.XLOOKUP(D969,BugList!C:C,BugList!N:N)</f>
        <v>4</v>
      </c>
      <c r="M969">
        <f t="shared" si="213"/>
        <v>20</v>
      </c>
      <c r="N969" t="b">
        <f>_xlfn.XLOOKUP(D969,BugList!C:C,BugList!L:L)</f>
        <v>1</v>
      </c>
      <c r="O969" t="b">
        <f t="shared" si="214"/>
        <v>0</v>
      </c>
      <c r="P969" s="18" t="b">
        <f>SUMPRODUCT(COUNTIF(_xlfn.XLOOKUP(D969,BugList!C:C,BugList!P:P), "*SC*"))&gt;0</f>
        <v>1</v>
      </c>
    </row>
    <row r="970" spans="1:16">
      <c r="A970" t="s">
        <v>2828</v>
      </c>
      <c r="B970">
        <v>443</v>
      </c>
      <c r="C970" s="34" t="s">
        <v>200</v>
      </c>
      <c r="D970" s="34" t="s">
        <v>99</v>
      </c>
      <c r="E970" s="83">
        <v>10</v>
      </c>
      <c r="F970" s="43">
        <f t="shared" si="215"/>
        <v>8.1967213114754092</v>
      </c>
      <c r="G970" s="44">
        <f t="shared" si="211"/>
        <v>8</v>
      </c>
      <c r="H970" s="44">
        <f t="shared" si="212"/>
        <v>0.19672131147540917</v>
      </c>
      <c r="I970" cm="1">
        <f t="array" ref="I970">INT(F970)+IF(100-SUM(INT(F$969:F$984))&gt;=RANK(H970,H$969:H$984)+COUNTIF(H$969:H970,H970)-1,1,0)</f>
        <v>8</v>
      </c>
      <c r="J970" t="b">
        <f t="shared" si="207"/>
        <v>0</v>
      </c>
      <c r="K970" t="str">
        <f t="shared" si="208"/>
        <v/>
      </c>
      <c r="L970">
        <f>_xlfn.XLOOKUP(D970,BugList!C:C,BugList!N:N)</f>
        <v>5</v>
      </c>
      <c r="M970">
        <f t="shared" si="213"/>
        <v>40</v>
      </c>
      <c r="N970" t="b">
        <f>_xlfn.XLOOKUP(D970,BugList!C:C,BugList!L:L)</f>
        <v>1</v>
      </c>
      <c r="O970" t="b">
        <f t="shared" si="214"/>
        <v>0</v>
      </c>
      <c r="P970" s="18" t="b">
        <f>SUMPRODUCT(COUNTIF(_xlfn.XLOOKUP(D970,BugList!C:C,BugList!P:P), "*SC*"))&gt;0</f>
        <v>0</v>
      </c>
    </row>
    <row r="971" spans="1:16">
      <c r="A971" t="s">
        <v>2828</v>
      </c>
      <c r="B971">
        <v>443</v>
      </c>
      <c r="C971" s="34" t="s">
        <v>200</v>
      </c>
      <c r="D971" s="34" t="s">
        <v>100</v>
      </c>
      <c r="E971" s="83">
        <v>20</v>
      </c>
      <c r="F971" s="43">
        <f t="shared" si="215"/>
        <v>16.393442622950818</v>
      </c>
      <c r="G971" s="44">
        <f t="shared" si="211"/>
        <v>16</v>
      </c>
      <c r="H971" s="44">
        <f t="shared" si="212"/>
        <v>0.39344262295081833</v>
      </c>
      <c r="I971" cm="1">
        <f t="array" ref="I971">INT(F971)+IF(100-SUM(INT(F$969:F$984))&gt;=RANK(H971,H$969:H$984)+COUNTIF(H$969:H971,H971)-1,1,0)</f>
        <v>16</v>
      </c>
      <c r="J971" t="b">
        <f t="shared" si="207"/>
        <v>0</v>
      </c>
      <c r="K971" t="str">
        <f t="shared" si="208"/>
        <v/>
      </c>
      <c r="L971">
        <f>_xlfn.XLOOKUP(D971,BugList!C:C,BugList!N:N)</f>
        <v>4</v>
      </c>
      <c r="M971">
        <f t="shared" si="213"/>
        <v>64</v>
      </c>
      <c r="N971" t="b">
        <f>_xlfn.XLOOKUP(D971,BugList!C:C,BugList!L:L)</f>
        <v>1</v>
      </c>
      <c r="O971" t="b">
        <f t="shared" si="214"/>
        <v>0</v>
      </c>
      <c r="P971" s="18" t="b">
        <f>SUMPRODUCT(COUNTIF(_xlfn.XLOOKUP(D971,BugList!C:C,BugList!P:P), "*SC*"))&gt;0</f>
        <v>1</v>
      </c>
    </row>
    <row r="972" spans="1:16">
      <c r="A972" t="s">
        <v>2828</v>
      </c>
      <c r="B972">
        <v>443</v>
      </c>
      <c r="C972" s="34" t="s">
        <v>194</v>
      </c>
      <c r="D972" s="34" t="s">
        <v>124</v>
      </c>
      <c r="E972" s="83">
        <v>1</v>
      </c>
      <c r="F972" s="43">
        <f t="shared" si="215"/>
        <v>0.81967213114754101</v>
      </c>
      <c r="G972" s="44">
        <f t="shared" si="211"/>
        <v>0</v>
      </c>
      <c r="H972" s="44">
        <f t="shared" si="212"/>
        <v>0.81967213114754101</v>
      </c>
      <c r="I972" cm="1">
        <f t="array" ref="I972">INT(F972)+IF(100-SUM(INT(F$969:F$984))&gt;=RANK(H972,H$969:H$984)+COUNTIF(H$969:H972,H972)-1,1,0)</f>
        <v>1</v>
      </c>
      <c r="J972" t="b">
        <f t="shared" si="207"/>
        <v>0</v>
      </c>
      <c r="K972" t="str">
        <f t="shared" si="208"/>
        <v/>
      </c>
      <c r="L972">
        <f>_xlfn.XLOOKUP(D972,BugList!C:C,BugList!N:N)</f>
        <v>6</v>
      </c>
      <c r="M972">
        <f t="shared" si="213"/>
        <v>6</v>
      </c>
      <c r="N972" t="b">
        <f>_xlfn.XLOOKUP(D972,BugList!C:C,BugList!L:L)</f>
        <v>1</v>
      </c>
      <c r="O972" t="b">
        <f t="shared" si="214"/>
        <v>0</v>
      </c>
      <c r="P972" s="18" t="b">
        <f>SUMPRODUCT(COUNTIF(_xlfn.XLOOKUP(D972,BugList!C:C,BugList!P:P), "*SC*"))&gt;0</f>
        <v>0</v>
      </c>
    </row>
    <row r="973" spans="1:16">
      <c r="A973" t="s">
        <v>2828</v>
      </c>
      <c r="B973">
        <v>443</v>
      </c>
      <c r="C973" s="34" t="s">
        <v>194</v>
      </c>
      <c r="D973" s="34" t="s">
        <v>108</v>
      </c>
      <c r="E973" s="83">
        <v>1</v>
      </c>
      <c r="F973" s="43">
        <f t="shared" si="215"/>
        <v>0.81967213114754101</v>
      </c>
      <c r="G973" s="44">
        <f t="shared" si="211"/>
        <v>0</v>
      </c>
      <c r="H973" s="44">
        <f t="shared" si="212"/>
        <v>0.81967213114754101</v>
      </c>
      <c r="I973" cm="1">
        <f t="array" ref="I973">INT(F973)+IF(100-SUM(INT(F$969:F$984))&gt;=RANK(H973,H$969:H$984)+COUNTIF(H$969:H973,H973)-1,1,0)</f>
        <v>1</v>
      </c>
      <c r="J973" t="b">
        <f t="shared" si="207"/>
        <v>0</v>
      </c>
      <c r="K973" t="str">
        <f t="shared" si="208"/>
        <v/>
      </c>
      <c r="L973">
        <f>_xlfn.XLOOKUP(D973,BugList!C:C,BugList!N:N)</f>
        <v>3</v>
      </c>
      <c r="M973">
        <f t="shared" si="213"/>
        <v>3</v>
      </c>
      <c r="N973" t="b">
        <f>_xlfn.XLOOKUP(D973,BugList!C:C,BugList!L:L)</f>
        <v>1</v>
      </c>
      <c r="O973" t="b">
        <f t="shared" si="214"/>
        <v>0</v>
      </c>
      <c r="P973" s="18" t="b">
        <f>SUMPRODUCT(COUNTIF(_xlfn.XLOOKUP(D973,BugList!C:C,BugList!P:P), "*SC*"))&gt;0</f>
        <v>0</v>
      </c>
    </row>
    <row r="974" spans="1:16">
      <c r="A974" t="s">
        <v>2828</v>
      </c>
      <c r="B974">
        <v>443</v>
      </c>
      <c r="C974" s="34" t="s">
        <v>199</v>
      </c>
      <c r="D974" s="34" t="s">
        <v>111</v>
      </c>
      <c r="E974" s="83">
        <v>1</v>
      </c>
      <c r="F974" s="43">
        <f t="shared" si="215"/>
        <v>0.81967213114754101</v>
      </c>
      <c r="G974" s="44">
        <f t="shared" si="211"/>
        <v>0</v>
      </c>
      <c r="H974" s="44">
        <f t="shared" si="212"/>
        <v>0.81967213114754101</v>
      </c>
      <c r="I974" cm="1">
        <f t="array" ref="I974">INT(F974)+IF(100-SUM(INT(F$969:F$984))&gt;=RANK(H974,H$969:H$984)+COUNTIF(H$969:H974,H974)-1,1,0)</f>
        <v>1</v>
      </c>
      <c r="J974" t="b">
        <f t="shared" si="207"/>
        <v>1</v>
      </c>
      <c r="K974" t="str">
        <f t="shared" si="208"/>
        <v>Ephemeroptera</v>
      </c>
      <c r="L974">
        <f>_xlfn.XLOOKUP(D974,BugList!C:C,BugList!N:N)</f>
        <v>4</v>
      </c>
      <c r="M974">
        <f t="shared" si="213"/>
        <v>4</v>
      </c>
      <c r="N974" t="b">
        <f>_xlfn.XLOOKUP(D974,BugList!C:C,BugList!L:L)</f>
        <v>1</v>
      </c>
      <c r="O974" t="b">
        <f t="shared" si="214"/>
        <v>1</v>
      </c>
      <c r="P974" s="18" t="b">
        <f>SUMPRODUCT(COUNTIF(_xlfn.XLOOKUP(D974,BugList!C:C,BugList!P:P), "*SC*"))&gt;0</f>
        <v>0</v>
      </c>
    </row>
    <row r="975" spans="1:16">
      <c r="A975" t="s">
        <v>2828</v>
      </c>
      <c r="B975">
        <v>443</v>
      </c>
      <c r="C975" s="34" t="s">
        <v>211</v>
      </c>
      <c r="D975" s="34" t="s">
        <v>87</v>
      </c>
      <c r="E975" s="83">
        <v>5</v>
      </c>
      <c r="F975" s="43">
        <f t="shared" si="215"/>
        <v>4.0983606557377046</v>
      </c>
      <c r="G975" s="44">
        <f t="shared" si="211"/>
        <v>4</v>
      </c>
      <c r="H975" s="44">
        <f t="shared" si="212"/>
        <v>9.8360655737704583E-2</v>
      </c>
      <c r="I975" cm="1">
        <f t="array" ref="I975">INT(F975)+IF(100-SUM(INT(F$969:F$984))&gt;=RANK(H975,H$969:H$984)+COUNTIF(H$969:H975,H975)-1,1,0)</f>
        <v>4</v>
      </c>
      <c r="J975" t="b">
        <f t="shared" si="207"/>
        <v>0</v>
      </c>
      <c r="K975" t="str">
        <f t="shared" si="208"/>
        <v/>
      </c>
      <c r="L975">
        <f>_xlfn.XLOOKUP(D975,BugList!C:C,BugList!N:N)</f>
        <v>4</v>
      </c>
      <c r="M975">
        <f t="shared" si="213"/>
        <v>16</v>
      </c>
      <c r="N975" t="b">
        <f>_xlfn.XLOOKUP(D975,BugList!C:C,BugList!L:L)</f>
        <v>0</v>
      </c>
      <c r="O975" t="b">
        <f t="shared" si="214"/>
        <v>0</v>
      </c>
      <c r="P975" s="18" t="b">
        <f>SUMPRODUCT(COUNTIF(_xlfn.XLOOKUP(D975,BugList!C:C,BugList!P:P), "*SC*"))&gt;0</f>
        <v>0</v>
      </c>
    </row>
    <row r="976" spans="1:16">
      <c r="A976" t="s">
        <v>2828</v>
      </c>
      <c r="B976">
        <v>443</v>
      </c>
      <c r="C976" s="34" t="s">
        <v>212</v>
      </c>
      <c r="D976" s="34" t="s">
        <v>1179</v>
      </c>
      <c r="E976" s="83">
        <v>1</v>
      </c>
      <c r="F976" s="43">
        <f t="shared" si="215"/>
        <v>0.81967213114754101</v>
      </c>
      <c r="G976" s="44">
        <f t="shared" si="211"/>
        <v>0</v>
      </c>
      <c r="H976" s="44">
        <f t="shared" si="212"/>
        <v>0.81967213114754101</v>
      </c>
      <c r="I976" cm="1">
        <f t="array" ref="I976">INT(F976)+IF(100-SUM(INT(F$969:F$984))&gt;=RANK(H976,H$969:H$984)+COUNTIF(H$969:H976,H976)-1,1,0)</f>
        <v>1</v>
      </c>
      <c r="J976" t="b">
        <f t="shared" si="207"/>
        <v>0</v>
      </c>
      <c r="K976" t="str">
        <f t="shared" si="208"/>
        <v/>
      </c>
      <c r="L976">
        <f>_xlfn.XLOOKUP(D976,BugList!C:C,BugList!N:N)</f>
        <v>8</v>
      </c>
      <c r="M976">
        <f t="shared" si="213"/>
        <v>8</v>
      </c>
      <c r="N976" t="b">
        <f>_xlfn.XLOOKUP(D976,BugList!C:C,BugList!L:L)</f>
        <v>1</v>
      </c>
      <c r="O976" t="b">
        <f t="shared" si="214"/>
        <v>0</v>
      </c>
      <c r="P976" s="18" t="b">
        <f>SUMPRODUCT(COUNTIF(_xlfn.XLOOKUP(D976,BugList!C:C,BugList!P:P), "*SC*"))&gt;0</f>
        <v>0</v>
      </c>
    </row>
    <row r="977" spans="1:16">
      <c r="A977" t="s">
        <v>2828</v>
      </c>
      <c r="B977">
        <v>443</v>
      </c>
      <c r="C977" s="34" t="s">
        <v>198</v>
      </c>
      <c r="D977" s="34" t="s">
        <v>89</v>
      </c>
      <c r="E977" s="83">
        <v>23</v>
      </c>
      <c r="F977" s="43">
        <f t="shared" si="215"/>
        <v>18.852459016393443</v>
      </c>
      <c r="G977" s="44">
        <f t="shared" si="211"/>
        <v>18</v>
      </c>
      <c r="H977" s="44">
        <f t="shared" si="212"/>
        <v>0.85245901639344268</v>
      </c>
      <c r="I977" cm="1">
        <f t="array" ref="I977">INT(F977)+IF(100-SUM(INT(F$969:F$984))&gt;=RANK(H977,H$969:H$984)+COUNTIF(H$969:H977,H977)-1,1,0)</f>
        <v>19</v>
      </c>
      <c r="J977" t="b">
        <f t="shared" si="207"/>
        <v>1</v>
      </c>
      <c r="K977" t="str">
        <f t="shared" si="208"/>
        <v>Trichoptera</v>
      </c>
      <c r="L977">
        <f>_xlfn.XLOOKUP(D977,BugList!C:C,BugList!N:N)</f>
        <v>4</v>
      </c>
      <c r="M977">
        <f t="shared" si="213"/>
        <v>76</v>
      </c>
      <c r="N977" t="b">
        <f>_xlfn.XLOOKUP(D977,BugList!C:C,BugList!L:L)</f>
        <v>1</v>
      </c>
      <c r="O977" t="b">
        <f t="shared" si="214"/>
        <v>0</v>
      </c>
      <c r="P977" s="18" t="b">
        <f>SUMPRODUCT(COUNTIF(_xlfn.XLOOKUP(D977,BugList!C:C,BugList!P:P), "*SC*"))&gt;0</f>
        <v>0</v>
      </c>
    </row>
    <row r="978" spans="1:16">
      <c r="A978" t="s">
        <v>2828</v>
      </c>
      <c r="B978">
        <v>443</v>
      </c>
      <c r="C978" s="34" t="s">
        <v>198</v>
      </c>
      <c r="D978" s="34" t="s">
        <v>107</v>
      </c>
      <c r="E978" s="83">
        <v>10</v>
      </c>
      <c r="F978" s="43">
        <f t="shared" si="215"/>
        <v>8.1967213114754092</v>
      </c>
      <c r="G978" s="44">
        <f t="shared" si="211"/>
        <v>8</v>
      </c>
      <c r="H978" s="44">
        <f t="shared" si="212"/>
        <v>0.19672131147540917</v>
      </c>
      <c r="I978" cm="1">
        <f t="array" ref="I978">INT(F978)+IF(100-SUM(INT(F$969:F$984))&gt;=RANK(H978,H$969:H$984)+COUNTIF(H$969:H978,H978)-1,1,0)</f>
        <v>8</v>
      </c>
      <c r="J978" t="b">
        <f t="shared" si="207"/>
        <v>1</v>
      </c>
      <c r="K978" t="str">
        <f t="shared" si="208"/>
        <v>Trichoptera</v>
      </c>
      <c r="L978">
        <f>_xlfn.XLOOKUP(D978,BugList!C:C,BugList!N:N)</f>
        <v>3</v>
      </c>
      <c r="M978">
        <f t="shared" si="213"/>
        <v>24</v>
      </c>
      <c r="N978" t="b">
        <f>_xlfn.XLOOKUP(D978,BugList!C:C,BugList!L:L)</f>
        <v>1</v>
      </c>
      <c r="O978" t="b">
        <f t="shared" si="214"/>
        <v>1</v>
      </c>
      <c r="P978" s="18" t="b">
        <f>SUMPRODUCT(COUNTIF(_xlfn.XLOOKUP(D978,BugList!C:C,BugList!P:P), "*SC*"))&gt;0</f>
        <v>0</v>
      </c>
    </row>
    <row r="979" spans="1:16">
      <c r="A979" t="s">
        <v>2828</v>
      </c>
      <c r="B979">
        <v>443</v>
      </c>
      <c r="C979" s="34" t="s">
        <v>201</v>
      </c>
      <c r="D979" s="34" t="s">
        <v>85</v>
      </c>
      <c r="E979" s="83">
        <v>33</v>
      </c>
      <c r="F979" s="43">
        <f t="shared" si="215"/>
        <v>27.049180327868854</v>
      </c>
      <c r="G979" s="44">
        <f t="shared" si="211"/>
        <v>27</v>
      </c>
      <c r="H979" s="44">
        <f t="shared" si="212"/>
        <v>4.9180327868853624E-2</v>
      </c>
      <c r="I979" cm="1">
        <f t="array" ref="I979">INT(F979)+IF(100-SUM(INT(F$969:F$984))&gt;=RANK(H979,H$969:H$984)+COUNTIF(H$969:H979,H979)-1,1,0)</f>
        <v>27</v>
      </c>
      <c r="J979" t="b">
        <f t="shared" si="207"/>
        <v>0</v>
      </c>
      <c r="K979" t="str">
        <f t="shared" si="208"/>
        <v/>
      </c>
      <c r="L979">
        <f>_xlfn.XLOOKUP(D979,BugList!C:C,BugList!N:N)</f>
        <v>4</v>
      </c>
      <c r="M979">
        <f t="shared" si="213"/>
        <v>108</v>
      </c>
      <c r="N979" t="b">
        <f>_xlfn.XLOOKUP(D979,BugList!C:C,BugList!L:L)</f>
        <v>0</v>
      </c>
      <c r="O979" t="b">
        <f t="shared" si="214"/>
        <v>0</v>
      </c>
      <c r="P979" s="18" t="b">
        <f>SUMPRODUCT(COUNTIF(_xlfn.XLOOKUP(D979,BugList!C:C,BugList!P:P), "*SC*"))&gt;0</f>
        <v>0</v>
      </c>
    </row>
    <row r="980" spans="1:16">
      <c r="A980" t="s">
        <v>2828</v>
      </c>
      <c r="B980">
        <v>443</v>
      </c>
      <c r="C980" s="34" t="s">
        <v>202</v>
      </c>
      <c r="D980" s="34" t="s">
        <v>169</v>
      </c>
      <c r="E980" s="83">
        <v>1</v>
      </c>
      <c r="F980" s="43">
        <f t="shared" si="215"/>
        <v>0.81967213114754101</v>
      </c>
      <c r="G980" s="44">
        <f t="shared" si="211"/>
        <v>0</v>
      </c>
      <c r="H980" s="44">
        <f t="shared" si="212"/>
        <v>0.81967213114754101</v>
      </c>
      <c r="I980" cm="1">
        <f t="array" ref="I980">INT(F980)+IF(100-SUM(INT(F$969:F$984))&gt;=RANK(H980,H$969:H$984)+COUNTIF(H$969:H980,H980)-1,1,0)</f>
        <v>1</v>
      </c>
      <c r="J980" t="b">
        <f t="shared" si="207"/>
        <v>0</v>
      </c>
      <c r="K980" t="str">
        <f t="shared" si="208"/>
        <v/>
      </c>
      <c r="L980">
        <f>_xlfn.XLOOKUP(D980,BugList!C:C,BugList!N:N)</f>
        <v>5</v>
      </c>
      <c r="M980">
        <f t="shared" si="213"/>
        <v>5</v>
      </c>
      <c r="N980" t="b">
        <f>_xlfn.XLOOKUP(D980,BugList!C:C,BugList!L:L)</f>
        <v>0</v>
      </c>
      <c r="O980" t="b">
        <f t="shared" si="214"/>
        <v>0</v>
      </c>
      <c r="P980" s="18" t="b">
        <f>SUMPRODUCT(COUNTIF(_xlfn.XLOOKUP(D980,BugList!C:C,BugList!P:P), "*SC*"))&gt;0</f>
        <v>0</v>
      </c>
    </row>
    <row r="981" spans="1:16">
      <c r="A981" t="s">
        <v>2828</v>
      </c>
      <c r="B981">
        <v>443</v>
      </c>
      <c r="C981" s="34" t="s">
        <v>2315</v>
      </c>
      <c r="D981" s="34" t="s">
        <v>102</v>
      </c>
      <c r="E981" s="83">
        <v>1</v>
      </c>
      <c r="F981" s="43">
        <f t="shared" si="215"/>
        <v>0.81967213114754101</v>
      </c>
      <c r="G981" s="44">
        <f t="shared" si="211"/>
        <v>0</v>
      </c>
      <c r="H981" s="44">
        <f t="shared" si="212"/>
        <v>0.81967213114754101</v>
      </c>
      <c r="I981" cm="1">
        <f t="array" ref="I981">INT(F981)+IF(100-SUM(INT(F$969:F$984))&gt;=RANK(H981,H$969:H$984)+COUNTIF(H$969:H981,H981)-1,1,0)</f>
        <v>1</v>
      </c>
      <c r="J981" t="b">
        <f t="shared" si="207"/>
        <v>0</v>
      </c>
      <c r="K981" t="str">
        <f t="shared" si="208"/>
        <v/>
      </c>
      <c r="L981">
        <f>_xlfn.XLOOKUP(D981,BugList!C:C,BugList!N:N)</f>
        <v>7</v>
      </c>
      <c r="M981">
        <f t="shared" si="213"/>
        <v>7</v>
      </c>
      <c r="N981" t="b">
        <f>_xlfn.XLOOKUP(D981,BugList!C:C,BugList!L:L)</f>
        <v>0</v>
      </c>
      <c r="O981" t="b">
        <f t="shared" si="214"/>
        <v>0</v>
      </c>
      <c r="P981" s="18" t="b">
        <f>SUMPRODUCT(COUNTIF(_xlfn.XLOOKUP(D981,BugList!C:C,BugList!P:P), "*SC*"))&gt;0</f>
        <v>1</v>
      </c>
    </row>
    <row r="982" spans="1:16">
      <c r="A982" t="s">
        <v>2828</v>
      </c>
      <c r="B982">
        <v>443</v>
      </c>
      <c r="C982" s="34" t="s">
        <v>205</v>
      </c>
      <c r="D982" s="34" t="s">
        <v>206</v>
      </c>
      <c r="E982" s="83">
        <v>1</v>
      </c>
      <c r="F982" s="43">
        <f t="shared" si="215"/>
        <v>0.81967213114754101</v>
      </c>
      <c r="G982" s="44">
        <f t="shared" si="211"/>
        <v>0</v>
      </c>
      <c r="H982" s="44">
        <f t="shared" si="212"/>
        <v>0.81967213114754101</v>
      </c>
      <c r="I982" cm="1">
        <f t="array" ref="I982">INT(F982)+IF(100-SUM(INT(F$969:F$984))&gt;=RANK(H982,H$969:H$984)+COUNTIF(H$969:H982,H982)-1,1,0)</f>
        <v>1</v>
      </c>
      <c r="J982" t="b">
        <f t="shared" si="207"/>
        <v>0</v>
      </c>
      <c r="K982" t="str">
        <f t="shared" si="208"/>
        <v/>
      </c>
      <c r="L982" s="71">
        <v>8</v>
      </c>
      <c r="M982">
        <f t="shared" si="213"/>
        <v>8</v>
      </c>
      <c r="N982" s="71" t="b">
        <v>0</v>
      </c>
      <c r="O982" t="b">
        <f t="shared" si="214"/>
        <v>0</v>
      </c>
      <c r="P982" s="72" t="b">
        <v>0</v>
      </c>
    </row>
    <row r="983" spans="1:16">
      <c r="A983" t="s">
        <v>2828</v>
      </c>
      <c r="B983">
        <v>443</v>
      </c>
      <c r="C983" s="34" t="s">
        <v>94</v>
      </c>
      <c r="D983" s="34" t="s">
        <v>94</v>
      </c>
      <c r="E983" s="83">
        <v>6</v>
      </c>
      <c r="F983" s="43">
        <f t="shared" si="215"/>
        <v>4.918032786885246</v>
      </c>
      <c r="G983" s="44">
        <f t="shared" si="211"/>
        <v>4</v>
      </c>
      <c r="H983" s="44">
        <f t="shared" si="212"/>
        <v>0.91803278688524603</v>
      </c>
      <c r="I983" cm="1">
        <f t="array" ref="I983">INT(F983)+IF(100-SUM(INT(F$969:F$984))&gt;=RANK(H983,H$969:H$984)+COUNTIF(H$969:H983,H983)-1,1,0)</f>
        <v>5</v>
      </c>
      <c r="J983" t="b">
        <f t="shared" si="207"/>
        <v>0</v>
      </c>
      <c r="K983" t="str">
        <f t="shared" si="208"/>
        <v/>
      </c>
      <c r="L983">
        <f>_xlfn.XLOOKUP(D983,BugList!C:C,BugList!N:N)</f>
        <v>8</v>
      </c>
      <c r="M983">
        <f t="shared" si="213"/>
        <v>40</v>
      </c>
      <c r="N983" t="b">
        <f>_xlfn.XLOOKUP(D983,BugList!C:C,BugList!L:L)</f>
        <v>0</v>
      </c>
      <c r="O983" t="b">
        <f t="shared" si="214"/>
        <v>0</v>
      </c>
      <c r="P983" s="18" t="b">
        <f>SUMPRODUCT(COUNTIF(_xlfn.XLOOKUP(D983,BugList!C:C,BugList!P:P), "*SC*"))&gt;0</f>
        <v>0</v>
      </c>
    </row>
    <row r="984" spans="1:16">
      <c r="A984" t="s">
        <v>2828</v>
      </c>
      <c r="B984">
        <v>443</v>
      </c>
      <c r="C984" s="34" t="s">
        <v>94</v>
      </c>
      <c r="D984" s="34" t="s">
        <v>603</v>
      </c>
      <c r="E984" s="83">
        <v>2</v>
      </c>
      <c r="F984" s="43">
        <f t="shared" si="215"/>
        <v>1.639344262295082</v>
      </c>
      <c r="G984" s="44">
        <f t="shared" si="211"/>
        <v>1</v>
      </c>
      <c r="H984" s="44">
        <f t="shared" si="212"/>
        <v>0.63934426229508201</v>
      </c>
      <c r="I984" cm="1">
        <f t="array" ref="I984">INT(F984)+IF(100-SUM(INT(F$969:F$984))&gt;=RANK(H984,H$969:H$984)+COUNTIF(H$969:H984,H984)-1,1,0)</f>
        <v>1</v>
      </c>
      <c r="J984" t="b">
        <f t="shared" si="207"/>
        <v>0</v>
      </c>
      <c r="K984" t="str">
        <f t="shared" si="208"/>
        <v/>
      </c>
      <c r="L984">
        <f>_xlfn.XLOOKUP(D984,BugList!C:C,BugList!N:N)</f>
        <v>10</v>
      </c>
      <c r="M984">
        <f t="shared" si="213"/>
        <v>10</v>
      </c>
      <c r="N984" t="b">
        <f>_xlfn.XLOOKUP(D984,BugList!C:C,BugList!L:L)</f>
        <v>0</v>
      </c>
      <c r="O984" t="b">
        <f t="shared" si="214"/>
        <v>0</v>
      </c>
      <c r="P984" s="18" t="b">
        <f>SUMPRODUCT(COUNTIF(_xlfn.XLOOKUP(D984,BugList!C:C,BugList!P:P), "*SC*"))&gt;0</f>
        <v>0</v>
      </c>
    </row>
    <row r="985" spans="1:16">
      <c r="A985" t="s">
        <v>2829</v>
      </c>
      <c r="B985">
        <v>453</v>
      </c>
      <c r="C985" s="34" t="s">
        <v>200</v>
      </c>
      <c r="D985" s="34" t="s">
        <v>98</v>
      </c>
      <c r="E985" s="83">
        <v>2</v>
      </c>
      <c r="F985" s="43">
        <f t="shared" si="215"/>
        <v>1.834862385321101</v>
      </c>
      <c r="G985" s="44">
        <f t="shared" si="211"/>
        <v>1</v>
      </c>
      <c r="H985" s="44">
        <f t="shared" si="212"/>
        <v>0.83486238532110102</v>
      </c>
      <c r="I985" cm="1">
        <f t="array" ref="I985">INT(F985)+IF(100-SUM(INT(F$985:F$994))&gt;=RANK(H985,H$985:H$994)+COUNTIF(H$985:H985,H985)-1,1,0)</f>
        <v>2</v>
      </c>
      <c r="J985" t="b">
        <f t="shared" si="207"/>
        <v>0</v>
      </c>
      <c r="K985" t="str">
        <f t="shared" si="208"/>
        <v/>
      </c>
      <c r="L985">
        <f>_xlfn.XLOOKUP(D985,BugList!C:C,BugList!N:N)</f>
        <v>4</v>
      </c>
      <c r="M985">
        <f t="shared" si="213"/>
        <v>8</v>
      </c>
      <c r="N985" t="b">
        <f>_xlfn.XLOOKUP(D985,BugList!C:C,BugList!L:L)</f>
        <v>1</v>
      </c>
      <c r="O985" t="b">
        <f t="shared" si="214"/>
        <v>0</v>
      </c>
      <c r="P985" s="18" t="b">
        <f>SUMPRODUCT(COUNTIF(_xlfn.XLOOKUP(D985,BugList!C:C,BugList!P:P), "*SC*"))&gt;0</f>
        <v>1</v>
      </c>
    </row>
    <row r="986" spans="1:16">
      <c r="A986" t="s">
        <v>2829</v>
      </c>
      <c r="B986">
        <v>453</v>
      </c>
      <c r="C986" s="34" t="s">
        <v>200</v>
      </c>
      <c r="D986" s="34" t="s">
        <v>100</v>
      </c>
      <c r="E986" s="83">
        <v>19</v>
      </c>
      <c r="F986" s="43">
        <f t="shared" si="215"/>
        <v>17.431192660550458</v>
      </c>
      <c r="G986" s="44">
        <f t="shared" si="211"/>
        <v>17</v>
      </c>
      <c r="H986" s="44">
        <f t="shared" si="212"/>
        <v>0.43119266055045813</v>
      </c>
      <c r="I986" cm="1">
        <f t="array" ref="I986">INT(F986)+IF(100-SUM(INT(F$985:F$994))&gt;=RANK(H986,H$985:H$994)+COUNTIF(H$985:H986,H986)-1,1,0)</f>
        <v>17</v>
      </c>
      <c r="J986" t="b">
        <f t="shared" si="207"/>
        <v>0</v>
      </c>
      <c r="K986" t="str">
        <f t="shared" si="208"/>
        <v/>
      </c>
      <c r="L986">
        <f>_xlfn.XLOOKUP(D986,BugList!C:C,BugList!N:N)</f>
        <v>4</v>
      </c>
      <c r="M986">
        <f t="shared" si="213"/>
        <v>68</v>
      </c>
      <c r="N986" t="b">
        <f>_xlfn.XLOOKUP(D986,BugList!C:C,BugList!L:L)</f>
        <v>1</v>
      </c>
      <c r="O986" t="b">
        <f t="shared" si="214"/>
        <v>0</v>
      </c>
      <c r="P986" s="18" t="b">
        <f>SUMPRODUCT(COUNTIF(_xlfn.XLOOKUP(D986,BugList!C:C,BugList!P:P), "*SC*"))&gt;0</f>
        <v>1</v>
      </c>
    </row>
    <row r="987" spans="1:16">
      <c r="A987" t="s">
        <v>2829</v>
      </c>
      <c r="B987">
        <v>453</v>
      </c>
      <c r="C987" s="34" t="s">
        <v>194</v>
      </c>
      <c r="D987" s="34" t="s">
        <v>101</v>
      </c>
      <c r="E987" s="83">
        <v>2</v>
      </c>
      <c r="F987" s="43">
        <f t="shared" si="215"/>
        <v>1.834862385321101</v>
      </c>
      <c r="G987" s="44">
        <f t="shared" si="211"/>
        <v>1</v>
      </c>
      <c r="H987" s="44">
        <f t="shared" si="212"/>
        <v>0.83486238532110102</v>
      </c>
      <c r="I987" cm="1">
        <f t="array" ref="I987">INT(F987)+IF(100-SUM(INT(F$985:F$994))&gt;=RANK(H987,H$985:H$994)+COUNTIF(H$985:H987,H987)-1,1,0)</f>
        <v>2</v>
      </c>
      <c r="J987" t="b">
        <f t="shared" si="207"/>
        <v>0</v>
      </c>
      <c r="K987" t="str">
        <f t="shared" si="208"/>
        <v/>
      </c>
      <c r="L987">
        <f>_xlfn.XLOOKUP(D987,BugList!C:C,BugList!N:N)</f>
        <v>6</v>
      </c>
      <c r="M987">
        <f t="shared" si="213"/>
        <v>12</v>
      </c>
      <c r="N987" t="b">
        <f>_xlfn.XLOOKUP(D987,BugList!C:C,BugList!L:L)</f>
        <v>1</v>
      </c>
      <c r="O987" t="b">
        <f t="shared" si="214"/>
        <v>0</v>
      </c>
      <c r="P987" s="18" t="b">
        <f>SUMPRODUCT(COUNTIF(_xlfn.XLOOKUP(D987,BugList!C:C,BugList!P:P), "*SC*"))&gt;0</f>
        <v>0</v>
      </c>
    </row>
    <row r="988" spans="1:16">
      <c r="A988" t="s">
        <v>2829</v>
      </c>
      <c r="B988">
        <v>453</v>
      </c>
      <c r="C988" s="34" t="s">
        <v>199</v>
      </c>
      <c r="D988" s="34" t="s">
        <v>111</v>
      </c>
      <c r="E988" s="83">
        <v>2</v>
      </c>
      <c r="F988" s="43">
        <f t="shared" si="215"/>
        <v>1.834862385321101</v>
      </c>
      <c r="G988" s="44">
        <f t="shared" si="211"/>
        <v>1</v>
      </c>
      <c r="H988" s="44">
        <f t="shared" si="212"/>
        <v>0.83486238532110102</v>
      </c>
      <c r="I988" cm="1">
        <f t="array" ref="I988">INT(F988)+IF(100-SUM(INT(F$985:F$994))&gt;=RANK(H988,H$985:H$994)+COUNTIF(H$985:H988,H988)-1,1,0)</f>
        <v>2</v>
      </c>
      <c r="J988" t="b">
        <f t="shared" si="207"/>
        <v>1</v>
      </c>
      <c r="K988" t="str">
        <f t="shared" si="208"/>
        <v>Ephemeroptera</v>
      </c>
      <c r="L988">
        <f>_xlfn.XLOOKUP(D988,BugList!C:C,BugList!N:N)</f>
        <v>4</v>
      </c>
      <c r="M988">
        <f t="shared" si="213"/>
        <v>8</v>
      </c>
      <c r="N988" t="b">
        <f>_xlfn.XLOOKUP(D988,BugList!C:C,BugList!L:L)</f>
        <v>1</v>
      </c>
      <c r="O988" t="b">
        <f t="shared" si="214"/>
        <v>1</v>
      </c>
      <c r="P988" s="18" t="b">
        <f>SUMPRODUCT(COUNTIF(_xlfn.XLOOKUP(D988,BugList!C:C,BugList!P:P), "*SC*"))&gt;0</f>
        <v>0</v>
      </c>
    </row>
    <row r="989" spans="1:16">
      <c r="A989" t="s">
        <v>2829</v>
      </c>
      <c r="B989">
        <v>453</v>
      </c>
      <c r="C989" s="34" t="s">
        <v>195</v>
      </c>
      <c r="D989" s="34" t="s">
        <v>97</v>
      </c>
      <c r="E989" s="83">
        <v>3</v>
      </c>
      <c r="F989" s="43">
        <f t="shared" si="215"/>
        <v>2.7522935779816518</v>
      </c>
      <c r="G989" s="44">
        <f t="shared" si="211"/>
        <v>2</v>
      </c>
      <c r="H989" s="44">
        <f t="shared" si="212"/>
        <v>0.75229357798165175</v>
      </c>
      <c r="I989" cm="1">
        <f t="array" ref="I989">INT(F989)+IF(100-SUM(INT(F$985:F$994))&gt;=RANK(H989,H$985:H$994)+COUNTIF(H$985:H989,H989)-1,1,0)</f>
        <v>3</v>
      </c>
      <c r="J989" t="b">
        <f t="shared" si="207"/>
        <v>0</v>
      </c>
      <c r="K989" t="str">
        <f t="shared" si="208"/>
        <v/>
      </c>
      <c r="L989">
        <f>_xlfn.XLOOKUP(D989,BugList!C:C,BugList!N:N)</f>
        <v>9</v>
      </c>
      <c r="M989">
        <f t="shared" si="213"/>
        <v>27</v>
      </c>
      <c r="N989" t="b">
        <f>_xlfn.XLOOKUP(D989,BugList!C:C,BugList!L:L)</f>
        <v>1</v>
      </c>
      <c r="O989" t="b">
        <f t="shared" si="214"/>
        <v>0</v>
      </c>
      <c r="P989" s="18" t="b">
        <f>SUMPRODUCT(COUNTIF(_xlfn.XLOOKUP(D989,BugList!C:C,BugList!P:P), "*SC*"))&gt;0</f>
        <v>0</v>
      </c>
    </row>
    <row r="990" spans="1:16">
      <c r="A990" t="s">
        <v>2829</v>
      </c>
      <c r="B990">
        <v>453</v>
      </c>
      <c r="C990" s="34" t="s">
        <v>211</v>
      </c>
      <c r="D990" s="34" t="s">
        <v>87</v>
      </c>
      <c r="E990" s="83">
        <v>1</v>
      </c>
      <c r="F990" s="43">
        <f t="shared" si="215"/>
        <v>0.91743119266055051</v>
      </c>
      <c r="G990" s="44">
        <f t="shared" si="211"/>
        <v>0</v>
      </c>
      <c r="H990" s="44">
        <f t="shared" si="212"/>
        <v>0.91743119266055051</v>
      </c>
      <c r="I990" cm="1">
        <f t="array" ref="I990">INT(F990)+IF(100-SUM(INT(F$985:F$994))&gt;=RANK(H990,H$985:H$994)+COUNTIF(H$985:H990,H990)-1,1,0)</f>
        <v>1</v>
      </c>
      <c r="J990" t="b">
        <f t="shared" si="207"/>
        <v>0</v>
      </c>
      <c r="K990" t="str">
        <f t="shared" si="208"/>
        <v/>
      </c>
      <c r="L990">
        <f>_xlfn.XLOOKUP(D990,BugList!C:C,BugList!N:N)</f>
        <v>4</v>
      </c>
      <c r="M990">
        <f t="shared" si="213"/>
        <v>4</v>
      </c>
      <c r="N990" t="b">
        <f>_xlfn.XLOOKUP(D990,BugList!C:C,BugList!L:L)</f>
        <v>0</v>
      </c>
      <c r="O990" t="b">
        <f t="shared" si="214"/>
        <v>0</v>
      </c>
      <c r="P990" s="18" t="b">
        <f>SUMPRODUCT(COUNTIF(_xlfn.XLOOKUP(D990,BugList!C:C,BugList!P:P), "*SC*"))&gt;0</f>
        <v>0</v>
      </c>
    </row>
    <row r="991" spans="1:16">
      <c r="A991" t="s">
        <v>2829</v>
      </c>
      <c r="B991">
        <v>453</v>
      </c>
      <c r="C991" s="34" t="s">
        <v>198</v>
      </c>
      <c r="D991" s="34" t="s">
        <v>89</v>
      </c>
      <c r="E991" s="83">
        <v>52</v>
      </c>
      <c r="F991" s="43">
        <f t="shared" si="215"/>
        <v>47.706422018348626</v>
      </c>
      <c r="G991" s="44">
        <f t="shared" si="211"/>
        <v>47</v>
      </c>
      <c r="H991" s="44">
        <f t="shared" si="212"/>
        <v>0.70642201834862561</v>
      </c>
      <c r="I991" cm="1">
        <f t="array" ref="I991">INT(F991)+IF(100-SUM(INT(F$985:F$994))&gt;=RANK(H991,H$985:H$994)+COUNTIF(H$985:H991,H991)-1,1,0)</f>
        <v>47</v>
      </c>
      <c r="J991" t="b">
        <f t="shared" si="207"/>
        <v>1</v>
      </c>
      <c r="K991" t="str">
        <f t="shared" si="208"/>
        <v>Trichoptera</v>
      </c>
      <c r="L991">
        <f>_xlfn.XLOOKUP(D991,BugList!C:C,BugList!N:N)</f>
        <v>4</v>
      </c>
      <c r="M991">
        <f t="shared" si="213"/>
        <v>188</v>
      </c>
      <c r="N991" t="b">
        <f>_xlfn.XLOOKUP(D991,BugList!C:C,BugList!L:L)</f>
        <v>1</v>
      </c>
      <c r="O991" t="b">
        <f t="shared" si="214"/>
        <v>0</v>
      </c>
      <c r="P991" s="18" t="b">
        <f>SUMPRODUCT(COUNTIF(_xlfn.XLOOKUP(D991,BugList!C:C,BugList!P:P), "*SC*"))&gt;0</f>
        <v>0</v>
      </c>
    </row>
    <row r="992" spans="1:16">
      <c r="A992" t="s">
        <v>2829</v>
      </c>
      <c r="B992">
        <v>453</v>
      </c>
      <c r="C992" s="34" t="s">
        <v>198</v>
      </c>
      <c r="D992" s="34" t="s">
        <v>107</v>
      </c>
      <c r="E992" s="83">
        <v>13</v>
      </c>
      <c r="F992" s="43">
        <f t="shared" si="215"/>
        <v>11.926605504587156</v>
      </c>
      <c r="G992" s="44">
        <f t="shared" si="211"/>
        <v>11</v>
      </c>
      <c r="H992" s="44">
        <f t="shared" si="212"/>
        <v>0.9266055045871564</v>
      </c>
      <c r="I992" cm="1">
        <f t="array" ref="I992">INT(F992)+IF(100-SUM(INT(F$985:F$994))&gt;=RANK(H992,H$985:H$994)+COUNTIF(H$985:H992,H992)-1,1,0)</f>
        <v>12</v>
      </c>
      <c r="J992" t="b">
        <f t="shared" si="207"/>
        <v>1</v>
      </c>
      <c r="K992" t="str">
        <f t="shared" si="208"/>
        <v>Trichoptera</v>
      </c>
      <c r="L992">
        <f>_xlfn.XLOOKUP(D992,BugList!C:C,BugList!N:N)</f>
        <v>3</v>
      </c>
      <c r="M992">
        <f t="shared" si="213"/>
        <v>36</v>
      </c>
      <c r="N992" t="b">
        <f>_xlfn.XLOOKUP(D992,BugList!C:C,BugList!L:L)</f>
        <v>1</v>
      </c>
      <c r="O992" t="b">
        <f t="shared" si="214"/>
        <v>1</v>
      </c>
      <c r="P992" s="18" t="b">
        <f>SUMPRODUCT(COUNTIF(_xlfn.XLOOKUP(D992,BugList!C:C,BugList!P:P), "*SC*"))&gt;0</f>
        <v>0</v>
      </c>
    </row>
    <row r="993" spans="1:16">
      <c r="A993" t="s">
        <v>2829</v>
      </c>
      <c r="B993">
        <v>453</v>
      </c>
      <c r="C993" s="34" t="s">
        <v>201</v>
      </c>
      <c r="D993" s="34" t="s">
        <v>85</v>
      </c>
      <c r="E993" s="83">
        <v>14</v>
      </c>
      <c r="F993" s="43">
        <f t="shared" si="215"/>
        <v>12.844036697247708</v>
      </c>
      <c r="G993" s="44">
        <f t="shared" si="211"/>
        <v>12</v>
      </c>
      <c r="H993" s="44">
        <f t="shared" si="212"/>
        <v>0.84403669724770758</v>
      </c>
      <c r="I993" cm="1">
        <f t="array" ref="I993">INT(F993)+IF(100-SUM(INT(F$985:F$994))&gt;=RANK(H993,H$985:H$994)+COUNTIF(H$985:H993,H993)-1,1,0)</f>
        <v>13</v>
      </c>
      <c r="J993" t="b">
        <f t="shared" si="207"/>
        <v>0</v>
      </c>
      <c r="K993" t="str">
        <f t="shared" si="208"/>
        <v/>
      </c>
      <c r="L993">
        <f>_xlfn.XLOOKUP(D993,BugList!C:C,BugList!N:N)</f>
        <v>4</v>
      </c>
      <c r="M993">
        <f t="shared" si="213"/>
        <v>52</v>
      </c>
      <c r="N993" t="b">
        <f>_xlfn.XLOOKUP(D993,BugList!C:C,BugList!L:L)</f>
        <v>0</v>
      </c>
      <c r="O993" t="b">
        <f t="shared" si="214"/>
        <v>0</v>
      </c>
      <c r="P993" s="18" t="b">
        <f>SUMPRODUCT(COUNTIF(_xlfn.XLOOKUP(D993,BugList!C:C,BugList!P:P), "*SC*"))&gt;0</f>
        <v>0</v>
      </c>
    </row>
    <row r="994" spans="1:16">
      <c r="A994" t="s">
        <v>2829</v>
      </c>
      <c r="B994">
        <v>453</v>
      </c>
      <c r="C994" s="34" t="s">
        <v>94</v>
      </c>
      <c r="D994" s="34" t="s">
        <v>94</v>
      </c>
      <c r="E994" s="83">
        <v>1</v>
      </c>
      <c r="F994" s="43">
        <f t="shared" si="215"/>
        <v>0.91743119266055051</v>
      </c>
      <c r="G994" s="44">
        <f t="shared" si="211"/>
        <v>0</v>
      </c>
      <c r="H994" s="44">
        <f t="shared" si="212"/>
        <v>0.91743119266055051</v>
      </c>
      <c r="I994" cm="1">
        <f t="array" ref="I994">INT(F994)+IF(100-SUM(INT(F$985:F$994))&gt;=RANK(H994,H$985:H$994)+COUNTIF(H$985:H994,H994)-1,1,0)</f>
        <v>1</v>
      </c>
      <c r="J994" t="b">
        <f t="shared" si="207"/>
        <v>0</v>
      </c>
      <c r="K994" t="str">
        <f t="shared" si="208"/>
        <v/>
      </c>
      <c r="L994">
        <f>_xlfn.XLOOKUP(D994,BugList!C:C,BugList!N:N)</f>
        <v>8</v>
      </c>
      <c r="M994">
        <f t="shared" si="213"/>
        <v>8</v>
      </c>
      <c r="N994" t="b">
        <f>_xlfn.XLOOKUP(D994,BugList!C:C,BugList!L:L)</f>
        <v>0</v>
      </c>
      <c r="O994" t="b">
        <f t="shared" si="214"/>
        <v>0</v>
      </c>
      <c r="P994" s="18" t="b">
        <f>SUMPRODUCT(COUNTIF(_xlfn.XLOOKUP(D994,BugList!C:C,BugList!P:P), "*SC*"))&gt;0</f>
        <v>0</v>
      </c>
    </row>
    <row r="995" spans="1:16">
      <c r="A995" t="s">
        <v>2830</v>
      </c>
      <c r="B995">
        <v>461</v>
      </c>
      <c r="C995" s="34" t="s">
        <v>200</v>
      </c>
      <c r="D995" s="34" t="s">
        <v>100</v>
      </c>
      <c r="E995" s="83">
        <v>5</v>
      </c>
      <c r="F995" s="43">
        <f t="shared" si="215"/>
        <v>3.7313432835820892</v>
      </c>
      <c r="G995" s="44">
        <f t="shared" si="211"/>
        <v>3</v>
      </c>
      <c r="H995" s="44">
        <f t="shared" si="212"/>
        <v>0.73134328358208922</v>
      </c>
      <c r="I995" cm="1">
        <f t="array" ref="I995">INT(F995)+IF(100-SUM(INT(F$995:F$1006))&gt;=RANK(H995,H$995:H$1006)+COUNTIF(H$995:H995,H995)-1,1,0)</f>
        <v>4</v>
      </c>
      <c r="J995" t="b">
        <f t="shared" si="207"/>
        <v>0</v>
      </c>
      <c r="K995" t="str">
        <f t="shared" si="208"/>
        <v/>
      </c>
      <c r="L995">
        <f>_xlfn.XLOOKUP(D995,BugList!C:C,BugList!N:N)</f>
        <v>4</v>
      </c>
      <c r="M995">
        <f t="shared" si="213"/>
        <v>16</v>
      </c>
      <c r="N995" t="b">
        <f>_xlfn.XLOOKUP(D995,BugList!C:C,BugList!L:L)</f>
        <v>1</v>
      </c>
      <c r="O995" t="b">
        <f t="shared" si="214"/>
        <v>0</v>
      </c>
      <c r="P995" s="18" t="b">
        <f>SUMPRODUCT(COUNTIF(_xlfn.XLOOKUP(D995,BugList!C:C,BugList!P:P), "*SC*"))&gt;0</f>
        <v>1</v>
      </c>
    </row>
    <row r="996" spans="1:16">
      <c r="A996" t="s">
        <v>2830</v>
      </c>
      <c r="B996">
        <v>461</v>
      </c>
      <c r="C996" s="34" t="s">
        <v>194</v>
      </c>
      <c r="D996" s="34" t="s">
        <v>124</v>
      </c>
      <c r="E996" s="83">
        <v>10</v>
      </c>
      <c r="F996" s="43">
        <f t="shared" si="215"/>
        <v>7.4626865671641784</v>
      </c>
      <c r="G996" s="44">
        <f t="shared" si="211"/>
        <v>7</v>
      </c>
      <c r="H996" s="44">
        <f t="shared" si="212"/>
        <v>0.46268656716417844</v>
      </c>
      <c r="I996" cm="1">
        <f t="array" ref="I996">INT(F996)+IF(100-SUM(INT(F$995:F$1006))&gt;=RANK(H996,H$995:H$1006)+COUNTIF(H$995:H996,H996)-1,1,0)</f>
        <v>7</v>
      </c>
      <c r="J996" t="b">
        <f t="shared" si="207"/>
        <v>0</v>
      </c>
      <c r="K996" t="str">
        <f t="shared" si="208"/>
        <v/>
      </c>
      <c r="L996">
        <f>_xlfn.XLOOKUP(D996,BugList!C:C,BugList!N:N)</f>
        <v>6</v>
      </c>
      <c r="M996">
        <f t="shared" si="213"/>
        <v>42</v>
      </c>
      <c r="N996" t="b">
        <f>_xlfn.XLOOKUP(D996,BugList!C:C,BugList!L:L)</f>
        <v>1</v>
      </c>
      <c r="O996" t="b">
        <f t="shared" si="214"/>
        <v>0</v>
      </c>
      <c r="P996" s="18" t="b">
        <f>SUMPRODUCT(COUNTIF(_xlfn.XLOOKUP(D996,BugList!C:C,BugList!P:P), "*SC*"))&gt;0</f>
        <v>0</v>
      </c>
    </row>
    <row r="997" spans="1:16">
      <c r="A997" t="s">
        <v>2830</v>
      </c>
      <c r="B997">
        <v>461</v>
      </c>
      <c r="C997" s="34" t="s">
        <v>194</v>
      </c>
      <c r="D997" s="34" t="s">
        <v>101</v>
      </c>
      <c r="E997" s="83">
        <v>17</v>
      </c>
      <c r="F997" s="43">
        <f t="shared" si="215"/>
        <v>12.686567164179104</v>
      </c>
      <c r="G997" s="44">
        <f t="shared" ref="G997:G1042" si="216">INT(F997)</f>
        <v>12</v>
      </c>
      <c r="H997" s="44">
        <f t="shared" ref="H997:H1042" si="217">F997-G997</f>
        <v>0.68656716417910424</v>
      </c>
      <c r="I997" cm="1">
        <f t="array" ref="I997">INT(F997)+IF(100-SUM(INT(F$995:F$1006))&gt;=RANK(H997,H$995:H$1006)+COUNTIF(H$995:H997,H997)-1,1,0)</f>
        <v>12</v>
      </c>
      <c r="J997" t="b">
        <f t="shared" ref="J997:J1042" si="218">IF(OR(C997="Ephemeroptera", C997 ="Plecoptera", C997= "Trichoptera"), TRUE, FALSE)</f>
        <v>0</v>
      </c>
      <c r="K997" t="str">
        <f t="shared" ref="K997:K1042" si="219">IF(J997=TRUE,C997,"")</f>
        <v/>
      </c>
      <c r="L997">
        <f>_xlfn.XLOOKUP(D997,BugList!C:C,BugList!N:N)</f>
        <v>6</v>
      </c>
      <c r="M997">
        <f t="shared" ref="M997:M1042" si="220">L997*I997</f>
        <v>72</v>
      </c>
      <c r="N997" t="b">
        <f>_xlfn.XLOOKUP(D997,BugList!C:C,BugList!L:L)</f>
        <v>1</v>
      </c>
      <c r="O997" t="b">
        <f t="shared" ref="O997:O1042" si="221">IF(J997=TRUE,IF(D997="Hydropsychidae", FALSE, TRUE), FALSE)</f>
        <v>0</v>
      </c>
      <c r="P997" s="18" t="b">
        <f>SUMPRODUCT(COUNTIF(_xlfn.XLOOKUP(D997,BugList!C:C,BugList!P:P), "*SC*"))&gt;0</f>
        <v>0</v>
      </c>
    </row>
    <row r="998" spans="1:16">
      <c r="A998" t="s">
        <v>2830</v>
      </c>
      <c r="B998">
        <v>461</v>
      </c>
      <c r="C998" s="34" t="s">
        <v>194</v>
      </c>
      <c r="D998" s="34" t="s">
        <v>108</v>
      </c>
      <c r="E998" s="83">
        <v>1</v>
      </c>
      <c r="F998" s="43">
        <f t="shared" ref="F998:F1006" si="222">(E998/(SUMIFS(E:E,A:A,A998))*100)</f>
        <v>0.74626865671641784</v>
      </c>
      <c r="G998" s="44">
        <f t="shared" si="216"/>
        <v>0</v>
      </c>
      <c r="H998" s="44">
        <f t="shared" si="217"/>
        <v>0.74626865671641784</v>
      </c>
      <c r="I998" cm="1">
        <f t="array" ref="I998">INT(F998)+IF(100-SUM(INT(F$995:F$1006))&gt;=RANK(H998,H$995:H$1006)+COUNTIF(H$995:H998,H998)-1,1,0)</f>
        <v>1</v>
      </c>
      <c r="J998" t="b">
        <f t="shared" si="218"/>
        <v>0</v>
      </c>
      <c r="K998" t="str">
        <f t="shared" si="219"/>
        <v/>
      </c>
      <c r="L998">
        <f>_xlfn.XLOOKUP(D998,BugList!C:C,BugList!N:N)</f>
        <v>3</v>
      </c>
      <c r="M998">
        <f t="shared" si="220"/>
        <v>3</v>
      </c>
      <c r="N998" t="b">
        <f>_xlfn.XLOOKUP(D998,BugList!C:C,BugList!L:L)</f>
        <v>1</v>
      </c>
      <c r="O998" t="b">
        <f t="shared" si="221"/>
        <v>0</v>
      </c>
      <c r="P998" s="18" t="b">
        <f>SUMPRODUCT(COUNTIF(_xlfn.XLOOKUP(D998,BugList!C:C,BugList!P:P), "*SC*"))&gt;0</f>
        <v>0</v>
      </c>
    </row>
    <row r="999" spans="1:16">
      <c r="A999" t="s">
        <v>2830</v>
      </c>
      <c r="B999">
        <v>461</v>
      </c>
      <c r="C999" s="34" t="s">
        <v>199</v>
      </c>
      <c r="D999" s="34" t="s">
        <v>111</v>
      </c>
      <c r="E999" s="83">
        <v>9</v>
      </c>
      <c r="F999" s="43">
        <f t="shared" si="222"/>
        <v>6.7164179104477615</v>
      </c>
      <c r="G999" s="44">
        <f t="shared" si="216"/>
        <v>6</v>
      </c>
      <c r="H999" s="44">
        <f t="shared" si="217"/>
        <v>0.71641791044776149</v>
      </c>
      <c r="I999" cm="1">
        <f t="array" ref="I999">INT(F999)+IF(100-SUM(INT(F$995:F$1006))&gt;=RANK(H999,H$995:H$1006)+COUNTIF(H$995:H999,H999)-1,1,0)</f>
        <v>7</v>
      </c>
      <c r="J999" t="b">
        <f t="shared" si="218"/>
        <v>1</v>
      </c>
      <c r="K999" t="str">
        <f t="shared" si="219"/>
        <v>Ephemeroptera</v>
      </c>
      <c r="L999">
        <f>_xlfn.XLOOKUP(D999,BugList!C:C,BugList!N:N)</f>
        <v>4</v>
      </c>
      <c r="M999">
        <f t="shared" si="220"/>
        <v>28</v>
      </c>
      <c r="N999" t="b">
        <f>_xlfn.XLOOKUP(D999,BugList!C:C,BugList!L:L)</f>
        <v>1</v>
      </c>
      <c r="O999" t="b">
        <f t="shared" si="221"/>
        <v>1</v>
      </c>
      <c r="P999" s="18" t="b">
        <f>SUMPRODUCT(COUNTIF(_xlfn.XLOOKUP(D999,BugList!C:C,BugList!P:P), "*SC*"))&gt;0</f>
        <v>0</v>
      </c>
    </row>
    <row r="1000" spans="1:16">
      <c r="A1000" t="s">
        <v>2830</v>
      </c>
      <c r="B1000">
        <v>461</v>
      </c>
      <c r="C1000" s="34" t="s">
        <v>198</v>
      </c>
      <c r="D1000" s="34" t="s">
        <v>89</v>
      </c>
      <c r="E1000" s="83">
        <v>31</v>
      </c>
      <c r="F1000" s="43">
        <f t="shared" si="222"/>
        <v>23.134328358208954</v>
      </c>
      <c r="G1000" s="44">
        <f t="shared" si="216"/>
        <v>23</v>
      </c>
      <c r="H1000" s="44">
        <f t="shared" si="217"/>
        <v>0.13432835820895406</v>
      </c>
      <c r="I1000" cm="1">
        <f t="array" ref="I1000">INT(F1000)+IF(100-SUM(INT(F$995:F$1006))&gt;=RANK(H1000,H$995:H$1006)+COUNTIF(H$995:H1000,H1000)-1,1,0)</f>
        <v>23</v>
      </c>
      <c r="J1000" t="b">
        <f t="shared" si="218"/>
        <v>1</v>
      </c>
      <c r="K1000" t="str">
        <f t="shared" si="219"/>
        <v>Trichoptera</v>
      </c>
      <c r="L1000">
        <f>_xlfn.XLOOKUP(D1000,BugList!C:C,BugList!N:N)</f>
        <v>4</v>
      </c>
      <c r="M1000">
        <f t="shared" si="220"/>
        <v>92</v>
      </c>
      <c r="N1000" t="b">
        <f>_xlfn.XLOOKUP(D1000,BugList!C:C,BugList!L:L)</f>
        <v>1</v>
      </c>
      <c r="O1000" t="b">
        <f t="shared" si="221"/>
        <v>0</v>
      </c>
      <c r="P1000" s="18" t="b">
        <f>SUMPRODUCT(COUNTIF(_xlfn.XLOOKUP(D1000,BugList!C:C,BugList!P:P), "*SC*"))&gt;0</f>
        <v>0</v>
      </c>
    </row>
    <row r="1001" spans="1:16">
      <c r="A1001" t="s">
        <v>2830</v>
      </c>
      <c r="B1001">
        <v>461</v>
      </c>
      <c r="C1001" s="34" t="s">
        <v>198</v>
      </c>
      <c r="D1001" s="34" t="s">
        <v>107</v>
      </c>
      <c r="E1001" s="83">
        <v>23</v>
      </c>
      <c r="F1001" s="43">
        <f t="shared" si="222"/>
        <v>17.164179104477611</v>
      </c>
      <c r="G1001" s="44">
        <f t="shared" si="216"/>
        <v>17</v>
      </c>
      <c r="H1001" s="44">
        <f t="shared" si="217"/>
        <v>0.1641791044776113</v>
      </c>
      <c r="I1001" cm="1">
        <f t="array" ref="I1001">INT(F1001)+IF(100-SUM(INT(F$995:F$1006))&gt;=RANK(H1001,H$995:H$1006)+COUNTIF(H$995:H1001,H1001)-1,1,0)</f>
        <v>17</v>
      </c>
      <c r="J1001" t="b">
        <f t="shared" si="218"/>
        <v>1</v>
      </c>
      <c r="K1001" t="str">
        <f t="shared" si="219"/>
        <v>Trichoptera</v>
      </c>
      <c r="L1001">
        <f>_xlfn.XLOOKUP(D1001,BugList!C:C,BugList!N:N)</f>
        <v>3</v>
      </c>
      <c r="M1001">
        <f t="shared" si="220"/>
        <v>51</v>
      </c>
      <c r="N1001" t="b">
        <f>_xlfn.XLOOKUP(D1001,BugList!C:C,BugList!L:L)</f>
        <v>1</v>
      </c>
      <c r="O1001" t="b">
        <f t="shared" si="221"/>
        <v>1</v>
      </c>
      <c r="P1001" s="18" t="b">
        <f>SUMPRODUCT(COUNTIF(_xlfn.XLOOKUP(D1001,BugList!C:C,BugList!P:P), "*SC*"))&gt;0</f>
        <v>0</v>
      </c>
    </row>
    <row r="1002" spans="1:16">
      <c r="A1002" t="s">
        <v>2830</v>
      </c>
      <c r="B1002">
        <v>461</v>
      </c>
      <c r="C1002" s="34" t="s">
        <v>201</v>
      </c>
      <c r="D1002" s="34" t="s">
        <v>2839</v>
      </c>
      <c r="E1002" s="83">
        <v>1</v>
      </c>
      <c r="F1002" s="43">
        <f t="shared" si="222"/>
        <v>0.74626865671641784</v>
      </c>
      <c r="G1002" s="44">
        <f t="shared" si="216"/>
        <v>0</v>
      </c>
      <c r="H1002" s="44">
        <f t="shared" si="217"/>
        <v>0.74626865671641784</v>
      </c>
      <c r="I1002" cm="1">
        <f t="array" ref="I1002">INT(F1002)+IF(100-SUM(INT(F$995:F$1006))&gt;=RANK(H1002,H$995:H$1006)+COUNTIF(H$995:H1002,H1002)-1,1,0)</f>
        <v>1</v>
      </c>
      <c r="J1002" t="b">
        <f t="shared" si="218"/>
        <v>0</v>
      </c>
      <c r="K1002" t="str">
        <f t="shared" si="219"/>
        <v/>
      </c>
      <c r="L1002">
        <f>_xlfn.XLOOKUP(D1002,BugList!C:C,BugList!N:N)</f>
        <v>6</v>
      </c>
      <c r="M1002">
        <f t="shared" si="220"/>
        <v>6</v>
      </c>
      <c r="N1002" t="b">
        <f>_xlfn.XLOOKUP(D1002,BugList!C:C,BugList!L:L)</f>
        <v>0</v>
      </c>
      <c r="O1002" t="b">
        <f t="shared" si="221"/>
        <v>0</v>
      </c>
      <c r="P1002" s="18" t="b">
        <f>SUMPRODUCT(COUNTIF(_xlfn.XLOOKUP(D1002,BugList!C:C,BugList!P:P), "*SC*"))&gt;0</f>
        <v>0</v>
      </c>
    </row>
    <row r="1003" spans="1:16">
      <c r="A1003" t="s">
        <v>2830</v>
      </c>
      <c r="B1003">
        <v>461</v>
      </c>
      <c r="C1003" s="34" t="s">
        <v>201</v>
      </c>
      <c r="D1003" s="34" t="s">
        <v>85</v>
      </c>
      <c r="E1003" s="83">
        <v>31</v>
      </c>
      <c r="F1003" s="43">
        <f t="shared" si="222"/>
        <v>23.134328358208954</v>
      </c>
      <c r="G1003" s="44">
        <f t="shared" si="216"/>
        <v>23</v>
      </c>
      <c r="H1003" s="44">
        <f t="shared" si="217"/>
        <v>0.13432835820895406</v>
      </c>
      <c r="I1003" cm="1">
        <f t="array" ref="I1003">INT(F1003)+IF(100-SUM(INT(F$995:F$1006))&gt;=RANK(H1003,H$995:H$1006)+COUNTIF(H$995:H1003,H1003)-1,1,0)</f>
        <v>23</v>
      </c>
      <c r="J1003" t="b">
        <f t="shared" si="218"/>
        <v>0</v>
      </c>
      <c r="K1003" t="str">
        <f t="shared" si="219"/>
        <v/>
      </c>
      <c r="L1003">
        <f>_xlfn.XLOOKUP(D1003,BugList!C:C,BugList!N:N)</f>
        <v>4</v>
      </c>
      <c r="M1003">
        <f t="shared" si="220"/>
        <v>92</v>
      </c>
      <c r="N1003" t="b">
        <f>_xlfn.XLOOKUP(D1003,BugList!C:C,BugList!L:L)</f>
        <v>0</v>
      </c>
      <c r="O1003" t="b">
        <f t="shared" si="221"/>
        <v>0</v>
      </c>
      <c r="P1003" s="18" t="b">
        <f>SUMPRODUCT(COUNTIF(_xlfn.XLOOKUP(D1003,BugList!C:C,BugList!P:P), "*SC*"))&gt;0</f>
        <v>0</v>
      </c>
    </row>
    <row r="1004" spans="1:16">
      <c r="A1004" t="s">
        <v>2830</v>
      </c>
      <c r="B1004">
        <v>461</v>
      </c>
      <c r="C1004" s="34" t="s">
        <v>210</v>
      </c>
      <c r="D1004" s="34" t="s">
        <v>92</v>
      </c>
      <c r="E1004" s="83">
        <v>1</v>
      </c>
      <c r="F1004" s="43">
        <f t="shared" si="222"/>
        <v>0.74626865671641784</v>
      </c>
      <c r="G1004" s="44">
        <f t="shared" si="216"/>
        <v>0</v>
      </c>
      <c r="H1004" s="44">
        <f t="shared" si="217"/>
        <v>0.74626865671641784</v>
      </c>
      <c r="I1004" cm="1">
        <f t="array" ref="I1004">INT(F1004)+IF(100-SUM(INT(F$995:F$1006))&gt;=RANK(H1004,H$995:H$1006)+COUNTIF(H$995:H1004,H1004)-1,1,0)</f>
        <v>1</v>
      </c>
      <c r="J1004" t="b">
        <f t="shared" si="218"/>
        <v>0</v>
      </c>
      <c r="K1004" t="str">
        <f t="shared" si="219"/>
        <v/>
      </c>
      <c r="L1004">
        <f>_xlfn.XLOOKUP(D1004,BugList!C:C,BugList!N:N)</f>
        <v>8</v>
      </c>
      <c r="M1004">
        <f t="shared" si="220"/>
        <v>8</v>
      </c>
      <c r="N1004" t="b">
        <f>_xlfn.XLOOKUP(D1004,BugList!C:C,BugList!L:L)</f>
        <v>0</v>
      </c>
      <c r="O1004" t="b">
        <f t="shared" si="221"/>
        <v>0</v>
      </c>
      <c r="P1004" s="18" t="b">
        <f>SUMPRODUCT(COUNTIF(_xlfn.XLOOKUP(D1004,BugList!C:C,BugList!P:P), "*SC*"))&gt;0</f>
        <v>0</v>
      </c>
    </row>
    <row r="1005" spans="1:16">
      <c r="A1005" t="s">
        <v>2830</v>
      </c>
      <c r="B1005">
        <v>461</v>
      </c>
      <c r="C1005" s="34" t="s">
        <v>210</v>
      </c>
      <c r="D1005" s="34" t="s">
        <v>93</v>
      </c>
      <c r="E1005" s="83">
        <v>4</v>
      </c>
      <c r="F1005" s="43">
        <f t="shared" si="222"/>
        <v>2.9850746268656714</v>
      </c>
      <c r="G1005" s="44">
        <f t="shared" si="216"/>
        <v>2</v>
      </c>
      <c r="H1005" s="44">
        <f t="shared" si="217"/>
        <v>0.98507462686567138</v>
      </c>
      <c r="I1005" cm="1">
        <f t="array" ref="I1005">INT(F1005)+IF(100-SUM(INT(F$995:F$1006))&gt;=RANK(H1005,H$995:H$1006)+COUNTIF(H$995:H1005,H1005)-1,1,0)</f>
        <v>3</v>
      </c>
      <c r="J1005" t="b">
        <f t="shared" si="218"/>
        <v>0</v>
      </c>
      <c r="K1005" t="str">
        <f t="shared" si="219"/>
        <v/>
      </c>
      <c r="L1005">
        <f>_xlfn.XLOOKUP(D1005,BugList!C:C,BugList!N:N)</f>
        <v>8</v>
      </c>
      <c r="M1005">
        <f t="shared" si="220"/>
        <v>24</v>
      </c>
      <c r="N1005" t="b">
        <f>_xlfn.XLOOKUP(D1005,BugList!C:C,BugList!L:L)</f>
        <v>0</v>
      </c>
      <c r="O1005" t="b">
        <f t="shared" si="221"/>
        <v>0</v>
      </c>
      <c r="P1005" s="18" t="b">
        <f>SUMPRODUCT(COUNTIF(_xlfn.XLOOKUP(D1005,BugList!C:C,BugList!P:P), "*SC*"))&gt;0</f>
        <v>0</v>
      </c>
    </row>
    <row r="1006" spans="1:16">
      <c r="A1006" t="s">
        <v>2830</v>
      </c>
      <c r="B1006">
        <v>461</v>
      </c>
      <c r="C1006" s="34" t="s">
        <v>205</v>
      </c>
      <c r="D1006" s="34" t="s">
        <v>206</v>
      </c>
      <c r="E1006" s="83">
        <v>1</v>
      </c>
      <c r="F1006" s="43">
        <f t="shared" si="222"/>
        <v>0.74626865671641784</v>
      </c>
      <c r="G1006" s="44">
        <f t="shared" si="216"/>
        <v>0</v>
      </c>
      <c r="H1006" s="44">
        <f t="shared" si="217"/>
        <v>0.74626865671641784</v>
      </c>
      <c r="I1006" cm="1">
        <f t="array" ref="I1006">INT(F1006)+IF(100-SUM(INT(F$995:F$1006))&gt;=RANK(H1006,H$995:H$1006)+COUNTIF(H$995:H1006,H1006)-1,1,0)</f>
        <v>1</v>
      </c>
      <c r="J1006" t="b">
        <f t="shared" si="218"/>
        <v>0</v>
      </c>
      <c r="K1006" t="str">
        <f t="shared" si="219"/>
        <v/>
      </c>
      <c r="L1006" s="71">
        <v>8</v>
      </c>
      <c r="M1006">
        <f t="shared" si="220"/>
        <v>8</v>
      </c>
      <c r="N1006" s="71" t="b">
        <v>0</v>
      </c>
      <c r="O1006" t="b">
        <f t="shared" si="221"/>
        <v>0</v>
      </c>
      <c r="P1006" s="72" t="b">
        <v>0</v>
      </c>
    </row>
    <row r="1007" spans="1:16">
      <c r="A1007" t="s">
        <v>2831</v>
      </c>
      <c r="B1007">
        <v>471</v>
      </c>
      <c r="C1007" s="34" t="s">
        <v>200</v>
      </c>
      <c r="D1007" s="34" t="s">
        <v>98</v>
      </c>
      <c r="E1007" s="83">
        <v>10</v>
      </c>
      <c r="F1007" s="43"/>
      <c r="G1007" s="44"/>
      <c r="H1007" s="44"/>
      <c r="J1007" t="b">
        <f t="shared" si="218"/>
        <v>0</v>
      </c>
      <c r="K1007" t="str">
        <f t="shared" si="219"/>
        <v/>
      </c>
      <c r="L1007">
        <f>_xlfn.XLOOKUP(D1007,BugList!C:C,BugList!N:N)</f>
        <v>4</v>
      </c>
      <c r="N1007" t="b">
        <f>_xlfn.XLOOKUP(D1007,BugList!C:C,BugList!L:L)</f>
        <v>1</v>
      </c>
      <c r="O1007" t="b">
        <f t="shared" si="221"/>
        <v>0</v>
      </c>
      <c r="P1007" s="18" t="b">
        <f>SUMPRODUCT(COUNTIF(_xlfn.XLOOKUP(D1007,BugList!C:C,BugList!P:P), "*SC*"))&gt;0</f>
        <v>1</v>
      </c>
    </row>
    <row r="1008" spans="1:16">
      <c r="A1008" t="s">
        <v>2831</v>
      </c>
      <c r="B1008">
        <v>471</v>
      </c>
      <c r="C1008" s="34" t="s">
        <v>200</v>
      </c>
      <c r="D1008" s="34" t="s">
        <v>100</v>
      </c>
      <c r="E1008" s="83">
        <v>12</v>
      </c>
      <c r="F1008" s="43"/>
      <c r="G1008" s="44"/>
      <c r="H1008" s="44"/>
      <c r="J1008" t="b">
        <f t="shared" si="218"/>
        <v>0</v>
      </c>
      <c r="K1008" t="str">
        <f t="shared" si="219"/>
        <v/>
      </c>
      <c r="L1008">
        <f>_xlfn.XLOOKUP(D1008,BugList!C:C,BugList!N:N)</f>
        <v>4</v>
      </c>
      <c r="N1008" t="b">
        <f>_xlfn.XLOOKUP(D1008,BugList!C:C,BugList!L:L)</f>
        <v>1</v>
      </c>
      <c r="O1008" t="b">
        <f t="shared" si="221"/>
        <v>0</v>
      </c>
      <c r="P1008" s="18" t="b">
        <f>SUMPRODUCT(COUNTIF(_xlfn.XLOOKUP(D1008,BugList!C:C,BugList!P:P), "*SC*"))&gt;0</f>
        <v>1</v>
      </c>
    </row>
    <row r="1009" spans="1:16">
      <c r="A1009" t="s">
        <v>2831</v>
      </c>
      <c r="B1009">
        <v>471</v>
      </c>
      <c r="C1009" s="34" t="s">
        <v>194</v>
      </c>
      <c r="D1009" s="34" t="s">
        <v>90</v>
      </c>
      <c r="E1009" s="83">
        <v>2</v>
      </c>
      <c r="F1009" s="43"/>
      <c r="G1009" s="44"/>
      <c r="H1009" s="44"/>
      <c r="J1009" t="b">
        <f t="shared" si="218"/>
        <v>0</v>
      </c>
      <c r="K1009" t="str">
        <f t="shared" si="219"/>
        <v/>
      </c>
      <c r="L1009">
        <f>_xlfn.XLOOKUP(D1009,BugList!C:C,BugList!N:N)</f>
        <v>6</v>
      </c>
      <c r="N1009" t="b">
        <f>_xlfn.XLOOKUP(D1009,BugList!C:C,BugList!L:L)</f>
        <v>1</v>
      </c>
      <c r="O1009" t="b">
        <f t="shared" si="221"/>
        <v>0</v>
      </c>
      <c r="P1009" s="18" t="b">
        <f>SUMPRODUCT(COUNTIF(_xlfn.XLOOKUP(D1009,BugList!C:C,BugList!P:P), "*SC*"))&gt;0</f>
        <v>0</v>
      </c>
    </row>
    <row r="1010" spans="1:16">
      <c r="A1010" t="s">
        <v>2831</v>
      </c>
      <c r="B1010">
        <v>471</v>
      </c>
      <c r="C1010" s="34" t="s">
        <v>199</v>
      </c>
      <c r="D1010" s="34" t="s">
        <v>151</v>
      </c>
      <c r="E1010" s="83">
        <v>3</v>
      </c>
      <c r="F1010" s="43"/>
      <c r="G1010" s="44"/>
      <c r="H1010" s="44"/>
      <c r="J1010" t="b">
        <f t="shared" si="218"/>
        <v>1</v>
      </c>
      <c r="K1010" t="str">
        <f t="shared" si="219"/>
        <v>Ephemeroptera</v>
      </c>
      <c r="L1010">
        <f>_xlfn.XLOOKUP(D1010,BugList!C:C,BugList!N:N)</f>
        <v>1</v>
      </c>
      <c r="N1010" t="b">
        <f>_xlfn.XLOOKUP(D1010,BugList!C:C,BugList!L:L)</f>
        <v>1</v>
      </c>
      <c r="O1010" t="b">
        <f t="shared" si="221"/>
        <v>1</v>
      </c>
      <c r="P1010" s="18" t="b">
        <f>SUMPRODUCT(COUNTIF(_xlfn.XLOOKUP(D1010,BugList!C:C,BugList!P:P), "*SC*"))&gt;0</f>
        <v>0</v>
      </c>
    </row>
    <row r="1011" spans="1:16">
      <c r="A1011" t="s">
        <v>2831</v>
      </c>
      <c r="B1011">
        <v>471</v>
      </c>
      <c r="C1011" s="34" t="s">
        <v>199</v>
      </c>
      <c r="D1011" s="34" t="s">
        <v>111</v>
      </c>
      <c r="E1011" s="83">
        <v>1</v>
      </c>
      <c r="F1011" s="43"/>
      <c r="G1011" s="44"/>
      <c r="H1011" s="44"/>
      <c r="J1011" t="b">
        <f t="shared" si="218"/>
        <v>1</v>
      </c>
      <c r="K1011" t="str">
        <f t="shared" si="219"/>
        <v>Ephemeroptera</v>
      </c>
      <c r="L1011">
        <f>_xlfn.XLOOKUP(D1011,BugList!C:C,BugList!N:N)</f>
        <v>4</v>
      </c>
      <c r="N1011" t="b">
        <f>_xlfn.XLOOKUP(D1011,BugList!C:C,BugList!L:L)</f>
        <v>1</v>
      </c>
      <c r="O1011" t="b">
        <f t="shared" si="221"/>
        <v>1</v>
      </c>
      <c r="P1011" s="18" t="b">
        <f>SUMPRODUCT(COUNTIF(_xlfn.XLOOKUP(D1011,BugList!C:C,BugList!P:P), "*SC*"))&gt;0</f>
        <v>0</v>
      </c>
    </row>
    <row r="1012" spans="1:16">
      <c r="A1012" t="s">
        <v>2831</v>
      </c>
      <c r="B1012">
        <v>471</v>
      </c>
      <c r="C1012" s="34" t="s">
        <v>195</v>
      </c>
      <c r="D1012" s="34" t="s">
        <v>97</v>
      </c>
      <c r="E1012" s="83">
        <v>2</v>
      </c>
      <c r="F1012" s="43"/>
      <c r="G1012" s="44"/>
      <c r="H1012" s="44"/>
      <c r="J1012" t="b">
        <f t="shared" si="218"/>
        <v>0</v>
      </c>
      <c r="K1012" t="str">
        <f t="shared" si="219"/>
        <v/>
      </c>
      <c r="L1012">
        <f>_xlfn.XLOOKUP(D1012,BugList!C:C,BugList!N:N)</f>
        <v>9</v>
      </c>
      <c r="N1012" t="b">
        <f>_xlfn.XLOOKUP(D1012,BugList!C:C,BugList!L:L)</f>
        <v>1</v>
      </c>
      <c r="O1012" t="b">
        <f t="shared" si="221"/>
        <v>0</v>
      </c>
      <c r="P1012" s="18" t="b">
        <f>SUMPRODUCT(COUNTIF(_xlfn.XLOOKUP(D1012,BugList!C:C,BugList!P:P), "*SC*"))&gt;0</f>
        <v>0</v>
      </c>
    </row>
    <row r="1013" spans="1:16">
      <c r="A1013" t="s">
        <v>2831</v>
      </c>
      <c r="B1013">
        <v>471</v>
      </c>
      <c r="C1013" s="34" t="s">
        <v>195</v>
      </c>
      <c r="D1013" s="34" t="s">
        <v>113</v>
      </c>
      <c r="E1013" s="83">
        <v>1</v>
      </c>
      <c r="F1013" s="43"/>
      <c r="G1013" s="44"/>
      <c r="H1013" s="44"/>
      <c r="J1013" t="b">
        <f t="shared" si="218"/>
        <v>0</v>
      </c>
      <c r="K1013" t="str">
        <f t="shared" si="219"/>
        <v/>
      </c>
      <c r="L1013">
        <f>_xlfn.XLOOKUP(D1013,BugList!C:C,BugList!N:N)</f>
        <v>1</v>
      </c>
      <c r="N1013" t="b">
        <f>_xlfn.XLOOKUP(D1013,BugList!C:C,BugList!L:L)</f>
        <v>1</v>
      </c>
      <c r="O1013" t="b">
        <f t="shared" si="221"/>
        <v>0</v>
      </c>
      <c r="P1013" s="18" t="b">
        <f>SUMPRODUCT(COUNTIF(_xlfn.XLOOKUP(D1013,BugList!C:C,BugList!P:P), "*SC*"))&gt;0</f>
        <v>0</v>
      </c>
    </row>
    <row r="1014" spans="1:16">
      <c r="A1014" t="s">
        <v>2831</v>
      </c>
      <c r="B1014">
        <v>471</v>
      </c>
      <c r="C1014" s="34" t="s">
        <v>198</v>
      </c>
      <c r="D1014" s="34" t="s">
        <v>89</v>
      </c>
      <c r="E1014" s="83">
        <v>37</v>
      </c>
      <c r="F1014" s="43"/>
      <c r="G1014" s="44"/>
      <c r="H1014" s="44"/>
      <c r="J1014" t="b">
        <f t="shared" si="218"/>
        <v>1</v>
      </c>
      <c r="K1014" t="str">
        <f t="shared" si="219"/>
        <v>Trichoptera</v>
      </c>
      <c r="L1014">
        <f>_xlfn.XLOOKUP(D1014,BugList!C:C,BugList!N:N)</f>
        <v>4</v>
      </c>
      <c r="N1014" t="b">
        <f>_xlfn.XLOOKUP(D1014,BugList!C:C,BugList!L:L)</f>
        <v>1</v>
      </c>
      <c r="O1014" t="b">
        <f t="shared" si="221"/>
        <v>0</v>
      </c>
      <c r="P1014" s="18" t="b">
        <f>SUMPRODUCT(COUNTIF(_xlfn.XLOOKUP(D1014,BugList!C:C,BugList!P:P), "*SC*"))&gt;0</f>
        <v>0</v>
      </c>
    </row>
    <row r="1015" spans="1:16">
      <c r="A1015" t="s">
        <v>2831</v>
      </c>
      <c r="B1015">
        <v>471</v>
      </c>
      <c r="C1015" s="34" t="s">
        <v>198</v>
      </c>
      <c r="D1015" s="34" t="s">
        <v>107</v>
      </c>
      <c r="E1015" s="83">
        <v>2</v>
      </c>
      <c r="F1015" s="43"/>
      <c r="G1015" s="44"/>
      <c r="H1015" s="44"/>
      <c r="J1015" t="b">
        <f t="shared" si="218"/>
        <v>1</v>
      </c>
      <c r="K1015" t="str">
        <f t="shared" si="219"/>
        <v>Trichoptera</v>
      </c>
      <c r="L1015">
        <f>_xlfn.XLOOKUP(D1015,BugList!C:C,BugList!N:N)</f>
        <v>3</v>
      </c>
      <c r="N1015" t="b">
        <f>_xlfn.XLOOKUP(D1015,BugList!C:C,BugList!L:L)</f>
        <v>1</v>
      </c>
      <c r="O1015" t="b">
        <f t="shared" si="221"/>
        <v>1</v>
      </c>
      <c r="P1015" s="18" t="b">
        <f>SUMPRODUCT(COUNTIF(_xlfn.XLOOKUP(D1015,BugList!C:C,BugList!P:P), "*SC*"))&gt;0</f>
        <v>0</v>
      </c>
    </row>
    <row r="1016" spans="1:16">
      <c r="A1016" t="s">
        <v>2831</v>
      </c>
      <c r="B1016">
        <v>471</v>
      </c>
      <c r="C1016" s="34" t="s">
        <v>201</v>
      </c>
      <c r="D1016" s="34" t="s">
        <v>85</v>
      </c>
      <c r="E1016" s="83">
        <v>2</v>
      </c>
      <c r="F1016" s="43"/>
      <c r="G1016" s="44"/>
      <c r="H1016" s="44"/>
      <c r="J1016" t="b">
        <f t="shared" si="218"/>
        <v>0</v>
      </c>
      <c r="K1016" t="str">
        <f t="shared" si="219"/>
        <v/>
      </c>
      <c r="L1016">
        <f>_xlfn.XLOOKUP(D1016,BugList!C:C,BugList!N:N)</f>
        <v>4</v>
      </c>
      <c r="N1016" t="b">
        <f>_xlfn.XLOOKUP(D1016,BugList!C:C,BugList!L:L)</f>
        <v>0</v>
      </c>
      <c r="O1016" t="b">
        <f t="shared" si="221"/>
        <v>0</v>
      </c>
      <c r="P1016" s="18" t="b">
        <f>SUMPRODUCT(COUNTIF(_xlfn.XLOOKUP(D1016,BugList!C:C,BugList!P:P), "*SC*"))&gt;0</f>
        <v>0</v>
      </c>
    </row>
    <row r="1017" spans="1:16">
      <c r="A1017" t="s">
        <v>2831</v>
      </c>
      <c r="B1017">
        <v>471</v>
      </c>
      <c r="C1017" s="34" t="s">
        <v>210</v>
      </c>
      <c r="D1017" s="34" t="s">
        <v>92</v>
      </c>
      <c r="E1017" s="83">
        <v>1</v>
      </c>
      <c r="F1017" s="43"/>
      <c r="G1017" s="44"/>
      <c r="H1017" s="44"/>
      <c r="J1017" t="b">
        <f t="shared" si="218"/>
        <v>0</v>
      </c>
      <c r="K1017" t="str">
        <f t="shared" si="219"/>
        <v/>
      </c>
      <c r="L1017">
        <f>_xlfn.XLOOKUP(D1017,BugList!C:C,BugList!N:N)</f>
        <v>8</v>
      </c>
      <c r="N1017" t="b">
        <f>_xlfn.XLOOKUP(D1017,BugList!C:C,BugList!L:L)</f>
        <v>0</v>
      </c>
      <c r="O1017" t="b">
        <f t="shared" si="221"/>
        <v>0</v>
      </c>
      <c r="P1017" s="18" t="b">
        <f>SUMPRODUCT(COUNTIF(_xlfn.XLOOKUP(D1017,BugList!C:C,BugList!P:P), "*SC*"))&gt;0</f>
        <v>0</v>
      </c>
    </row>
    <row r="1018" spans="1:16">
      <c r="A1018" t="s">
        <v>2831</v>
      </c>
      <c r="B1018">
        <v>471</v>
      </c>
      <c r="C1018" s="34" t="s">
        <v>210</v>
      </c>
      <c r="D1018" s="34" t="s">
        <v>93</v>
      </c>
      <c r="E1018" s="83">
        <v>1</v>
      </c>
      <c r="F1018" s="43"/>
      <c r="G1018" s="44"/>
      <c r="H1018" s="44"/>
      <c r="J1018" t="b">
        <f t="shared" si="218"/>
        <v>0</v>
      </c>
      <c r="K1018" t="str">
        <f t="shared" si="219"/>
        <v/>
      </c>
      <c r="L1018">
        <f>_xlfn.XLOOKUP(D1018,BugList!C:C,BugList!N:N)</f>
        <v>8</v>
      </c>
      <c r="N1018" t="b">
        <f>_xlfn.XLOOKUP(D1018,BugList!C:C,BugList!L:L)</f>
        <v>0</v>
      </c>
      <c r="O1018" t="b">
        <f t="shared" si="221"/>
        <v>0</v>
      </c>
      <c r="P1018" s="18" t="b">
        <f>SUMPRODUCT(COUNTIF(_xlfn.XLOOKUP(D1018,BugList!C:C,BugList!P:P), "*SC*"))&gt;0</f>
        <v>0</v>
      </c>
    </row>
    <row r="1019" spans="1:16">
      <c r="A1019" t="s">
        <v>2831</v>
      </c>
      <c r="B1019">
        <v>471</v>
      </c>
      <c r="C1019" s="34" t="s">
        <v>205</v>
      </c>
      <c r="D1019" s="34" t="s">
        <v>206</v>
      </c>
      <c r="E1019" s="83">
        <v>6</v>
      </c>
      <c r="F1019" s="43"/>
      <c r="G1019" s="44"/>
      <c r="H1019" s="44"/>
      <c r="J1019" t="b">
        <f t="shared" si="218"/>
        <v>0</v>
      </c>
      <c r="K1019" t="str">
        <f t="shared" si="219"/>
        <v/>
      </c>
      <c r="L1019" s="71">
        <v>8</v>
      </c>
      <c r="N1019" s="71" t="b">
        <v>0</v>
      </c>
      <c r="O1019" t="b">
        <f t="shared" si="221"/>
        <v>0</v>
      </c>
      <c r="P1019" s="72" t="b">
        <v>0</v>
      </c>
    </row>
    <row r="1020" spans="1:16">
      <c r="A1020" t="s">
        <v>2831</v>
      </c>
      <c r="B1020">
        <v>471</v>
      </c>
      <c r="C1020" s="34" t="s">
        <v>94</v>
      </c>
      <c r="D1020" s="34" t="s">
        <v>94</v>
      </c>
      <c r="E1020" s="83">
        <v>3</v>
      </c>
      <c r="F1020" s="43"/>
      <c r="G1020" s="44"/>
      <c r="H1020" s="44"/>
      <c r="J1020" t="b">
        <f t="shared" si="218"/>
        <v>0</v>
      </c>
      <c r="K1020" t="str">
        <f t="shared" si="219"/>
        <v/>
      </c>
      <c r="L1020">
        <f>_xlfn.XLOOKUP(D1020,BugList!C:C,BugList!N:N)</f>
        <v>8</v>
      </c>
      <c r="N1020" t="b">
        <f>_xlfn.XLOOKUP(D1020,BugList!C:C,BugList!L:L)</f>
        <v>0</v>
      </c>
      <c r="O1020" t="b">
        <f t="shared" si="221"/>
        <v>0</v>
      </c>
      <c r="P1020" s="18" t="b">
        <f>SUMPRODUCT(COUNTIF(_xlfn.XLOOKUP(D1020,BugList!C:C,BugList!P:P), "*SC*"))&gt;0</f>
        <v>0</v>
      </c>
    </row>
    <row r="1021" spans="1:16">
      <c r="A1021" t="s">
        <v>2832</v>
      </c>
      <c r="B1021">
        <v>480</v>
      </c>
      <c r="C1021" s="34" t="s">
        <v>200</v>
      </c>
      <c r="D1021" s="34" t="s">
        <v>98</v>
      </c>
      <c r="E1021" s="83">
        <v>2</v>
      </c>
      <c r="F1021" s="43">
        <f t="shared" ref="F1021:F1054" si="223">(E1021/(SUMIFS(E:E,A:A,A1021))*100)</f>
        <v>1.4184397163120568</v>
      </c>
      <c r="G1021" s="44">
        <f t="shared" si="216"/>
        <v>1</v>
      </c>
      <c r="H1021" s="44">
        <f t="shared" si="217"/>
        <v>0.41843971631205679</v>
      </c>
      <c r="I1021" cm="1">
        <f t="array" ref="I1021">INT(F1021)+IF(100-SUM(INT(F$1021:F$1031))&gt;=RANK(H1021,H$1021:H$1031)+COUNTIF(H$1021:H1021,H1021)-1,1,0)</f>
        <v>2</v>
      </c>
      <c r="J1021" t="b">
        <f t="shared" si="218"/>
        <v>0</v>
      </c>
      <c r="K1021" t="str">
        <f t="shared" si="219"/>
        <v/>
      </c>
      <c r="L1021">
        <f>_xlfn.XLOOKUP(D1021,BugList!C:C,BugList!N:N)</f>
        <v>4</v>
      </c>
      <c r="M1021">
        <f t="shared" si="220"/>
        <v>8</v>
      </c>
      <c r="N1021" t="b">
        <f>_xlfn.XLOOKUP(D1021,BugList!C:C,BugList!L:L)</f>
        <v>1</v>
      </c>
      <c r="O1021" t="b">
        <f t="shared" si="221"/>
        <v>0</v>
      </c>
      <c r="P1021" s="18" t="b">
        <f>SUMPRODUCT(COUNTIF(_xlfn.XLOOKUP(D1021,BugList!C:C,BugList!P:P), "*SC*"))&gt;0</f>
        <v>1</v>
      </c>
    </row>
    <row r="1022" spans="1:16">
      <c r="A1022" t="s">
        <v>2832</v>
      </c>
      <c r="B1022">
        <v>480</v>
      </c>
      <c r="C1022" s="34" t="s">
        <v>200</v>
      </c>
      <c r="D1022" s="34" t="s">
        <v>100</v>
      </c>
      <c r="E1022" s="83">
        <v>17</v>
      </c>
      <c r="F1022" s="43">
        <f t="shared" si="223"/>
        <v>12.056737588652481</v>
      </c>
      <c r="G1022" s="44">
        <f t="shared" si="216"/>
        <v>12</v>
      </c>
      <c r="H1022" s="44">
        <f t="shared" si="217"/>
        <v>5.6737588652481463E-2</v>
      </c>
      <c r="I1022" cm="1">
        <f t="array" ref="I1022">INT(F1022)+IF(100-SUM(INT(F$1021:F$1031))&gt;=RANK(H1022,H$1021:H$1031)+COUNTIF(H$1021:H1022,H1022)-1,1,0)</f>
        <v>12</v>
      </c>
      <c r="J1022" t="b">
        <f t="shared" si="218"/>
        <v>0</v>
      </c>
      <c r="K1022" t="str">
        <f t="shared" si="219"/>
        <v/>
      </c>
      <c r="L1022">
        <f>_xlfn.XLOOKUP(D1022,BugList!C:C,BugList!N:N)</f>
        <v>4</v>
      </c>
      <c r="M1022">
        <f t="shared" si="220"/>
        <v>48</v>
      </c>
      <c r="N1022" t="b">
        <f>_xlfn.XLOOKUP(D1022,BugList!C:C,BugList!L:L)</f>
        <v>1</v>
      </c>
      <c r="O1022" t="b">
        <f t="shared" si="221"/>
        <v>0</v>
      </c>
      <c r="P1022" s="18" t="b">
        <f>SUMPRODUCT(COUNTIF(_xlfn.XLOOKUP(D1022,BugList!C:C,BugList!P:P), "*SC*"))&gt;0</f>
        <v>1</v>
      </c>
    </row>
    <row r="1023" spans="1:16">
      <c r="A1023" t="s">
        <v>2832</v>
      </c>
      <c r="B1023">
        <v>480</v>
      </c>
      <c r="C1023" s="34" t="s">
        <v>194</v>
      </c>
      <c r="D1023" s="34" t="s">
        <v>174</v>
      </c>
      <c r="E1023" s="83">
        <v>1</v>
      </c>
      <c r="F1023" s="43">
        <f t="shared" si="223"/>
        <v>0.70921985815602839</v>
      </c>
      <c r="G1023" s="44">
        <f t="shared" si="216"/>
        <v>0</v>
      </c>
      <c r="H1023" s="44">
        <f t="shared" si="217"/>
        <v>0.70921985815602839</v>
      </c>
      <c r="I1023" cm="1">
        <f t="array" ref="I1023">INT(F1023)+IF(100-SUM(INT(F$1021:F$1031))&gt;=RANK(H1023,H$1021:H$1031)+COUNTIF(H$1021:H1023,H1023)-1,1,0)</f>
        <v>1</v>
      </c>
      <c r="J1023" t="b">
        <f t="shared" si="218"/>
        <v>0</v>
      </c>
      <c r="K1023" t="str">
        <f t="shared" si="219"/>
        <v/>
      </c>
      <c r="L1023">
        <f>_xlfn.XLOOKUP(D1023,BugList!C:C,BugList!N:N)</f>
        <v>5</v>
      </c>
      <c r="M1023">
        <f t="shared" si="220"/>
        <v>5</v>
      </c>
      <c r="N1023" t="b">
        <f>_xlfn.XLOOKUP(D1023,BugList!C:C,BugList!L:L)</f>
        <v>1</v>
      </c>
      <c r="O1023" t="b">
        <f t="shared" si="221"/>
        <v>0</v>
      </c>
      <c r="P1023" s="18" t="b">
        <f>SUMPRODUCT(COUNTIF(_xlfn.XLOOKUP(D1023,BugList!C:C,BugList!P:P), "*SC*"))&gt;0</f>
        <v>0</v>
      </c>
    </row>
    <row r="1024" spans="1:16">
      <c r="A1024" t="s">
        <v>2832</v>
      </c>
      <c r="B1024">
        <v>480</v>
      </c>
      <c r="C1024" s="34" t="s">
        <v>195</v>
      </c>
      <c r="D1024" s="34" t="s">
        <v>97</v>
      </c>
      <c r="E1024" s="83">
        <v>6</v>
      </c>
      <c r="F1024" s="43">
        <f t="shared" si="223"/>
        <v>4.2553191489361701</v>
      </c>
      <c r="G1024" s="44">
        <f t="shared" si="216"/>
        <v>4</v>
      </c>
      <c r="H1024" s="44">
        <f t="shared" si="217"/>
        <v>0.25531914893617014</v>
      </c>
      <c r="I1024" cm="1">
        <f t="array" ref="I1024">INT(F1024)+IF(100-SUM(INT(F$1021:F$1031))&gt;=RANK(H1024,H$1021:H$1031)+COUNTIF(H$1021:H1024,H1024)-1,1,0)</f>
        <v>4</v>
      </c>
      <c r="J1024" t="b">
        <f t="shared" si="218"/>
        <v>0</v>
      </c>
      <c r="K1024" t="str">
        <f t="shared" si="219"/>
        <v/>
      </c>
      <c r="L1024">
        <f>_xlfn.XLOOKUP(D1024,BugList!C:C,BugList!N:N)</f>
        <v>9</v>
      </c>
      <c r="M1024">
        <f t="shared" si="220"/>
        <v>36</v>
      </c>
      <c r="N1024" t="b">
        <f>_xlfn.XLOOKUP(D1024,BugList!C:C,BugList!L:L)</f>
        <v>1</v>
      </c>
      <c r="O1024" t="b">
        <f t="shared" si="221"/>
        <v>0</v>
      </c>
      <c r="P1024" s="18" t="b">
        <f>SUMPRODUCT(COUNTIF(_xlfn.XLOOKUP(D1024,BugList!C:C,BugList!P:P), "*SC*"))&gt;0</f>
        <v>0</v>
      </c>
    </row>
    <row r="1025" spans="1:16">
      <c r="A1025" t="s">
        <v>2832</v>
      </c>
      <c r="B1025">
        <v>480</v>
      </c>
      <c r="C1025" s="34" t="s">
        <v>198</v>
      </c>
      <c r="D1025" s="34" t="s">
        <v>89</v>
      </c>
      <c r="E1025" s="83">
        <v>32</v>
      </c>
      <c r="F1025" s="43">
        <f t="shared" si="223"/>
        <v>22.695035460992909</v>
      </c>
      <c r="G1025" s="44">
        <f t="shared" si="216"/>
        <v>22</v>
      </c>
      <c r="H1025" s="44">
        <f t="shared" si="217"/>
        <v>0.69503546099290858</v>
      </c>
      <c r="I1025" cm="1">
        <f t="array" ref="I1025">INT(F1025)+IF(100-SUM(INT(F$1021:F$1031))&gt;=RANK(H1025,H$1021:H$1031)+COUNTIF(H$1021:H1025,H1025)-1,1,0)</f>
        <v>23</v>
      </c>
      <c r="J1025" t="b">
        <f t="shared" si="218"/>
        <v>1</v>
      </c>
      <c r="K1025" t="str">
        <f t="shared" si="219"/>
        <v>Trichoptera</v>
      </c>
      <c r="L1025">
        <f>_xlfn.XLOOKUP(D1025,BugList!C:C,BugList!N:N)</f>
        <v>4</v>
      </c>
      <c r="M1025">
        <f t="shared" si="220"/>
        <v>92</v>
      </c>
      <c r="N1025" t="b">
        <f>_xlfn.XLOOKUP(D1025,BugList!C:C,BugList!L:L)</f>
        <v>1</v>
      </c>
      <c r="O1025" t="b">
        <f t="shared" si="221"/>
        <v>0</v>
      </c>
      <c r="P1025" s="18" t="b">
        <f>SUMPRODUCT(COUNTIF(_xlfn.XLOOKUP(D1025,BugList!C:C,BugList!P:P), "*SC*"))&gt;0</f>
        <v>0</v>
      </c>
    </row>
    <row r="1026" spans="1:16">
      <c r="A1026" t="s">
        <v>2832</v>
      </c>
      <c r="B1026">
        <v>480</v>
      </c>
      <c r="C1026" s="34" t="s">
        <v>198</v>
      </c>
      <c r="D1026" s="34" t="s">
        <v>107</v>
      </c>
      <c r="E1026" s="83">
        <v>44</v>
      </c>
      <c r="F1026" s="43">
        <f t="shared" si="223"/>
        <v>31.205673758865249</v>
      </c>
      <c r="G1026" s="44">
        <f t="shared" si="216"/>
        <v>31</v>
      </c>
      <c r="H1026" s="44">
        <f t="shared" si="217"/>
        <v>0.20567375886524886</v>
      </c>
      <c r="I1026" cm="1">
        <f t="array" ref="I1026">INT(F1026)+IF(100-SUM(INT(F$1021:F$1031))&gt;=RANK(H1026,H$1021:H$1031)+COUNTIF(H$1021:H1026,H1026)-1,1,0)</f>
        <v>31</v>
      </c>
      <c r="J1026" t="b">
        <f t="shared" si="218"/>
        <v>1</v>
      </c>
      <c r="K1026" t="str">
        <f t="shared" si="219"/>
        <v>Trichoptera</v>
      </c>
      <c r="L1026">
        <f>_xlfn.XLOOKUP(D1026,BugList!C:C,BugList!N:N)</f>
        <v>3</v>
      </c>
      <c r="M1026">
        <f t="shared" si="220"/>
        <v>93</v>
      </c>
      <c r="N1026" t="b">
        <f>_xlfn.XLOOKUP(D1026,BugList!C:C,BugList!L:L)</f>
        <v>1</v>
      </c>
      <c r="O1026" t="b">
        <f t="shared" si="221"/>
        <v>1</v>
      </c>
      <c r="P1026" s="18" t="b">
        <f>SUMPRODUCT(COUNTIF(_xlfn.XLOOKUP(D1026,BugList!C:C,BugList!P:P), "*SC*"))&gt;0</f>
        <v>0</v>
      </c>
    </row>
    <row r="1027" spans="1:16">
      <c r="A1027" t="s">
        <v>2832</v>
      </c>
      <c r="B1027">
        <v>480</v>
      </c>
      <c r="C1027" s="34" t="s">
        <v>201</v>
      </c>
      <c r="D1027" s="34" t="s">
        <v>85</v>
      </c>
      <c r="E1027" s="83">
        <v>4</v>
      </c>
      <c r="F1027" s="43">
        <f t="shared" si="223"/>
        <v>2.8368794326241136</v>
      </c>
      <c r="G1027" s="44">
        <f t="shared" si="216"/>
        <v>2</v>
      </c>
      <c r="H1027" s="44">
        <f t="shared" si="217"/>
        <v>0.83687943262411357</v>
      </c>
      <c r="I1027" cm="1">
        <f t="array" ref="I1027">INT(F1027)+IF(100-SUM(INT(F$1021:F$1031))&gt;=RANK(H1027,H$1021:H$1031)+COUNTIF(H$1021:H1027,H1027)-1,1,0)</f>
        <v>3</v>
      </c>
      <c r="J1027" t="b">
        <f t="shared" si="218"/>
        <v>0</v>
      </c>
      <c r="K1027" t="str">
        <f t="shared" si="219"/>
        <v/>
      </c>
      <c r="L1027">
        <f>_xlfn.XLOOKUP(D1027,BugList!C:C,BugList!N:N)</f>
        <v>4</v>
      </c>
      <c r="M1027">
        <f t="shared" si="220"/>
        <v>12</v>
      </c>
      <c r="N1027" t="b">
        <f>_xlfn.XLOOKUP(D1027,BugList!C:C,BugList!L:L)</f>
        <v>0</v>
      </c>
      <c r="O1027" t="b">
        <f t="shared" si="221"/>
        <v>0</v>
      </c>
      <c r="P1027" s="18" t="b">
        <f>SUMPRODUCT(COUNTIF(_xlfn.XLOOKUP(D1027,BugList!C:C,BugList!P:P), "*SC*"))&gt;0</f>
        <v>0</v>
      </c>
    </row>
    <row r="1028" spans="1:16">
      <c r="A1028" t="s">
        <v>2832</v>
      </c>
      <c r="B1028">
        <v>480</v>
      </c>
      <c r="C1028" s="34" t="s">
        <v>202</v>
      </c>
      <c r="D1028" s="34" t="s">
        <v>203</v>
      </c>
      <c r="E1028" s="83">
        <v>1</v>
      </c>
      <c r="F1028" s="43">
        <f t="shared" si="223"/>
        <v>0.70921985815602839</v>
      </c>
      <c r="G1028" s="44">
        <f t="shared" si="216"/>
        <v>0</v>
      </c>
      <c r="H1028" s="44">
        <f t="shared" si="217"/>
        <v>0.70921985815602839</v>
      </c>
      <c r="I1028" cm="1">
        <f t="array" ref="I1028">INT(F1028)+IF(100-SUM(INT(F$1021:F$1031))&gt;=RANK(H1028,H$1021:H$1031)+COUNTIF(H$1021:H1028,H1028)-1,1,0)</f>
        <v>1</v>
      </c>
      <c r="J1028" t="b">
        <f t="shared" si="218"/>
        <v>0</v>
      </c>
      <c r="K1028" t="str">
        <f t="shared" si="219"/>
        <v/>
      </c>
      <c r="L1028" s="71">
        <v>5</v>
      </c>
      <c r="M1028">
        <f t="shared" si="220"/>
        <v>5</v>
      </c>
      <c r="N1028" s="71" t="b">
        <v>0</v>
      </c>
      <c r="O1028" t="b">
        <f t="shared" si="221"/>
        <v>0</v>
      </c>
      <c r="P1028" s="72" t="b">
        <v>0</v>
      </c>
    </row>
    <row r="1029" spans="1:16">
      <c r="A1029" t="s">
        <v>2832</v>
      </c>
      <c r="B1029">
        <v>480</v>
      </c>
      <c r="C1029" s="34" t="s">
        <v>210</v>
      </c>
      <c r="D1029" s="34" t="s">
        <v>92</v>
      </c>
      <c r="E1029" s="83">
        <v>2</v>
      </c>
      <c r="F1029" s="43">
        <f t="shared" si="223"/>
        <v>1.4184397163120568</v>
      </c>
      <c r="G1029" s="44">
        <f t="shared" si="216"/>
        <v>1</v>
      </c>
      <c r="H1029" s="44">
        <f t="shared" si="217"/>
        <v>0.41843971631205679</v>
      </c>
      <c r="I1029" cm="1">
        <f t="array" ref="I1029">INT(F1029)+IF(100-SUM(INT(F$1021:F$1031))&gt;=RANK(H1029,H$1021:H$1031)+COUNTIF(H$1021:H1029,H1029)-1,1,0)</f>
        <v>1</v>
      </c>
      <c r="J1029" t="b">
        <f t="shared" si="218"/>
        <v>0</v>
      </c>
      <c r="K1029" t="str">
        <f t="shared" si="219"/>
        <v/>
      </c>
      <c r="L1029">
        <f>_xlfn.XLOOKUP(D1029,BugList!C:C,BugList!N:N)</f>
        <v>8</v>
      </c>
      <c r="M1029">
        <f t="shared" si="220"/>
        <v>8</v>
      </c>
      <c r="N1029" t="b">
        <f>_xlfn.XLOOKUP(D1029,BugList!C:C,BugList!L:L)</f>
        <v>0</v>
      </c>
      <c r="O1029" t="b">
        <f t="shared" si="221"/>
        <v>0</v>
      </c>
      <c r="P1029" s="18" t="b">
        <f>SUMPRODUCT(COUNTIF(_xlfn.XLOOKUP(D1029,BugList!C:C,BugList!P:P), "*SC*"))&gt;0</f>
        <v>0</v>
      </c>
    </row>
    <row r="1030" spans="1:16">
      <c r="A1030" t="s">
        <v>2832</v>
      </c>
      <c r="B1030">
        <v>480</v>
      </c>
      <c r="C1030" s="34" t="s">
        <v>205</v>
      </c>
      <c r="D1030" s="34" t="s">
        <v>206</v>
      </c>
      <c r="E1030" s="83">
        <v>30</v>
      </c>
      <c r="F1030" s="43">
        <f t="shared" si="223"/>
        <v>21.276595744680851</v>
      </c>
      <c r="G1030" s="44">
        <f t="shared" si="216"/>
        <v>21</v>
      </c>
      <c r="H1030" s="44">
        <f t="shared" si="217"/>
        <v>0.27659574468085069</v>
      </c>
      <c r="I1030" cm="1">
        <f t="array" ref="I1030">INT(F1030)+IF(100-SUM(INT(F$1021:F$1031))&gt;=RANK(H1030,H$1021:H$1031)+COUNTIF(H$1021:H1030,H1030)-1,1,0)</f>
        <v>21</v>
      </c>
      <c r="J1030" t="b">
        <f t="shared" si="218"/>
        <v>0</v>
      </c>
      <c r="K1030" t="str">
        <f t="shared" si="219"/>
        <v/>
      </c>
      <c r="L1030" s="71">
        <v>8</v>
      </c>
      <c r="M1030">
        <f t="shared" si="220"/>
        <v>168</v>
      </c>
      <c r="N1030" s="71" t="b">
        <v>0</v>
      </c>
      <c r="O1030" t="b">
        <f t="shared" si="221"/>
        <v>0</v>
      </c>
      <c r="P1030" s="72" t="b">
        <v>0</v>
      </c>
    </row>
    <row r="1031" spans="1:16">
      <c r="A1031" t="s">
        <v>2832</v>
      </c>
      <c r="B1031">
        <v>480</v>
      </c>
      <c r="C1031" s="34" t="s">
        <v>94</v>
      </c>
      <c r="D1031" s="34" t="s">
        <v>94</v>
      </c>
      <c r="E1031" s="83">
        <v>2</v>
      </c>
      <c r="F1031" s="43">
        <f t="shared" si="223"/>
        <v>1.4184397163120568</v>
      </c>
      <c r="G1031" s="44">
        <f t="shared" si="216"/>
        <v>1</v>
      </c>
      <c r="H1031" s="44">
        <f t="shared" si="217"/>
        <v>0.41843971631205679</v>
      </c>
      <c r="I1031" cm="1">
        <f t="array" ref="I1031">INT(F1031)+IF(100-SUM(INT(F$1021:F$1031))&gt;=RANK(H1031,H$1021:H$1031)+COUNTIF(H$1021:H1031,H1031)-1,1,0)</f>
        <v>1</v>
      </c>
      <c r="J1031" t="b">
        <f t="shared" si="218"/>
        <v>0</v>
      </c>
      <c r="K1031" t="str">
        <f t="shared" si="219"/>
        <v/>
      </c>
      <c r="L1031">
        <f>_xlfn.XLOOKUP(D1031,BugList!C:C,BugList!N:N)</f>
        <v>8</v>
      </c>
      <c r="M1031">
        <f t="shared" si="220"/>
        <v>8</v>
      </c>
      <c r="N1031" t="b">
        <f>_xlfn.XLOOKUP(D1031,BugList!C:C,BugList!L:L)</f>
        <v>0</v>
      </c>
      <c r="O1031" t="b">
        <f t="shared" si="221"/>
        <v>0</v>
      </c>
      <c r="P1031" s="18" t="b">
        <f>SUMPRODUCT(COUNTIF(_xlfn.XLOOKUP(D1031,BugList!C:C,BugList!P:P), "*SC*"))&gt;0</f>
        <v>0</v>
      </c>
    </row>
    <row r="1032" spans="1:16">
      <c r="A1032" t="s">
        <v>2833</v>
      </c>
      <c r="B1032">
        <v>502</v>
      </c>
      <c r="C1032" s="34" t="s">
        <v>200</v>
      </c>
      <c r="D1032" s="34" t="s">
        <v>98</v>
      </c>
      <c r="E1032" s="83">
        <v>4</v>
      </c>
      <c r="F1032" s="43">
        <f t="shared" si="223"/>
        <v>2.6143790849673203</v>
      </c>
      <c r="G1032" s="44">
        <f t="shared" si="216"/>
        <v>2</v>
      </c>
      <c r="H1032" s="44">
        <f t="shared" si="217"/>
        <v>0.6143790849673203</v>
      </c>
      <c r="I1032" cm="1">
        <f t="array" ref="I1032">INT(F1032)+IF(100-SUM(INT(F$1032:F$1042))&gt;=RANK(H1032,H$1032:H$1042)+COUNTIF(H$1032:H1032,H1032)-1,1,0)</f>
        <v>2</v>
      </c>
      <c r="J1032" t="b">
        <f t="shared" si="218"/>
        <v>0</v>
      </c>
      <c r="K1032" t="str">
        <f t="shared" si="219"/>
        <v/>
      </c>
      <c r="L1032">
        <f>_xlfn.XLOOKUP(D1032,BugList!C:C,BugList!N:N)</f>
        <v>4</v>
      </c>
      <c r="M1032">
        <f t="shared" si="220"/>
        <v>8</v>
      </c>
      <c r="N1032" t="b">
        <f>_xlfn.XLOOKUP(D1032,BugList!C:C,BugList!L:L)</f>
        <v>1</v>
      </c>
      <c r="O1032" t="b">
        <f t="shared" si="221"/>
        <v>0</v>
      </c>
      <c r="P1032" s="18" t="b">
        <f>SUMPRODUCT(COUNTIF(_xlfn.XLOOKUP(D1032,BugList!C:C,BugList!P:P), "*SC*"))&gt;0</f>
        <v>1</v>
      </c>
    </row>
    <row r="1033" spans="1:16">
      <c r="A1033" t="s">
        <v>2833</v>
      </c>
      <c r="B1033">
        <v>502</v>
      </c>
      <c r="C1033" s="34" t="s">
        <v>200</v>
      </c>
      <c r="D1033" s="34" t="s">
        <v>100</v>
      </c>
      <c r="E1033" s="83">
        <v>15</v>
      </c>
      <c r="F1033" s="43">
        <f t="shared" si="223"/>
        <v>9.8039215686274517</v>
      </c>
      <c r="G1033" s="44">
        <f t="shared" si="216"/>
        <v>9</v>
      </c>
      <c r="H1033" s="44">
        <f t="shared" si="217"/>
        <v>0.80392156862745168</v>
      </c>
      <c r="I1033" cm="1">
        <f t="array" ref="I1033">INT(F1033)+IF(100-SUM(INT(F$1032:F$1042))&gt;=RANK(H1033,H$1032:H$1042)+COUNTIF(H$1032:H1033,H1033)-1,1,0)</f>
        <v>10</v>
      </c>
      <c r="J1033" t="b">
        <f t="shared" si="218"/>
        <v>0</v>
      </c>
      <c r="K1033" t="str">
        <f t="shared" si="219"/>
        <v/>
      </c>
      <c r="L1033">
        <f>_xlfn.XLOOKUP(D1033,BugList!C:C,BugList!N:N)</f>
        <v>4</v>
      </c>
      <c r="M1033">
        <f t="shared" si="220"/>
        <v>40</v>
      </c>
      <c r="N1033" t="b">
        <f>_xlfn.XLOOKUP(D1033,BugList!C:C,BugList!L:L)</f>
        <v>1</v>
      </c>
      <c r="O1033" t="b">
        <f t="shared" si="221"/>
        <v>0</v>
      </c>
      <c r="P1033" s="18" t="b">
        <f>SUMPRODUCT(COUNTIF(_xlfn.XLOOKUP(D1033,BugList!C:C,BugList!P:P), "*SC*"))&gt;0</f>
        <v>1</v>
      </c>
    </row>
    <row r="1034" spans="1:16">
      <c r="A1034" t="s">
        <v>2833</v>
      </c>
      <c r="B1034">
        <v>502</v>
      </c>
      <c r="C1034" s="34" t="s">
        <v>199</v>
      </c>
      <c r="D1034" s="34" t="s">
        <v>111</v>
      </c>
      <c r="E1034" s="83">
        <v>3</v>
      </c>
      <c r="F1034" s="43">
        <f t="shared" si="223"/>
        <v>1.9607843137254901</v>
      </c>
      <c r="G1034" s="44">
        <f t="shared" si="216"/>
        <v>1</v>
      </c>
      <c r="H1034" s="44">
        <f t="shared" si="217"/>
        <v>0.96078431372549011</v>
      </c>
      <c r="I1034" cm="1">
        <f t="array" ref="I1034">INT(F1034)+IF(100-SUM(INT(F$1032:F$1042))&gt;=RANK(H1034,H$1032:H$1042)+COUNTIF(H$1032:H1034,H1034)-1,1,0)</f>
        <v>2</v>
      </c>
      <c r="J1034" t="b">
        <f t="shared" si="218"/>
        <v>1</v>
      </c>
      <c r="K1034" t="str">
        <f t="shared" si="219"/>
        <v>Ephemeroptera</v>
      </c>
      <c r="L1034">
        <f>_xlfn.XLOOKUP(D1034,BugList!C:C,BugList!N:N)</f>
        <v>4</v>
      </c>
      <c r="M1034">
        <f t="shared" si="220"/>
        <v>8</v>
      </c>
      <c r="N1034" t="b">
        <f>_xlfn.XLOOKUP(D1034,BugList!C:C,BugList!L:L)</f>
        <v>1</v>
      </c>
      <c r="O1034" t="b">
        <f t="shared" si="221"/>
        <v>1</v>
      </c>
      <c r="P1034" s="18" t="b">
        <f>SUMPRODUCT(COUNTIF(_xlfn.XLOOKUP(D1034,BugList!C:C,BugList!P:P), "*SC*"))&gt;0</f>
        <v>0</v>
      </c>
    </row>
    <row r="1035" spans="1:16">
      <c r="A1035" t="s">
        <v>2833</v>
      </c>
      <c r="B1035">
        <v>502</v>
      </c>
      <c r="C1035" s="34" t="s">
        <v>195</v>
      </c>
      <c r="D1035" s="34" t="s">
        <v>97</v>
      </c>
      <c r="E1035" s="83">
        <v>1</v>
      </c>
      <c r="F1035" s="43">
        <f t="shared" si="223"/>
        <v>0.65359477124183007</v>
      </c>
      <c r="G1035" s="44">
        <f t="shared" si="216"/>
        <v>0</v>
      </c>
      <c r="H1035" s="44">
        <f t="shared" si="217"/>
        <v>0.65359477124183007</v>
      </c>
      <c r="I1035" cm="1">
        <f t="array" ref="I1035">INT(F1035)+IF(100-SUM(INT(F$1032:F$1042))&gt;=RANK(H1035,H$1032:H$1042)+COUNTIF(H$1032:H1035,H1035)-1,1,0)</f>
        <v>1</v>
      </c>
      <c r="J1035" t="b">
        <f t="shared" si="218"/>
        <v>0</v>
      </c>
      <c r="K1035" t="str">
        <f t="shared" si="219"/>
        <v/>
      </c>
      <c r="L1035">
        <f>_xlfn.XLOOKUP(D1035,BugList!C:C,BugList!N:N)</f>
        <v>9</v>
      </c>
      <c r="M1035">
        <f t="shared" si="220"/>
        <v>9</v>
      </c>
      <c r="N1035" t="b">
        <f>_xlfn.XLOOKUP(D1035,BugList!C:C,BugList!L:L)</f>
        <v>1</v>
      </c>
      <c r="O1035" t="b">
        <f t="shared" si="221"/>
        <v>0</v>
      </c>
      <c r="P1035" s="18" t="b">
        <f>SUMPRODUCT(COUNTIF(_xlfn.XLOOKUP(D1035,BugList!C:C,BugList!P:P), "*SC*"))&gt;0</f>
        <v>0</v>
      </c>
    </row>
    <row r="1036" spans="1:16">
      <c r="A1036" t="s">
        <v>2833</v>
      </c>
      <c r="B1036">
        <v>502</v>
      </c>
      <c r="C1036" s="34" t="s">
        <v>198</v>
      </c>
      <c r="D1036" s="34" t="s">
        <v>89</v>
      </c>
      <c r="E1036" s="83">
        <v>44</v>
      </c>
      <c r="F1036" s="43">
        <f t="shared" si="223"/>
        <v>28.75816993464052</v>
      </c>
      <c r="G1036" s="44">
        <f t="shared" si="216"/>
        <v>28</v>
      </c>
      <c r="H1036" s="44">
        <f t="shared" si="217"/>
        <v>0.75816993464052018</v>
      </c>
      <c r="I1036" cm="1">
        <f t="array" ref="I1036">INT(F1036)+IF(100-SUM(INT(F$1032:F$1042))&gt;=RANK(H1036,H$1032:H$1042)+COUNTIF(H$1032:H1036,H1036)-1,1,0)</f>
        <v>29</v>
      </c>
      <c r="J1036" t="b">
        <f t="shared" si="218"/>
        <v>1</v>
      </c>
      <c r="K1036" t="str">
        <f t="shared" si="219"/>
        <v>Trichoptera</v>
      </c>
      <c r="L1036">
        <f>_xlfn.XLOOKUP(D1036,BugList!C:C,BugList!N:N)</f>
        <v>4</v>
      </c>
      <c r="M1036">
        <f t="shared" si="220"/>
        <v>116</v>
      </c>
      <c r="N1036" t="b">
        <f>_xlfn.XLOOKUP(D1036,BugList!C:C,BugList!L:L)</f>
        <v>1</v>
      </c>
      <c r="O1036" t="b">
        <f t="shared" si="221"/>
        <v>0</v>
      </c>
      <c r="P1036" s="18" t="b">
        <f>SUMPRODUCT(COUNTIF(_xlfn.XLOOKUP(D1036,BugList!C:C,BugList!P:P), "*SC*"))&gt;0</f>
        <v>0</v>
      </c>
    </row>
    <row r="1037" spans="1:16">
      <c r="A1037" t="s">
        <v>2833</v>
      </c>
      <c r="B1037">
        <v>502</v>
      </c>
      <c r="C1037" s="34" t="s">
        <v>198</v>
      </c>
      <c r="D1037" s="34" t="s">
        <v>107</v>
      </c>
      <c r="E1037" s="83">
        <v>54</v>
      </c>
      <c r="F1037" s="43">
        <f t="shared" si="223"/>
        <v>35.294117647058826</v>
      </c>
      <c r="G1037" s="44">
        <f t="shared" si="216"/>
        <v>35</v>
      </c>
      <c r="H1037" s="44">
        <f t="shared" si="217"/>
        <v>0.29411764705882604</v>
      </c>
      <c r="I1037" cm="1">
        <f t="array" ref="I1037">INT(F1037)+IF(100-SUM(INT(F$1032:F$1042))&gt;=RANK(H1037,H$1032:H$1042)+COUNTIF(H$1032:H1037,H1037)-1,1,0)</f>
        <v>35</v>
      </c>
      <c r="J1037" t="b">
        <f t="shared" si="218"/>
        <v>1</v>
      </c>
      <c r="K1037" t="str">
        <f t="shared" si="219"/>
        <v>Trichoptera</v>
      </c>
      <c r="L1037">
        <f>_xlfn.XLOOKUP(D1037,BugList!C:C,BugList!N:N)</f>
        <v>3</v>
      </c>
      <c r="M1037">
        <f t="shared" si="220"/>
        <v>105</v>
      </c>
      <c r="N1037" t="b">
        <f>_xlfn.XLOOKUP(D1037,BugList!C:C,BugList!L:L)</f>
        <v>1</v>
      </c>
      <c r="O1037" t="b">
        <f t="shared" si="221"/>
        <v>1</v>
      </c>
      <c r="P1037" s="18" t="b">
        <f>SUMPRODUCT(COUNTIF(_xlfn.XLOOKUP(D1037,BugList!C:C,BugList!P:P), "*SC*"))&gt;0</f>
        <v>0</v>
      </c>
    </row>
    <row r="1038" spans="1:16">
      <c r="A1038" t="s">
        <v>2833</v>
      </c>
      <c r="B1038">
        <v>502</v>
      </c>
      <c r="C1038" s="34" t="s">
        <v>201</v>
      </c>
      <c r="D1038" s="34" t="s">
        <v>85</v>
      </c>
      <c r="E1038" s="83">
        <v>7</v>
      </c>
      <c r="F1038" s="43">
        <f t="shared" si="223"/>
        <v>4.5751633986928102</v>
      </c>
      <c r="G1038" s="44">
        <f t="shared" si="216"/>
        <v>4</v>
      </c>
      <c r="H1038" s="44">
        <f t="shared" si="217"/>
        <v>0.57516339869281019</v>
      </c>
      <c r="I1038" cm="1">
        <f t="array" ref="I1038">INT(F1038)+IF(100-SUM(INT(F$1032:F$1042))&gt;=RANK(H1038,H$1032:H$1042)+COUNTIF(H$1032:H1038,H1038)-1,1,0)</f>
        <v>4</v>
      </c>
      <c r="J1038" t="b">
        <f t="shared" si="218"/>
        <v>0</v>
      </c>
      <c r="K1038" t="str">
        <f t="shared" si="219"/>
        <v/>
      </c>
      <c r="L1038">
        <f>_xlfn.XLOOKUP(D1038,BugList!C:C,BugList!N:N)</f>
        <v>4</v>
      </c>
      <c r="M1038">
        <f t="shared" si="220"/>
        <v>16</v>
      </c>
      <c r="N1038" t="b">
        <f>_xlfn.XLOOKUP(D1038,BugList!C:C,BugList!L:L)</f>
        <v>0</v>
      </c>
      <c r="O1038" t="b">
        <f t="shared" si="221"/>
        <v>0</v>
      </c>
      <c r="P1038" s="18" t="b">
        <f>SUMPRODUCT(COUNTIF(_xlfn.XLOOKUP(D1038,BugList!C:C,BugList!P:P), "*SC*"))&gt;0</f>
        <v>0</v>
      </c>
    </row>
    <row r="1039" spans="1:16">
      <c r="A1039" t="s">
        <v>2833</v>
      </c>
      <c r="B1039">
        <v>502</v>
      </c>
      <c r="C1039" s="34" t="s">
        <v>210</v>
      </c>
      <c r="D1039" s="34" t="s">
        <v>92</v>
      </c>
      <c r="E1039" s="83">
        <v>1</v>
      </c>
      <c r="F1039" s="43">
        <f t="shared" si="223"/>
        <v>0.65359477124183007</v>
      </c>
      <c r="G1039" s="44">
        <f t="shared" si="216"/>
        <v>0</v>
      </c>
      <c r="H1039" s="44">
        <f t="shared" si="217"/>
        <v>0.65359477124183007</v>
      </c>
      <c r="I1039" cm="1">
        <f t="array" ref="I1039">INT(F1039)+IF(100-SUM(INT(F$1032:F$1042))&gt;=RANK(H1039,H$1032:H$1042)+COUNTIF(H$1032:H1039,H1039)-1,1,0)</f>
        <v>1</v>
      </c>
      <c r="J1039" t="b">
        <f t="shared" si="218"/>
        <v>0</v>
      </c>
      <c r="K1039" t="str">
        <f t="shared" si="219"/>
        <v/>
      </c>
      <c r="L1039">
        <f>_xlfn.XLOOKUP(D1039,BugList!C:C,BugList!N:N)</f>
        <v>8</v>
      </c>
      <c r="M1039">
        <f t="shared" si="220"/>
        <v>8</v>
      </c>
      <c r="N1039" t="b">
        <f>_xlfn.XLOOKUP(D1039,BugList!C:C,BugList!L:L)</f>
        <v>0</v>
      </c>
      <c r="O1039" t="b">
        <f t="shared" si="221"/>
        <v>0</v>
      </c>
      <c r="P1039" s="18" t="b">
        <f>SUMPRODUCT(COUNTIF(_xlfn.XLOOKUP(D1039,BugList!C:C,BugList!P:P), "*SC*"))&gt;0</f>
        <v>0</v>
      </c>
    </row>
    <row r="1040" spans="1:16">
      <c r="A1040" t="s">
        <v>2833</v>
      </c>
      <c r="B1040">
        <v>502</v>
      </c>
      <c r="C1040" s="34" t="s">
        <v>210</v>
      </c>
      <c r="D1040" s="34" t="s">
        <v>93</v>
      </c>
      <c r="E1040" s="83">
        <v>1</v>
      </c>
      <c r="F1040" s="43">
        <f t="shared" si="223"/>
        <v>0.65359477124183007</v>
      </c>
      <c r="G1040" s="44">
        <f t="shared" si="216"/>
        <v>0</v>
      </c>
      <c r="H1040" s="44">
        <f t="shared" si="217"/>
        <v>0.65359477124183007</v>
      </c>
      <c r="I1040" cm="1">
        <f t="array" ref="I1040">INT(F1040)+IF(100-SUM(INT(F$1032:F$1042))&gt;=RANK(H1040,H$1032:H$1042)+COUNTIF(H$1032:H1040,H1040)-1,1,0)</f>
        <v>1</v>
      </c>
      <c r="J1040" t="b">
        <f t="shared" si="218"/>
        <v>0</v>
      </c>
      <c r="K1040" t="str">
        <f t="shared" si="219"/>
        <v/>
      </c>
      <c r="L1040">
        <f>_xlfn.XLOOKUP(D1040,BugList!C:C,BugList!N:N)</f>
        <v>8</v>
      </c>
      <c r="M1040">
        <f t="shared" si="220"/>
        <v>8</v>
      </c>
      <c r="N1040" t="b">
        <f>_xlfn.XLOOKUP(D1040,BugList!C:C,BugList!L:L)</f>
        <v>0</v>
      </c>
      <c r="O1040" t="b">
        <f t="shared" si="221"/>
        <v>0</v>
      </c>
      <c r="P1040" s="18" t="b">
        <f>SUMPRODUCT(COUNTIF(_xlfn.XLOOKUP(D1040,BugList!C:C,BugList!P:P), "*SC*"))&gt;0</f>
        <v>0</v>
      </c>
    </row>
    <row r="1041" spans="1:16">
      <c r="A1041" t="s">
        <v>2833</v>
      </c>
      <c r="B1041">
        <v>502</v>
      </c>
      <c r="C1041" s="34" t="s">
        <v>205</v>
      </c>
      <c r="D1041" s="34" t="s">
        <v>206</v>
      </c>
      <c r="E1041" s="83">
        <v>6</v>
      </c>
      <c r="F1041" s="43">
        <f t="shared" si="223"/>
        <v>3.9215686274509802</v>
      </c>
      <c r="G1041" s="44">
        <f t="shared" si="216"/>
        <v>3</v>
      </c>
      <c r="H1041" s="44">
        <f t="shared" si="217"/>
        <v>0.92156862745098023</v>
      </c>
      <c r="I1041" cm="1">
        <f t="array" ref="I1041">INT(F1041)+IF(100-SUM(INT(F$1032:F$1042))&gt;=RANK(H1041,H$1032:H$1042)+COUNTIF(H$1032:H1041,H1041)-1,1,0)</f>
        <v>4</v>
      </c>
      <c r="J1041" t="b">
        <f t="shared" si="218"/>
        <v>0</v>
      </c>
      <c r="K1041" t="str">
        <f t="shared" si="219"/>
        <v/>
      </c>
      <c r="L1041" s="71">
        <v>8</v>
      </c>
      <c r="M1041">
        <f t="shared" si="220"/>
        <v>32</v>
      </c>
      <c r="N1041" s="71" t="b">
        <v>0</v>
      </c>
      <c r="O1041" t="b">
        <f t="shared" si="221"/>
        <v>0</v>
      </c>
      <c r="P1041" s="72" t="b">
        <v>0</v>
      </c>
    </row>
    <row r="1042" spans="1:16">
      <c r="A1042" t="s">
        <v>2833</v>
      </c>
      <c r="B1042">
        <v>502</v>
      </c>
      <c r="C1042" s="34" t="s">
        <v>94</v>
      </c>
      <c r="D1042" s="34" t="s">
        <v>94</v>
      </c>
      <c r="E1042" s="83">
        <v>17</v>
      </c>
      <c r="F1042" s="43">
        <f t="shared" si="223"/>
        <v>11.111111111111111</v>
      </c>
      <c r="G1042" s="44">
        <f t="shared" si="216"/>
        <v>11</v>
      </c>
      <c r="H1042" s="44">
        <f t="shared" si="217"/>
        <v>0.11111111111111072</v>
      </c>
      <c r="I1042" cm="1">
        <f t="array" ref="I1042">INT(F1042)+IF(100-SUM(INT(F$1032:F$1042))&gt;=RANK(H1042,H$1032:H$1042)+COUNTIF(H$1032:H1042,H1042)-1,1,0)</f>
        <v>11</v>
      </c>
      <c r="J1042" t="b">
        <f t="shared" si="218"/>
        <v>0</v>
      </c>
      <c r="K1042" t="str">
        <f t="shared" si="219"/>
        <v/>
      </c>
      <c r="L1042">
        <f>_xlfn.XLOOKUP(D1042,BugList!C:C,BugList!N:N)</f>
        <v>8</v>
      </c>
      <c r="M1042">
        <f t="shared" si="220"/>
        <v>88</v>
      </c>
      <c r="N1042" t="b">
        <f>_xlfn.XLOOKUP(D1042,BugList!C:C,BugList!L:L)</f>
        <v>0</v>
      </c>
      <c r="O1042" t="b">
        <f t="shared" si="221"/>
        <v>0</v>
      </c>
      <c r="P1042" s="18" t="b">
        <f>SUMPRODUCT(COUNTIF(_xlfn.XLOOKUP(D1042,BugList!C:C,BugList!P:P), "*SC*"))&gt;0</f>
        <v>0</v>
      </c>
    </row>
    <row r="1043" spans="1:16">
      <c r="A1043" s="86" t="s">
        <v>2841</v>
      </c>
      <c r="B1043" s="83">
        <v>12</v>
      </c>
      <c r="C1043" s="34" t="s">
        <v>194</v>
      </c>
      <c r="D1043" s="34" t="s">
        <v>90</v>
      </c>
      <c r="E1043" s="83">
        <v>13</v>
      </c>
      <c r="F1043" s="43">
        <f t="shared" si="223"/>
        <v>11.504424778761061</v>
      </c>
      <c r="G1043" s="44">
        <f t="shared" ref="G1043:G1106" si="224">INT(F1043)</f>
        <v>11</v>
      </c>
      <c r="H1043" s="44">
        <f t="shared" ref="H1043:H1106" si="225">F1043-G1043</f>
        <v>0.50442477876106118</v>
      </c>
      <c r="I1043" cm="1">
        <f t="array" ref="I1043">INT(F1043)+IF(100-SUM(INT(F$1043:F$1054))&gt;=RANK(H1043,H$1043:H$1054)+COUNTIF(H$1043:H1043,H1043)-1,1,0)</f>
        <v>11</v>
      </c>
      <c r="J1043" t="b">
        <f t="shared" ref="J1043:J1106" si="226">IF(OR(C1043="Ephemeroptera", C1043 ="Plecoptera", C1043= "Trichoptera"), TRUE, FALSE)</f>
        <v>0</v>
      </c>
      <c r="K1043" t="str">
        <f t="shared" ref="K1043:K1106" si="227">IF(J1043=TRUE,C1043,"")</f>
        <v/>
      </c>
      <c r="L1043">
        <f>_xlfn.XLOOKUP(D1043,BugList!C:C,BugList!N:N)</f>
        <v>6</v>
      </c>
      <c r="M1043">
        <f t="shared" ref="M1043:M1106" si="228">L1043*I1043</f>
        <v>66</v>
      </c>
      <c r="N1043" t="b">
        <f>_xlfn.XLOOKUP(D1043,BugList!C:C,BugList!L:L)</f>
        <v>1</v>
      </c>
      <c r="O1043" t="b">
        <f t="shared" ref="O1043:O1106" si="229">IF(J1043=TRUE,IF(D1043="Hydropsychidae", FALSE, TRUE), FALSE)</f>
        <v>0</v>
      </c>
      <c r="P1043" s="18" t="b">
        <f>SUMPRODUCT(COUNTIF(_xlfn.XLOOKUP(D1043,BugList!C:C,BugList!P:P), "*SC*"))&gt;0</f>
        <v>0</v>
      </c>
    </row>
    <row r="1044" spans="1:16">
      <c r="A1044" s="86" t="s">
        <v>2841</v>
      </c>
      <c r="B1044" s="83">
        <v>12</v>
      </c>
      <c r="C1044" s="34" t="s">
        <v>194</v>
      </c>
      <c r="D1044" s="34" t="s">
        <v>131</v>
      </c>
      <c r="E1044" s="83">
        <v>3</v>
      </c>
      <c r="F1044" s="43">
        <f t="shared" si="223"/>
        <v>2.6548672566371683</v>
      </c>
      <c r="G1044" s="44">
        <f t="shared" si="224"/>
        <v>2</v>
      </c>
      <c r="H1044" s="44">
        <f t="shared" si="225"/>
        <v>0.65486725663716827</v>
      </c>
      <c r="I1044" cm="1">
        <f t="array" ref="I1044">INT(F1044)+IF(100-SUM(INT(F$1043:F$1054))&gt;=RANK(H1044,H$1043:H$1054)+COUNTIF(H$1043:H1044,H1044)-1,1,0)</f>
        <v>3</v>
      </c>
      <c r="J1044" t="b">
        <f t="shared" si="226"/>
        <v>0</v>
      </c>
      <c r="K1044" t="str">
        <f t="shared" si="227"/>
        <v/>
      </c>
      <c r="L1044">
        <f>_xlfn.XLOOKUP(D1044,BugList!C:C,BugList!N:N)</f>
        <v>6</v>
      </c>
      <c r="M1044">
        <f t="shared" si="228"/>
        <v>18</v>
      </c>
      <c r="N1044" t="b">
        <f>_xlfn.XLOOKUP(D1044,BugList!C:C,BugList!L:L)</f>
        <v>1</v>
      </c>
      <c r="O1044" t="b">
        <f t="shared" si="229"/>
        <v>0</v>
      </c>
      <c r="P1044" s="18" t="b">
        <f>SUMPRODUCT(COUNTIF(_xlfn.XLOOKUP(D1044,BugList!C:C,BugList!P:P), "*SC*"))&gt;0</f>
        <v>0</v>
      </c>
    </row>
    <row r="1045" spans="1:16">
      <c r="A1045" s="86" t="s">
        <v>2841</v>
      </c>
      <c r="B1045" s="83">
        <v>12</v>
      </c>
      <c r="C1045" s="34" t="s">
        <v>194</v>
      </c>
      <c r="D1045" s="34" t="s">
        <v>1758</v>
      </c>
      <c r="E1045" s="83">
        <v>2</v>
      </c>
      <c r="F1045" s="43">
        <f t="shared" si="223"/>
        <v>1.7699115044247788</v>
      </c>
      <c r="G1045" s="44">
        <f t="shared" si="224"/>
        <v>1</v>
      </c>
      <c r="H1045" s="44">
        <f t="shared" si="225"/>
        <v>0.76991150442477885</v>
      </c>
      <c r="I1045" cm="1">
        <f t="array" ref="I1045">INT(F1045)+IF(100-SUM(INT(F$1043:F$1054))&gt;=RANK(H1045,H$1043:H$1054)+COUNTIF(H$1043:H1045,H1045)-1,1,0)</f>
        <v>2</v>
      </c>
      <c r="J1045" t="b">
        <f t="shared" si="226"/>
        <v>0</v>
      </c>
      <c r="K1045" t="str">
        <f t="shared" si="227"/>
        <v/>
      </c>
      <c r="L1045">
        <f>_xlfn.XLOOKUP(D1045,BugList!C:C,BugList!N:N)</f>
        <v>6</v>
      </c>
      <c r="M1045">
        <f t="shared" si="228"/>
        <v>12</v>
      </c>
      <c r="N1045" t="b">
        <f>_xlfn.XLOOKUP(D1045,BugList!C:C,BugList!L:L)</f>
        <v>1</v>
      </c>
      <c r="O1045" t="b">
        <f t="shared" si="229"/>
        <v>0</v>
      </c>
      <c r="P1045" s="18" t="b">
        <f>SUMPRODUCT(COUNTIF(_xlfn.XLOOKUP(D1045,BugList!C:C,BugList!P:P), "*SC*"))&gt;0</f>
        <v>0</v>
      </c>
    </row>
    <row r="1046" spans="1:16">
      <c r="A1046" s="86" t="s">
        <v>2841</v>
      </c>
      <c r="B1046" s="83">
        <v>12</v>
      </c>
      <c r="C1046" s="34" t="s">
        <v>194</v>
      </c>
      <c r="D1046" s="34" t="s">
        <v>108</v>
      </c>
      <c r="E1046" s="83">
        <v>2</v>
      </c>
      <c r="F1046" s="43">
        <f t="shared" si="223"/>
        <v>1.7699115044247788</v>
      </c>
      <c r="G1046" s="44">
        <f t="shared" si="224"/>
        <v>1</v>
      </c>
      <c r="H1046" s="44">
        <f t="shared" si="225"/>
        <v>0.76991150442477885</v>
      </c>
      <c r="I1046" cm="1">
        <f t="array" ref="I1046">INT(F1046)+IF(100-SUM(INT(F$1043:F$1054))&gt;=RANK(H1046,H$1043:H$1054)+COUNTIF(H$1043:H1046,H1046)-1,1,0)</f>
        <v>2</v>
      </c>
      <c r="J1046" t="b">
        <f t="shared" si="226"/>
        <v>0</v>
      </c>
      <c r="K1046" t="str">
        <f t="shared" si="227"/>
        <v/>
      </c>
      <c r="L1046">
        <f>_xlfn.XLOOKUP(D1046,BugList!C:C,BugList!N:N)</f>
        <v>3</v>
      </c>
      <c r="M1046">
        <f t="shared" si="228"/>
        <v>6</v>
      </c>
      <c r="N1046" t="b">
        <f>_xlfn.XLOOKUP(D1046,BugList!C:C,BugList!L:L)</f>
        <v>1</v>
      </c>
      <c r="O1046" t="b">
        <f t="shared" si="229"/>
        <v>0</v>
      </c>
      <c r="P1046" s="18" t="b">
        <f>SUMPRODUCT(COUNTIF(_xlfn.XLOOKUP(D1046,BugList!C:C,BugList!P:P), "*SC*"))&gt;0</f>
        <v>0</v>
      </c>
    </row>
    <row r="1047" spans="1:16">
      <c r="A1047" s="86" t="s">
        <v>2841</v>
      </c>
      <c r="B1047" s="83">
        <v>12</v>
      </c>
      <c r="C1047" s="34" t="s">
        <v>195</v>
      </c>
      <c r="D1047" s="34" t="s">
        <v>113</v>
      </c>
      <c r="E1047" s="83">
        <v>2</v>
      </c>
      <c r="F1047" s="43">
        <f t="shared" si="223"/>
        <v>1.7699115044247788</v>
      </c>
      <c r="G1047" s="44">
        <f t="shared" si="224"/>
        <v>1</v>
      </c>
      <c r="H1047" s="44">
        <f t="shared" si="225"/>
        <v>0.76991150442477885</v>
      </c>
      <c r="I1047" cm="1">
        <f t="array" ref="I1047">INT(F1047)+IF(100-SUM(INT(F$1043:F$1054))&gt;=RANK(H1047,H$1043:H$1054)+COUNTIF(H$1043:H1047,H1047)-1,1,0)</f>
        <v>2</v>
      </c>
      <c r="J1047" t="b">
        <f t="shared" si="226"/>
        <v>0</v>
      </c>
      <c r="K1047" t="str">
        <f t="shared" si="227"/>
        <v/>
      </c>
      <c r="L1047">
        <f>_xlfn.XLOOKUP(D1047,BugList!C:C,BugList!N:N)</f>
        <v>1</v>
      </c>
      <c r="M1047">
        <f t="shared" si="228"/>
        <v>2</v>
      </c>
      <c r="N1047" t="b">
        <f>_xlfn.XLOOKUP(D1047,BugList!C:C,BugList!L:L)</f>
        <v>1</v>
      </c>
      <c r="O1047" t="b">
        <f t="shared" si="229"/>
        <v>0</v>
      </c>
      <c r="P1047" s="18" t="b">
        <f>SUMPRODUCT(COUNTIF(_xlfn.XLOOKUP(D1047,BugList!C:C,BugList!P:P), "*SC*"))&gt;0</f>
        <v>0</v>
      </c>
    </row>
    <row r="1048" spans="1:16">
      <c r="A1048" s="86" t="s">
        <v>2841</v>
      </c>
      <c r="B1048" s="83">
        <v>12</v>
      </c>
      <c r="C1048" s="34" t="s">
        <v>197</v>
      </c>
      <c r="D1048" s="34" t="s">
        <v>153</v>
      </c>
      <c r="E1048" s="83">
        <v>1</v>
      </c>
      <c r="F1048" s="43">
        <f t="shared" si="223"/>
        <v>0.88495575221238942</v>
      </c>
      <c r="G1048" s="44">
        <f t="shared" si="224"/>
        <v>0</v>
      </c>
      <c r="H1048" s="44">
        <f t="shared" si="225"/>
        <v>0.88495575221238942</v>
      </c>
      <c r="I1048" cm="1">
        <f t="array" ref="I1048">INT(F1048)+IF(100-SUM(INT(F$1043:F$1054))&gt;=RANK(H1048,H$1043:H$1054)+COUNTIF(H$1043:H1048,H1048)-1,1,0)</f>
        <v>1</v>
      </c>
      <c r="J1048" t="b">
        <f t="shared" si="226"/>
        <v>1</v>
      </c>
      <c r="K1048" t="str">
        <f t="shared" si="227"/>
        <v>Plecoptera</v>
      </c>
      <c r="L1048">
        <f>_xlfn.XLOOKUP(D1048,BugList!C:C,BugList!N:N)</f>
        <v>2</v>
      </c>
      <c r="M1048">
        <f t="shared" si="228"/>
        <v>2</v>
      </c>
      <c r="N1048" t="b">
        <f>_xlfn.XLOOKUP(D1048,BugList!C:C,BugList!L:L)</f>
        <v>1</v>
      </c>
      <c r="O1048" t="b">
        <f t="shared" si="229"/>
        <v>1</v>
      </c>
      <c r="P1048" s="18" t="b">
        <f>SUMPRODUCT(COUNTIF(_xlfn.XLOOKUP(D1048,BugList!C:C,BugList!P:P), "*SC*"))&gt;0</f>
        <v>0</v>
      </c>
    </row>
    <row r="1049" spans="1:16">
      <c r="A1049" s="86" t="s">
        <v>2841</v>
      </c>
      <c r="B1049" s="83">
        <v>12</v>
      </c>
      <c r="C1049" s="34" t="s">
        <v>198</v>
      </c>
      <c r="D1049" s="34" t="s">
        <v>89</v>
      </c>
      <c r="E1049" s="83">
        <v>73</v>
      </c>
      <c r="F1049" s="43">
        <f t="shared" si="223"/>
        <v>64.601769911504419</v>
      </c>
      <c r="G1049" s="44">
        <f t="shared" si="224"/>
        <v>64</v>
      </c>
      <c r="H1049" s="44">
        <f t="shared" si="225"/>
        <v>0.6017699115044195</v>
      </c>
      <c r="I1049" cm="1">
        <f t="array" ref="I1049">INT(F1049)+IF(100-SUM(INT(F$1043:F$1054))&gt;=RANK(H1049,H$1043:H$1054)+COUNTIF(H$1043:H1049,H1049)-1,1,0)</f>
        <v>65</v>
      </c>
      <c r="J1049" t="b">
        <f t="shared" si="226"/>
        <v>1</v>
      </c>
      <c r="K1049" t="str">
        <f t="shared" si="227"/>
        <v>Trichoptera</v>
      </c>
      <c r="L1049">
        <f>_xlfn.XLOOKUP(D1049,BugList!C:C,BugList!N:N)</f>
        <v>4</v>
      </c>
      <c r="M1049">
        <f t="shared" si="228"/>
        <v>260</v>
      </c>
      <c r="N1049" t="b">
        <f>_xlfn.XLOOKUP(D1049,BugList!C:C,BugList!L:L)</f>
        <v>1</v>
      </c>
      <c r="O1049" t="b">
        <f t="shared" si="229"/>
        <v>0</v>
      </c>
      <c r="P1049" s="18" t="b">
        <f>SUMPRODUCT(COUNTIF(_xlfn.XLOOKUP(D1049,BugList!C:C,BugList!P:P), "*SC*"))&gt;0</f>
        <v>0</v>
      </c>
    </row>
    <row r="1050" spans="1:16">
      <c r="A1050" s="86" t="s">
        <v>2841</v>
      </c>
      <c r="B1050" s="83">
        <v>12</v>
      </c>
      <c r="C1050" s="34" t="s">
        <v>199</v>
      </c>
      <c r="D1050" s="34" t="s">
        <v>111</v>
      </c>
      <c r="E1050" s="83">
        <v>3</v>
      </c>
      <c r="F1050" s="43">
        <f t="shared" si="223"/>
        <v>2.6548672566371683</v>
      </c>
      <c r="G1050" s="44">
        <f t="shared" si="224"/>
        <v>2</v>
      </c>
      <c r="H1050" s="44">
        <f t="shared" si="225"/>
        <v>0.65486725663716827</v>
      </c>
      <c r="I1050" cm="1">
        <f t="array" ref="I1050">INT(F1050)+IF(100-SUM(INT(F$1043:F$1054))&gt;=RANK(H1050,H$1043:H$1054)+COUNTIF(H$1043:H1050,H1050)-1,1,0)</f>
        <v>3</v>
      </c>
      <c r="J1050" t="b">
        <f t="shared" si="226"/>
        <v>1</v>
      </c>
      <c r="K1050" t="str">
        <f t="shared" si="227"/>
        <v>Ephemeroptera</v>
      </c>
      <c r="L1050">
        <f>_xlfn.XLOOKUP(D1050,BugList!C:C,BugList!N:N)</f>
        <v>4</v>
      </c>
      <c r="M1050">
        <f t="shared" si="228"/>
        <v>12</v>
      </c>
      <c r="N1050" t="b">
        <f>_xlfn.XLOOKUP(D1050,BugList!C:C,BugList!L:L)</f>
        <v>1</v>
      </c>
      <c r="O1050" t="b">
        <f t="shared" si="229"/>
        <v>1</v>
      </c>
      <c r="P1050" s="18" t="b">
        <f>SUMPRODUCT(COUNTIF(_xlfn.XLOOKUP(D1050,BugList!C:C,BugList!P:P), "*SC*"))&gt;0</f>
        <v>0</v>
      </c>
    </row>
    <row r="1051" spans="1:16">
      <c r="A1051" s="86" t="s">
        <v>2841</v>
      </c>
      <c r="B1051" s="83">
        <v>12</v>
      </c>
      <c r="C1051" s="34" t="s">
        <v>198</v>
      </c>
      <c r="D1051" s="34" t="s">
        <v>96</v>
      </c>
      <c r="E1051" s="83">
        <v>4</v>
      </c>
      <c r="F1051" s="43">
        <f t="shared" si="223"/>
        <v>3.5398230088495577</v>
      </c>
      <c r="G1051" s="44">
        <f t="shared" si="224"/>
        <v>3</v>
      </c>
      <c r="H1051" s="44">
        <f t="shared" si="225"/>
        <v>0.5398230088495577</v>
      </c>
      <c r="I1051" cm="1">
        <f t="array" ref="I1051">INT(F1051)+IF(100-SUM(INT(F$1043:F$1054))&gt;=RANK(H1051,H$1043:H$1054)+COUNTIF(H$1043:H1051,H1051)-1,1,0)</f>
        <v>3</v>
      </c>
      <c r="J1051" t="b">
        <f t="shared" si="226"/>
        <v>1</v>
      </c>
      <c r="K1051" t="str">
        <f t="shared" si="227"/>
        <v>Trichoptera</v>
      </c>
      <c r="L1051">
        <f>_xlfn.XLOOKUP(D1051,BugList!C:C,BugList!N:N)</f>
        <v>4</v>
      </c>
      <c r="M1051">
        <f t="shared" si="228"/>
        <v>12</v>
      </c>
      <c r="N1051" t="b">
        <f>_xlfn.XLOOKUP(D1051,BugList!C:C,BugList!L:L)</f>
        <v>1</v>
      </c>
      <c r="O1051" t="b">
        <f t="shared" si="229"/>
        <v>1</v>
      </c>
      <c r="P1051" s="18" t="b">
        <f>SUMPRODUCT(COUNTIF(_xlfn.XLOOKUP(D1051,BugList!C:C,BugList!P:P), "*SC*"))&gt;0</f>
        <v>1</v>
      </c>
    </row>
    <row r="1052" spans="1:16">
      <c r="A1052" s="86" t="s">
        <v>2841</v>
      </c>
      <c r="B1052" s="83">
        <v>12</v>
      </c>
      <c r="C1052" s="34" t="s">
        <v>200</v>
      </c>
      <c r="D1052" s="34" t="s">
        <v>100</v>
      </c>
      <c r="E1052" s="83">
        <v>4</v>
      </c>
      <c r="F1052" s="43">
        <f t="shared" si="223"/>
        <v>3.5398230088495577</v>
      </c>
      <c r="G1052" s="44">
        <f t="shared" si="224"/>
        <v>3</v>
      </c>
      <c r="H1052" s="44">
        <f t="shared" si="225"/>
        <v>0.5398230088495577</v>
      </c>
      <c r="I1052" cm="1">
        <f t="array" ref="I1052">INT(F1052)+IF(100-SUM(INT(F$1043:F$1054))&gt;=RANK(H1052,H$1043:H$1054)+COUNTIF(H$1043:H1052,H1052)-1,1,0)</f>
        <v>3</v>
      </c>
      <c r="J1052" t="b">
        <f t="shared" si="226"/>
        <v>0</v>
      </c>
      <c r="K1052" t="str">
        <f t="shared" si="227"/>
        <v/>
      </c>
      <c r="L1052">
        <f>_xlfn.XLOOKUP(D1052,BugList!C:C,BugList!N:N)</f>
        <v>4</v>
      </c>
      <c r="M1052">
        <f t="shared" si="228"/>
        <v>12</v>
      </c>
      <c r="N1052" t="b">
        <f>_xlfn.XLOOKUP(D1052,BugList!C:C,BugList!L:L)</f>
        <v>1</v>
      </c>
      <c r="O1052" t="b">
        <f t="shared" si="229"/>
        <v>0</v>
      </c>
      <c r="P1052" s="18" t="b">
        <f>SUMPRODUCT(COUNTIF(_xlfn.XLOOKUP(D1052,BugList!C:C,BugList!P:P), "*SC*"))&gt;0</f>
        <v>1</v>
      </c>
    </row>
    <row r="1053" spans="1:16">
      <c r="A1053" s="86" t="s">
        <v>2841</v>
      </c>
      <c r="B1053" s="83">
        <v>12</v>
      </c>
      <c r="C1053" s="34" t="s">
        <v>200</v>
      </c>
      <c r="D1053" s="34" t="s">
        <v>98</v>
      </c>
      <c r="E1053" s="83">
        <v>2</v>
      </c>
      <c r="F1053" s="43">
        <f t="shared" si="223"/>
        <v>1.7699115044247788</v>
      </c>
      <c r="G1053" s="44">
        <f t="shared" si="224"/>
        <v>1</v>
      </c>
      <c r="H1053" s="44">
        <f t="shared" si="225"/>
        <v>0.76991150442477885</v>
      </c>
      <c r="I1053" cm="1">
        <f t="array" ref="I1053">INT(F1053)+IF(100-SUM(INT(F$1043:F$1054))&gt;=RANK(H1053,H$1043:H$1054)+COUNTIF(H$1043:H1053,H1053)-1,1,0)</f>
        <v>2</v>
      </c>
      <c r="J1053" t="b">
        <f t="shared" si="226"/>
        <v>0</v>
      </c>
      <c r="K1053" t="str">
        <f t="shared" si="227"/>
        <v/>
      </c>
      <c r="L1053">
        <f>_xlfn.XLOOKUP(D1053,BugList!C:C,BugList!N:N)</f>
        <v>4</v>
      </c>
      <c r="M1053">
        <f t="shared" si="228"/>
        <v>8</v>
      </c>
      <c r="N1053" t="b">
        <f>_xlfn.XLOOKUP(D1053,BugList!C:C,BugList!L:L)</f>
        <v>1</v>
      </c>
      <c r="O1053" t="b">
        <f t="shared" si="229"/>
        <v>0</v>
      </c>
      <c r="P1053" s="18" t="b">
        <f>SUMPRODUCT(COUNTIF(_xlfn.XLOOKUP(D1053,BugList!C:C,BugList!P:P), "*SC*"))&gt;0</f>
        <v>1</v>
      </c>
    </row>
    <row r="1054" spans="1:16">
      <c r="A1054" s="86" t="s">
        <v>2841</v>
      </c>
      <c r="B1054" s="83">
        <v>12</v>
      </c>
      <c r="C1054" s="34" t="s">
        <v>2315</v>
      </c>
      <c r="D1054" s="34" t="s">
        <v>2315</v>
      </c>
      <c r="E1054" s="83">
        <v>4</v>
      </c>
      <c r="F1054" s="43">
        <f t="shared" si="223"/>
        <v>3.5398230088495577</v>
      </c>
      <c r="G1054" s="44">
        <f t="shared" si="224"/>
        <v>3</v>
      </c>
      <c r="H1054" s="44">
        <f t="shared" si="225"/>
        <v>0.5398230088495577</v>
      </c>
      <c r="I1054" cm="1">
        <f t="array" ref="I1054">INT(F1054)+IF(100-SUM(INT(F$1043:F$1054))&gt;=RANK(H1054,H$1043:H$1054)+COUNTIF(H$1043:H1054,H1054)-1,1,0)</f>
        <v>3</v>
      </c>
      <c r="J1054" t="b">
        <f t="shared" si="226"/>
        <v>0</v>
      </c>
      <c r="K1054" t="str">
        <f t="shared" si="227"/>
        <v/>
      </c>
      <c r="L1054">
        <f>_xlfn.XLOOKUP(D1054,BugList!C:C,BugList!N:N)</f>
        <v>7</v>
      </c>
      <c r="M1054">
        <f t="shared" si="228"/>
        <v>21</v>
      </c>
      <c r="N1054" t="b">
        <f>_xlfn.XLOOKUP(D1054,BugList!C:C,BugList!L:L)</f>
        <v>0</v>
      </c>
      <c r="O1054" t="b">
        <f t="shared" si="229"/>
        <v>0</v>
      </c>
      <c r="P1054" s="18" t="b">
        <f>SUMPRODUCT(COUNTIF(_xlfn.XLOOKUP(D1054,BugList!C:C,BugList!P:P), "*SC*"))&gt;0</f>
        <v>1</v>
      </c>
    </row>
    <row r="1055" spans="1:16">
      <c r="A1055" s="86" t="s">
        <v>2842</v>
      </c>
      <c r="B1055" s="83">
        <v>11</v>
      </c>
      <c r="C1055" s="34" t="s">
        <v>194</v>
      </c>
      <c r="D1055" s="34" t="s">
        <v>90</v>
      </c>
      <c r="E1055" s="83">
        <v>9</v>
      </c>
      <c r="F1055" s="43"/>
      <c r="G1055" s="44"/>
      <c r="H1055" s="44"/>
      <c r="J1055" t="b">
        <f t="shared" si="226"/>
        <v>0</v>
      </c>
      <c r="K1055" t="str">
        <f t="shared" si="227"/>
        <v/>
      </c>
      <c r="L1055">
        <f>_xlfn.XLOOKUP(D1055,BugList!C:C,BugList!N:N)</f>
        <v>6</v>
      </c>
      <c r="M1055">
        <f t="shared" si="228"/>
        <v>0</v>
      </c>
      <c r="N1055" t="b">
        <f>_xlfn.XLOOKUP(D1055,BugList!C:C,BugList!L:L)</f>
        <v>1</v>
      </c>
      <c r="O1055" t="b">
        <f t="shared" si="229"/>
        <v>0</v>
      </c>
      <c r="P1055" s="18" t="b">
        <f>SUMPRODUCT(COUNTIF(_xlfn.XLOOKUP(D1055,BugList!C:C,BugList!P:P), "*SC*"))&gt;0</f>
        <v>0</v>
      </c>
    </row>
    <row r="1056" spans="1:16">
      <c r="A1056" s="86" t="s">
        <v>2842</v>
      </c>
      <c r="B1056" s="83">
        <v>11</v>
      </c>
      <c r="C1056" s="34" t="s">
        <v>195</v>
      </c>
      <c r="D1056" s="34" t="s">
        <v>113</v>
      </c>
      <c r="E1056" s="83">
        <v>9</v>
      </c>
      <c r="F1056" s="43"/>
      <c r="G1056" s="44"/>
      <c r="H1056" s="44"/>
      <c r="J1056" t="b">
        <f t="shared" si="226"/>
        <v>0</v>
      </c>
      <c r="K1056" t="str">
        <f t="shared" si="227"/>
        <v/>
      </c>
      <c r="L1056">
        <f>_xlfn.XLOOKUP(D1056,BugList!C:C,BugList!N:N)</f>
        <v>1</v>
      </c>
      <c r="M1056">
        <f t="shared" si="228"/>
        <v>0</v>
      </c>
      <c r="N1056" t="b">
        <f>_xlfn.XLOOKUP(D1056,BugList!C:C,BugList!L:L)</f>
        <v>1</v>
      </c>
      <c r="O1056" t="b">
        <f t="shared" si="229"/>
        <v>0</v>
      </c>
      <c r="P1056" s="18" t="b">
        <f>SUMPRODUCT(COUNTIF(_xlfn.XLOOKUP(D1056,BugList!C:C,BugList!P:P), "*SC*"))&gt;0</f>
        <v>0</v>
      </c>
    </row>
    <row r="1057" spans="1:16">
      <c r="A1057" s="86" t="s">
        <v>2842</v>
      </c>
      <c r="B1057" s="83">
        <v>11</v>
      </c>
      <c r="C1057" s="34" t="s">
        <v>195</v>
      </c>
      <c r="D1057" s="34" t="s">
        <v>196</v>
      </c>
      <c r="E1057" s="83">
        <v>1</v>
      </c>
      <c r="F1057" s="43"/>
      <c r="G1057" s="44"/>
      <c r="H1057" s="44"/>
      <c r="J1057" t="b">
        <f t="shared" si="226"/>
        <v>0</v>
      </c>
      <c r="K1057" t="str">
        <f t="shared" si="227"/>
        <v/>
      </c>
      <c r="L1057">
        <f>_xlfn.XLOOKUP(D1057,BugList!C:C,BugList!N:N)</f>
        <v>9</v>
      </c>
      <c r="M1057">
        <f t="shared" si="228"/>
        <v>0</v>
      </c>
      <c r="N1057" t="b">
        <f>_xlfn.XLOOKUP(D1057,BugList!C:C,BugList!L:L)</f>
        <v>1</v>
      </c>
      <c r="O1057" t="b">
        <f t="shared" si="229"/>
        <v>0</v>
      </c>
      <c r="P1057" s="18" t="b">
        <f>SUMPRODUCT(COUNTIF(_xlfn.XLOOKUP(D1057,BugList!C:C,BugList!P:P), "*SC*"))&gt;0</f>
        <v>0</v>
      </c>
    </row>
    <row r="1058" spans="1:16">
      <c r="A1058" s="86" t="s">
        <v>2842</v>
      </c>
      <c r="B1058" s="83">
        <v>11</v>
      </c>
      <c r="C1058" s="34" t="s">
        <v>198</v>
      </c>
      <c r="D1058" s="34" t="s">
        <v>89</v>
      </c>
      <c r="E1058" s="83">
        <v>37</v>
      </c>
      <c r="F1058" s="43"/>
      <c r="G1058" s="44"/>
      <c r="H1058" s="44"/>
      <c r="J1058" t="b">
        <f t="shared" si="226"/>
        <v>1</v>
      </c>
      <c r="K1058" t="str">
        <f t="shared" si="227"/>
        <v>Trichoptera</v>
      </c>
      <c r="L1058">
        <f>_xlfn.XLOOKUP(D1058,BugList!C:C,BugList!N:N)</f>
        <v>4</v>
      </c>
      <c r="M1058">
        <f t="shared" si="228"/>
        <v>0</v>
      </c>
      <c r="N1058" t="b">
        <f>_xlfn.XLOOKUP(D1058,BugList!C:C,BugList!L:L)</f>
        <v>1</v>
      </c>
      <c r="O1058" t="b">
        <f t="shared" si="229"/>
        <v>0</v>
      </c>
      <c r="P1058" s="18" t="b">
        <f>SUMPRODUCT(COUNTIF(_xlfn.XLOOKUP(D1058,BugList!C:C,BugList!P:P), "*SC*"))&gt;0</f>
        <v>0</v>
      </c>
    </row>
    <row r="1059" spans="1:16">
      <c r="A1059" s="86" t="s">
        <v>2842</v>
      </c>
      <c r="B1059" s="83">
        <v>11</v>
      </c>
      <c r="C1059" s="34" t="s">
        <v>199</v>
      </c>
      <c r="D1059" s="34" t="s">
        <v>111</v>
      </c>
      <c r="E1059" s="83">
        <v>9</v>
      </c>
      <c r="F1059" s="43"/>
      <c r="G1059" s="44"/>
      <c r="H1059" s="44"/>
      <c r="J1059" t="b">
        <f t="shared" si="226"/>
        <v>1</v>
      </c>
      <c r="K1059" t="str">
        <f t="shared" si="227"/>
        <v>Ephemeroptera</v>
      </c>
      <c r="L1059">
        <f>_xlfn.XLOOKUP(D1059,BugList!C:C,BugList!N:N)</f>
        <v>4</v>
      </c>
      <c r="M1059">
        <f t="shared" si="228"/>
        <v>0</v>
      </c>
      <c r="N1059" t="b">
        <f>_xlfn.XLOOKUP(D1059,BugList!C:C,BugList!L:L)</f>
        <v>1</v>
      </c>
      <c r="O1059" t="b">
        <f t="shared" si="229"/>
        <v>1</v>
      </c>
      <c r="P1059" s="18" t="b">
        <f>SUMPRODUCT(COUNTIF(_xlfn.XLOOKUP(D1059,BugList!C:C,BugList!P:P), "*SC*"))&gt;0</f>
        <v>0</v>
      </c>
    </row>
    <row r="1060" spans="1:16">
      <c r="A1060" s="86" t="s">
        <v>2842</v>
      </c>
      <c r="B1060" s="83">
        <v>11</v>
      </c>
      <c r="C1060" s="34" t="s">
        <v>199</v>
      </c>
      <c r="D1060" s="34" t="s">
        <v>1004</v>
      </c>
      <c r="E1060" s="83">
        <v>1</v>
      </c>
      <c r="F1060" s="43"/>
      <c r="G1060" s="44"/>
      <c r="H1060" s="44"/>
      <c r="J1060" t="b">
        <f t="shared" si="226"/>
        <v>1</v>
      </c>
      <c r="K1060" t="str">
        <f t="shared" si="227"/>
        <v>Ephemeroptera</v>
      </c>
      <c r="L1060">
        <f>_xlfn.XLOOKUP(D1060,BugList!C:C,BugList!N:N)</f>
        <v>4</v>
      </c>
      <c r="M1060">
        <f t="shared" si="228"/>
        <v>0</v>
      </c>
      <c r="N1060" t="b">
        <f>_xlfn.XLOOKUP(D1060,BugList!C:C,BugList!L:L)</f>
        <v>1</v>
      </c>
      <c r="O1060" t="b">
        <f t="shared" si="229"/>
        <v>1</v>
      </c>
      <c r="P1060" s="18" t="b">
        <f>SUMPRODUCT(COUNTIF(_xlfn.XLOOKUP(D1060,BugList!C:C,BugList!P:P), "*SC*"))&gt;0</f>
        <v>0</v>
      </c>
    </row>
    <row r="1061" spans="1:16">
      <c r="A1061" s="86" t="s">
        <v>2842</v>
      </c>
      <c r="B1061" s="83">
        <v>11</v>
      </c>
      <c r="C1061" s="34" t="s">
        <v>200</v>
      </c>
      <c r="D1061" s="34" t="s">
        <v>98</v>
      </c>
      <c r="E1061" s="83">
        <v>8</v>
      </c>
      <c r="F1061" s="43"/>
      <c r="G1061" s="44"/>
      <c r="H1061" s="44"/>
      <c r="J1061" t="b">
        <f t="shared" si="226"/>
        <v>0</v>
      </c>
      <c r="K1061" t="str">
        <f t="shared" si="227"/>
        <v/>
      </c>
      <c r="L1061">
        <f>_xlfn.XLOOKUP(D1061,BugList!C:C,BugList!N:N)</f>
        <v>4</v>
      </c>
      <c r="M1061">
        <f t="shared" si="228"/>
        <v>0</v>
      </c>
      <c r="N1061" t="b">
        <f>_xlfn.XLOOKUP(D1061,BugList!C:C,BugList!L:L)</f>
        <v>1</v>
      </c>
      <c r="O1061" t="b">
        <f t="shared" si="229"/>
        <v>0</v>
      </c>
      <c r="P1061" s="18" t="b">
        <f>SUMPRODUCT(COUNTIF(_xlfn.XLOOKUP(D1061,BugList!C:C,BugList!P:P), "*SC*"))&gt;0</f>
        <v>1</v>
      </c>
    </row>
    <row r="1062" spans="1:16">
      <c r="A1062" s="86" t="s">
        <v>2842</v>
      </c>
      <c r="B1062" s="83">
        <v>11</v>
      </c>
      <c r="C1062" s="34" t="s">
        <v>200</v>
      </c>
      <c r="D1062" s="34" t="s">
        <v>1563</v>
      </c>
      <c r="E1062" s="83">
        <v>1</v>
      </c>
      <c r="F1062" s="43"/>
      <c r="G1062" s="44"/>
      <c r="H1062" s="44"/>
      <c r="J1062" t="b">
        <f t="shared" si="226"/>
        <v>0</v>
      </c>
      <c r="K1062" t="str">
        <f t="shared" si="227"/>
        <v/>
      </c>
      <c r="L1062">
        <f>_xlfn.XLOOKUP(D1062,BugList!C:C,BugList!N:N)</f>
        <v>5</v>
      </c>
      <c r="M1062">
        <f t="shared" si="228"/>
        <v>0</v>
      </c>
      <c r="N1062" t="b">
        <f>_xlfn.XLOOKUP(D1062,BugList!C:C,BugList!L:L)</f>
        <v>1</v>
      </c>
      <c r="O1062" t="b">
        <f t="shared" si="229"/>
        <v>0</v>
      </c>
      <c r="P1062" s="18" t="b">
        <f>SUMPRODUCT(COUNTIF(_xlfn.XLOOKUP(D1062,BugList!C:C,BugList!P:P), "*SC*"))&gt;0</f>
        <v>0</v>
      </c>
    </row>
    <row r="1063" spans="1:16">
      <c r="A1063" s="86" t="s">
        <v>2842</v>
      </c>
      <c r="B1063" s="83">
        <v>11</v>
      </c>
      <c r="C1063" s="34" t="s">
        <v>200</v>
      </c>
      <c r="D1063" s="34" t="s">
        <v>100</v>
      </c>
      <c r="E1063" s="83">
        <v>6</v>
      </c>
      <c r="F1063" s="43"/>
      <c r="G1063" s="44"/>
      <c r="H1063" s="44"/>
      <c r="J1063" t="b">
        <f t="shared" si="226"/>
        <v>0</v>
      </c>
      <c r="K1063" t="str">
        <f t="shared" si="227"/>
        <v/>
      </c>
      <c r="L1063">
        <f>_xlfn.XLOOKUP(D1063,BugList!C:C,BugList!N:N)</f>
        <v>4</v>
      </c>
      <c r="M1063">
        <f t="shared" si="228"/>
        <v>0</v>
      </c>
      <c r="N1063" t="b">
        <f>_xlfn.XLOOKUP(D1063,BugList!C:C,BugList!L:L)</f>
        <v>1</v>
      </c>
      <c r="O1063" t="b">
        <f t="shared" si="229"/>
        <v>0</v>
      </c>
      <c r="P1063" s="18" t="b">
        <f>SUMPRODUCT(COUNTIF(_xlfn.XLOOKUP(D1063,BugList!C:C,BugList!P:P), "*SC*"))&gt;0</f>
        <v>1</v>
      </c>
    </row>
    <row r="1064" spans="1:16">
      <c r="A1064" s="86" t="s">
        <v>2842</v>
      </c>
      <c r="B1064" s="83">
        <v>11</v>
      </c>
      <c r="C1064" s="34" t="s">
        <v>2738</v>
      </c>
      <c r="D1064" s="34" t="s">
        <v>181</v>
      </c>
      <c r="E1064" s="83">
        <v>1</v>
      </c>
      <c r="F1064" s="43"/>
      <c r="G1064" s="44"/>
      <c r="H1064" s="44"/>
      <c r="J1064" t="b">
        <f t="shared" si="226"/>
        <v>0</v>
      </c>
      <c r="K1064" t="str">
        <f t="shared" si="227"/>
        <v/>
      </c>
      <c r="L1064">
        <f>_xlfn.XLOOKUP(D1064,BugList!C:C,BugList!N:N)</f>
        <v>4</v>
      </c>
      <c r="M1064">
        <f t="shared" si="228"/>
        <v>0</v>
      </c>
      <c r="N1064" t="b">
        <f>_xlfn.XLOOKUP(D1064,BugList!C:C,BugList!L:L)</f>
        <v>1</v>
      </c>
      <c r="O1064" t="b">
        <f t="shared" si="229"/>
        <v>0</v>
      </c>
      <c r="P1064" s="18" t="b">
        <f>SUMPRODUCT(COUNTIF(_xlfn.XLOOKUP(D1064,BugList!C:C,BugList!P:P), "*SC*"))&gt;0</f>
        <v>0</v>
      </c>
    </row>
    <row r="1065" spans="1:16">
      <c r="A1065" s="86" t="s">
        <v>2842</v>
      </c>
      <c r="B1065" s="83">
        <v>11</v>
      </c>
      <c r="C1065" s="34" t="s">
        <v>205</v>
      </c>
      <c r="D1065" s="34" t="s">
        <v>206</v>
      </c>
      <c r="E1065" s="83">
        <v>1</v>
      </c>
      <c r="F1065" s="43"/>
      <c r="G1065" s="44"/>
      <c r="H1065" s="44"/>
      <c r="J1065" t="b">
        <f t="shared" si="226"/>
        <v>0</v>
      </c>
      <c r="K1065" t="str">
        <f t="shared" si="227"/>
        <v/>
      </c>
      <c r="L1065" s="71">
        <v>8</v>
      </c>
      <c r="M1065">
        <f t="shared" si="228"/>
        <v>0</v>
      </c>
      <c r="N1065" s="71" t="b">
        <v>0</v>
      </c>
      <c r="O1065" t="b">
        <f t="shared" si="229"/>
        <v>0</v>
      </c>
      <c r="P1065" s="72" t="b">
        <v>0</v>
      </c>
    </row>
    <row r="1066" spans="1:16">
      <c r="A1066" s="86" t="s">
        <v>2842</v>
      </c>
      <c r="B1066" s="83">
        <v>11</v>
      </c>
      <c r="C1066" s="34" t="s">
        <v>2315</v>
      </c>
      <c r="D1066" s="34" t="s">
        <v>2315</v>
      </c>
      <c r="E1066" s="83">
        <v>7</v>
      </c>
      <c r="F1066" s="43"/>
      <c r="G1066" s="44"/>
      <c r="H1066" s="44"/>
      <c r="J1066" t="b">
        <f t="shared" si="226"/>
        <v>0</v>
      </c>
      <c r="K1066" t="str">
        <f t="shared" si="227"/>
        <v/>
      </c>
      <c r="L1066">
        <f>_xlfn.XLOOKUP(D1066,BugList!C:C,BugList!N:N)</f>
        <v>7</v>
      </c>
      <c r="M1066">
        <f t="shared" si="228"/>
        <v>0</v>
      </c>
      <c r="N1066" t="b">
        <f>_xlfn.XLOOKUP(D1066,BugList!C:C,BugList!L:L)</f>
        <v>0</v>
      </c>
      <c r="O1066" t="b">
        <f t="shared" si="229"/>
        <v>0</v>
      </c>
      <c r="P1066" s="18" t="b">
        <f>SUMPRODUCT(COUNTIF(_xlfn.XLOOKUP(D1066,BugList!C:C,BugList!P:P), "*SC*"))&gt;0</f>
        <v>1</v>
      </c>
    </row>
    <row r="1067" spans="1:16">
      <c r="A1067" s="86" t="s">
        <v>2843</v>
      </c>
      <c r="B1067" s="83">
        <v>13</v>
      </c>
      <c r="C1067" s="34" t="s">
        <v>194</v>
      </c>
      <c r="D1067" s="34" t="s">
        <v>108</v>
      </c>
      <c r="E1067" s="83">
        <v>13</v>
      </c>
      <c r="F1067" s="43">
        <f t="shared" ref="F1067:F1085" si="230">(E1067/(SUMIFS(E:E,A:A,A1067))*100)</f>
        <v>10.317460317460316</v>
      </c>
      <c r="G1067" s="44">
        <f t="shared" si="224"/>
        <v>10</v>
      </c>
      <c r="H1067" s="44">
        <f t="shared" si="225"/>
        <v>0.31746031746031633</v>
      </c>
      <c r="I1067" cm="1">
        <f t="array" ref="I1067">INT(F1067)+IF(100-SUM(INT(F$1067:F$1085))&gt;=RANK(H1067,H$1067:H$1085)+COUNTIF(H$1067:H1067,H1067)-1,1,0)</f>
        <v>10</v>
      </c>
      <c r="J1067" t="b">
        <f t="shared" si="226"/>
        <v>0</v>
      </c>
      <c r="K1067" t="str">
        <f t="shared" si="227"/>
        <v/>
      </c>
      <c r="L1067">
        <f>_xlfn.XLOOKUP(D1067,BugList!C:C,BugList!N:N)</f>
        <v>3</v>
      </c>
      <c r="M1067">
        <f t="shared" si="228"/>
        <v>30</v>
      </c>
      <c r="N1067" t="b">
        <f>_xlfn.XLOOKUP(D1067,BugList!C:C,BugList!L:L)</f>
        <v>1</v>
      </c>
      <c r="O1067" t="b">
        <f t="shared" si="229"/>
        <v>0</v>
      </c>
      <c r="P1067" s="18" t="b">
        <f>SUMPRODUCT(COUNTIF(_xlfn.XLOOKUP(D1067,BugList!C:C,BugList!P:P), "*SC*"))&gt;0</f>
        <v>0</v>
      </c>
    </row>
    <row r="1068" spans="1:16">
      <c r="A1068" s="86" t="s">
        <v>2843</v>
      </c>
      <c r="B1068" s="83">
        <v>13</v>
      </c>
      <c r="C1068" s="34" t="s">
        <v>194</v>
      </c>
      <c r="D1068" s="34" t="s">
        <v>1758</v>
      </c>
      <c r="E1068" s="83">
        <v>1</v>
      </c>
      <c r="F1068" s="43">
        <f t="shared" si="230"/>
        <v>0.79365079365079361</v>
      </c>
      <c r="G1068" s="44">
        <f t="shared" si="224"/>
        <v>0</v>
      </c>
      <c r="H1068" s="44">
        <f t="shared" si="225"/>
        <v>0.79365079365079361</v>
      </c>
      <c r="I1068" cm="1">
        <f t="array" ref="I1068">INT(F1068)+IF(100-SUM(INT(F$1067:F$1085))&gt;=RANK(H1068,H$1067:H$1085)+COUNTIF(H$1067:H1068,H1068)-1,1,0)</f>
        <v>1</v>
      </c>
      <c r="J1068" t="b">
        <f t="shared" si="226"/>
        <v>0</v>
      </c>
      <c r="K1068" t="str">
        <f t="shared" si="227"/>
        <v/>
      </c>
      <c r="L1068">
        <f>_xlfn.XLOOKUP(D1068,BugList!C:C,BugList!N:N)</f>
        <v>6</v>
      </c>
      <c r="M1068">
        <f t="shared" si="228"/>
        <v>6</v>
      </c>
      <c r="N1068" t="b">
        <f>_xlfn.XLOOKUP(D1068,BugList!C:C,BugList!L:L)</f>
        <v>1</v>
      </c>
      <c r="O1068" t="b">
        <f t="shared" si="229"/>
        <v>0</v>
      </c>
      <c r="P1068" s="18" t="b">
        <f>SUMPRODUCT(COUNTIF(_xlfn.XLOOKUP(D1068,BugList!C:C,BugList!P:P), "*SC*"))&gt;0</f>
        <v>0</v>
      </c>
    </row>
    <row r="1069" spans="1:16">
      <c r="A1069" s="86" t="s">
        <v>2843</v>
      </c>
      <c r="B1069" s="83">
        <v>13</v>
      </c>
      <c r="C1069" s="34" t="s">
        <v>195</v>
      </c>
      <c r="D1069" s="34" t="s">
        <v>97</v>
      </c>
      <c r="E1069" s="83">
        <v>1</v>
      </c>
      <c r="F1069" s="43">
        <f t="shared" si="230"/>
        <v>0.79365079365079361</v>
      </c>
      <c r="G1069" s="44">
        <f t="shared" si="224"/>
        <v>0</v>
      </c>
      <c r="H1069" s="44">
        <f t="shared" si="225"/>
        <v>0.79365079365079361</v>
      </c>
      <c r="I1069" cm="1">
        <f t="array" ref="I1069">INT(F1069)+IF(100-SUM(INT(F$1067:F$1085))&gt;=RANK(H1069,H$1067:H$1085)+COUNTIF(H$1067:H1069,H1069)-1,1,0)</f>
        <v>1</v>
      </c>
      <c r="J1069" t="b">
        <f t="shared" si="226"/>
        <v>0</v>
      </c>
      <c r="K1069" t="str">
        <f t="shared" si="227"/>
        <v/>
      </c>
      <c r="L1069">
        <f>_xlfn.XLOOKUP(D1069,BugList!C:C,BugList!N:N)</f>
        <v>9</v>
      </c>
      <c r="M1069">
        <f t="shared" si="228"/>
        <v>9</v>
      </c>
      <c r="N1069" t="b">
        <f>_xlfn.XLOOKUP(D1069,BugList!C:C,BugList!L:L)</f>
        <v>1</v>
      </c>
      <c r="O1069" t="b">
        <f t="shared" si="229"/>
        <v>0</v>
      </c>
      <c r="P1069" s="18" t="b">
        <f>SUMPRODUCT(COUNTIF(_xlfn.XLOOKUP(D1069,BugList!C:C,BugList!P:P), "*SC*"))&gt;0</f>
        <v>0</v>
      </c>
    </row>
    <row r="1070" spans="1:16">
      <c r="A1070" s="86" t="s">
        <v>2843</v>
      </c>
      <c r="B1070" s="83">
        <v>13</v>
      </c>
      <c r="C1070" s="34" t="s">
        <v>195</v>
      </c>
      <c r="D1070" s="34" t="s">
        <v>113</v>
      </c>
      <c r="E1070" s="83">
        <v>2</v>
      </c>
      <c r="F1070" s="43">
        <f t="shared" si="230"/>
        <v>1.5873015873015872</v>
      </c>
      <c r="G1070" s="44">
        <f t="shared" si="224"/>
        <v>1</v>
      </c>
      <c r="H1070" s="44">
        <f t="shared" si="225"/>
        <v>0.58730158730158721</v>
      </c>
      <c r="I1070" cm="1">
        <f t="array" ref="I1070">INT(F1070)+IF(100-SUM(INT(F$1067:F$1085))&gt;=RANK(H1070,H$1067:H$1085)+COUNTIF(H$1067:H1070,H1070)-1,1,0)</f>
        <v>2</v>
      </c>
      <c r="J1070" t="b">
        <f t="shared" si="226"/>
        <v>0</v>
      </c>
      <c r="K1070" t="str">
        <f t="shared" si="227"/>
        <v/>
      </c>
      <c r="L1070">
        <f>_xlfn.XLOOKUP(D1070,BugList!C:C,BugList!N:N)</f>
        <v>1</v>
      </c>
      <c r="M1070">
        <f t="shared" si="228"/>
        <v>2</v>
      </c>
      <c r="N1070" t="b">
        <f>_xlfn.XLOOKUP(D1070,BugList!C:C,BugList!L:L)</f>
        <v>1</v>
      </c>
      <c r="O1070" t="b">
        <f t="shared" si="229"/>
        <v>0</v>
      </c>
      <c r="P1070" s="18" t="b">
        <f>SUMPRODUCT(COUNTIF(_xlfn.XLOOKUP(D1070,BugList!C:C,BugList!P:P), "*SC*"))&gt;0</f>
        <v>0</v>
      </c>
    </row>
    <row r="1071" spans="1:16">
      <c r="A1071" s="86" t="s">
        <v>2843</v>
      </c>
      <c r="B1071" s="83">
        <v>13</v>
      </c>
      <c r="C1071" s="34" t="s">
        <v>197</v>
      </c>
      <c r="D1071" s="34" t="s">
        <v>105</v>
      </c>
      <c r="E1071" s="83">
        <v>8</v>
      </c>
      <c r="F1071" s="43">
        <f t="shared" si="230"/>
        <v>6.3492063492063489</v>
      </c>
      <c r="G1071" s="44">
        <f t="shared" si="224"/>
        <v>6</v>
      </c>
      <c r="H1071" s="44">
        <f t="shared" si="225"/>
        <v>0.34920634920634885</v>
      </c>
      <c r="I1071" cm="1">
        <f t="array" ref="I1071">INT(F1071)+IF(100-SUM(INT(F$1067:F$1085))&gt;=RANK(H1071,H$1067:H$1085)+COUNTIF(H$1067:H1071,H1071)-1,1,0)</f>
        <v>6</v>
      </c>
      <c r="J1071" t="b">
        <f t="shared" si="226"/>
        <v>1</v>
      </c>
      <c r="K1071" t="str">
        <f t="shared" si="227"/>
        <v>Plecoptera</v>
      </c>
      <c r="L1071">
        <f>_xlfn.XLOOKUP(D1071,BugList!C:C,BugList!N:N)</f>
        <v>1</v>
      </c>
      <c r="M1071">
        <f t="shared" si="228"/>
        <v>6</v>
      </c>
      <c r="N1071" t="b">
        <f>_xlfn.XLOOKUP(D1071,BugList!C:C,BugList!L:L)</f>
        <v>1</v>
      </c>
      <c r="O1071" t="b">
        <f t="shared" si="229"/>
        <v>1</v>
      </c>
      <c r="P1071" s="18" t="b">
        <f>SUMPRODUCT(COUNTIF(_xlfn.XLOOKUP(D1071,BugList!C:C,BugList!P:P), "*SC*"))&gt;0</f>
        <v>0</v>
      </c>
    </row>
    <row r="1072" spans="1:16">
      <c r="A1072" s="86" t="s">
        <v>2843</v>
      </c>
      <c r="B1072" s="83">
        <v>13</v>
      </c>
      <c r="C1072" s="34" t="s">
        <v>198</v>
      </c>
      <c r="D1072" s="34" t="s">
        <v>89</v>
      </c>
      <c r="E1072" s="83">
        <v>32</v>
      </c>
      <c r="F1072" s="43">
        <f t="shared" si="230"/>
        <v>25.396825396825395</v>
      </c>
      <c r="G1072" s="44">
        <f t="shared" si="224"/>
        <v>25</v>
      </c>
      <c r="H1072" s="44">
        <f t="shared" si="225"/>
        <v>0.39682539682539542</v>
      </c>
      <c r="I1072" cm="1">
        <f t="array" ref="I1072">INT(F1072)+IF(100-SUM(INT(F$1067:F$1085))&gt;=RANK(H1072,H$1067:H$1085)+COUNTIF(H$1067:H1072,H1072)-1,1,0)</f>
        <v>25</v>
      </c>
      <c r="J1072" t="b">
        <f t="shared" si="226"/>
        <v>1</v>
      </c>
      <c r="K1072" t="str">
        <f t="shared" si="227"/>
        <v>Trichoptera</v>
      </c>
      <c r="L1072">
        <f>_xlfn.XLOOKUP(D1072,BugList!C:C,BugList!N:N)</f>
        <v>4</v>
      </c>
      <c r="M1072">
        <f t="shared" si="228"/>
        <v>100</v>
      </c>
      <c r="N1072" t="b">
        <f>_xlfn.XLOOKUP(D1072,BugList!C:C,BugList!L:L)</f>
        <v>1</v>
      </c>
      <c r="O1072" t="b">
        <f t="shared" si="229"/>
        <v>0</v>
      </c>
      <c r="P1072" s="18" t="b">
        <f>SUMPRODUCT(COUNTIF(_xlfn.XLOOKUP(D1072,BugList!C:C,BugList!P:P), "*SC*"))&gt;0</f>
        <v>0</v>
      </c>
    </row>
    <row r="1073" spans="1:16">
      <c r="A1073" s="86" t="s">
        <v>2843</v>
      </c>
      <c r="B1073" s="83">
        <v>13</v>
      </c>
      <c r="C1073" s="34" t="s">
        <v>198</v>
      </c>
      <c r="D1073" s="34" t="s">
        <v>177</v>
      </c>
      <c r="E1073" s="83">
        <v>4</v>
      </c>
      <c r="F1073" s="43">
        <f t="shared" si="230"/>
        <v>3.1746031746031744</v>
      </c>
      <c r="G1073" s="44">
        <f t="shared" si="224"/>
        <v>3</v>
      </c>
      <c r="H1073" s="44">
        <f t="shared" si="225"/>
        <v>0.17460317460317443</v>
      </c>
      <c r="I1073" cm="1">
        <f t="array" ref="I1073">INT(F1073)+IF(100-SUM(INT(F$1067:F$1085))&gt;=RANK(H1073,H$1067:H$1085)+COUNTIF(H$1067:H1073,H1073)-1,1,0)</f>
        <v>3</v>
      </c>
      <c r="J1073" t="b">
        <f t="shared" si="226"/>
        <v>1</v>
      </c>
      <c r="K1073" t="str">
        <f t="shared" si="227"/>
        <v>Trichoptera</v>
      </c>
      <c r="L1073">
        <f>_xlfn.XLOOKUP(D1073,BugList!C:C,BugList!N:N)</f>
        <v>0</v>
      </c>
      <c r="M1073">
        <f t="shared" si="228"/>
        <v>0</v>
      </c>
      <c r="N1073" t="b">
        <f>_xlfn.XLOOKUP(D1073,BugList!C:C,BugList!L:L)</f>
        <v>1</v>
      </c>
      <c r="O1073" t="b">
        <f t="shared" si="229"/>
        <v>1</v>
      </c>
      <c r="P1073" s="18" t="b">
        <f>SUMPRODUCT(COUNTIF(_xlfn.XLOOKUP(D1073,BugList!C:C,BugList!P:P), "*SC*"))&gt;0</f>
        <v>1</v>
      </c>
    </row>
    <row r="1074" spans="1:16">
      <c r="A1074" s="86" t="s">
        <v>2843</v>
      </c>
      <c r="B1074" s="83">
        <v>13</v>
      </c>
      <c r="C1074" s="34" t="s">
        <v>198</v>
      </c>
      <c r="D1074" s="34" t="s">
        <v>1263</v>
      </c>
      <c r="E1074" s="83">
        <v>1</v>
      </c>
      <c r="F1074" s="43">
        <f t="shared" si="230"/>
        <v>0.79365079365079361</v>
      </c>
      <c r="G1074" s="44">
        <f t="shared" si="224"/>
        <v>0</v>
      </c>
      <c r="H1074" s="44">
        <f t="shared" si="225"/>
        <v>0.79365079365079361</v>
      </c>
      <c r="I1074" cm="1">
        <f t="array" ref="I1074">INT(F1074)+IF(100-SUM(INT(F$1067:F$1085))&gt;=RANK(H1074,H$1067:H$1085)+COUNTIF(H$1067:H1074,H1074)-1,1,0)</f>
        <v>1</v>
      </c>
      <c r="J1074" t="b">
        <f t="shared" si="226"/>
        <v>1</v>
      </c>
      <c r="K1074" t="str">
        <f t="shared" si="227"/>
        <v>Trichoptera</v>
      </c>
      <c r="L1074">
        <f>_xlfn.XLOOKUP(D1074,BugList!C:C,BugList!N:N)</f>
        <v>4</v>
      </c>
      <c r="M1074">
        <f t="shared" si="228"/>
        <v>4</v>
      </c>
      <c r="N1074" t="b">
        <f>_xlfn.XLOOKUP(D1074,BugList!C:C,BugList!L:L)</f>
        <v>1</v>
      </c>
      <c r="O1074" t="b">
        <f t="shared" si="229"/>
        <v>1</v>
      </c>
      <c r="P1074" s="18" t="b">
        <f>SUMPRODUCT(COUNTIF(_xlfn.XLOOKUP(D1074,BugList!C:C,BugList!P:P), "*SC*"))&gt;0</f>
        <v>0</v>
      </c>
    </row>
    <row r="1075" spans="1:16">
      <c r="A1075" s="86" t="s">
        <v>2843</v>
      </c>
      <c r="B1075" s="83">
        <v>13</v>
      </c>
      <c r="C1075" s="84" t="s">
        <v>198</v>
      </c>
      <c r="D1075" s="84" t="s">
        <v>179</v>
      </c>
      <c r="E1075" s="83">
        <v>1</v>
      </c>
      <c r="F1075" s="43">
        <f t="shared" si="230"/>
        <v>0.79365079365079361</v>
      </c>
      <c r="G1075" s="44">
        <f t="shared" si="224"/>
        <v>0</v>
      </c>
      <c r="H1075" s="44">
        <f t="shared" si="225"/>
        <v>0.79365079365079361</v>
      </c>
      <c r="I1075" cm="1">
        <f t="array" ref="I1075">INT(F1075)+IF(100-SUM(INT(F$1067:F$1085))&gt;=RANK(H1075,H$1067:H$1085)+COUNTIF(H$1067:H1075,H1075)-1,1,0)</f>
        <v>1</v>
      </c>
      <c r="J1075" t="b">
        <f t="shared" si="226"/>
        <v>1</v>
      </c>
      <c r="K1075" t="str">
        <f t="shared" si="227"/>
        <v>Trichoptera</v>
      </c>
      <c r="L1075">
        <f>_xlfn.XLOOKUP(D1075,BugList!C:C,BugList!N:N)</f>
        <v>1</v>
      </c>
      <c r="M1075">
        <f t="shared" si="228"/>
        <v>1</v>
      </c>
      <c r="N1075" t="b">
        <f>_xlfn.XLOOKUP(D1075,BugList!C:C,BugList!L:L)</f>
        <v>1</v>
      </c>
      <c r="O1075" t="b">
        <f t="shared" si="229"/>
        <v>1</v>
      </c>
      <c r="P1075" s="18" t="b">
        <f>SUMPRODUCT(COUNTIF(_xlfn.XLOOKUP(D1075,BugList!C:C,BugList!P:P), "*SC*"))&gt;0</f>
        <v>0</v>
      </c>
    </row>
    <row r="1076" spans="1:16">
      <c r="A1076" s="86" t="s">
        <v>2843</v>
      </c>
      <c r="B1076" s="83">
        <v>13</v>
      </c>
      <c r="C1076" s="34" t="s">
        <v>199</v>
      </c>
      <c r="D1076" s="34" t="s">
        <v>969</v>
      </c>
      <c r="E1076" s="83">
        <v>2</v>
      </c>
      <c r="F1076" s="43">
        <f t="shared" si="230"/>
        <v>1.5873015873015872</v>
      </c>
      <c r="G1076" s="44">
        <f t="shared" si="224"/>
        <v>1</v>
      </c>
      <c r="H1076" s="44">
        <f t="shared" si="225"/>
        <v>0.58730158730158721</v>
      </c>
      <c r="I1076" cm="1">
        <f t="array" ref="I1076">INT(F1076)+IF(100-SUM(INT(F$1067:F$1085))&gt;=RANK(H1076,H$1067:H$1085)+COUNTIF(H$1067:H1076,H1076)-1,1,0)</f>
        <v>2</v>
      </c>
      <c r="J1076" t="b">
        <f t="shared" si="226"/>
        <v>1</v>
      </c>
      <c r="K1076" t="str">
        <f t="shared" si="227"/>
        <v>Ephemeroptera</v>
      </c>
      <c r="L1076">
        <f>_xlfn.XLOOKUP(D1076,BugList!C:C,BugList!N:N)</f>
        <v>7</v>
      </c>
      <c r="M1076">
        <f t="shared" si="228"/>
        <v>14</v>
      </c>
      <c r="N1076" t="b">
        <f>_xlfn.XLOOKUP(D1076,BugList!C:C,BugList!L:L)</f>
        <v>1</v>
      </c>
      <c r="O1076" t="b">
        <f t="shared" si="229"/>
        <v>1</v>
      </c>
      <c r="P1076" s="18" t="b">
        <f>SUMPRODUCT(COUNTIF(_xlfn.XLOOKUP(D1076,BugList!C:C,BugList!P:P), "*SC*"))&gt;0</f>
        <v>0</v>
      </c>
    </row>
    <row r="1077" spans="1:16">
      <c r="A1077" s="86" t="s">
        <v>2843</v>
      </c>
      <c r="B1077" s="83">
        <v>13</v>
      </c>
      <c r="C1077" s="84" t="s">
        <v>199</v>
      </c>
      <c r="D1077" s="84" t="s">
        <v>869</v>
      </c>
      <c r="E1077" s="83">
        <v>10</v>
      </c>
      <c r="F1077" s="43">
        <f t="shared" si="230"/>
        <v>7.9365079365079358</v>
      </c>
      <c r="G1077" s="44">
        <f t="shared" si="224"/>
        <v>7</v>
      </c>
      <c r="H1077" s="44">
        <f t="shared" si="225"/>
        <v>0.93650793650793585</v>
      </c>
      <c r="I1077" cm="1">
        <f t="array" ref="I1077">INT(F1077)+IF(100-SUM(INT(F$1067:F$1085))&gt;=RANK(H1077,H$1067:H$1085)+COUNTIF(H$1067:H1077,H1077)-1,1,0)</f>
        <v>8</v>
      </c>
      <c r="J1077" t="b">
        <f t="shared" si="226"/>
        <v>1</v>
      </c>
      <c r="K1077" t="str">
        <f t="shared" si="227"/>
        <v>Ephemeroptera</v>
      </c>
      <c r="L1077">
        <f>_xlfn.XLOOKUP(D1077,BugList!C:C,BugList!N:N)</f>
        <v>2</v>
      </c>
      <c r="M1077">
        <f t="shared" si="228"/>
        <v>16</v>
      </c>
      <c r="N1077" t="b">
        <f>_xlfn.XLOOKUP(D1077,BugList!C:C,BugList!L:L)</f>
        <v>1</v>
      </c>
      <c r="O1077" t="b">
        <f t="shared" si="229"/>
        <v>1</v>
      </c>
      <c r="P1077" s="18" t="b">
        <f>SUMPRODUCT(COUNTIF(_xlfn.XLOOKUP(D1077,BugList!C:C,BugList!P:P), "*SC*"))&gt;0</f>
        <v>0</v>
      </c>
    </row>
    <row r="1078" spans="1:16">
      <c r="A1078" s="86" t="s">
        <v>2843</v>
      </c>
      <c r="B1078" s="83">
        <v>13</v>
      </c>
      <c r="C1078" s="34" t="s">
        <v>199</v>
      </c>
      <c r="D1078" s="34" t="s">
        <v>151</v>
      </c>
      <c r="E1078" s="83">
        <v>18</v>
      </c>
      <c r="F1078" s="43">
        <f t="shared" si="230"/>
        <v>14.285714285714285</v>
      </c>
      <c r="G1078" s="44">
        <f t="shared" si="224"/>
        <v>14</v>
      </c>
      <c r="H1078" s="44">
        <f t="shared" si="225"/>
        <v>0.2857142857142847</v>
      </c>
      <c r="I1078" cm="1">
        <f t="array" ref="I1078">INT(F1078)+IF(100-SUM(INT(F$1067:F$1085))&gt;=RANK(H1078,H$1067:H$1085)+COUNTIF(H$1067:H1078,H1078)-1,1,0)</f>
        <v>14</v>
      </c>
      <c r="J1078" t="b">
        <f t="shared" si="226"/>
        <v>1</v>
      </c>
      <c r="K1078" t="str">
        <f t="shared" si="227"/>
        <v>Ephemeroptera</v>
      </c>
      <c r="L1078">
        <f>_xlfn.XLOOKUP(D1078,BugList!C:C,BugList!N:N)</f>
        <v>1</v>
      </c>
      <c r="M1078">
        <f t="shared" si="228"/>
        <v>14</v>
      </c>
      <c r="N1078" t="b">
        <f>_xlfn.XLOOKUP(D1078,BugList!C:C,BugList!L:L)</f>
        <v>1</v>
      </c>
      <c r="O1078" t="b">
        <f t="shared" si="229"/>
        <v>1</v>
      </c>
      <c r="P1078" s="18" t="b">
        <f>SUMPRODUCT(COUNTIF(_xlfn.XLOOKUP(D1078,BugList!C:C,BugList!P:P), "*SC*"))&gt;0</f>
        <v>0</v>
      </c>
    </row>
    <row r="1079" spans="1:16">
      <c r="A1079" s="86" t="s">
        <v>2843</v>
      </c>
      <c r="B1079" s="83">
        <v>13</v>
      </c>
      <c r="C1079" s="34" t="s">
        <v>199</v>
      </c>
      <c r="D1079" s="34" t="s">
        <v>96</v>
      </c>
      <c r="E1079" s="83">
        <v>1</v>
      </c>
      <c r="F1079" s="43">
        <f t="shared" si="230"/>
        <v>0.79365079365079361</v>
      </c>
      <c r="G1079" s="44">
        <f t="shared" si="224"/>
        <v>0</v>
      </c>
      <c r="H1079" s="44">
        <f t="shared" si="225"/>
        <v>0.79365079365079361</v>
      </c>
      <c r="I1079" cm="1">
        <f t="array" ref="I1079">INT(F1079)+IF(100-SUM(INT(F$1067:F$1085))&gt;=RANK(H1079,H$1067:H$1085)+COUNTIF(H$1067:H1079,H1079)-1,1,0)</f>
        <v>1</v>
      </c>
      <c r="J1079" t="b">
        <f t="shared" si="226"/>
        <v>1</v>
      </c>
      <c r="K1079" t="str">
        <f t="shared" si="227"/>
        <v>Ephemeroptera</v>
      </c>
      <c r="L1079">
        <f>_xlfn.XLOOKUP(D1079,BugList!C:C,BugList!N:N)</f>
        <v>4</v>
      </c>
      <c r="M1079">
        <f t="shared" si="228"/>
        <v>4</v>
      </c>
      <c r="N1079" t="b">
        <f>_xlfn.XLOOKUP(D1079,BugList!C:C,BugList!L:L)</f>
        <v>1</v>
      </c>
      <c r="O1079" t="b">
        <f t="shared" si="229"/>
        <v>1</v>
      </c>
      <c r="P1079" s="18" t="b">
        <f>SUMPRODUCT(COUNTIF(_xlfn.XLOOKUP(D1079,BugList!C:C,BugList!P:P), "*SC*"))&gt;0</f>
        <v>1</v>
      </c>
    </row>
    <row r="1080" spans="1:16">
      <c r="A1080" s="86" t="s">
        <v>2843</v>
      </c>
      <c r="B1080" s="83">
        <v>13</v>
      </c>
      <c r="C1080" s="34" t="s">
        <v>200</v>
      </c>
      <c r="D1080" s="34" t="s">
        <v>100</v>
      </c>
      <c r="E1080" s="83">
        <v>2</v>
      </c>
      <c r="F1080" s="43">
        <f t="shared" si="230"/>
        <v>1.5873015873015872</v>
      </c>
      <c r="G1080" s="44">
        <f t="shared" si="224"/>
        <v>1</v>
      </c>
      <c r="H1080" s="44">
        <f t="shared" si="225"/>
        <v>0.58730158730158721</v>
      </c>
      <c r="I1080" cm="1">
        <f t="array" ref="I1080">INT(F1080)+IF(100-SUM(INT(F$1067:F$1085))&gt;=RANK(H1080,H$1067:H$1085)+COUNTIF(H$1067:H1080,H1080)-1,1,0)</f>
        <v>2</v>
      </c>
      <c r="J1080" t="b">
        <f t="shared" si="226"/>
        <v>0</v>
      </c>
      <c r="K1080" t="str">
        <f t="shared" si="227"/>
        <v/>
      </c>
      <c r="L1080">
        <f>_xlfn.XLOOKUP(D1080,BugList!C:C,BugList!N:N)</f>
        <v>4</v>
      </c>
      <c r="M1080">
        <f t="shared" si="228"/>
        <v>8</v>
      </c>
      <c r="N1080" t="b">
        <f>_xlfn.XLOOKUP(D1080,BugList!C:C,BugList!L:L)</f>
        <v>1</v>
      </c>
      <c r="O1080" t="b">
        <f t="shared" si="229"/>
        <v>0</v>
      </c>
      <c r="P1080" s="18" t="b">
        <f>SUMPRODUCT(COUNTIF(_xlfn.XLOOKUP(D1080,BugList!C:C,BugList!P:P), "*SC*"))&gt;0</f>
        <v>1</v>
      </c>
    </row>
    <row r="1081" spans="1:16">
      <c r="A1081" s="86" t="s">
        <v>2843</v>
      </c>
      <c r="B1081" s="83">
        <v>13</v>
      </c>
      <c r="C1081" s="34" t="s">
        <v>200</v>
      </c>
      <c r="D1081" s="34" t="s">
        <v>98</v>
      </c>
      <c r="E1081" s="83">
        <v>12</v>
      </c>
      <c r="F1081" s="43">
        <f t="shared" si="230"/>
        <v>9.5238095238095237</v>
      </c>
      <c r="G1081" s="44">
        <f t="shared" si="224"/>
        <v>9</v>
      </c>
      <c r="H1081" s="44">
        <f t="shared" si="225"/>
        <v>0.52380952380952372</v>
      </c>
      <c r="I1081" cm="1">
        <f t="array" ref="I1081">INT(F1081)+IF(100-SUM(INT(F$1067:F$1085))&gt;=RANK(H1081,H$1067:H$1085)+COUNTIF(H$1067:H1081,H1081)-1,1,0)</f>
        <v>9</v>
      </c>
      <c r="J1081" t="b">
        <f t="shared" si="226"/>
        <v>0</v>
      </c>
      <c r="K1081" t="str">
        <f t="shared" si="227"/>
        <v/>
      </c>
      <c r="L1081">
        <f>_xlfn.XLOOKUP(D1081,BugList!C:C,BugList!N:N)</f>
        <v>4</v>
      </c>
      <c r="M1081">
        <f t="shared" si="228"/>
        <v>36</v>
      </c>
      <c r="N1081" t="b">
        <f>_xlfn.XLOOKUP(D1081,BugList!C:C,BugList!L:L)</f>
        <v>1</v>
      </c>
      <c r="O1081" t="b">
        <f t="shared" si="229"/>
        <v>0</v>
      </c>
      <c r="P1081" s="18" t="b">
        <f>SUMPRODUCT(COUNTIF(_xlfn.XLOOKUP(D1081,BugList!C:C,BugList!P:P), "*SC*"))&gt;0</f>
        <v>1</v>
      </c>
    </row>
    <row r="1082" spans="1:16">
      <c r="A1082" s="86" t="s">
        <v>2843</v>
      </c>
      <c r="B1082" s="83">
        <v>13</v>
      </c>
      <c r="C1082" s="34" t="s">
        <v>94</v>
      </c>
      <c r="D1082" s="34" t="s">
        <v>94</v>
      </c>
      <c r="E1082" s="83">
        <v>5</v>
      </c>
      <c r="F1082" s="43">
        <f t="shared" si="230"/>
        <v>3.9682539682539679</v>
      </c>
      <c r="G1082" s="44">
        <f t="shared" si="224"/>
        <v>3</v>
      </c>
      <c r="H1082" s="44">
        <f t="shared" si="225"/>
        <v>0.96825396825396792</v>
      </c>
      <c r="I1082" cm="1">
        <f t="array" ref="I1082">INT(F1082)+IF(100-SUM(INT(F$1067:F$1085))&gt;=RANK(H1082,H$1067:H$1085)+COUNTIF(H$1067:H1082,H1082)-1,1,0)</f>
        <v>4</v>
      </c>
      <c r="J1082" t="b">
        <f t="shared" si="226"/>
        <v>0</v>
      </c>
      <c r="K1082" t="str">
        <f t="shared" si="227"/>
        <v/>
      </c>
      <c r="L1082">
        <f>_xlfn.XLOOKUP(D1082,BugList!C:C,BugList!N:N)</f>
        <v>8</v>
      </c>
      <c r="M1082">
        <f t="shared" si="228"/>
        <v>32</v>
      </c>
      <c r="N1082" t="b">
        <f>_xlfn.XLOOKUP(D1082,BugList!C:C,BugList!L:L)</f>
        <v>0</v>
      </c>
      <c r="O1082" t="b">
        <f t="shared" si="229"/>
        <v>0</v>
      </c>
      <c r="P1082" s="18" t="b">
        <f>SUMPRODUCT(COUNTIF(_xlfn.XLOOKUP(D1082,BugList!C:C,BugList!P:P), "*SC*"))&gt;0</f>
        <v>0</v>
      </c>
    </row>
    <row r="1083" spans="1:16">
      <c r="A1083" s="86" t="s">
        <v>2843</v>
      </c>
      <c r="B1083" s="83">
        <v>13</v>
      </c>
      <c r="C1083" s="34" t="s">
        <v>201</v>
      </c>
      <c r="D1083" s="34" t="s">
        <v>85</v>
      </c>
      <c r="E1083" s="83">
        <v>2</v>
      </c>
      <c r="F1083" s="43">
        <f t="shared" si="230"/>
        <v>1.5873015873015872</v>
      </c>
      <c r="G1083" s="44">
        <f t="shared" si="224"/>
        <v>1</v>
      </c>
      <c r="H1083" s="44">
        <f t="shared" si="225"/>
        <v>0.58730158730158721</v>
      </c>
      <c r="I1083" cm="1">
        <f t="array" ref="I1083">INT(F1083)+IF(100-SUM(INT(F$1067:F$1085))&gt;=RANK(H1083,H$1067:H$1085)+COUNTIF(H$1067:H1083,H1083)-1,1,0)</f>
        <v>1</v>
      </c>
      <c r="J1083" t="b">
        <f t="shared" si="226"/>
        <v>0</v>
      </c>
      <c r="K1083" t="str">
        <f t="shared" si="227"/>
        <v/>
      </c>
      <c r="L1083">
        <f>_xlfn.XLOOKUP(D1083,BugList!C:C,BugList!N:N)</f>
        <v>4</v>
      </c>
      <c r="M1083">
        <f t="shared" si="228"/>
        <v>4</v>
      </c>
      <c r="N1083" t="b">
        <f>_xlfn.XLOOKUP(D1083,BugList!C:C,BugList!L:L)</f>
        <v>0</v>
      </c>
      <c r="O1083" t="b">
        <f t="shared" si="229"/>
        <v>0</v>
      </c>
      <c r="P1083" s="18" t="b">
        <f>SUMPRODUCT(COUNTIF(_xlfn.XLOOKUP(D1083,BugList!C:C,BugList!P:P), "*SC*"))&gt;0</f>
        <v>0</v>
      </c>
    </row>
    <row r="1084" spans="1:16">
      <c r="A1084" s="86" t="s">
        <v>2843</v>
      </c>
      <c r="B1084" s="83">
        <v>13</v>
      </c>
      <c r="C1084" s="34" t="s">
        <v>2315</v>
      </c>
      <c r="D1084" s="34" t="s">
        <v>2315</v>
      </c>
      <c r="E1084" s="83">
        <v>10</v>
      </c>
      <c r="F1084" s="43">
        <f t="shared" si="230"/>
        <v>7.9365079365079358</v>
      </c>
      <c r="G1084" s="44">
        <f t="shared" si="224"/>
        <v>7</v>
      </c>
      <c r="H1084" s="44">
        <f t="shared" si="225"/>
        <v>0.93650793650793585</v>
      </c>
      <c r="I1084" cm="1">
        <f t="array" ref="I1084">INT(F1084)+IF(100-SUM(INT(F$1067:F$1085))&gt;=RANK(H1084,H$1067:H$1085)+COUNTIF(H$1067:H1084,H1084)-1,1,0)</f>
        <v>8</v>
      </c>
      <c r="J1084" t="b">
        <f t="shared" si="226"/>
        <v>0</v>
      </c>
      <c r="K1084" t="str">
        <f t="shared" si="227"/>
        <v/>
      </c>
      <c r="L1084">
        <f>_xlfn.XLOOKUP(D1084,BugList!C:C,BugList!N:N)</f>
        <v>7</v>
      </c>
      <c r="M1084">
        <f t="shared" si="228"/>
        <v>56</v>
      </c>
      <c r="N1084" t="b">
        <f>_xlfn.XLOOKUP(D1084,BugList!C:C,BugList!L:L)</f>
        <v>0</v>
      </c>
      <c r="O1084" t="b">
        <f t="shared" si="229"/>
        <v>0</v>
      </c>
      <c r="P1084" s="18" t="b">
        <f>SUMPRODUCT(COUNTIF(_xlfn.XLOOKUP(D1084,BugList!C:C,BugList!P:P), "*SC*"))&gt;0</f>
        <v>1</v>
      </c>
    </row>
    <row r="1085" spans="1:16">
      <c r="A1085" s="86" t="s">
        <v>2843</v>
      </c>
      <c r="B1085" s="83">
        <v>13</v>
      </c>
      <c r="C1085" s="34" t="s">
        <v>195</v>
      </c>
      <c r="D1085" s="34" t="s">
        <v>162</v>
      </c>
      <c r="E1085" s="83">
        <v>1</v>
      </c>
      <c r="F1085" s="43">
        <f t="shared" si="230"/>
        <v>0.79365079365079361</v>
      </c>
      <c r="G1085" s="44">
        <f t="shared" si="224"/>
        <v>0</v>
      </c>
      <c r="H1085" s="44">
        <f t="shared" si="225"/>
        <v>0.79365079365079361</v>
      </c>
      <c r="I1085" cm="1">
        <f t="array" ref="I1085">INT(F1085)+IF(100-SUM(INT(F$1067:F$1085))&gt;=RANK(H1085,H$1067:H$1085)+COUNTIF(H$1067:H1085,H1085)-1,1,0)</f>
        <v>1</v>
      </c>
      <c r="J1085" t="b">
        <f t="shared" si="226"/>
        <v>0</v>
      </c>
      <c r="K1085" t="str">
        <f t="shared" si="227"/>
        <v/>
      </c>
      <c r="L1085">
        <f>_xlfn.XLOOKUP(D1085,BugList!C:C,BugList!N:N)</f>
        <v>3</v>
      </c>
      <c r="M1085">
        <f t="shared" si="228"/>
        <v>3</v>
      </c>
      <c r="N1085" t="b">
        <f>_xlfn.XLOOKUP(D1085,BugList!C:C,BugList!L:L)</f>
        <v>1</v>
      </c>
      <c r="O1085" t="b">
        <f t="shared" si="229"/>
        <v>0</v>
      </c>
      <c r="P1085" s="18" t="b">
        <f>SUMPRODUCT(COUNTIF(_xlfn.XLOOKUP(D1085,BugList!C:C,BugList!P:P), "*SC*"))&gt;0</f>
        <v>0</v>
      </c>
    </row>
    <row r="1086" spans="1:16">
      <c r="A1086" s="86" t="s">
        <v>2844</v>
      </c>
      <c r="B1086" s="83">
        <v>14</v>
      </c>
      <c r="C1086" s="34" t="s">
        <v>194</v>
      </c>
      <c r="D1086" s="34" t="s">
        <v>90</v>
      </c>
      <c r="E1086" s="83">
        <v>3</v>
      </c>
      <c r="F1086" s="43"/>
      <c r="G1086" s="44"/>
      <c r="H1086" s="44"/>
      <c r="I1086" s="83">
        <v>3</v>
      </c>
      <c r="J1086" t="b">
        <f t="shared" si="226"/>
        <v>0</v>
      </c>
      <c r="K1086" t="str">
        <f t="shared" si="227"/>
        <v/>
      </c>
      <c r="L1086">
        <f>_xlfn.XLOOKUP(D1086,BugList!C:C,BugList!N:N)</f>
        <v>6</v>
      </c>
      <c r="M1086">
        <f t="shared" si="228"/>
        <v>18</v>
      </c>
      <c r="N1086" t="b">
        <f>_xlfn.XLOOKUP(D1086,BugList!C:C,BugList!L:L)</f>
        <v>1</v>
      </c>
      <c r="O1086" t="b">
        <f t="shared" si="229"/>
        <v>0</v>
      </c>
      <c r="P1086" s="18" t="b">
        <f>SUMPRODUCT(COUNTIF(_xlfn.XLOOKUP(D1086,BugList!C:C,BugList!P:P), "*SC*"))&gt;0</f>
        <v>0</v>
      </c>
    </row>
    <row r="1087" spans="1:16">
      <c r="A1087" s="86" t="s">
        <v>2844</v>
      </c>
      <c r="B1087" s="83">
        <v>14</v>
      </c>
      <c r="C1087" s="34" t="s">
        <v>195</v>
      </c>
      <c r="D1087" s="34" t="s">
        <v>113</v>
      </c>
      <c r="E1087" s="83">
        <v>1</v>
      </c>
      <c r="F1087" s="43"/>
      <c r="G1087" s="44"/>
      <c r="H1087" s="44"/>
      <c r="I1087" s="83">
        <v>1</v>
      </c>
      <c r="J1087" t="b">
        <f t="shared" si="226"/>
        <v>0</v>
      </c>
      <c r="K1087" t="str">
        <f t="shared" si="227"/>
        <v/>
      </c>
      <c r="L1087">
        <f>_xlfn.XLOOKUP(D1087,BugList!C:C,BugList!N:N)</f>
        <v>1</v>
      </c>
      <c r="M1087">
        <f t="shared" si="228"/>
        <v>1</v>
      </c>
      <c r="N1087" t="b">
        <f>_xlfn.XLOOKUP(D1087,BugList!C:C,BugList!L:L)</f>
        <v>1</v>
      </c>
      <c r="O1087" t="b">
        <f t="shared" si="229"/>
        <v>0</v>
      </c>
      <c r="P1087" s="18" t="b">
        <f>SUMPRODUCT(COUNTIF(_xlfn.XLOOKUP(D1087,BugList!C:C,BugList!P:P), "*SC*"))&gt;0</f>
        <v>0</v>
      </c>
    </row>
    <row r="1088" spans="1:16">
      <c r="A1088" s="86" t="s">
        <v>2844</v>
      </c>
      <c r="B1088" s="83">
        <v>14</v>
      </c>
      <c r="C1088" s="34" t="s">
        <v>198</v>
      </c>
      <c r="D1088" s="34" t="s">
        <v>89</v>
      </c>
      <c r="E1088" s="83">
        <v>62</v>
      </c>
      <c r="F1088" s="43"/>
      <c r="G1088" s="44"/>
      <c r="H1088" s="44"/>
      <c r="I1088" s="83">
        <v>62</v>
      </c>
      <c r="J1088" t="b">
        <f t="shared" si="226"/>
        <v>1</v>
      </c>
      <c r="K1088" t="str">
        <f t="shared" si="227"/>
        <v>Trichoptera</v>
      </c>
      <c r="L1088">
        <f>_xlfn.XLOOKUP(D1088,BugList!C:C,BugList!N:N)</f>
        <v>4</v>
      </c>
      <c r="M1088">
        <f t="shared" si="228"/>
        <v>248</v>
      </c>
      <c r="N1088" t="b">
        <f>_xlfn.XLOOKUP(D1088,BugList!C:C,BugList!L:L)</f>
        <v>1</v>
      </c>
      <c r="O1088" t="b">
        <f t="shared" si="229"/>
        <v>0</v>
      </c>
      <c r="P1088" s="18" t="b">
        <f>SUMPRODUCT(COUNTIF(_xlfn.XLOOKUP(D1088,BugList!C:C,BugList!P:P), "*SC*"))&gt;0</f>
        <v>0</v>
      </c>
    </row>
    <row r="1089" spans="1:16">
      <c r="A1089" s="86" t="s">
        <v>2844</v>
      </c>
      <c r="B1089" s="83">
        <v>14</v>
      </c>
      <c r="C1089" s="34" t="s">
        <v>199</v>
      </c>
      <c r="D1089" s="34" t="s">
        <v>111</v>
      </c>
      <c r="E1089" s="83">
        <v>15</v>
      </c>
      <c r="F1089" s="43"/>
      <c r="G1089" s="44"/>
      <c r="H1089" s="44"/>
      <c r="I1089" s="83">
        <v>15</v>
      </c>
      <c r="J1089" t="b">
        <f t="shared" si="226"/>
        <v>1</v>
      </c>
      <c r="K1089" t="str">
        <f t="shared" si="227"/>
        <v>Ephemeroptera</v>
      </c>
      <c r="L1089">
        <f>_xlfn.XLOOKUP(D1089,BugList!C:C,BugList!N:N)</f>
        <v>4</v>
      </c>
      <c r="M1089">
        <f t="shared" si="228"/>
        <v>60</v>
      </c>
      <c r="N1089" t="b">
        <f>_xlfn.XLOOKUP(D1089,BugList!C:C,BugList!L:L)</f>
        <v>1</v>
      </c>
      <c r="O1089" t="b">
        <f t="shared" si="229"/>
        <v>1</v>
      </c>
      <c r="P1089" s="18" t="b">
        <f>SUMPRODUCT(COUNTIF(_xlfn.XLOOKUP(D1089,BugList!C:C,BugList!P:P), "*SC*"))&gt;0</f>
        <v>0</v>
      </c>
    </row>
    <row r="1090" spans="1:16">
      <c r="A1090" s="86" t="s">
        <v>2844</v>
      </c>
      <c r="B1090" s="83">
        <v>14</v>
      </c>
      <c r="C1090" s="34" t="s">
        <v>200</v>
      </c>
      <c r="D1090" s="34" t="s">
        <v>100</v>
      </c>
      <c r="E1090" s="83">
        <v>2</v>
      </c>
      <c r="F1090" s="43"/>
      <c r="G1090" s="44"/>
      <c r="H1090" s="44"/>
      <c r="I1090" s="83">
        <v>2</v>
      </c>
      <c r="J1090" t="b">
        <f t="shared" si="226"/>
        <v>0</v>
      </c>
      <c r="K1090" t="str">
        <f t="shared" si="227"/>
        <v/>
      </c>
      <c r="L1090">
        <f>_xlfn.XLOOKUP(D1090,BugList!C:C,BugList!N:N)</f>
        <v>4</v>
      </c>
      <c r="M1090">
        <f t="shared" si="228"/>
        <v>8</v>
      </c>
      <c r="N1090" t="b">
        <f>_xlfn.XLOOKUP(D1090,BugList!C:C,BugList!L:L)</f>
        <v>1</v>
      </c>
      <c r="O1090" t="b">
        <f t="shared" si="229"/>
        <v>0</v>
      </c>
      <c r="P1090" s="18" t="b">
        <f>SUMPRODUCT(COUNTIF(_xlfn.XLOOKUP(D1090,BugList!C:C,BugList!P:P), "*SC*"))&gt;0</f>
        <v>1</v>
      </c>
    </row>
    <row r="1091" spans="1:16">
      <c r="A1091" s="86" t="s">
        <v>2844</v>
      </c>
      <c r="B1091" s="83">
        <v>14</v>
      </c>
      <c r="C1091" s="34" t="s">
        <v>200</v>
      </c>
      <c r="D1091" s="34" t="s">
        <v>1563</v>
      </c>
      <c r="E1091" s="83">
        <v>1</v>
      </c>
      <c r="F1091" s="43"/>
      <c r="G1091" s="44"/>
      <c r="H1091" s="44"/>
      <c r="I1091" s="83">
        <v>1</v>
      </c>
      <c r="J1091" t="b">
        <f t="shared" si="226"/>
        <v>0</v>
      </c>
      <c r="K1091" t="str">
        <f t="shared" si="227"/>
        <v/>
      </c>
      <c r="L1091">
        <f>_xlfn.XLOOKUP(D1091,BugList!C:C,BugList!N:N)</f>
        <v>5</v>
      </c>
      <c r="M1091">
        <f t="shared" si="228"/>
        <v>5</v>
      </c>
      <c r="N1091" t="b">
        <f>_xlfn.XLOOKUP(D1091,BugList!C:C,BugList!L:L)</f>
        <v>1</v>
      </c>
      <c r="O1091" t="b">
        <f t="shared" si="229"/>
        <v>0</v>
      </c>
      <c r="P1091" s="18" t="b">
        <f>SUMPRODUCT(COUNTIF(_xlfn.XLOOKUP(D1091,BugList!C:C,BugList!P:P), "*SC*"))&gt;0</f>
        <v>0</v>
      </c>
    </row>
    <row r="1092" spans="1:16">
      <c r="A1092" s="86" t="s">
        <v>2844</v>
      </c>
      <c r="B1092" s="83">
        <v>14</v>
      </c>
      <c r="C1092" s="34" t="s">
        <v>2738</v>
      </c>
      <c r="D1092" s="34" t="s">
        <v>1226</v>
      </c>
      <c r="E1092" s="83">
        <v>2</v>
      </c>
      <c r="F1092" s="43"/>
      <c r="G1092" s="44"/>
      <c r="H1092" s="44"/>
      <c r="I1092" s="83">
        <v>2</v>
      </c>
      <c r="J1092" t="b">
        <f t="shared" si="226"/>
        <v>0</v>
      </c>
      <c r="K1092" t="str">
        <f t="shared" si="227"/>
        <v/>
      </c>
      <c r="L1092">
        <f>_xlfn.XLOOKUP(D1092,BugList!C:C,BugList!N:N)</f>
        <v>0</v>
      </c>
      <c r="M1092">
        <f t="shared" si="228"/>
        <v>0</v>
      </c>
      <c r="N1092" t="b">
        <f>_xlfn.XLOOKUP(D1092,BugList!C:C,BugList!L:L)</f>
        <v>1</v>
      </c>
      <c r="O1092" t="b">
        <f t="shared" si="229"/>
        <v>0</v>
      </c>
      <c r="P1092" s="18" t="b">
        <f>SUMPRODUCT(COUNTIF(_xlfn.XLOOKUP(D1092,BugList!C:C,BugList!P:P), "*SC*"))&gt;0</f>
        <v>0</v>
      </c>
    </row>
    <row r="1093" spans="1:16">
      <c r="A1093" s="86" t="s">
        <v>2844</v>
      </c>
      <c r="B1093" s="83">
        <v>14</v>
      </c>
      <c r="C1093" s="34" t="s">
        <v>2315</v>
      </c>
      <c r="D1093" s="34" t="s">
        <v>2315</v>
      </c>
      <c r="E1093" s="83">
        <v>9</v>
      </c>
      <c r="F1093" s="43"/>
      <c r="G1093" s="44"/>
      <c r="H1093" s="44"/>
      <c r="I1093" s="83">
        <v>9</v>
      </c>
      <c r="J1093" t="b">
        <f t="shared" si="226"/>
        <v>0</v>
      </c>
      <c r="K1093" t="str">
        <f t="shared" si="227"/>
        <v/>
      </c>
      <c r="L1093">
        <f>_xlfn.XLOOKUP(D1093,BugList!C:C,BugList!N:N)</f>
        <v>7</v>
      </c>
      <c r="M1093">
        <f t="shared" si="228"/>
        <v>63</v>
      </c>
      <c r="N1093" t="b">
        <f>_xlfn.XLOOKUP(D1093,BugList!C:C,BugList!L:L)</f>
        <v>0</v>
      </c>
      <c r="O1093" t="b">
        <f t="shared" si="229"/>
        <v>0</v>
      </c>
      <c r="P1093" s="18" t="b">
        <f>SUMPRODUCT(COUNTIF(_xlfn.XLOOKUP(D1093,BugList!C:C,BugList!P:P), "*SC*"))&gt;0</f>
        <v>1</v>
      </c>
    </row>
    <row r="1094" spans="1:16">
      <c r="A1094" s="86" t="s">
        <v>2845</v>
      </c>
      <c r="B1094" s="83">
        <v>31</v>
      </c>
      <c r="C1094" s="34" t="s">
        <v>194</v>
      </c>
      <c r="D1094" s="34" t="s">
        <v>108</v>
      </c>
      <c r="E1094" s="83">
        <v>1</v>
      </c>
      <c r="F1094" s="43">
        <f t="shared" ref="F1094:F1125" si="231">(E1094/(SUMIFS(E:E,A:A,A1094))*100)</f>
        <v>0.8771929824561403</v>
      </c>
      <c r="G1094" s="44">
        <f t="shared" si="224"/>
        <v>0</v>
      </c>
      <c r="H1094" s="44">
        <f t="shared" si="225"/>
        <v>0.8771929824561403</v>
      </c>
      <c r="I1094" cm="1">
        <f t="array" ref="I1094">INT(F1094)+IF(100-SUM(INT(F$1094:F$1109))&gt;=RANK(H1094,H$1094:H$1109)+COUNTIF(H1094:H$1095,H1094)-1,1,0)</f>
        <v>1</v>
      </c>
      <c r="J1094" t="b">
        <f t="shared" si="226"/>
        <v>0</v>
      </c>
      <c r="K1094" t="str">
        <f t="shared" si="227"/>
        <v/>
      </c>
      <c r="L1094">
        <f>_xlfn.XLOOKUP(D1094,BugList!C:C,BugList!N:N)</f>
        <v>3</v>
      </c>
      <c r="M1094">
        <f t="shared" si="228"/>
        <v>3</v>
      </c>
      <c r="N1094" t="b">
        <f>_xlfn.XLOOKUP(D1094,BugList!C:C,BugList!L:L)</f>
        <v>1</v>
      </c>
      <c r="O1094" t="b">
        <f t="shared" si="229"/>
        <v>0</v>
      </c>
      <c r="P1094" s="18" t="b">
        <f>SUMPRODUCT(COUNTIF(_xlfn.XLOOKUP(D1094,BugList!C:C,BugList!P:P), "*SC*"))&gt;0</f>
        <v>0</v>
      </c>
    </row>
    <row r="1095" spans="1:16">
      <c r="A1095" s="86" t="s">
        <v>2845</v>
      </c>
      <c r="B1095" s="83">
        <v>31</v>
      </c>
      <c r="C1095" s="34" t="s">
        <v>194</v>
      </c>
      <c r="D1095" s="34" t="s">
        <v>126</v>
      </c>
      <c r="E1095" s="83">
        <v>1</v>
      </c>
      <c r="F1095" s="43">
        <f t="shared" si="231"/>
        <v>0.8771929824561403</v>
      </c>
      <c r="G1095" s="44">
        <f t="shared" si="224"/>
        <v>0</v>
      </c>
      <c r="H1095" s="44">
        <f t="shared" si="225"/>
        <v>0.8771929824561403</v>
      </c>
      <c r="I1095" cm="1">
        <f t="array" ref="I1095">INT(F1095)+IF(100-SUM(INT(F$1094:F$1109))&gt;=RANK(H1095,H$1094:H$1109)+COUNTIF(H1095:H$1095,H1095)-1,1,0)</f>
        <v>1</v>
      </c>
      <c r="J1095" t="b">
        <f t="shared" si="226"/>
        <v>0</v>
      </c>
      <c r="K1095" t="str">
        <f t="shared" si="227"/>
        <v/>
      </c>
      <c r="L1095">
        <f>_xlfn.XLOOKUP(D1095,BugList!C:C,BugList!N:N)</f>
        <v>8</v>
      </c>
      <c r="M1095">
        <f t="shared" si="228"/>
        <v>8</v>
      </c>
      <c r="N1095" t="b">
        <f>_xlfn.XLOOKUP(D1095,BugList!C:C,BugList!L:L)</f>
        <v>1</v>
      </c>
      <c r="O1095" t="b">
        <f t="shared" si="229"/>
        <v>0</v>
      </c>
      <c r="P1095" s="18" t="b">
        <f>SUMPRODUCT(COUNTIF(_xlfn.XLOOKUP(D1095,BugList!C:C,BugList!P:P), "*SC*"))&gt;0</f>
        <v>0</v>
      </c>
    </row>
    <row r="1096" spans="1:16">
      <c r="A1096" s="86" t="s">
        <v>2845</v>
      </c>
      <c r="B1096" s="83">
        <v>31</v>
      </c>
      <c r="C1096" s="34" t="s">
        <v>195</v>
      </c>
      <c r="D1096" s="34" t="s">
        <v>113</v>
      </c>
      <c r="E1096" s="83">
        <v>7</v>
      </c>
      <c r="F1096" s="43">
        <f t="shared" si="231"/>
        <v>6.140350877192982</v>
      </c>
      <c r="G1096" s="44">
        <f t="shared" si="224"/>
        <v>6</v>
      </c>
      <c r="H1096" s="44">
        <f t="shared" si="225"/>
        <v>0.140350877192982</v>
      </c>
      <c r="I1096" cm="1">
        <f t="array" ref="I1096">INT(F1096)+IF(100-SUM(INT(F$1094:F$1109))&gt;=RANK(H1096,H$1094:H$1109)+COUNTIF(H$1095:H1096,H1096)-1,1,0)</f>
        <v>6</v>
      </c>
      <c r="J1096" t="b">
        <f t="shared" si="226"/>
        <v>0</v>
      </c>
      <c r="K1096" t="str">
        <f t="shared" si="227"/>
        <v/>
      </c>
      <c r="L1096">
        <f>_xlfn.XLOOKUP(D1096,BugList!C:C,BugList!N:N)</f>
        <v>1</v>
      </c>
      <c r="M1096">
        <f t="shared" si="228"/>
        <v>6</v>
      </c>
      <c r="N1096" t="b">
        <f>_xlfn.XLOOKUP(D1096,BugList!C:C,BugList!L:L)</f>
        <v>1</v>
      </c>
      <c r="O1096" t="b">
        <f t="shared" si="229"/>
        <v>0</v>
      </c>
      <c r="P1096" s="18" t="b">
        <f>SUMPRODUCT(COUNTIF(_xlfn.XLOOKUP(D1096,BugList!C:C,BugList!P:P), "*SC*"))&gt;0</f>
        <v>0</v>
      </c>
    </row>
    <row r="1097" spans="1:16">
      <c r="A1097" s="86" t="s">
        <v>2845</v>
      </c>
      <c r="B1097" s="83">
        <v>31</v>
      </c>
      <c r="C1097" s="34" t="s">
        <v>195</v>
      </c>
      <c r="D1097" s="34" t="s">
        <v>97</v>
      </c>
      <c r="E1097" s="83">
        <v>4</v>
      </c>
      <c r="F1097" s="43">
        <f t="shared" si="231"/>
        <v>3.5087719298245612</v>
      </c>
      <c r="G1097" s="44">
        <f t="shared" si="224"/>
        <v>3</v>
      </c>
      <c r="H1097" s="44">
        <f t="shared" si="225"/>
        <v>0.50877192982456121</v>
      </c>
      <c r="I1097" cm="1">
        <f t="array" ref="I1097">INT(F1097)+IF(100-SUM(INT(F$1094:F$1109))&gt;=RANK(H1097,H$1094:H$1109)+COUNTIF(H$1095:H1097,H1097)-1,1,0)</f>
        <v>3</v>
      </c>
      <c r="J1097" t="b">
        <f t="shared" si="226"/>
        <v>0</v>
      </c>
      <c r="K1097" t="str">
        <f t="shared" si="227"/>
        <v/>
      </c>
      <c r="L1097">
        <f>_xlfn.XLOOKUP(D1097,BugList!C:C,BugList!N:N)</f>
        <v>9</v>
      </c>
      <c r="M1097">
        <f t="shared" si="228"/>
        <v>27</v>
      </c>
      <c r="N1097" t="b">
        <f>_xlfn.XLOOKUP(D1097,BugList!C:C,BugList!L:L)</f>
        <v>1</v>
      </c>
      <c r="O1097" t="b">
        <f t="shared" si="229"/>
        <v>0</v>
      </c>
      <c r="P1097" s="18" t="b">
        <f>SUMPRODUCT(COUNTIF(_xlfn.XLOOKUP(D1097,BugList!C:C,BugList!P:P), "*SC*"))&gt;0</f>
        <v>0</v>
      </c>
    </row>
    <row r="1098" spans="1:16">
      <c r="A1098" s="86" t="s">
        <v>2845</v>
      </c>
      <c r="B1098" s="83">
        <v>31</v>
      </c>
      <c r="C1098" s="34" t="s">
        <v>197</v>
      </c>
      <c r="D1098" s="34" t="s">
        <v>498</v>
      </c>
      <c r="E1098" s="83">
        <v>1</v>
      </c>
      <c r="F1098" s="43">
        <f t="shared" si="231"/>
        <v>0.8771929824561403</v>
      </c>
      <c r="G1098" s="44">
        <f t="shared" si="224"/>
        <v>0</v>
      </c>
      <c r="H1098" s="44">
        <f t="shared" si="225"/>
        <v>0.8771929824561403</v>
      </c>
      <c r="I1098" cm="1">
        <f t="array" ref="I1098">INT(F1098)+IF(100-SUM(INT(F$1094:F$1109))&gt;=RANK(H1098,H$1094:H$1109)+COUNTIF(H$1095:H1098,H1098)-1,1,0)</f>
        <v>1</v>
      </c>
      <c r="J1098" t="b">
        <f t="shared" si="226"/>
        <v>1</v>
      </c>
      <c r="K1098" t="str">
        <f t="shared" si="227"/>
        <v>Plecoptera</v>
      </c>
      <c r="L1098">
        <f>_xlfn.XLOOKUP(D1098,BugList!C:C,BugList!N:N)</f>
        <v>1</v>
      </c>
      <c r="M1098">
        <f t="shared" si="228"/>
        <v>1</v>
      </c>
      <c r="N1098" t="b">
        <f>_xlfn.XLOOKUP(D1098,BugList!C:C,BugList!L:L)</f>
        <v>1</v>
      </c>
      <c r="O1098" t="b">
        <f t="shared" si="229"/>
        <v>1</v>
      </c>
      <c r="P1098" s="18" t="b">
        <f>SUMPRODUCT(COUNTIF(_xlfn.XLOOKUP(D1098,BugList!C:C,BugList!P:P), "*SC*"))&gt;0</f>
        <v>0</v>
      </c>
    </row>
    <row r="1099" spans="1:16">
      <c r="A1099" s="86" t="s">
        <v>2845</v>
      </c>
      <c r="B1099" s="83">
        <v>31</v>
      </c>
      <c r="C1099" s="34" t="s">
        <v>198</v>
      </c>
      <c r="D1099" s="34" t="s">
        <v>89</v>
      </c>
      <c r="E1099" s="83">
        <v>46</v>
      </c>
      <c r="F1099" s="43">
        <f t="shared" si="231"/>
        <v>40.350877192982452</v>
      </c>
      <c r="G1099" s="44">
        <f t="shared" si="224"/>
        <v>40</v>
      </c>
      <c r="H1099" s="44">
        <f t="shared" si="225"/>
        <v>0.3508771929824519</v>
      </c>
      <c r="I1099" cm="1">
        <f t="array" ref="I1099">INT(F1099)+IF(100-SUM(INT(F$1094:F$1109))&gt;=RANK(H1099,H$1094:H$1109)+COUNTIF(H$1095:H1099,H1099)-1,1,0)</f>
        <v>40</v>
      </c>
      <c r="J1099" t="b">
        <f t="shared" si="226"/>
        <v>1</v>
      </c>
      <c r="K1099" t="str">
        <f t="shared" si="227"/>
        <v>Trichoptera</v>
      </c>
      <c r="L1099">
        <f>_xlfn.XLOOKUP(D1099,BugList!C:C,BugList!N:N)</f>
        <v>4</v>
      </c>
      <c r="M1099">
        <f t="shared" si="228"/>
        <v>160</v>
      </c>
      <c r="N1099" t="b">
        <f>_xlfn.XLOOKUP(D1099,BugList!C:C,BugList!L:L)</f>
        <v>1</v>
      </c>
      <c r="O1099" t="b">
        <f t="shared" si="229"/>
        <v>0</v>
      </c>
      <c r="P1099" s="18" t="b">
        <f>SUMPRODUCT(COUNTIF(_xlfn.XLOOKUP(D1099,BugList!C:C,BugList!P:P), "*SC*"))&gt;0</f>
        <v>0</v>
      </c>
    </row>
    <row r="1100" spans="1:16">
      <c r="A1100" s="86" t="s">
        <v>2845</v>
      </c>
      <c r="B1100" s="83">
        <v>31</v>
      </c>
      <c r="C1100" s="84" t="s">
        <v>198</v>
      </c>
      <c r="D1100" s="84" t="s">
        <v>179</v>
      </c>
      <c r="E1100" s="83">
        <v>1</v>
      </c>
      <c r="F1100" s="43">
        <f t="shared" si="231"/>
        <v>0.8771929824561403</v>
      </c>
      <c r="G1100" s="44">
        <f t="shared" si="224"/>
        <v>0</v>
      </c>
      <c r="H1100" s="44">
        <f t="shared" si="225"/>
        <v>0.8771929824561403</v>
      </c>
      <c r="I1100" cm="1">
        <f t="array" ref="I1100">INT(F1100)+IF(100-SUM(INT(F$1094:F$1109))&gt;=RANK(H1100,H$1094:H$1109)+COUNTIF(H$1095:H1100,H1100)-1,1,0)</f>
        <v>1</v>
      </c>
      <c r="J1100" t="b">
        <f t="shared" si="226"/>
        <v>1</v>
      </c>
      <c r="K1100" t="str">
        <f t="shared" si="227"/>
        <v>Trichoptera</v>
      </c>
      <c r="L1100">
        <f>_xlfn.XLOOKUP(D1100,BugList!C:C,BugList!N:N)</f>
        <v>1</v>
      </c>
      <c r="M1100">
        <f t="shared" si="228"/>
        <v>1</v>
      </c>
      <c r="N1100" t="b">
        <f>_xlfn.XLOOKUP(D1100,BugList!C:C,BugList!L:L)</f>
        <v>1</v>
      </c>
      <c r="O1100" t="b">
        <f t="shared" si="229"/>
        <v>1</v>
      </c>
      <c r="P1100" s="18" t="b">
        <f>SUMPRODUCT(COUNTIF(_xlfn.XLOOKUP(D1100,BugList!C:C,BugList!P:P), "*SC*"))&gt;0</f>
        <v>0</v>
      </c>
    </row>
    <row r="1101" spans="1:16">
      <c r="A1101" s="86" t="s">
        <v>2845</v>
      </c>
      <c r="B1101" s="83">
        <v>31</v>
      </c>
      <c r="C1101" s="84" t="s">
        <v>199</v>
      </c>
      <c r="D1101" s="84" t="s">
        <v>949</v>
      </c>
      <c r="E1101" s="83">
        <v>3</v>
      </c>
      <c r="F1101" s="43">
        <f t="shared" si="231"/>
        <v>2.6315789473684208</v>
      </c>
      <c r="G1101" s="44">
        <f t="shared" si="224"/>
        <v>2</v>
      </c>
      <c r="H1101" s="44">
        <f t="shared" si="225"/>
        <v>0.6315789473684208</v>
      </c>
      <c r="I1101" cm="1">
        <f t="array" ref="I1101">INT(F1101)+IF(100-SUM(INT(F$1094:F$1109))&gt;=RANK(H1101,H$1094:H$1109)+COUNTIF(H$1095:H1101,H1101)-1,1,0)</f>
        <v>2</v>
      </c>
      <c r="J1101" t="b">
        <f t="shared" si="226"/>
        <v>1</v>
      </c>
      <c r="K1101" t="str">
        <f t="shared" si="227"/>
        <v>Ephemeroptera</v>
      </c>
      <c r="L1101">
        <f>_xlfn.XLOOKUP(D1101,BugList!C:C,BugList!N:N)</f>
        <v>2</v>
      </c>
      <c r="M1101">
        <f t="shared" si="228"/>
        <v>4</v>
      </c>
      <c r="N1101" t="b">
        <f>_xlfn.XLOOKUP(D1101,BugList!C:C,BugList!L:L)</f>
        <v>1</v>
      </c>
      <c r="O1101" t="b">
        <f t="shared" si="229"/>
        <v>1</v>
      </c>
      <c r="P1101" s="18" t="b">
        <f>SUMPRODUCT(COUNTIF(_xlfn.XLOOKUP(D1101,BugList!C:C,BugList!P:P), "*SC*"))&gt;0</f>
        <v>0</v>
      </c>
    </row>
    <row r="1102" spans="1:16">
      <c r="A1102" s="86" t="s">
        <v>2845</v>
      </c>
      <c r="B1102" s="83">
        <v>31</v>
      </c>
      <c r="C1102" s="34" t="s">
        <v>200</v>
      </c>
      <c r="D1102" s="34" t="s">
        <v>100</v>
      </c>
      <c r="E1102" s="83">
        <v>27</v>
      </c>
      <c r="F1102" s="43">
        <f t="shared" si="231"/>
        <v>23.684210526315788</v>
      </c>
      <c r="G1102" s="44">
        <f t="shared" si="224"/>
        <v>23</v>
      </c>
      <c r="H1102" s="44">
        <f t="shared" si="225"/>
        <v>0.6842105263157876</v>
      </c>
      <c r="I1102" cm="1">
        <f t="array" ref="I1102">INT(F1102)+IF(100-SUM(INT(F$1094:F$1109))&gt;=RANK(H1102,H$1094:H$1109)+COUNTIF(H$1095:H1102,H1102)-1,1,0)</f>
        <v>24</v>
      </c>
      <c r="J1102" t="b">
        <f t="shared" si="226"/>
        <v>0</v>
      </c>
      <c r="K1102" t="str">
        <f t="shared" si="227"/>
        <v/>
      </c>
      <c r="L1102">
        <f>_xlfn.XLOOKUP(D1102,BugList!C:C,BugList!N:N)</f>
        <v>4</v>
      </c>
      <c r="M1102">
        <f t="shared" si="228"/>
        <v>96</v>
      </c>
      <c r="N1102" t="b">
        <f>_xlfn.XLOOKUP(D1102,BugList!C:C,BugList!L:L)</f>
        <v>1</v>
      </c>
      <c r="O1102" t="b">
        <f t="shared" si="229"/>
        <v>0</v>
      </c>
      <c r="P1102" s="18" t="b">
        <f>SUMPRODUCT(COUNTIF(_xlfn.XLOOKUP(D1102,BugList!C:C,BugList!P:P), "*SC*"))&gt;0</f>
        <v>1</v>
      </c>
    </row>
    <row r="1103" spans="1:16">
      <c r="A1103" s="86" t="s">
        <v>2845</v>
      </c>
      <c r="B1103" s="83">
        <v>31</v>
      </c>
      <c r="C1103" s="34" t="s">
        <v>200</v>
      </c>
      <c r="D1103" s="34" t="s">
        <v>98</v>
      </c>
      <c r="E1103" s="83">
        <v>1</v>
      </c>
      <c r="F1103" s="43">
        <f t="shared" si="231"/>
        <v>0.8771929824561403</v>
      </c>
      <c r="G1103" s="44">
        <f t="shared" si="224"/>
        <v>0</v>
      </c>
      <c r="H1103" s="44">
        <f t="shared" si="225"/>
        <v>0.8771929824561403</v>
      </c>
      <c r="I1103" cm="1">
        <f t="array" ref="I1103">INT(F1103)+IF(100-SUM(INT(F$1094:F$1109))&gt;=RANK(H1103,H$1094:H$1109)+COUNTIF(H$1095:H1103,H1103)-1,1,0)</f>
        <v>1</v>
      </c>
      <c r="J1103" t="b">
        <f t="shared" si="226"/>
        <v>0</v>
      </c>
      <c r="K1103" t="str">
        <f t="shared" si="227"/>
        <v/>
      </c>
      <c r="L1103">
        <f>_xlfn.XLOOKUP(D1103,BugList!C:C,BugList!N:N)</f>
        <v>4</v>
      </c>
      <c r="M1103">
        <f t="shared" si="228"/>
        <v>4</v>
      </c>
      <c r="N1103" t="b">
        <f>_xlfn.XLOOKUP(D1103,BugList!C:C,BugList!L:L)</f>
        <v>1</v>
      </c>
      <c r="O1103" t="b">
        <f t="shared" si="229"/>
        <v>0</v>
      </c>
      <c r="P1103" s="18" t="b">
        <f>SUMPRODUCT(COUNTIF(_xlfn.XLOOKUP(D1103,BugList!C:C,BugList!P:P), "*SC*"))&gt;0</f>
        <v>1</v>
      </c>
    </row>
    <row r="1104" spans="1:16">
      <c r="A1104" s="86" t="s">
        <v>2845</v>
      </c>
      <c r="B1104" s="83">
        <v>31</v>
      </c>
      <c r="C1104" s="34" t="s">
        <v>200</v>
      </c>
      <c r="D1104" s="34" t="s">
        <v>1563</v>
      </c>
      <c r="E1104" s="83">
        <v>13</v>
      </c>
      <c r="F1104" s="43">
        <f t="shared" si="231"/>
        <v>11.403508771929824</v>
      </c>
      <c r="G1104" s="44">
        <f t="shared" si="224"/>
        <v>11</v>
      </c>
      <c r="H1104" s="44">
        <f t="shared" si="225"/>
        <v>0.4035087719298236</v>
      </c>
      <c r="I1104" cm="1">
        <f t="array" ref="I1104">INT(F1104)+IF(100-SUM(INT(F$1094:F$1109))&gt;=RANK(H1104,H$1094:H$1109)+COUNTIF(H$1095:H1104,H1104)-1,1,0)</f>
        <v>11</v>
      </c>
      <c r="J1104" t="b">
        <f t="shared" si="226"/>
        <v>0</v>
      </c>
      <c r="K1104" t="str">
        <f t="shared" si="227"/>
        <v/>
      </c>
      <c r="L1104">
        <f>_xlfn.XLOOKUP(D1104,BugList!C:C,BugList!N:N)</f>
        <v>5</v>
      </c>
      <c r="M1104">
        <f t="shared" si="228"/>
        <v>55</v>
      </c>
      <c r="N1104" t="b">
        <f>_xlfn.XLOOKUP(D1104,BugList!C:C,BugList!L:L)</f>
        <v>1</v>
      </c>
      <c r="O1104" t="b">
        <f t="shared" si="229"/>
        <v>0</v>
      </c>
      <c r="P1104" s="18" t="b">
        <f>SUMPRODUCT(COUNTIF(_xlfn.XLOOKUP(D1104,BugList!C:C,BugList!P:P), "*SC*"))&gt;0</f>
        <v>0</v>
      </c>
    </row>
    <row r="1105" spans="1:16">
      <c r="A1105" s="86" t="s">
        <v>2845</v>
      </c>
      <c r="B1105" s="83">
        <v>31</v>
      </c>
      <c r="C1105" s="34" t="s">
        <v>205</v>
      </c>
      <c r="D1105" s="34" t="s">
        <v>206</v>
      </c>
      <c r="E1105" s="83">
        <v>2</v>
      </c>
      <c r="F1105" s="43">
        <f t="shared" si="231"/>
        <v>1.7543859649122806</v>
      </c>
      <c r="G1105" s="44">
        <f t="shared" si="224"/>
        <v>1</v>
      </c>
      <c r="H1105" s="44">
        <f t="shared" si="225"/>
        <v>0.7543859649122806</v>
      </c>
      <c r="I1105" cm="1">
        <f t="array" ref="I1105">INT(F1105)+IF(100-SUM(INT(F$1094:F$1109))&gt;=RANK(H1105,H$1094:H$1109)+COUNTIF(H$1095:H1105,H1105)-1,1,0)</f>
        <v>2</v>
      </c>
      <c r="J1105" t="b">
        <f t="shared" si="226"/>
        <v>0</v>
      </c>
      <c r="K1105" t="str">
        <f t="shared" si="227"/>
        <v/>
      </c>
      <c r="L1105" s="71">
        <v>8</v>
      </c>
      <c r="M1105">
        <f t="shared" si="228"/>
        <v>16</v>
      </c>
      <c r="N1105" s="71" t="b">
        <v>0</v>
      </c>
      <c r="O1105" t="b">
        <f t="shared" si="229"/>
        <v>0</v>
      </c>
      <c r="P1105" s="72" t="b">
        <v>0</v>
      </c>
    </row>
    <row r="1106" spans="1:16">
      <c r="A1106" s="86" t="s">
        <v>2845</v>
      </c>
      <c r="B1106" s="83">
        <v>31</v>
      </c>
      <c r="C1106" s="34" t="s">
        <v>94</v>
      </c>
      <c r="D1106" s="34" t="s">
        <v>94</v>
      </c>
      <c r="E1106" s="83">
        <v>1</v>
      </c>
      <c r="F1106" s="43">
        <f t="shared" si="231"/>
        <v>0.8771929824561403</v>
      </c>
      <c r="G1106" s="44">
        <f t="shared" si="224"/>
        <v>0</v>
      </c>
      <c r="H1106" s="44">
        <f t="shared" si="225"/>
        <v>0.8771929824561403</v>
      </c>
      <c r="I1106" cm="1">
        <f t="array" ref="I1106">INT(F1106)+IF(100-SUM(INT(F$1094:F$1109))&gt;=RANK(H1106,H$1094:H$1109)+COUNTIF(H$1095:H1106,H1106)-1,1,0)</f>
        <v>1</v>
      </c>
      <c r="J1106" t="b">
        <f t="shared" si="226"/>
        <v>0</v>
      </c>
      <c r="K1106" t="str">
        <f t="shared" si="227"/>
        <v/>
      </c>
      <c r="L1106">
        <f>_xlfn.XLOOKUP(D1106,BugList!C:C,BugList!N:N)</f>
        <v>8</v>
      </c>
      <c r="M1106">
        <f t="shared" si="228"/>
        <v>8</v>
      </c>
      <c r="N1106" t="b">
        <f>_xlfn.XLOOKUP(D1106,BugList!C:C,BugList!L:L)</f>
        <v>0</v>
      </c>
      <c r="O1106" t="b">
        <f t="shared" si="229"/>
        <v>0</v>
      </c>
      <c r="P1106" s="18" t="b">
        <f>SUMPRODUCT(COUNTIF(_xlfn.XLOOKUP(D1106,BugList!C:C,BugList!P:P), "*SC*"))&gt;0</f>
        <v>0</v>
      </c>
    </row>
    <row r="1107" spans="1:16">
      <c r="A1107" s="86" t="s">
        <v>2845</v>
      </c>
      <c r="B1107" s="83">
        <v>31</v>
      </c>
      <c r="C1107" s="34" t="s">
        <v>201</v>
      </c>
      <c r="D1107" s="34" t="s">
        <v>85</v>
      </c>
      <c r="E1107" s="83">
        <v>2</v>
      </c>
      <c r="F1107" s="43">
        <f t="shared" si="231"/>
        <v>1.7543859649122806</v>
      </c>
      <c r="G1107" s="44">
        <f t="shared" ref="G1107:G1169" si="232">INT(F1107)</f>
        <v>1</v>
      </c>
      <c r="H1107" s="44">
        <f t="shared" ref="H1107:H1169" si="233">F1107-G1107</f>
        <v>0.7543859649122806</v>
      </c>
      <c r="I1107" cm="1">
        <f t="array" ref="I1107">INT(F1107)+IF(100-SUM(INT(F$1094:F$1109))&gt;=RANK(H1107,H$1094:H$1109)+COUNTIF(H$1095:H1107,H1107)-1,1,0)</f>
        <v>2</v>
      </c>
      <c r="J1107" t="b">
        <f t="shared" ref="J1107:J1169" si="234">IF(OR(C1107="Ephemeroptera", C1107 ="Plecoptera", C1107= "Trichoptera"), TRUE, FALSE)</f>
        <v>0</v>
      </c>
      <c r="K1107" t="str">
        <f t="shared" ref="K1107:K1169" si="235">IF(J1107=TRUE,C1107,"")</f>
        <v/>
      </c>
      <c r="L1107">
        <f>_xlfn.XLOOKUP(D1107,BugList!C:C,BugList!N:N)</f>
        <v>4</v>
      </c>
      <c r="M1107">
        <f t="shared" ref="M1107:M1169" si="236">L1107*I1107</f>
        <v>8</v>
      </c>
      <c r="N1107" t="b">
        <f>_xlfn.XLOOKUP(D1107,BugList!C:C,BugList!L:L)</f>
        <v>0</v>
      </c>
      <c r="O1107" t="b">
        <f t="shared" ref="O1107:O1169" si="237">IF(J1107=TRUE,IF(D1107="Hydropsychidae", FALSE, TRUE), FALSE)</f>
        <v>0</v>
      </c>
      <c r="P1107" s="18" t="b">
        <f>SUMPRODUCT(COUNTIF(_xlfn.XLOOKUP(D1107,BugList!C:C,BugList!P:P), "*SC*"))&gt;0</f>
        <v>0</v>
      </c>
    </row>
    <row r="1108" spans="1:16">
      <c r="A1108" s="86" t="s">
        <v>2845</v>
      </c>
      <c r="B1108" s="83">
        <v>31</v>
      </c>
      <c r="C1108" s="34" t="s">
        <v>2315</v>
      </c>
      <c r="D1108" s="34" t="s">
        <v>2315</v>
      </c>
      <c r="E1108" s="83">
        <v>2</v>
      </c>
      <c r="F1108" s="43">
        <f t="shared" si="231"/>
        <v>1.7543859649122806</v>
      </c>
      <c r="G1108" s="44">
        <f t="shared" si="232"/>
        <v>1</v>
      </c>
      <c r="H1108" s="44">
        <f t="shared" si="233"/>
        <v>0.7543859649122806</v>
      </c>
      <c r="I1108" cm="1">
        <f t="array" ref="I1108">INT(F1108)+IF(100-SUM(INT(F$1094:F$1109))&gt;=RANK(H1108,H$1094:H$1109)+COUNTIF(H$1095:H1108,H1108)-1,1,0)</f>
        <v>2</v>
      </c>
      <c r="J1108" t="b">
        <f t="shared" si="234"/>
        <v>0</v>
      </c>
      <c r="K1108" t="str">
        <f t="shared" si="235"/>
        <v/>
      </c>
      <c r="L1108">
        <f>_xlfn.XLOOKUP(D1108,BugList!C:C,BugList!N:N)</f>
        <v>7</v>
      </c>
      <c r="M1108">
        <f t="shared" si="236"/>
        <v>14</v>
      </c>
      <c r="N1108" t="b">
        <f>_xlfn.XLOOKUP(D1108,BugList!C:C,BugList!L:L)</f>
        <v>0</v>
      </c>
      <c r="O1108" t="b">
        <f t="shared" si="237"/>
        <v>0</v>
      </c>
      <c r="P1108" s="18" t="b">
        <f>SUMPRODUCT(COUNTIF(_xlfn.XLOOKUP(D1108,BugList!C:C,BugList!P:P), "*SC*"))&gt;0</f>
        <v>1</v>
      </c>
    </row>
    <row r="1109" spans="1:16">
      <c r="A1109" s="86" t="s">
        <v>2845</v>
      </c>
      <c r="B1109" s="83">
        <v>31</v>
      </c>
      <c r="C1109" s="34" t="s">
        <v>210</v>
      </c>
      <c r="D1109" s="34" t="s">
        <v>210</v>
      </c>
      <c r="E1109" s="83">
        <v>2</v>
      </c>
      <c r="F1109" s="43">
        <f t="shared" si="231"/>
        <v>1.7543859649122806</v>
      </c>
      <c r="G1109" s="44">
        <f t="shared" si="232"/>
        <v>1</v>
      </c>
      <c r="H1109" s="44">
        <f t="shared" si="233"/>
        <v>0.7543859649122806</v>
      </c>
      <c r="I1109" cm="1">
        <f t="array" ref="I1109">INT(F1109)+IF(100-SUM(INT(F$1094:F$1109))&gt;=RANK(H1109,H$1094:H$1109)+COUNTIF(H$1095:H1109,H1109)-1,1,0)</f>
        <v>2</v>
      </c>
      <c r="J1109" t="b">
        <f t="shared" si="234"/>
        <v>0</v>
      </c>
      <c r="K1109" t="str">
        <f t="shared" si="235"/>
        <v/>
      </c>
      <c r="L1109" s="71">
        <v>8</v>
      </c>
      <c r="M1109">
        <f t="shared" si="236"/>
        <v>16</v>
      </c>
      <c r="N1109" s="71" t="b">
        <v>0</v>
      </c>
      <c r="O1109" t="b">
        <f t="shared" si="237"/>
        <v>0</v>
      </c>
      <c r="P1109" s="72" t="b">
        <v>0</v>
      </c>
    </row>
    <row r="1110" spans="1:16">
      <c r="A1110" s="86" t="s">
        <v>2846</v>
      </c>
      <c r="B1110" s="83">
        <v>38</v>
      </c>
      <c r="C1110" s="34" t="s">
        <v>194</v>
      </c>
      <c r="D1110" s="34" t="s">
        <v>126</v>
      </c>
      <c r="E1110" s="83">
        <v>108</v>
      </c>
      <c r="F1110" s="43">
        <f t="shared" si="231"/>
        <v>98.181818181818187</v>
      </c>
      <c r="G1110" s="44">
        <f t="shared" si="232"/>
        <v>98</v>
      </c>
      <c r="H1110" s="44">
        <f t="shared" si="233"/>
        <v>0.18181818181818699</v>
      </c>
      <c r="I1110" cm="1">
        <f t="array" ref="I1110">INT(F1110)+IF(100-SUM(INT(F$1110:F$1111))&gt;=RANK(H1110,H$1110:H$1111)+COUNTIF(H$1110:H1110,H1110)-1,1,0)</f>
        <v>98</v>
      </c>
      <c r="J1110" t="b">
        <f t="shared" si="234"/>
        <v>0</v>
      </c>
      <c r="K1110" t="str">
        <f t="shared" si="235"/>
        <v/>
      </c>
      <c r="L1110">
        <f>_xlfn.XLOOKUP(D1110,BugList!C:C,BugList!N:N)</f>
        <v>8</v>
      </c>
      <c r="M1110">
        <f t="shared" si="236"/>
        <v>784</v>
      </c>
      <c r="N1110" t="b">
        <f>_xlfn.XLOOKUP(D1110,BugList!C:C,BugList!L:L)</f>
        <v>1</v>
      </c>
      <c r="O1110" t="b">
        <f t="shared" si="237"/>
        <v>0</v>
      </c>
      <c r="P1110" s="18" t="b">
        <f>SUMPRODUCT(COUNTIF(_xlfn.XLOOKUP(D1110,BugList!C:C,BugList!P:P), "*SC*"))&gt;0</f>
        <v>0</v>
      </c>
    </row>
    <row r="1111" spans="1:16">
      <c r="A1111" s="86" t="s">
        <v>2846</v>
      </c>
      <c r="B1111" s="83">
        <v>38</v>
      </c>
      <c r="C1111" s="34" t="s">
        <v>2315</v>
      </c>
      <c r="D1111" s="34" t="s">
        <v>2315</v>
      </c>
      <c r="E1111" s="83">
        <v>2</v>
      </c>
      <c r="F1111" s="43">
        <f t="shared" si="231"/>
        <v>1.8181818181818181</v>
      </c>
      <c r="G1111" s="44">
        <f t="shared" si="232"/>
        <v>1</v>
      </c>
      <c r="H1111" s="44">
        <f t="shared" si="233"/>
        <v>0.81818181818181812</v>
      </c>
      <c r="I1111" cm="1">
        <f t="array" ref="I1111">INT(F1111)+IF(100-SUM(INT(F$1110:F$1111))&gt;=RANK(H1111,H$1110:H$1111)+COUNTIF(H$1110:H1111,H1111)-1,1,0)</f>
        <v>2</v>
      </c>
      <c r="J1111" t="b">
        <f t="shared" si="234"/>
        <v>0</v>
      </c>
      <c r="K1111" t="str">
        <f t="shared" si="235"/>
        <v/>
      </c>
      <c r="L1111">
        <f>_xlfn.XLOOKUP(D1111,BugList!C:C,BugList!N:N)</f>
        <v>7</v>
      </c>
      <c r="M1111">
        <f t="shared" si="236"/>
        <v>14</v>
      </c>
      <c r="N1111" t="b">
        <f>_xlfn.XLOOKUP(D1111,BugList!C:C,BugList!L:L)</f>
        <v>0</v>
      </c>
      <c r="O1111" t="b">
        <f t="shared" si="237"/>
        <v>0</v>
      </c>
      <c r="P1111" s="18" t="b">
        <f>SUMPRODUCT(COUNTIF(_xlfn.XLOOKUP(D1111,BugList!C:C,BugList!P:P), "*SC*"))&gt;0</f>
        <v>1</v>
      </c>
    </row>
    <row r="1112" spans="1:16">
      <c r="A1112" s="86" t="s">
        <v>2847</v>
      </c>
      <c r="B1112" s="83">
        <v>41</v>
      </c>
      <c r="C1112" s="34" t="s">
        <v>194</v>
      </c>
      <c r="D1112" s="34" t="s">
        <v>108</v>
      </c>
      <c r="E1112" s="83">
        <v>1</v>
      </c>
      <c r="F1112" s="43">
        <f t="shared" si="231"/>
        <v>0.84745762711864403</v>
      </c>
      <c r="G1112" s="44">
        <f t="shared" si="232"/>
        <v>0</v>
      </c>
      <c r="H1112" s="44">
        <f t="shared" si="233"/>
        <v>0.84745762711864403</v>
      </c>
      <c r="I1112" cm="1">
        <f t="array" ref="I1112">INT(F1112)+IF(100-SUM(INT(F$1112:F$1123))&gt;=RANK(H1112,H$1112:H$1123)+COUNTIF(H$1112:H1112,H1112)-1,1,0)</f>
        <v>1</v>
      </c>
      <c r="J1112" t="b">
        <f t="shared" si="234"/>
        <v>0</v>
      </c>
      <c r="K1112" t="str">
        <f t="shared" si="235"/>
        <v/>
      </c>
      <c r="L1112">
        <f>_xlfn.XLOOKUP(D1112,BugList!C:C,BugList!N:N)</f>
        <v>3</v>
      </c>
      <c r="M1112">
        <f t="shared" si="236"/>
        <v>3</v>
      </c>
      <c r="N1112" t="b">
        <f>_xlfn.XLOOKUP(D1112,BugList!C:C,BugList!L:L)</f>
        <v>1</v>
      </c>
      <c r="O1112" t="b">
        <f t="shared" si="237"/>
        <v>0</v>
      </c>
      <c r="P1112" s="18" t="b">
        <f>SUMPRODUCT(COUNTIF(_xlfn.XLOOKUP(D1112,BugList!C:C,BugList!P:P), "*SC*"))&gt;0</f>
        <v>0</v>
      </c>
    </row>
    <row r="1113" spans="1:16">
      <c r="A1113" s="86" t="s">
        <v>2847</v>
      </c>
      <c r="B1113" s="83">
        <v>41</v>
      </c>
      <c r="C1113" s="34" t="s">
        <v>194</v>
      </c>
      <c r="D1113" s="34" t="s">
        <v>101</v>
      </c>
      <c r="E1113" s="83">
        <v>1</v>
      </c>
      <c r="F1113" s="43">
        <f t="shared" si="231"/>
        <v>0.84745762711864403</v>
      </c>
      <c r="G1113" s="44">
        <f t="shared" si="232"/>
        <v>0</v>
      </c>
      <c r="H1113" s="44">
        <f t="shared" si="233"/>
        <v>0.84745762711864403</v>
      </c>
      <c r="I1113" cm="1">
        <f t="array" ref="I1113">INT(F1113)+IF(100-SUM(INT(F$1112:F$1123))&gt;=RANK(H1113,H$1112:H$1123)+COUNTIF(H$1112:H1113,H1113)-1,1,0)</f>
        <v>1</v>
      </c>
      <c r="J1113" t="b">
        <f t="shared" si="234"/>
        <v>0</v>
      </c>
      <c r="K1113" t="str">
        <f t="shared" si="235"/>
        <v/>
      </c>
      <c r="L1113">
        <f>_xlfn.XLOOKUP(D1113,BugList!C:C,BugList!N:N)</f>
        <v>6</v>
      </c>
      <c r="M1113">
        <f t="shared" si="236"/>
        <v>6</v>
      </c>
      <c r="N1113" t="b">
        <f>_xlfn.XLOOKUP(D1113,BugList!C:C,BugList!L:L)</f>
        <v>1</v>
      </c>
      <c r="O1113" t="b">
        <f t="shared" si="237"/>
        <v>0</v>
      </c>
      <c r="P1113" s="18" t="b">
        <f>SUMPRODUCT(COUNTIF(_xlfn.XLOOKUP(D1113,BugList!C:C,BugList!P:P), "*SC*"))&gt;0</f>
        <v>0</v>
      </c>
    </row>
    <row r="1114" spans="1:16">
      <c r="A1114" s="86" t="s">
        <v>2847</v>
      </c>
      <c r="B1114" s="83">
        <v>41</v>
      </c>
      <c r="C1114" s="34" t="s">
        <v>198</v>
      </c>
      <c r="D1114" s="34" t="s">
        <v>89</v>
      </c>
      <c r="E1114" s="83">
        <v>3</v>
      </c>
      <c r="F1114" s="43">
        <f t="shared" si="231"/>
        <v>2.5423728813559325</v>
      </c>
      <c r="G1114" s="44">
        <f t="shared" si="232"/>
        <v>2</v>
      </c>
      <c r="H1114" s="44">
        <f t="shared" si="233"/>
        <v>0.54237288135593253</v>
      </c>
      <c r="I1114" cm="1">
        <f t="array" ref="I1114">INT(F1114)+IF(100-SUM(INT(F$1112:F$1123))&gt;=RANK(H1114,H$1112:H$1123)+COUNTIF(H$1112:H1114,H1114)-1,1,0)</f>
        <v>2</v>
      </c>
      <c r="J1114" t="b">
        <f t="shared" si="234"/>
        <v>1</v>
      </c>
      <c r="K1114" t="str">
        <f t="shared" si="235"/>
        <v>Trichoptera</v>
      </c>
      <c r="L1114">
        <f>_xlfn.XLOOKUP(D1114,BugList!C:C,BugList!N:N)</f>
        <v>4</v>
      </c>
      <c r="M1114">
        <f t="shared" si="236"/>
        <v>8</v>
      </c>
      <c r="N1114" t="b">
        <f>_xlfn.XLOOKUP(D1114,BugList!C:C,BugList!L:L)</f>
        <v>1</v>
      </c>
      <c r="O1114" t="b">
        <f t="shared" si="237"/>
        <v>0</v>
      </c>
      <c r="P1114" s="18" t="b">
        <f>SUMPRODUCT(COUNTIF(_xlfn.XLOOKUP(D1114,BugList!C:C,BugList!P:P), "*SC*"))&gt;0</f>
        <v>0</v>
      </c>
    </row>
    <row r="1115" spans="1:16">
      <c r="A1115" s="86" t="s">
        <v>2847</v>
      </c>
      <c r="B1115" s="83">
        <v>41</v>
      </c>
      <c r="C1115" s="34" t="s">
        <v>200</v>
      </c>
      <c r="D1115" s="34" t="s">
        <v>100</v>
      </c>
      <c r="E1115" s="83">
        <v>82</v>
      </c>
      <c r="F1115" s="43">
        <f t="shared" si="231"/>
        <v>69.491525423728817</v>
      </c>
      <c r="G1115" s="44">
        <f t="shared" si="232"/>
        <v>69</v>
      </c>
      <c r="H1115" s="44">
        <f t="shared" si="233"/>
        <v>0.49152542372881669</v>
      </c>
      <c r="I1115" cm="1">
        <f t="array" ref="I1115">INT(F1115)+IF(100-SUM(INT(F$1112:F$1123))&gt;=RANK(H1115,H$1112:H$1123)+COUNTIF(H$1112:H1115,H1115)-1,1,0)</f>
        <v>69</v>
      </c>
      <c r="J1115" t="b">
        <f t="shared" si="234"/>
        <v>0</v>
      </c>
      <c r="K1115" t="str">
        <f t="shared" si="235"/>
        <v/>
      </c>
      <c r="L1115">
        <f>_xlfn.XLOOKUP(D1115,BugList!C:C,BugList!N:N)</f>
        <v>4</v>
      </c>
      <c r="M1115">
        <f t="shared" si="236"/>
        <v>276</v>
      </c>
      <c r="N1115" t="b">
        <f>_xlfn.XLOOKUP(D1115,BugList!C:C,BugList!L:L)</f>
        <v>1</v>
      </c>
      <c r="O1115" t="b">
        <f t="shared" si="237"/>
        <v>0</v>
      </c>
      <c r="P1115" s="18" t="b">
        <f>SUMPRODUCT(COUNTIF(_xlfn.XLOOKUP(D1115,BugList!C:C,BugList!P:P), "*SC*"))&gt;0</f>
        <v>1</v>
      </c>
    </row>
    <row r="1116" spans="1:16">
      <c r="A1116" s="86" t="s">
        <v>2847</v>
      </c>
      <c r="B1116" s="83">
        <v>41</v>
      </c>
      <c r="C1116" s="34" t="s">
        <v>200</v>
      </c>
      <c r="D1116" s="34" t="s">
        <v>98</v>
      </c>
      <c r="E1116" s="83">
        <v>5</v>
      </c>
      <c r="F1116" s="43">
        <f t="shared" si="231"/>
        <v>4.2372881355932197</v>
      </c>
      <c r="G1116" s="44">
        <f t="shared" si="232"/>
        <v>4</v>
      </c>
      <c r="H1116" s="44">
        <f t="shared" si="233"/>
        <v>0.23728813559321971</v>
      </c>
      <c r="I1116" cm="1">
        <f t="array" ref="I1116">INT(F1116)+IF(100-SUM(INT(F$1112:F$1123))&gt;=RANK(H1116,H$1112:H$1123)+COUNTIF(H$1112:H1116,H1116)-1,1,0)</f>
        <v>4</v>
      </c>
      <c r="J1116" t="b">
        <f t="shared" si="234"/>
        <v>0</v>
      </c>
      <c r="K1116" t="str">
        <f t="shared" si="235"/>
        <v/>
      </c>
      <c r="L1116">
        <f>_xlfn.XLOOKUP(D1116,BugList!C:C,BugList!N:N)</f>
        <v>4</v>
      </c>
      <c r="M1116">
        <f t="shared" si="236"/>
        <v>16</v>
      </c>
      <c r="N1116" t="b">
        <f>_xlfn.XLOOKUP(D1116,BugList!C:C,BugList!L:L)</f>
        <v>1</v>
      </c>
      <c r="O1116" t="b">
        <f t="shared" si="237"/>
        <v>0</v>
      </c>
      <c r="P1116" s="18" t="b">
        <f>SUMPRODUCT(COUNTIF(_xlfn.XLOOKUP(D1116,BugList!C:C,BugList!P:P), "*SC*"))&gt;0</f>
        <v>1</v>
      </c>
    </row>
    <row r="1117" spans="1:16">
      <c r="A1117" s="86" t="s">
        <v>2847</v>
      </c>
      <c r="B1117" s="83">
        <v>41</v>
      </c>
      <c r="C1117" s="34" t="s">
        <v>2738</v>
      </c>
      <c r="D1117" s="34" t="s">
        <v>181</v>
      </c>
      <c r="E1117" s="83">
        <v>2</v>
      </c>
      <c r="F1117" s="43">
        <f t="shared" si="231"/>
        <v>1.6949152542372881</v>
      </c>
      <c r="G1117" s="44">
        <f t="shared" si="232"/>
        <v>1</v>
      </c>
      <c r="H1117" s="44">
        <f t="shared" si="233"/>
        <v>0.69491525423728806</v>
      </c>
      <c r="I1117" cm="1">
        <f t="array" ref="I1117">INT(F1117)+IF(100-SUM(INT(F$1112:F$1123))&gt;=RANK(H1117,H$1112:H$1123)+COUNTIF(H$1112:H1117,H1117)-1,1,0)</f>
        <v>2</v>
      </c>
      <c r="J1117" t="b">
        <f t="shared" si="234"/>
        <v>0</v>
      </c>
      <c r="K1117" t="str">
        <f t="shared" si="235"/>
        <v/>
      </c>
      <c r="L1117">
        <f>_xlfn.XLOOKUP(D1117,BugList!C:C,BugList!N:N)</f>
        <v>4</v>
      </c>
      <c r="M1117">
        <f t="shared" si="236"/>
        <v>8</v>
      </c>
      <c r="N1117" t="b">
        <f>_xlfn.XLOOKUP(D1117,BugList!C:C,BugList!L:L)</f>
        <v>1</v>
      </c>
      <c r="O1117" t="b">
        <f t="shared" si="237"/>
        <v>0</v>
      </c>
      <c r="P1117" s="18" t="b">
        <f>SUMPRODUCT(COUNTIF(_xlfn.XLOOKUP(D1117,BugList!C:C,BugList!P:P), "*SC*"))&gt;0</f>
        <v>0</v>
      </c>
    </row>
    <row r="1118" spans="1:16">
      <c r="A1118" s="86" t="s">
        <v>2847</v>
      </c>
      <c r="B1118" s="83">
        <v>41</v>
      </c>
      <c r="C1118" s="34" t="s">
        <v>201</v>
      </c>
      <c r="D1118" s="34" t="s">
        <v>85</v>
      </c>
      <c r="E1118" s="83">
        <v>2</v>
      </c>
      <c r="F1118" s="43">
        <f t="shared" si="231"/>
        <v>1.6949152542372881</v>
      </c>
      <c r="G1118" s="44">
        <f t="shared" si="232"/>
        <v>1</v>
      </c>
      <c r="H1118" s="44">
        <f t="shared" si="233"/>
        <v>0.69491525423728806</v>
      </c>
      <c r="I1118" cm="1">
        <f t="array" ref="I1118">INT(F1118)+IF(100-SUM(INT(F$1112:F$1123))&gt;=RANK(H1118,H$1112:H$1123)+COUNTIF(H$1112:H1118,H1118)-1,1,0)</f>
        <v>2</v>
      </c>
      <c r="J1118" t="b">
        <f t="shared" si="234"/>
        <v>0</v>
      </c>
      <c r="K1118" t="str">
        <f t="shared" si="235"/>
        <v/>
      </c>
      <c r="L1118">
        <f>_xlfn.XLOOKUP(D1118,BugList!C:C,BugList!N:N)</f>
        <v>4</v>
      </c>
      <c r="M1118">
        <f t="shared" si="236"/>
        <v>8</v>
      </c>
      <c r="N1118" t="b">
        <f>_xlfn.XLOOKUP(D1118,BugList!C:C,BugList!L:L)</f>
        <v>0</v>
      </c>
      <c r="O1118" t="b">
        <f t="shared" si="237"/>
        <v>0</v>
      </c>
      <c r="P1118" s="18" t="b">
        <f>SUMPRODUCT(COUNTIF(_xlfn.XLOOKUP(D1118,BugList!C:C,BugList!P:P), "*SC*"))&gt;0</f>
        <v>0</v>
      </c>
    </row>
    <row r="1119" spans="1:16">
      <c r="A1119" s="86" t="s">
        <v>2847</v>
      </c>
      <c r="B1119" s="83">
        <v>41</v>
      </c>
      <c r="C1119" s="34" t="s">
        <v>2315</v>
      </c>
      <c r="D1119" s="34" t="s">
        <v>2315</v>
      </c>
      <c r="E1119" s="83">
        <v>15</v>
      </c>
      <c r="F1119" s="43">
        <f t="shared" si="231"/>
        <v>12.711864406779661</v>
      </c>
      <c r="G1119" s="44">
        <f t="shared" si="232"/>
        <v>12</v>
      </c>
      <c r="H1119" s="44">
        <f t="shared" si="233"/>
        <v>0.7118644067796609</v>
      </c>
      <c r="I1119" cm="1">
        <f t="array" ref="I1119">INT(F1119)+IF(100-SUM(INT(F$1112:F$1123))&gt;=RANK(H1119,H$1112:H$1123)+COUNTIF(H$1112:H1119,H1119)-1,1,0)</f>
        <v>13</v>
      </c>
      <c r="J1119" t="b">
        <f t="shared" si="234"/>
        <v>0</v>
      </c>
      <c r="K1119" t="str">
        <f t="shared" si="235"/>
        <v/>
      </c>
      <c r="L1119">
        <f>_xlfn.XLOOKUP(D1119,BugList!C:C,BugList!N:N)</f>
        <v>7</v>
      </c>
      <c r="M1119">
        <f t="shared" si="236"/>
        <v>91</v>
      </c>
      <c r="N1119" t="b">
        <f>_xlfn.XLOOKUP(D1119,BugList!C:C,BugList!L:L)</f>
        <v>0</v>
      </c>
      <c r="O1119" t="b">
        <f t="shared" si="237"/>
        <v>0</v>
      </c>
      <c r="P1119" s="18" t="b">
        <f>SUMPRODUCT(COUNTIF(_xlfn.XLOOKUP(D1119,BugList!C:C,BugList!P:P), "*SC*"))&gt;0</f>
        <v>1</v>
      </c>
    </row>
    <row r="1120" spans="1:16">
      <c r="A1120" s="86" t="s">
        <v>2847</v>
      </c>
      <c r="B1120" s="83">
        <v>41</v>
      </c>
      <c r="C1120" s="34" t="s">
        <v>94</v>
      </c>
      <c r="D1120" s="34" t="s">
        <v>94</v>
      </c>
      <c r="E1120" s="83">
        <v>1</v>
      </c>
      <c r="F1120" s="43">
        <f t="shared" si="231"/>
        <v>0.84745762711864403</v>
      </c>
      <c r="G1120" s="44">
        <f t="shared" si="232"/>
        <v>0</v>
      </c>
      <c r="H1120" s="44">
        <f t="shared" si="233"/>
        <v>0.84745762711864403</v>
      </c>
      <c r="I1120" cm="1">
        <f t="array" ref="I1120">INT(F1120)+IF(100-SUM(INT(F$1112:F$1123))&gt;=RANK(H1120,H$1112:H$1123)+COUNTIF(H$1112:H1120,H1120)-1,1,0)</f>
        <v>1</v>
      </c>
      <c r="J1120" t="b">
        <f t="shared" si="234"/>
        <v>0</v>
      </c>
      <c r="K1120" t="str">
        <f t="shared" si="235"/>
        <v/>
      </c>
      <c r="L1120">
        <f>_xlfn.XLOOKUP(D1120,BugList!C:C,BugList!N:N)</f>
        <v>8</v>
      </c>
      <c r="M1120">
        <f t="shared" si="236"/>
        <v>8</v>
      </c>
      <c r="N1120" t="b">
        <f>_xlfn.XLOOKUP(D1120,BugList!C:C,BugList!L:L)</f>
        <v>0</v>
      </c>
      <c r="O1120" t="b">
        <f t="shared" si="237"/>
        <v>0</v>
      </c>
      <c r="P1120" s="18" t="b">
        <f>SUMPRODUCT(COUNTIF(_xlfn.XLOOKUP(D1120,BugList!C:C,BugList!P:P), "*SC*"))&gt;0</f>
        <v>0</v>
      </c>
    </row>
    <row r="1121" spans="1:16">
      <c r="A1121" s="86" t="s">
        <v>2847</v>
      </c>
      <c r="B1121" s="83">
        <v>41</v>
      </c>
      <c r="C1121" s="84" t="s">
        <v>594</v>
      </c>
      <c r="D1121" s="84" t="s">
        <v>594</v>
      </c>
      <c r="E1121" s="83">
        <v>1</v>
      </c>
      <c r="F1121" s="43">
        <f t="shared" si="231"/>
        <v>0.84745762711864403</v>
      </c>
      <c r="G1121" s="44">
        <f t="shared" si="232"/>
        <v>0</v>
      </c>
      <c r="H1121" s="44">
        <f t="shared" si="233"/>
        <v>0.84745762711864403</v>
      </c>
      <c r="I1121" cm="1">
        <f t="array" ref="I1121">INT(F1121)+IF(100-SUM(INT(F$1112:F$1123))&gt;=RANK(H1121,H$1112:H$1123)+COUNTIF(H$1112:H1121,H1121)-1,1,0)</f>
        <v>1</v>
      </c>
      <c r="J1121" t="b">
        <f t="shared" si="234"/>
        <v>0</v>
      </c>
      <c r="K1121" t="str">
        <f t="shared" si="235"/>
        <v/>
      </c>
      <c r="L1121">
        <f>_xlfn.XLOOKUP(D1121,BugList!C:C,BugList!N:N)</f>
        <v>6</v>
      </c>
      <c r="M1121">
        <f t="shared" si="236"/>
        <v>6</v>
      </c>
      <c r="N1121" t="b">
        <f>_xlfn.XLOOKUP(D1121,BugList!C:C,BugList!L:L)</f>
        <v>0</v>
      </c>
      <c r="O1121" t="b">
        <f t="shared" si="237"/>
        <v>0</v>
      </c>
      <c r="P1121" s="18" t="b">
        <f>SUMPRODUCT(COUNTIF(_xlfn.XLOOKUP(D1121,BugList!C:C,BugList!P:P), "*SC*"))&gt;0</f>
        <v>0</v>
      </c>
    </row>
    <row r="1122" spans="1:16">
      <c r="A1122" s="86" t="s">
        <v>2847</v>
      </c>
      <c r="B1122" s="83">
        <v>41</v>
      </c>
      <c r="C1122" s="34" t="s">
        <v>210</v>
      </c>
      <c r="D1122" s="34" t="s">
        <v>210</v>
      </c>
      <c r="E1122" s="83">
        <v>3</v>
      </c>
      <c r="F1122" s="43">
        <f t="shared" si="231"/>
        <v>2.5423728813559325</v>
      </c>
      <c r="G1122" s="44">
        <f t="shared" si="232"/>
        <v>2</v>
      </c>
      <c r="H1122" s="44">
        <f t="shared" si="233"/>
        <v>0.54237288135593253</v>
      </c>
      <c r="I1122" cm="1">
        <f t="array" ref="I1122">INT(F1122)+IF(100-SUM(INT(F$1112:F$1123))&gt;=RANK(H1122,H$1112:H$1123)+COUNTIF(H$1112:H1122,H1122)-1,1,0)</f>
        <v>2</v>
      </c>
      <c r="J1122" t="b">
        <f t="shared" si="234"/>
        <v>0</v>
      </c>
      <c r="K1122" t="str">
        <f t="shared" si="235"/>
        <v/>
      </c>
      <c r="L1122" s="71">
        <v>8</v>
      </c>
      <c r="M1122">
        <f t="shared" si="236"/>
        <v>16</v>
      </c>
      <c r="N1122" s="71" t="b">
        <v>0</v>
      </c>
      <c r="O1122" t="b">
        <f t="shared" si="237"/>
        <v>0</v>
      </c>
      <c r="P1122" s="72" t="b">
        <v>0</v>
      </c>
    </row>
    <row r="1123" spans="1:16">
      <c r="A1123" s="86" t="s">
        <v>2847</v>
      </c>
      <c r="B1123" s="83">
        <v>41</v>
      </c>
      <c r="C1123" s="34" t="s">
        <v>201</v>
      </c>
      <c r="D1123" s="34" t="s">
        <v>85</v>
      </c>
      <c r="E1123" s="83">
        <v>2</v>
      </c>
      <c r="F1123" s="43">
        <f t="shared" si="231"/>
        <v>1.6949152542372881</v>
      </c>
      <c r="G1123" s="44">
        <f t="shared" si="232"/>
        <v>1</v>
      </c>
      <c r="H1123" s="44">
        <f t="shared" si="233"/>
        <v>0.69491525423728806</v>
      </c>
      <c r="I1123" cm="1">
        <f t="array" ref="I1123">INT(F1123)+IF(100-SUM(INT(F$1112:F$1123))&gt;=RANK(H1123,H$1112:H$1123)+COUNTIF(H$1112:H1123,H1123)-1,1,0)</f>
        <v>2</v>
      </c>
      <c r="J1123" t="b">
        <f t="shared" si="234"/>
        <v>0</v>
      </c>
      <c r="K1123" t="str">
        <f t="shared" si="235"/>
        <v/>
      </c>
      <c r="L1123">
        <f>_xlfn.XLOOKUP(D1123,BugList!C:C,BugList!N:N)</f>
        <v>4</v>
      </c>
      <c r="M1123">
        <f t="shared" si="236"/>
        <v>8</v>
      </c>
      <c r="N1123" t="b">
        <f>_xlfn.XLOOKUP(D1123,BugList!C:C,BugList!L:L)</f>
        <v>0</v>
      </c>
      <c r="O1123" t="b">
        <f t="shared" si="237"/>
        <v>0</v>
      </c>
      <c r="P1123" s="18" t="b">
        <f>SUMPRODUCT(COUNTIF(_xlfn.XLOOKUP(D1123,BugList!C:C,BugList!P:P), "*SC*"))&gt;0</f>
        <v>0</v>
      </c>
    </row>
    <row r="1124" spans="1:16">
      <c r="A1124" s="86" t="s">
        <v>2848</v>
      </c>
      <c r="B1124" s="83">
        <v>48</v>
      </c>
      <c r="C1124" s="34" t="s">
        <v>194</v>
      </c>
      <c r="D1124" s="34" t="s">
        <v>108</v>
      </c>
      <c r="E1124" s="83">
        <v>3</v>
      </c>
      <c r="F1124" s="43">
        <f t="shared" si="231"/>
        <v>2.083333333333333</v>
      </c>
      <c r="G1124" s="44">
        <f t="shared" si="232"/>
        <v>2</v>
      </c>
      <c r="H1124" s="44">
        <f t="shared" si="233"/>
        <v>8.3333333333333037E-2</v>
      </c>
      <c r="I1124" cm="1">
        <f t="array" ref="I1124">INT(F1124)+IF(100-SUM(INT(F$1124:F$1139))&gt;=RANK(H1124,H$1124:H$1139)+COUNTIF(H$1124:H1124,H1124)-1,1,0)</f>
        <v>2</v>
      </c>
      <c r="J1124" t="b">
        <f t="shared" si="234"/>
        <v>0</v>
      </c>
      <c r="K1124" t="str">
        <f t="shared" si="235"/>
        <v/>
      </c>
      <c r="L1124">
        <f>_xlfn.XLOOKUP(D1124,BugList!C:C,BugList!N:N)</f>
        <v>3</v>
      </c>
      <c r="M1124">
        <f t="shared" si="236"/>
        <v>6</v>
      </c>
      <c r="N1124" t="b">
        <f>_xlfn.XLOOKUP(D1124,BugList!C:C,BugList!L:L)</f>
        <v>1</v>
      </c>
      <c r="O1124" t="b">
        <f t="shared" si="237"/>
        <v>0</v>
      </c>
      <c r="P1124" s="18" t="b">
        <f>SUMPRODUCT(COUNTIF(_xlfn.XLOOKUP(D1124,BugList!C:C,BugList!P:P), "*SC*"))&gt;0</f>
        <v>0</v>
      </c>
    </row>
    <row r="1125" spans="1:16">
      <c r="A1125" s="86" t="s">
        <v>2848</v>
      </c>
      <c r="B1125" s="83">
        <v>48</v>
      </c>
      <c r="C1125" s="34" t="s">
        <v>194</v>
      </c>
      <c r="D1125" s="34" t="s">
        <v>90</v>
      </c>
      <c r="E1125" s="83">
        <v>10</v>
      </c>
      <c r="F1125" s="43">
        <f t="shared" si="231"/>
        <v>6.9444444444444446</v>
      </c>
      <c r="G1125" s="44">
        <f t="shared" si="232"/>
        <v>6</v>
      </c>
      <c r="H1125" s="44">
        <f t="shared" si="233"/>
        <v>0.94444444444444464</v>
      </c>
      <c r="I1125" cm="1">
        <f t="array" ref="I1125">INT(F1125)+IF(100-SUM(INT(F$1124:F$1139))&gt;=RANK(H1125,H$1124:H$1139)+COUNTIF(H$1124:H1125,H1125)-1,1,0)</f>
        <v>7</v>
      </c>
      <c r="J1125" t="b">
        <f t="shared" si="234"/>
        <v>0</v>
      </c>
      <c r="K1125" t="str">
        <f t="shared" si="235"/>
        <v/>
      </c>
      <c r="L1125">
        <f>_xlfn.XLOOKUP(D1125,BugList!C:C,BugList!N:N)</f>
        <v>6</v>
      </c>
      <c r="M1125">
        <f t="shared" si="236"/>
        <v>42</v>
      </c>
      <c r="N1125" t="b">
        <f>_xlfn.XLOOKUP(D1125,BugList!C:C,BugList!L:L)</f>
        <v>1</v>
      </c>
      <c r="O1125" t="b">
        <f t="shared" si="237"/>
        <v>0</v>
      </c>
      <c r="P1125" s="18" t="b">
        <f>SUMPRODUCT(COUNTIF(_xlfn.XLOOKUP(D1125,BugList!C:C,BugList!P:P), "*SC*"))&gt;0</f>
        <v>0</v>
      </c>
    </row>
    <row r="1126" spans="1:16">
      <c r="A1126" s="86" t="s">
        <v>2848</v>
      </c>
      <c r="B1126" s="83">
        <v>48</v>
      </c>
      <c r="C1126" s="34" t="s">
        <v>194</v>
      </c>
      <c r="D1126" s="34" t="s">
        <v>126</v>
      </c>
      <c r="E1126" s="83">
        <v>39</v>
      </c>
      <c r="F1126" s="43">
        <f t="shared" ref="F1126:F1157" si="238">(E1126/(SUMIFS(E:E,A:A,A1126))*100)</f>
        <v>27.083333333333332</v>
      </c>
      <c r="G1126" s="44">
        <f t="shared" si="232"/>
        <v>27</v>
      </c>
      <c r="H1126" s="44">
        <f t="shared" si="233"/>
        <v>8.3333333333332149E-2</v>
      </c>
      <c r="I1126" cm="1">
        <f t="array" ref="I1126">INT(F1126)+IF(100-SUM(INT(F$1124:F$1139))&gt;=RANK(H1126,H$1124:H$1139)+COUNTIF(H$1124:H1126,H1126)-1,1,0)</f>
        <v>27</v>
      </c>
      <c r="J1126" t="b">
        <f t="shared" si="234"/>
        <v>0</v>
      </c>
      <c r="K1126" t="str">
        <f t="shared" si="235"/>
        <v/>
      </c>
      <c r="L1126">
        <f>_xlfn.XLOOKUP(D1126,BugList!C:C,BugList!N:N)</f>
        <v>8</v>
      </c>
      <c r="M1126">
        <f t="shared" si="236"/>
        <v>216</v>
      </c>
      <c r="N1126" t="b">
        <f>_xlfn.XLOOKUP(D1126,BugList!C:C,BugList!L:L)</f>
        <v>1</v>
      </c>
      <c r="O1126" t="b">
        <f t="shared" si="237"/>
        <v>0</v>
      </c>
      <c r="P1126" s="18" t="b">
        <f>SUMPRODUCT(COUNTIF(_xlfn.XLOOKUP(D1126,BugList!C:C,BugList!P:P), "*SC*"))&gt;0</f>
        <v>0</v>
      </c>
    </row>
    <row r="1127" spans="1:16">
      <c r="A1127" s="86" t="s">
        <v>2848</v>
      </c>
      <c r="B1127" s="83">
        <v>48</v>
      </c>
      <c r="C1127" s="34" t="s">
        <v>194</v>
      </c>
      <c r="D1127" s="34" t="s">
        <v>101</v>
      </c>
      <c r="E1127" s="83">
        <v>26</v>
      </c>
      <c r="F1127" s="43">
        <f t="shared" si="238"/>
        <v>18.055555555555554</v>
      </c>
      <c r="G1127" s="44">
        <f t="shared" si="232"/>
        <v>18</v>
      </c>
      <c r="H1127" s="44">
        <f t="shared" si="233"/>
        <v>5.5555555555553582E-2</v>
      </c>
      <c r="I1127" cm="1">
        <f t="array" ref="I1127">INT(F1127)+IF(100-SUM(INT(F$1124:F$1139))&gt;=RANK(H1127,H$1124:H$1139)+COUNTIF(H$1124:H1127,H1127)-1,1,0)</f>
        <v>18</v>
      </c>
      <c r="J1127" t="b">
        <f t="shared" si="234"/>
        <v>0</v>
      </c>
      <c r="K1127" t="str">
        <f t="shared" si="235"/>
        <v/>
      </c>
      <c r="L1127">
        <f>_xlfn.XLOOKUP(D1127,BugList!C:C,BugList!N:N)</f>
        <v>6</v>
      </c>
      <c r="M1127">
        <f t="shared" si="236"/>
        <v>108</v>
      </c>
      <c r="N1127" t="b">
        <f>_xlfn.XLOOKUP(D1127,BugList!C:C,BugList!L:L)</f>
        <v>1</v>
      </c>
      <c r="O1127" t="b">
        <f t="shared" si="237"/>
        <v>0</v>
      </c>
      <c r="P1127" s="18" t="b">
        <f>SUMPRODUCT(COUNTIF(_xlfn.XLOOKUP(D1127,BugList!C:C,BugList!P:P), "*SC*"))&gt;0</f>
        <v>0</v>
      </c>
    </row>
    <row r="1128" spans="1:16">
      <c r="A1128" s="86" t="s">
        <v>2848</v>
      </c>
      <c r="B1128" s="83">
        <v>48</v>
      </c>
      <c r="C1128" s="34" t="s">
        <v>195</v>
      </c>
      <c r="D1128" s="34" t="s">
        <v>113</v>
      </c>
      <c r="E1128" s="83">
        <v>7</v>
      </c>
      <c r="F1128" s="43">
        <f t="shared" si="238"/>
        <v>4.8611111111111116</v>
      </c>
      <c r="G1128" s="44">
        <f t="shared" si="232"/>
        <v>4</v>
      </c>
      <c r="H1128" s="44">
        <f t="shared" si="233"/>
        <v>0.8611111111111116</v>
      </c>
      <c r="I1128" cm="1">
        <f t="array" ref="I1128">INT(F1128)+IF(100-SUM(INT(F$1124:F$1139))&gt;=RANK(H1128,H$1124:H$1139)+COUNTIF(H$1124:H1128,H1128)-1,1,0)</f>
        <v>5</v>
      </c>
      <c r="J1128" t="b">
        <f t="shared" si="234"/>
        <v>0</v>
      </c>
      <c r="K1128" t="str">
        <f t="shared" si="235"/>
        <v/>
      </c>
      <c r="L1128">
        <f>_xlfn.XLOOKUP(D1128,BugList!C:C,BugList!N:N)</f>
        <v>1</v>
      </c>
      <c r="M1128">
        <f t="shared" si="236"/>
        <v>5</v>
      </c>
      <c r="N1128" t="b">
        <f>_xlfn.XLOOKUP(D1128,BugList!C:C,BugList!L:L)</f>
        <v>1</v>
      </c>
      <c r="O1128" t="b">
        <f t="shared" si="237"/>
        <v>0</v>
      </c>
      <c r="P1128" s="18" t="b">
        <f>SUMPRODUCT(COUNTIF(_xlfn.XLOOKUP(D1128,BugList!C:C,BugList!P:P), "*SC*"))&gt;0</f>
        <v>0</v>
      </c>
    </row>
    <row r="1129" spans="1:16">
      <c r="A1129" s="86" t="s">
        <v>2848</v>
      </c>
      <c r="B1129" s="83">
        <v>48</v>
      </c>
      <c r="C1129" s="34" t="s">
        <v>198</v>
      </c>
      <c r="D1129" s="34" t="s">
        <v>89</v>
      </c>
      <c r="E1129" s="83">
        <v>2</v>
      </c>
      <c r="F1129" s="43">
        <f t="shared" si="238"/>
        <v>1.3888888888888888</v>
      </c>
      <c r="G1129" s="44">
        <f t="shared" si="232"/>
        <v>1</v>
      </c>
      <c r="H1129" s="44">
        <f t="shared" si="233"/>
        <v>0.38888888888888884</v>
      </c>
      <c r="I1129" cm="1">
        <f t="array" ref="I1129">INT(F1129)+IF(100-SUM(INT(F$1124:F$1139))&gt;=RANK(H1129,H$1124:H$1139)+COUNTIF(H$1124:H1129,H1129)-1,1,0)</f>
        <v>1</v>
      </c>
      <c r="J1129" t="b">
        <f t="shared" si="234"/>
        <v>1</v>
      </c>
      <c r="K1129" t="str">
        <f t="shared" si="235"/>
        <v>Trichoptera</v>
      </c>
      <c r="L1129">
        <f>_xlfn.XLOOKUP(D1129,BugList!C:C,BugList!N:N)</f>
        <v>4</v>
      </c>
      <c r="M1129">
        <f t="shared" si="236"/>
        <v>4</v>
      </c>
      <c r="N1129" t="b">
        <f>_xlfn.XLOOKUP(D1129,BugList!C:C,BugList!L:L)</f>
        <v>1</v>
      </c>
      <c r="O1129" t="b">
        <f t="shared" si="237"/>
        <v>0</v>
      </c>
      <c r="P1129" s="18" t="b">
        <f>SUMPRODUCT(COUNTIF(_xlfn.XLOOKUP(D1129,BugList!C:C,BugList!P:P), "*SC*"))&gt;0</f>
        <v>0</v>
      </c>
    </row>
    <row r="1130" spans="1:16">
      <c r="A1130" s="86" t="s">
        <v>2848</v>
      </c>
      <c r="B1130" s="83">
        <v>48</v>
      </c>
      <c r="C1130" s="34" t="s">
        <v>198</v>
      </c>
      <c r="D1130" s="34" t="s">
        <v>163</v>
      </c>
      <c r="E1130" s="83">
        <v>2</v>
      </c>
      <c r="F1130" s="43">
        <f t="shared" si="238"/>
        <v>1.3888888888888888</v>
      </c>
      <c r="G1130" s="44">
        <f t="shared" si="232"/>
        <v>1</v>
      </c>
      <c r="H1130" s="44">
        <f t="shared" si="233"/>
        <v>0.38888888888888884</v>
      </c>
      <c r="I1130" cm="1">
        <f t="array" ref="I1130">INT(F1130)+IF(100-SUM(INT(F$1124:F$1139))&gt;=RANK(H1130,H$1124:H$1139)+COUNTIF(H$1124:H1130,H1130)-1,1,0)</f>
        <v>1</v>
      </c>
      <c r="J1130" t="b">
        <f t="shared" si="234"/>
        <v>1</v>
      </c>
      <c r="K1130" t="str">
        <f t="shared" si="235"/>
        <v>Trichoptera</v>
      </c>
      <c r="L1130">
        <f>_xlfn.XLOOKUP(D1130,BugList!C:C,BugList!N:N)</f>
        <v>6</v>
      </c>
      <c r="M1130">
        <f t="shared" si="236"/>
        <v>6</v>
      </c>
      <c r="N1130" t="b">
        <f>_xlfn.XLOOKUP(D1130,BugList!C:C,BugList!L:L)</f>
        <v>1</v>
      </c>
      <c r="O1130" t="b">
        <f t="shared" si="237"/>
        <v>1</v>
      </c>
      <c r="P1130" s="18" t="b">
        <f>SUMPRODUCT(COUNTIF(_xlfn.XLOOKUP(D1130,BugList!C:C,BugList!P:P), "*SC*"))&gt;0</f>
        <v>0</v>
      </c>
    </row>
    <row r="1131" spans="1:16">
      <c r="A1131" s="86" t="s">
        <v>2848</v>
      </c>
      <c r="B1131" s="83">
        <v>48</v>
      </c>
      <c r="C1131" s="34" t="s">
        <v>199</v>
      </c>
      <c r="D1131" s="34" t="s">
        <v>111</v>
      </c>
      <c r="E1131" s="83">
        <v>2</v>
      </c>
      <c r="F1131" s="43">
        <f t="shared" si="238"/>
        <v>1.3888888888888888</v>
      </c>
      <c r="G1131" s="44">
        <f t="shared" si="232"/>
        <v>1</v>
      </c>
      <c r="H1131" s="44">
        <f t="shared" si="233"/>
        <v>0.38888888888888884</v>
      </c>
      <c r="I1131" cm="1">
        <f t="array" ref="I1131">INT(F1131)+IF(100-SUM(INT(F$1124:F$1139))&gt;=RANK(H1131,H$1124:H$1139)+COUNTIF(H$1124:H1131,H1131)-1,1,0)</f>
        <v>1</v>
      </c>
      <c r="J1131" t="b">
        <f t="shared" si="234"/>
        <v>1</v>
      </c>
      <c r="K1131" t="str">
        <f t="shared" si="235"/>
        <v>Ephemeroptera</v>
      </c>
      <c r="L1131">
        <f>_xlfn.XLOOKUP(D1131,BugList!C:C,BugList!N:N)</f>
        <v>4</v>
      </c>
      <c r="M1131">
        <f t="shared" si="236"/>
        <v>4</v>
      </c>
      <c r="N1131" t="b">
        <f>_xlfn.XLOOKUP(D1131,BugList!C:C,BugList!L:L)</f>
        <v>1</v>
      </c>
      <c r="O1131" t="b">
        <f t="shared" si="237"/>
        <v>1</v>
      </c>
      <c r="P1131" s="18" t="b">
        <f>SUMPRODUCT(COUNTIF(_xlfn.XLOOKUP(D1131,BugList!C:C,BugList!P:P), "*SC*"))&gt;0</f>
        <v>0</v>
      </c>
    </row>
    <row r="1132" spans="1:16">
      <c r="A1132" s="86" t="s">
        <v>2848</v>
      </c>
      <c r="B1132" s="83">
        <v>48</v>
      </c>
      <c r="C1132" s="34" t="s">
        <v>199</v>
      </c>
      <c r="D1132" s="34" t="s">
        <v>151</v>
      </c>
      <c r="E1132" s="83">
        <v>1</v>
      </c>
      <c r="F1132" s="43">
        <f t="shared" si="238"/>
        <v>0.69444444444444442</v>
      </c>
      <c r="G1132" s="44">
        <f t="shared" si="232"/>
        <v>0</v>
      </c>
      <c r="H1132" s="44">
        <f t="shared" si="233"/>
        <v>0.69444444444444442</v>
      </c>
      <c r="I1132" cm="1">
        <f t="array" ref="I1132">INT(F1132)+IF(100-SUM(INT(F$1124:F$1139))&gt;=RANK(H1132,H$1124:H$1139)+COUNTIF(H$1124:H1132,H1132)-1,1,0)</f>
        <v>1</v>
      </c>
      <c r="J1132" t="b">
        <f t="shared" si="234"/>
        <v>1</v>
      </c>
      <c r="K1132" t="str">
        <f t="shared" si="235"/>
        <v>Ephemeroptera</v>
      </c>
      <c r="L1132">
        <f>_xlfn.XLOOKUP(D1132,BugList!C:C,BugList!N:N)</f>
        <v>1</v>
      </c>
      <c r="M1132">
        <f t="shared" si="236"/>
        <v>1</v>
      </c>
      <c r="N1132" t="b">
        <f>_xlfn.XLOOKUP(D1132,BugList!C:C,BugList!L:L)</f>
        <v>1</v>
      </c>
      <c r="O1132" t="b">
        <f t="shared" si="237"/>
        <v>1</v>
      </c>
      <c r="P1132" s="18" t="b">
        <f>SUMPRODUCT(COUNTIF(_xlfn.XLOOKUP(D1132,BugList!C:C,BugList!P:P), "*SC*"))&gt;0</f>
        <v>0</v>
      </c>
    </row>
    <row r="1133" spans="1:16">
      <c r="A1133" s="86" t="s">
        <v>2848</v>
      </c>
      <c r="B1133" s="83">
        <v>48</v>
      </c>
      <c r="C1133" s="34" t="s">
        <v>199</v>
      </c>
      <c r="D1133" s="34" t="s">
        <v>969</v>
      </c>
      <c r="E1133" s="83">
        <v>7</v>
      </c>
      <c r="F1133" s="43">
        <f t="shared" si="238"/>
        <v>4.8611111111111116</v>
      </c>
      <c r="G1133" s="44">
        <f t="shared" si="232"/>
        <v>4</v>
      </c>
      <c r="H1133" s="44">
        <f t="shared" si="233"/>
        <v>0.8611111111111116</v>
      </c>
      <c r="I1133" cm="1">
        <f t="array" ref="I1133">INT(F1133)+IF(100-SUM(INT(F$1124:F$1139))&gt;=RANK(H1133,H$1124:H$1139)+COUNTIF(H$1124:H1133,H1133)-1,1,0)</f>
        <v>5</v>
      </c>
      <c r="J1133" t="b">
        <f t="shared" si="234"/>
        <v>1</v>
      </c>
      <c r="K1133" t="str">
        <f t="shared" si="235"/>
        <v>Ephemeroptera</v>
      </c>
      <c r="L1133">
        <f>_xlfn.XLOOKUP(D1133,BugList!C:C,BugList!N:N)</f>
        <v>7</v>
      </c>
      <c r="M1133">
        <f t="shared" si="236"/>
        <v>35</v>
      </c>
      <c r="N1133" t="b">
        <f>_xlfn.XLOOKUP(D1133,BugList!C:C,BugList!L:L)</f>
        <v>1</v>
      </c>
      <c r="O1133" t="b">
        <f t="shared" si="237"/>
        <v>1</v>
      </c>
      <c r="P1133" s="18" t="b">
        <f>SUMPRODUCT(COUNTIF(_xlfn.XLOOKUP(D1133,BugList!C:C,BugList!P:P), "*SC*"))&gt;0</f>
        <v>0</v>
      </c>
    </row>
    <row r="1134" spans="1:16">
      <c r="A1134" s="86" t="s">
        <v>2848</v>
      </c>
      <c r="B1134" s="83">
        <v>48</v>
      </c>
      <c r="C1134" s="34" t="s">
        <v>200</v>
      </c>
      <c r="D1134" s="34" t="s">
        <v>100</v>
      </c>
      <c r="E1134" s="83">
        <v>1</v>
      </c>
      <c r="F1134" s="43">
        <f t="shared" si="238"/>
        <v>0.69444444444444442</v>
      </c>
      <c r="G1134" s="44">
        <f t="shared" si="232"/>
        <v>0</v>
      </c>
      <c r="H1134" s="44">
        <f t="shared" si="233"/>
        <v>0.69444444444444442</v>
      </c>
      <c r="I1134" cm="1">
        <f t="array" ref="I1134">INT(F1134)+IF(100-SUM(INT(F$1124:F$1139))&gt;=RANK(H1134,H$1124:H$1139)+COUNTIF(H$1124:H1134,H1134)-1,1,0)</f>
        <v>1</v>
      </c>
      <c r="J1134" t="b">
        <f t="shared" si="234"/>
        <v>0</v>
      </c>
      <c r="K1134" t="str">
        <f t="shared" si="235"/>
        <v/>
      </c>
      <c r="L1134">
        <f>_xlfn.XLOOKUP(D1134,BugList!C:C,BugList!N:N)</f>
        <v>4</v>
      </c>
      <c r="M1134">
        <f t="shared" si="236"/>
        <v>4</v>
      </c>
      <c r="N1134" t="b">
        <f>_xlfn.XLOOKUP(D1134,BugList!C:C,BugList!L:L)</f>
        <v>1</v>
      </c>
      <c r="O1134" t="b">
        <f t="shared" si="237"/>
        <v>0</v>
      </c>
      <c r="P1134" s="18" t="b">
        <f>SUMPRODUCT(COUNTIF(_xlfn.XLOOKUP(D1134,BugList!C:C,BugList!P:P), "*SC*"))&gt;0</f>
        <v>1</v>
      </c>
    </row>
    <row r="1135" spans="1:16">
      <c r="A1135" s="86" t="s">
        <v>2848</v>
      </c>
      <c r="B1135" s="83">
        <v>48</v>
      </c>
      <c r="C1135" s="34" t="s">
        <v>2738</v>
      </c>
      <c r="D1135" s="34" t="s">
        <v>181</v>
      </c>
      <c r="E1135" s="83">
        <v>2</v>
      </c>
      <c r="F1135" s="43">
        <f t="shared" si="238"/>
        <v>1.3888888888888888</v>
      </c>
      <c r="G1135" s="44">
        <f t="shared" si="232"/>
        <v>1</v>
      </c>
      <c r="H1135" s="44">
        <f t="shared" si="233"/>
        <v>0.38888888888888884</v>
      </c>
      <c r="I1135" cm="1">
        <f t="array" ref="I1135">INT(F1135)+IF(100-SUM(INT(F$1124:F$1139))&gt;=RANK(H1135,H$1124:H$1139)+COUNTIF(H$1124:H1135,H1135)-1,1,0)</f>
        <v>1</v>
      </c>
      <c r="J1135" t="b">
        <f t="shared" si="234"/>
        <v>0</v>
      </c>
      <c r="K1135" t="str">
        <f t="shared" si="235"/>
        <v/>
      </c>
      <c r="L1135">
        <f>_xlfn.XLOOKUP(D1135,BugList!C:C,BugList!N:N)</f>
        <v>4</v>
      </c>
      <c r="M1135">
        <f t="shared" si="236"/>
        <v>4</v>
      </c>
      <c r="N1135" t="b">
        <f>_xlfn.XLOOKUP(D1135,BugList!C:C,BugList!L:L)</f>
        <v>1</v>
      </c>
      <c r="O1135" t="b">
        <f t="shared" si="237"/>
        <v>0</v>
      </c>
      <c r="P1135" s="18" t="b">
        <f>SUMPRODUCT(COUNTIF(_xlfn.XLOOKUP(D1135,BugList!C:C,BugList!P:P), "*SC*"))&gt;0</f>
        <v>0</v>
      </c>
    </row>
    <row r="1136" spans="1:16">
      <c r="A1136" s="86" t="s">
        <v>2848</v>
      </c>
      <c r="B1136" s="83">
        <v>48</v>
      </c>
      <c r="C1136" s="34" t="s">
        <v>205</v>
      </c>
      <c r="D1136" s="34" t="s">
        <v>206</v>
      </c>
      <c r="E1136" s="83">
        <v>1</v>
      </c>
      <c r="F1136" s="43">
        <f t="shared" si="238"/>
        <v>0.69444444444444442</v>
      </c>
      <c r="G1136" s="44">
        <f t="shared" si="232"/>
        <v>0</v>
      </c>
      <c r="H1136" s="44">
        <f t="shared" si="233"/>
        <v>0.69444444444444442</v>
      </c>
      <c r="I1136" cm="1">
        <f t="array" ref="I1136">INT(F1136)+IF(100-SUM(INT(F$1124:F$1139))&gt;=RANK(H1136,H$1124:H$1139)+COUNTIF(H$1124:H1136,H1136)-1,1,0)</f>
        <v>1</v>
      </c>
      <c r="J1136" t="b">
        <f t="shared" si="234"/>
        <v>0</v>
      </c>
      <c r="K1136" t="str">
        <f t="shared" si="235"/>
        <v/>
      </c>
      <c r="L1136" s="71">
        <v>8</v>
      </c>
      <c r="M1136">
        <f t="shared" si="236"/>
        <v>8</v>
      </c>
      <c r="N1136" s="71" t="b">
        <v>0</v>
      </c>
      <c r="O1136" t="b">
        <f t="shared" si="237"/>
        <v>0</v>
      </c>
      <c r="P1136" s="72" t="b">
        <v>0</v>
      </c>
    </row>
    <row r="1137" spans="1:16">
      <c r="A1137" s="86" t="s">
        <v>2848</v>
      </c>
      <c r="B1137" s="83">
        <v>48</v>
      </c>
      <c r="C1137" s="34" t="s">
        <v>201</v>
      </c>
      <c r="D1137" s="34" t="s">
        <v>85</v>
      </c>
      <c r="E1137" s="83">
        <v>20</v>
      </c>
      <c r="F1137" s="43">
        <f t="shared" si="238"/>
        <v>13.888888888888889</v>
      </c>
      <c r="G1137" s="44">
        <f t="shared" si="232"/>
        <v>13</v>
      </c>
      <c r="H1137" s="44">
        <f t="shared" si="233"/>
        <v>0.88888888888888928</v>
      </c>
      <c r="I1137" cm="1">
        <f t="array" ref="I1137">INT(F1137)+IF(100-SUM(INT(F$1124:F$1139))&gt;=RANK(H1137,H$1124:H$1139)+COUNTIF(H$1124:H1137,H1137)-1,1,0)</f>
        <v>14</v>
      </c>
      <c r="J1137" t="b">
        <f t="shared" si="234"/>
        <v>0</v>
      </c>
      <c r="K1137" t="str">
        <f t="shared" si="235"/>
        <v/>
      </c>
      <c r="L1137">
        <f>_xlfn.XLOOKUP(D1137,BugList!C:C,BugList!N:N)</f>
        <v>4</v>
      </c>
      <c r="M1137">
        <f t="shared" si="236"/>
        <v>56</v>
      </c>
      <c r="N1137" t="b">
        <f>_xlfn.XLOOKUP(D1137,BugList!C:C,BugList!L:L)</f>
        <v>0</v>
      </c>
      <c r="O1137" t="b">
        <f t="shared" si="237"/>
        <v>0</v>
      </c>
      <c r="P1137" s="18" t="b">
        <f>SUMPRODUCT(COUNTIF(_xlfn.XLOOKUP(D1137,BugList!C:C,BugList!P:P), "*SC*"))&gt;0</f>
        <v>0</v>
      </c>
    </row>
    <row r="1138" spans="1:16">
      <c r="A1138" s="86" t="s">
        <v>2848</v>
      </c>
      <c r="B1138" s="83">
        <v>48</v>
      </c>
      <c r="C1138" s="34" t="s">
        <v>200</v>
      </c>
      <c r="D1138" s="34" t="s">
        <v>100</v>
      </c>
      <c r="E1138" s="83">
        <v>1</v>
      </c>
      <c r="F1138" s="43">
        <f t="shared" si="238"/>
        <v>0.69444444444444442</v>
      </c>
      <c r="G1138" s="44">
        <f t="shared" si="232"/>
        <v>0</v>
      </c>
      <c r="H1138" s="44">
        <f t="shared" si="233"/>
        <v>0.69444444444444442</v>
      </c>
      <c r="I1138" cm="1">
        <f t="array" ref="I1138">INT(F1138)+IF(100-SUM(INT(F$1124:F$1139))&gt;=RANK(H1138,H$1124:H$1139)+COUNTIF(H$1124:H1138,H1138)-1,1,0)</f>
        <v>1</v>
      </c>
      <c r="J1138" t="b">
        <f t="shared" si="234"/>
        <v>0</v>
      </c>
      <c r="K1138" t="str">
        <f t="shared" si="235"/>
        <v/>
      </c>
      <c r="L1138">
        <f>_xlfn.XLOOKUP(D1138,BugList!C:C,BugList!N:N)</f>
        <v>4</v>
      </c>
      <c r="M1138">
        <f t="shared" si="236"/>
        <v>4</v>
      </c>
      <c r="N1138" t="b">
        <f>_xlfn.XLOOKUP(D1138,BugList!C:C,BugList!L:L)</f>
        <v>1</v>
      </c>
      <c r="O1138" t="b">
        <f t="shared" si="237"/>
        <v>0</v>
      </c>
      <c r="P1138" s="18" t="b">
        <f>SUMPRODUCT(COUNTIF(_xlfn.XLOOKUP(D1138,BugList!C:C,BugList!P:P), "*SC*"))&gt;0</f>
        <v>1</v>
      </c>
    </row>
    <row r="1139" spans="1:16">
      <c r="A1139" s="86" t="s">
        <v>2848</v>
      </c>
      <c r="B1139" s="83">
        <v>48</v>
      </c>
      <c r="C1139" s="34" t="s">
        <v>201</v>
      </c>
      <c r="D1139" s="34" t="s">
        <v>85</v>
      </c>
      <c r="E1139" s="83">
        <v>20</v>
      </c>
      <c r="F1139" s="43">
        <f t="shared" si="238"/>
        <v>13.888888888888889</v>
      </c>
      <c r="G1139" s="44">
        <f t="shared" si="232"/>
        <v>13</v>
      </c>
      <c r="H1139" s="44">
        <f t="shared" si="233"/>
        <v>0.88888888888888928</v>
      </c>
      <c r="I1139" cm="1">
        <f t="array" ref="I1139">INT(F1139)+IF(100-SUM(INT(F$1124:F$1139))&gt;=RANK(H1139,H$1124:H$1139)+COUNTIF(H$1124:H1139,H1139)-1,1,0)</f>
        <v>14</v>
      </c>
      <c r="J1139" t="b">
        <f t="shared" si="234"/>
        <v>0</v>
      </c>
      <c r="K1139" t="str">
        <f t="shared" si="235"/>
        <v/>
      </c>
      <c r="L1139">
        <f>_xlfn.XLOOKUP(D1139,BugList!C:C,BugList!N:N)</f>
        <v>4</v>
      </c>
      <c r="M1139">
        <f t="shared" si="236"/>
        <v>56</v>
      </c>
      <c r="N1139" t="b">
        <f>_xlfn.XLOOKUP(D1139,BugList!C:C,BugList!L:L)</f>
        <v>0</v>
      </c>
      <c r="O1139" t="b">
        <f t="shared" si="237"/>
        <v>0</v>
      </c>
      <c r="P1139" s="18" t="b">
        <f>SUMPRODUCT(COUNTIF(_xlfn.XLOOKUP(D1139,BugList!C:C,BugList!P:P), "*SC*"))&gt;0</f>
        <v>0</v>
      </c>
    </row>
    <row r="1140" spans="1:16">
      <c r="A1140" s="86" t="s">
        <v>2849</v>
      </c>
      <c r="B1140" s="83">
        <v>54</v>
      </c>
      <c r="C1140" s="34" t="s">
        <v>200</v>
      </c>
      <c r="D1140" s="34" t="s">
        <v>98</v>
      </c>
      <c r="E1140" s="83">
        <v>2</v>
      </c>
      <c r="F1140" s="43">
        <f t="shared" si="238"/>
        <v>1.7857142857142856</v>
      </c>
      <c r="G1140" s="44">
        <f t="shared" si="232"/>
        <v>1</v>
      </c>
      <c r="H1140" s="44">
        <f t="shared" si="233"/>
        <v>0.78571428571428559</v>
      </c>
      <c r="I1140" cm="1">
        <f t="array" ref="I1140">INT(F1140)+IF(100-SUM(INT(F$1140:F$1150))&gt;=RANK(H1140,H$1140:H$1150)+COUNTIF(H$1140:H1140,H1140)-1,1,0)</f>
        <v>2</v>
      </c>
      <c r="J1140" t="b">
        <f t="shared" si="234"/>
        <v>0</v>
      </c>
      <c r="K1140" t="str">
        <f t="shared" si="235"/>
        <v/>
      </c>
      <c r="L1140">
        <f>_xlfn.XLOOKUP(D1140,BugList!C:C,BugList!N:N)</f>
        <v>4</v>
      </c>
      <c r="M1140">
        <f t="shared" si="236"/>
        <v>8</v>
      </c>
      <c r="N1140" t="b">
        <f>_xlfn.XLOOKUP(D1140,BugList!C:C,BugList!L:L)</f>
        <v>1</v>
      </c>
      <c r="O1140" t="b">
        <f t="shared" si="237"/>
        <v>0</v>
      </c>
      <c r="P1140" s="18" t="b">
        <f>SUMPRODUCT(COUNTIF(_xlfn.XLOOKUP(D1140,BugList!C:C,BugList!P:P), "*SC*"))&gt;0</f>
        <v>1</v>
      </c>
    </row>
    <row r="1141" spans="1:16">
      <c r="A1141" s="86" t="s">
        <v>2849</v>
      </c>
      <c r="B1141" s="83">
        <v>54</v>
      </c>
      <c r="C1141" s="34" t="s">
        <v>200</v>
      </c>
      <c r="D1141" s="34" t="s">
        <v>100</v>
      </c>
      <c r="E1141" s="83">
        <v>26</v>
      </c>
      <c r="F1141" s="43">
        <f t="shared" si="238"/>
        <v>23.214285714285715</v>
      </c>
      <c r="G1141" s="44">
        <f t="shared" si="232"/>
        <v>23</v>
      </c>
      <c r="H1141" s="44">
        <f t="shared" si="233"/>
        <v>0.2142857142857153</v>
      </c>
      <c r="I1141" cm="1">
        <f t="array" ref="I1141">INT(F1141)+IF(100-SUM(INT(F$1140:F$1150))&gt;=RANK(H1141,H$1140:H$1150)+COUNTIF(H$1140:H1141,H1141)-1,1,0)</f>
        <v>23</v>
      </c>
      <c r="J1141" t="b">
        <f t="shared" si="234"/>
        <v>0</v>
      </c>
      <c r="K1141" t="str">
        <f t="shared" si="235"/>
        <v/>
      </c>
      <c r="L1141">
        <f>_xlfn.XLOOKUP(D1141,BugList!C:C,BugList!N:N)</f>
        <v>4</v>
      </c>
      <c r="M1141">
        <f t="shared" si="236"/>
        <v>92</v>
      </c>
      <c r="N1141" t="b">
        <f>_xlfn.XLOOKUP(D1141,BugList!C:C,BugList!L:L)</f>
        <v>1</v>
      </c>
      <c r="O1141" t="b">
        <f t="shared" si="237"/>
        <v>0</v>
      </c>
      <c r="P1141" s="18" t="b">
        <f>SUMPRODUCT(COUNTIF(_xlfn.XLOOKUP(D1141,BugList!C:C,BugList!P:P), "*SC*"))&gt;0</f>
        <v>1</v>
      </c>
    </row>
    <row r="1142" spans="1:16">
      <c r="A1142" s="86" t="s">
        <v>2849</v>
      </c>
      <c r="B1142" s="83">
        <v>54</v>
      </c>
      <c r="C1142" s="34" t="s">
        <v>194</v>
      </c>
      <c r="D1142" s="34" t="s">
        <v>108</v>
      </c>
      <c r="E1142" s="83">
        <v>6</v>
      </c>
      <c r="F1142" s="43">
        <f t="shared" si="238"/>
        <v>5.3571428571428568</v>
      </c>
      <c r="G1142" s="44">
        <f t="shared" si="232"/>
        <v>5</v>
      </c>
      <c r="H1142" s="44">
        <f t="shared" si="233"/>
        <v>0.35714285714285676</v>
      </c>
      <c r="I1142" cm="1">
        <f t="array" ref="I1142">INT(F1142)+IF(100-SUM(INT(F$1140:F$1150))&gt;=RANK(H1142,H$1140:H$1150)+COUNTIF(H$1140:H1142,H1142)-1,1,0)</f>
        <v>5</v>
      </c>
      <c r="J1142" t="b">
        <f t="shared" si="234"/>
        <v>0</v>
      </c>
      <c r="K1142" t="str">
        <f t="shared" si="235"/>
        <v/>
      </c>
      <c r="L1142">
        <f>_xlfn.XLOOKUP(D1142,BugList!C:C,BugList!N:N)</f>
        <v>3</v>
      </c>
      <c r="M1142">
        <f t="shared" si="236"/>
        <v>15</v>
      </c>
      <c r="N1142" t="b">
        <f>_xlfn.XLOOKUP(D1142,BugList!C:C,BugList!L:L)</f>
        <v>1</v>
      </c>
      <c r="O1142" t="b">
        <f t="shared" si="237"/>
        <v>0</v>
      </c>
      <c r="P1142" s="18" t="b">
        <f>SUMPRODUCT(COUNTIF(_xlfn.XLOOKUP(D1142,BugList!C:C,BugList!P:P), "*SC*"))&gt;0</f>
        <v>0</v>
      </c>
    </row>
    <row r="1143" spans="1:16">
      <c r="A1143" s="86" t="s">
        <v>2849</v>
      </c>
      <c r="B1143" s="83">
        <v>54</v>
      </c>
      <c r="C1143" s="34" t="s">
        <v>199</v>
      </c>
      <c r="D1143" s="34" t="s">
        <v>96</v>
      </c>
      <c r="E1143" s="83">
        <v>2</v>
      </c>
      <c r="F1143" s="43">
        <f t="shared" si="238"/>
        <v>1.7857142857142856</v>
      </c>
      <c r="G1143" s="44">
        <f t="shared" si="232"/>
        <v>1</v>
      </c>
      <c r="H1143" s="44">
        <f t="shared" si="233"/>
        <v>0.78571428571428559</v>
      </c>
      <c r="I1143" cm="1">
        <f t="array" ref="I1143">INT(F1143)+IF(100-SUM(INT(F$1140:F$1150))&gt;=RANK(H1143,H$1140:H$1150)+COUNTIF(H$1140:H1143,H1143)-1,1,0)</f>
        <v>2</v>
      </c>
      <c r="J1143" t="b">
        <f t="shared" si="234"/>
        <v>1</v>
      </c>
      <c r="K1143" t="str">
        <f t="shared" si="235"/>
        <v>Ephemeroptera</v>
      </c>
      <c r="L1143">
        <f>_xlfn.XLOOKUP(D1143,BugList!C:C,BugList!N:N)</f>
        <v>4</v>
      </c>
      <c r="M1143">
        <f t="shared" si="236"/>
        <v>8</v>
      </c>
      <c r="N1143" t="b">
        <f>_xlfn.XLOOKUP(D1143,BugList!C:C,BugList!L:L)</f>
        <v>1</v>
      </c>
      <c r="O1143" t="b">
        <f t="shared" si="237"/>
        <v>1</v>
      </c>
      <c r="P1143" s="18" t="b">
        <f>SUMPRODUCT(COUNTIF(_xlfn.XLOOKUP(D1143,BugList!C:C,BugList!P:P), "*SC*"))&gt;0</f>
        <v>1</v>
      </c>
    </row>
    <row r="1144" spans="1:16">
      <c r="A1144" s="86" t="s">
        <v>2849</v>
      </c>
      <c r="B1144" s="83">
        <v>54</v>
      </c>
      <c r="C1144" s="34" t="s">
        <v>199</v>
      </c>
      <c r="D1144" s="34" t="s">
        <v>111</v>
      </c>
      <c r="E1144" s="83">
        <v>1</v>
      </c>
      <c r="F1144" s="43">
        <f t="shared" si="238"/>
        <v>0.89285714285714279</v>
      </c>
      <c r="G1144" s="44">
        <f t="shared" si="232"/>
        <v>0</v>
      </c>
      <c r="H1144" s="44">
        <f t="shared" si="233"/>
        <v>0.89285714285714279</v>
      </c>
      <c r="I1144" cm="1">
        <f t="array" ref="I1144">INT(F1144)+IF(100-SUM(INT(F$1140:F$1150))&gt;=RANK(H1144,H$1140:H$1150)+COUNTIF(H$1140:H1144,H1144)-1,1,0)</f>
        <v>1</v>
      </c>
      <c r="J1144" t="b">
        <f t="shared" si="234"/>
        <v>1</v>
      </c>
      <c r="K1144" t="str">
        <f t="shared" si="235"/>
        <v>Ephemeroptera</v>
      </c>
      <c r="L1144">
        <f>_xlfn.XLOOKUP(D1144,BugList!C:C,BugList!N:N)</f>
        <v>4</v>
      </c>
      <c r="M1144">
        <f t="shared" si="236"/>
        <v>4</v>
      </c>
      <c r="N1144" t="b">
        <f>_xlfn.XLOOKUP(D1144,BugList!C:C,BugList!L:L)</f>
        <v>1</v>
      </c>
      <c r="O1144" t="b">
        <f t="shared" si="237"/>
        <v>1</v>
      </c>
      <c r="P1144" s="18" t="b">
        <f>SUMPRODUCT(COUNTIF(_xlfn.XLOOKUP(D1144,BugList!C:C,BugList!P:P), "*SC*"))&gt;0</f>
        <v>0</v>
      </c>
    </row>
    <row r="1145" spans="1:16">
      <c r="A1145" s="86" t="s">
        <v>2849</v>
      </c>
      <c r="B1145" s="83">
        <v>54</v>
      </c>
      <c r="C1145" s="34" t="s">
        <v>195</v>
      </c>
      <c r="D1145" s="34" t="s">
        <v>162</v>
      </c>
      <c r="E1145" s="83">
        <v>1</v>
      </c>
      <c r="F1145" s="43">
        <f t="shared" si="238"/>
        <v>0.89285714285714279</v>
      </c>
      <c r="G1145" s="44">
        <f t="shared" si="232"/>
        <v>0</v>
      </c>
      <c r="H1145" s="44">
        <f t="shared" si="233"/>
        <v>0.89285714285714279</v>
      </c>
      <c r="I1145" cm="1">
        <f t="array" ref="I1145">INT(F1145)+IF(100-SUM(INT(F$1140:F$1150))&gt;=RANK(H1145,H$1140:H$1150)+COUNTIF(H$1140:H1145,H1145)-1,1,0)</f>
        <v>1</v>
      </c>
      <c r="J1145" t="b">
        <f t="shared" si="234"/>
        <v>0</v>
      </c>
      <c r="K1145" t="str">
        <f t="shared" si="235"/>
        <v/>
      </c>
      <c r="L1145">
        <f>_xlfn.XLOOKUP(D1145,BugList!C:C,BugList!N:N)</f>
        <v>3</v>
      </c>
      <c r="M1145">
        <f t="shared" si="236"/>
        <v>3</v>
      </c>
      <c r="N1145" t="b">
        <f>_xlfn.XLOOKUP(D1145,BugList!C:C,BugList!L:L)</f>
        <v>1</v>
      </c>
      <c r="O1145" t="b">
        <f t="shared" si="237"/>
        <v>0</v>
      </c>
      <c r="P1145" s="18" t="b">
        <f>SUMPRODUCT(COUNTIF(_xlfn.XLOOKUP(D1145,BugList!C:C,BugList!P:P), "*SC*"))&gt;0</f>
        <v>0</v>
      </c>
    </row>
    <row r="1146" spans="1:16">
      <c r="A1146" s="86" t="s">
        <v>2849</v>
      </c>
      <c r="B1146" s="83">
        <v>54</v>
      </c>
      <c r="C1146" s="34" t="s">
        <v>195</v>
      </c>
      <c r="D1146" s="34" t="s">
        <v>113</v>
      </c>
      <c r="E1146" s="83">
        <v>12</v>
      </c>
      <c r="F1146" s="43">
        <f t="shared" si="238"/>
        <v>10.714285714285714</v>
      </c>
      <c r="G1146" s="44">
        <f t="shared" si="232"/>
        <v>10</v>
      </c>
      <c r="H1146" s="44">
        <f t="shared" si="233"/>
        <v>0.71428571428571352</v>
      </c>
      <c r="I1146" cm="1">
        <f t="array" ref="I1146">INT(F1146)+IF(100-SUM(INT(F$1140:F$1150))&gt;=RANK(H1146,H$1140:H$1150)+COUNTIF(H$1140:H1146,H1146)-1,1,0)</f>
        <v>11</v>
      </c>
      <c r="J1146" t="b">
        <f t="shared" si="234"/>
        <v>0</v>
      </c>
      <c r="K1146" t="str">
        <f t="shared" si="235"/>
        <v/>
      </c>
      <c r="L1146">
        <f>_xlfn.XLOOKUP(D1146,BugList!C:C,BugList!N:N)</f>
        <v>1</v>
      </c>
      <c r="M1146">
        <f t="shared" si="236"/>
        <v>11</v>
      </c>
      <c r="N1146" t="b">
        <f>_xlfn.XLOOKUP(D1146,BugList!C:C,BugList!L:L)</f>
        <v>1</v>
      </c>
      <c r="O1146" t="b">
        <f t="shared" si="237"/>
        <v>0</v>
      </c>
      <c r="P1146" s="18" t="b">
        <f>SUMPRODUCT(COUNTIF(_xlfn.XLOOKUP(D1146,BugList!C:C,BugList!P:P), "*SC*"))&gt;0</f>
        <v>0</v>
      </c>
    </row>
    <row r="1147" spans="1:16">
      <c r="A1147" s="86" t="s">
        <v>2849</v>
      </c>
      <c r="B1147" s="83">
        <v>54</v>
      </c>
      <c r="C1147" s="34" t="s">
        <v>198</v>
      </c>
      <c r="D1147" s="34" t="s">
        <v>89</v>
      </c>
      <c r="E1147" s="83">
        <v>32</v>
      </c>
      <c r="F1147" s="43">
        <f t="shared" si="238"/>
        <v>28.571428571428569</v>
      </c>
      <c r="G1147" s="44">
        <f t="shared" si="232"/>
        <v>28</v>
      </c>
      <c r="H1147" s="44">
        <f t="shared" si="233"/>
        <v>0.5714285714285694</v>
      </c>
      <c r="I1147" cm="1">
        <f t="array" ref="I1147">INT(F1147)+IF(100-SUM(INT(F$1140:F$1150))&gt;=RANK(H1147,H$1140:H$1150)+COUNTIF(H$1140:H1147,H1147)-1,1,0)</f>
        <v>28</v>
      </c>
      <c r="J1147" t="b">
        <f t="shared" si="234"/>
        <v>1</v>
      </c>
      <c r="K1147" t="str">
        <f t="shared" si="235"/>
        <v>Trichoptera</v>
      </c>
      <c r="L1147">
        <f>_xlfn.XLOOKUP(D1147,BugList!C:C,BugList!N:N)</f>
        <v>4</v>
      </c>
      <c r="M1147">
        <f t="shared" si="236"/>
        <v>112</v>
      </c>
      <c r="N1147" t="b">
        <f>_xlfn.XLOOKUP(D1147,BugList!C:C,BugList!L:L)</f>
        <v>1</v>
      </c>
      <c r="O1147" t="b">
        <f t="shared" si="237"/>
        <v>0</v>
      </c>
      <c r="P1147" s="18" t="b">
        <f>SUMPRODUCT(COUNTIF(_xlfn.XLOOKUP(D1147,BugList!C:C,BugList!P:P), "*SC*"))&gt;0</f>
        <v>0</v>
      </c>
    </row>
    <row r="1148" spans="1:16">
      <c r="A1148" s="86" t="s">
        <v>2849</v>
      </c>
      <c r="B1148" s="83">
        <v>54</v>
      </c>
      <c r="C1148" s="34" t="s">
        <v>201</v>
      </c>
      <c r="D1148" s="34" t="s">
        <v>85</v>
      </c>
      <c r="E1148" s="83">
        <v>2</v>
      </c>
      <c r="F1148" s="43">
        <f t="shared" si="238"/>
        <v>1.7857142857142856</v>
      </c>
      <c r="G1148" s="44">
        <f t="shared" si="232"/>
        <v>1</v>
      </c>
      <c r="H1148" s="44">
        <f t="shared" si="233"/>
        <v>0.78571428571428559</v>
      </c>
      <c r="I1148" cm="1">
        <f t="array" ref="I1148">INT(F1148)+IF(100-SUM(INT(F$1140:F$1150))&gt;=RANK(H1148,H$1140:H$1150)+COUNTIF(H$1140:H1148,H1148)-1,1,0)</f>
        <v>2</v>
      </c>
      <c r="J1148" t="b">
        <f t="shared" si="234"/>
        <v>0</v>
      </c>
      <c r="K1148" t="str">
        <f t="shared" si="235"/>
        <v/>
      </c>
      <c r="L1148">
        <f>_xlfn.XLOOKUP(D1148,BugList!C:C,BugList!N:N)</f>
        <v>4</v>
      </c>
      <c r="M1148">
        <f t="shared" si="236"/>
        <v>8</v>
      </c>
      <c r="N1148" t="b">
        <f>_xlfn.XLOOKUP(D1148,BugList!C:C,BugList!L:L)</f>
        <v>0</v>
      </c>
      <c r="O1148" t="b">
        <f t="shared" si="237"/>
        <v>0</v>
      </c>
      <c r="P1148" s="18" t="b">
        <f>SUMPRODUCT(COUNTIF(_xlfn.XLOOKUP(D1148,BugList!C:C,BugList!P:P), "*SC*"))&gt;0</f>
        <v>0</v>
      </c>
    </row>
    <row r="1149" spans="1:16">
      <c r="A1149" s="86" t="s">
        <v>2849</v>
      </c>
      <c r="B1149" s="83">
        <v>54</v>
      </c>
      <c r="C1149" s="34" t="s">
        <v>2315</v>
      </c>
      <c r="D1149" s="34" t="s">
        <v>2315</v>
      </c>
      <c r="E1149" s="83">
        <v>21</v>
      </c>
      <c r="F1149" s="43">
        <f t="shared" si="238"/>
        <v>18.75</v>
      </c>
      <c r="G1149" s="44">
        <f t="shared" si="232"/>
        <v>18</v>
      </c>
      <c r="H1149" s="44">
        <f t="shared" si="233"/>
        <v>0.75</v>
      </c>
      <c r="I1149" cm="1">
        <f t="array" ref="I1149">INT(F1149)+IF(100-SUM(INT(F$1140:F$1150))&gt;=RANK(H1149,H$1140:H$1150)+COUNTIF(H$1140:H1149,H1149)-1,1,0)</f>
        <v>19</v>
      </c>
      <c r="J1149" t="b">
        <f t="shared" si="234"/>
        <v>0</v>
      </c>
      <c r="K1149" t="str">
        <f t="shared" si="235"/>
        <v/>
      </c>
      <c r="L1149">
        <f>_xlfn.XLOOKUP(D1149,BugList!C:C,BugList!N:N)</f>
        <v>7</v>
      </c>
      <c r="M1149">
        <f t="shared" si="236"/>
        <v>133</v>
      </c>
      <c r="N1149" t="b">
        <f>_xlfn.XLOOKUP(D1149,BugList!C:C,BugList!L:L)</f>
        <v>0</v>
      </c>
      <c r="O1149" t="b">
        <f t="shared" si="237"/>
        <v>0</v>
      </c>
      <c r="P1149" s="18" t="b">
        <f>SUMPRODUCT(COUNTIF(_xlfn.XLOOKUP(D1149,BugList!C:C,BugList!P:P), "*SC*"))&gt;0</f>
        <v>1</v>
      </c>
    </row>
    <row r="1150" spans="1:16">
      <c r="A1150" s="86" t="s">
        <v>2849</v>
      </c>
      <c r="B1150" s="83">
        <v>54</v>
      </c>
      <c r="C1150" s="34" t="s">
        <v>205</v>
      </c>
      <c r="D1150" s="34" t="s">
        <v>206</v>
      </c>
      <c r="E1150" s="83">
        <v>7</v>
      </c>
      <c r="F1150" s="43">
        <f t="shared" si="238"/>
        <v>6.25</v>
      </c>
      <c r="G1150" s="44">
        <f t="shared" si="232"/>
        <v>6</v>
      </c>
      <c r="H1150" s="44">
        <f t="shared" si="233"/>
        <v>0.25</v>
      </c>
      <c r="I1150" cm="1">
        <f t="array" ref="I1150">INT(F1150)+IF(100-SUM(INT(F$1140:F$1150))&gt;=RANK(H1150,H$1140:H$1150)+COUNTIF(H$1140:H1150,H1150)-1,1,0)</f>
        <v>6</v>
      </c>
      <c r="J1150" t="b">
        <f t="shared" si="234"/>
        <v>0</v>
      </c>
      <c r="K1150" t="str">
        <f t="shared" si="235"/>
        <v/>
      </c>
      <c r="L1150" s="71">
        <v>8</v>
      </c>
      <c r="M1150">
        <f t="shared" si="236"/>
        <v>48</v>
      </c>
      <c r="N1150" s="71" t="b">
        <v>0</v>
      </c>
      <c r="O1150" t="b">
        <f t="shared" si="237"/>
        <v>0</v>
      </c>
      <c r="P1150" s="72" t="b">
        <v>0</v>
      </c>
    </row>
    <row r="1151" spans="1:16">
      <c r="A1151" s="86" t="s">
        <v>2850</v>
      </c>
      <c r="B1151" s="83">
        <v>63</v>
      </c>
      <c r="C1151" s="34" t="s">
        <v>200</v>
      </c>
      <c r="D1151" s="34" t="s">
        <v>100</v>
      </c>
      <c r="E1151" s="83">
        <v>8</v>
      </c>
      <c r="F1151" s="43">
        <f t="shared" si="238"/>
        <v>7.9207920792079207</v>
      </c>
      <c r="G1151" s="44">
        <f t="shared" si="232"/>
        <v>7</v>
      </c>
      <c r="H1151" s="44">
        <f t="shared" si="233"/>
        <v>0.92079207920792072</v>
      </c>
      <c r="I1151" cm="1">
        <f t="array" ref="I1151">INT(F1151)+IF(100-SUM(INT(F$1151:F$1158))&gt;=RANK(H1151,H$1151:H$1158)+COUNTIF(H$1151:H1151,H1151)-1,1,0)</f>
        <v>8</v>
      </c>
      <c r="J1151" t="b">
        <f t="shared" si="234"/>
        <v>0</v>
      </c>
      <c r="K1151" t="str">
        <f t="shared" si="235"/>
        <v/>
      </c>
      <c r="L1151">
        <f>_xlfn.XLOOKUP(D1151,BugList!C:C,BugList!N:N)</f>
        <v>4</v>
      </c>
      <c r="M1151">
        <f t="shared" si="236"/>
        <v>32</v>
      </c>
      <c r="N1151" t="b">
        <f>_xlfn.XLOOKUP(D1151,BugList!C:C,BugList!L:L)</f>
        <v>1</v>
      </c>
      <c r="O1151" t="b">
        <f t="shared" si="237"/>
        <v>0</v>
      </c>
      <c r="P1151" s="18" t="b">
        <f>SUMPRODUCT(COUNTIF(_xlfn.XLOOKUP(D1151,BugList!C:C,BugList!P:P), "*SC*"))&gt;0</f>
        <v>1</v>
      </c>
    </row>
    <row r="1152" spans="1:16">
      <c r="A1152" s="86" t="s">
        <v>2850</v>
      </c>
      <c r="B1152" s="83">
        <v>63</v>
      </c>
      <c r="C1152" s="34" t="s">
        <v>194</v>
      </c>
      <c r="D1152" s="34" t="s">
        <v>90</v>
      </c>
      <c r="E1152" s="83">
        <v>3</v>
      </c>
      <c r="F1152" s="43">
        <f t="shared" si="238"/>
        <v>2.9702970297029703</v>
      </c>
      <c r="G1152" s="44">
        <f t="shared" si="232"/>
        <v>2</v>
      </c>
      <c r="H1152" s="44">
        <f t="shared" si="233"/>
        <v>0.97029702970297027</v>
      </c>
      <c r="I1152" cm="1">
        <f t="array" ref="I1152">INT(F1152)+IF(100-SUM(INT(F$1151:F$1158))&gt;=RANK(H1152,H$1151:H$1158)+COUNTIF(H$1151:H1152,H1152)-1,1,0)</f>
        <v>3</v>
      </c>
      <c r="J1152" t="b">
        <f t="shared" si="234"/>
        <v>0</v>
      </c>
      <c r="K1152" t="str">
        <f t="shared" si="235"/>
        <v/>
      </c>
      <c r="L1152">
        <f>_xlfn.XLOOKUP(D1152,BugList!C:C,BugList!N:N)</f>
        <v>6</v>
      </c>
      <c r="M1152">
        <f t="shared" si="236"/>
        <v>18</v>
      </c>
      <c r="N1152" t="b">
        <f>_xlfn.XLOOKUP(D1152,BugList!C:C,BugList!L:L)</f>
        <v>1</v>
      </c>
      <c r="O1152" t="b">
        <f t="shared" si="237"/>
        <v>0</v>
      </c>
      <c r="P1152" s="18" t="b">
        <f>SUMPRODUCT(COUNTIF(_xlfn.XLOOKUP(D1152,BugList!C:C,BugList!P:P), "*SC*"))&gt;0</f>
        <v>0</v>
      </c>
    </row>
    <row r="1153" spans="1:16">
      <c r="A1153" s="86" t="s">
        <v>2850</v>
      </c>
      <c r="B1153" s="83">
        <v>63</v>
      </c>
      <c r="C1153" s="34" t="s">
        <v>194</v>
      </c>
      <c r="D1153" s="34" t="s">
        <v>101</v>
      </c>
      <c r="E1153" s="83">
        <v>2</v>
      </c>
      <c r="F1153" s="43">
        <f t="shared" si="238"/>
        <v>1.9801980198019802</v>
      </c>
      <c r="G1153" s="44">
        <f t="shared" si="232"/>
        <v>1</v>
      </c>
      <c r="H1153" s="44">
        <f t="shared" si="233"/>
        <v>0.98019801980198018</v>
      </c>
      <c r="I1153" cm="1">
        <f t="array" ref="I1153">INT(F1153)+IF(100-SUM(INT(F$1151:F$1158))&gt;=RANK(H1153,H$1151:H$1158)+COUNTIF(H$1151:H1153,H1153)-1,1,0)</f>
        <v>2</v>
      </c>
      <c r="J1153" t="b">
        <f t="shared" si="234"/>
        <v>0</v>
      </c>
      <c r="K1153" t="str">
        <f t="shared" si="235"/>
        <v/>
      </c>
      <c r="L1153">
        <f>_xlfn.XLOOKUP(D1153,BugList!C:C,BugList!N:N)</f>
        <v>6</v>
      </c>
      <c r="M1153">
        <f t="shared" si="236"/>
        <v>12</v>
      </c>
      <c r="N1153" t="b">
        <f>_xlfn.XLOOKUP(D1153,BugList!C:C,BugList!L:L)</f>
        <v>1</v>
      </c>
      <c r="O1153" t="b">
        <f t="shared" si="237"/>
        <v>0</v>
      </c>
      <c r="P1153" s="18" t="b">
        <f>SUMPRODUCT(COUNTIF(_xlfn.XLOOKUP(D1153,BugList!C:C,BugList!P:P), "*SC*"))&gt;0</f>
        <v>0</v>
      </c>
    </row>
    <row r="1154" spans="1:16">
      <c r="A1154" s="86" t="s">
        <v>2850</v>
      </c>
      <c r="B1154" s="83">
        <v>63</v>
      </c>
      <c r="C1154" s="34" t="s">
        <v>194</v>
      </c>
      <c r="D1154" s="34" t="s">
        <v>108</v>
      </c>
      <c r="E1154" s="83">
        <v>2</v>
      </c>
      <c r="F1154" s="43">
        <f t="shared" si="238"/>
        <v>1.9801980198019802</v>
      </c>
      <c r="G1154" s="44">
        <f t="shared" si="232"/>
        <v>1</v>
      </c>
      <c r="H1154" s="44">
        <f t="shared" si="233"/>
        <v>0.98019801980198018</v>
      </c>
      <c r="I1154" cm="1">
        <f t="array" ref="I1154">INT(F1154)+IF(100-SUM(INT(F$1151:F$1158))&gt;=RANK(H1154,H$1151:H$1158)+COUNTIF(H$1151:H1154,H1154)-1,1,0)</f>
        <v>2</v>
      </c>
      <c r="J1154" t="b">
        <f t="shared" si="234"/>
        <v>0</v>
      </c>
      <c r="K1154" t="str">
        <f t="shared" si="235"/>
        <v/>
      </c>
      <c r="L1154">
        <f>_xlfn.XLOOKUP(D1154,BugList!C:C,BugList!N:N)</f>
        <v>3</v>
      </c>
      <c r="M1154">
        <f t="shared" si="236"/>
        <v>6</v>
      </c>
      <c r="N1154" t="b">
        <f>_xlfn.XLOOKUP(D1154,BugList!C:C,BugList!L:L)</f>
        <v>1</v>
      </c>
      <c r="O1154" t="b">
        <f t="shared" si="237"/>
        <v>0</v>
      </c>
      <c r="P1154" s="18" t="b">
        <f>SUMPRODUCT(COUNTIF(_xlfn.XLOOKUP(D1154,BugList!C:C,BugList!P:P), "*SC*"))&gt;0</f>
        <v>0</v>
      </c>
    </row>
    <row r="1155" spans="1:16">
      <c r="A1155" s="86" t="s">
        <v>2850</v>
      </c>
      <c r="B1155" s="83">
        <v>63</v>
      </c>
      <c r="C1155" s="34" t="s">
        <v>199</v>
      </c>
      <c r="D1155" s="34" t="s">
        <v>96</v>
      </c>
      <c r="E1155" s="83">
        <v>2</v>
      </c>
      <c r="F1155" s="43">
        <f t="shared" si="238"/>
        <v>1.9801980198019802</v>
      </c>
      <c r="G1155" s="44">
        <f t="shared" si="232"/>
        <v>1</v>
      </c>
      <c r="H1155" s="44">
        <f t="shared" si="233"/>
        <v>0.98019801980198018</v>
      </c>
      <c r="I1155" cm="1">
        <f t="array" ref="I1155">INT(F1155)+IF(100-SUM(INT(F$1151:F$1158))&gt;=RANK(H1155,H$1151:H$1158)+COUNTIF(H$1151:H1155,H1155)-1,1,0)</f>
        <v>2</v>
      </c>
      <c r="J1155" t="b">
        <f t="shared" si="234"/>
        <v>1</v>
      </c>
      <c r="K1155" t="str">
        <f t="shared" si="235"/>
        <v>Ephemeroptera</v>
      </c>
      <c r="L1155">
        <f>_xlfn.XLOOKUP(D1155,BugList!C:C,BugList!N:N)</f>
        <v>4</v>
      </c>
      <c r="M1155">
        <f t="shared" si="236"/>
        <v>8</v>
      </c>
      <c r="N1155" t="b">
        <f>_xlfn.XLOOKUP(D1155,BugList!C:C,BugList!L:L)</f>
        <v>1</v>
      </c>
      <c r="O1155" t="b">
        <f t="shared" si="237"/>
        <v>1</v>
      </c>
      <c r="P1155" s="18" t="b">
        <f>SUMPRODUCT(COUNTIF(_xlfn.XLOOKUP(D1155,BugList!C:C,BugList!P:P), "*SC*"))&gt;0</f>
        <v>1</v>
      </c>
    </row>
    <row r="1156" spans="1:16">
      <c r="A1156" s="86" t="s">
        <v>2850</v>
      </c>
      <c r="B1156" s="83">
        <v>63</v>
      </c>
      <c r="C1156" s="34" t="s">
        <v>2738</v>
      </c>
      <c r="D1156" s="34" t="s">
        <v>181</v>
      </c>
      <c r="E1156" s="83">
        <v>2</v>
      </c>
      <c r="F1156" s="43">
        <f t="shared" si="238"/>
        <v>1.9801980198019802</v>
      </c>
      <c r="G1156" s="44">
        <f t="shared" si="232"/>
        <v>1</v>
      </c>
      <c r="H1156" s="44">
        <f t="shared" si="233"/>
        <v>0.98019801980198018</v>
      </c>
      <c r="I1156" cm="1">
        <f t="array" ref="I1156">INT(F1156)+IF(100-SUM(INT(F$1151:F$1158))&gt;=RANK(H1156,H$1151:H$1158)+COUNTIF(H$1151:H1156,H1156)-1,1,0)</f>
        <v>2</v>
      </c>
      <c r="J1156" t="b">
        <f t="shared" si="234"/>
        <v>0</v>
      </c>
      <c r="K1156" t="str">
        <f t="shared" si="235"/>
        <v/>
      </c>
      <c r="L1156">
        <f>_xlfn.XLOOKUP(D1156,BugList!C:C,BugList!N:N)</f>
        <v>4</v>
      </c>
      <c r="M1156">
        <f t="shared" si="236"/>
        <v>8</v>
      </c>
      <c r="N1156" t="b">
        <f>_xlfn.XLOOKUP(D1156,BugList!C:C,BugList!L:L)</f>
        <v>1</v>
      </c>
      <c r="O1156" t="b">
        <f t="shared" si="237"/>
        <v>0</v>
      </c>
      <c r="P1156" s="18" t="b">
        <f>SUMPRODUCT(COUNTIF(_xlfn.XLOOKUP(D1156,BugList!C:C,BugList!P:P), "*SC*"))&gt;0</f>
        <v>0</v>
      </c>
    </row>
    <row r="1157" spans="1:16">
      <c r="A1157" s="86" t="s">
        <v>2850</v>
      </c>
      <c r="B1157" s="83">
        <v>63</v>
      </c>
      <c r="C1157" s="34" t="s">
        <v>198</v>
      </c>
      <c r="D1157" s="34" t="s">
        <v>89</v>
      </c>
      <c r="E1157" s="83">
        <v>78</v>
      </c>
      <c r="F1157" s="43">
        <f t="shared" si="238"/>
        <v>77.227722772277232</v>
      </c>
      <c r="G1157" s="44">
        <f t="shared" si="232"/>
        <v>77</v>
      </c>
      <c r="H1157" s="44">
        <f t="shared" si="233"/>
        <v>0.22772277227723237</v>
      </c>
      <c r="I1157" cm="1">
        <f t="array" ref="I1157">INT(F1157)+IF(100-SUM(INT(F$1151:F$1158))&gt;=RANK(H1157,H$1151:H$1158)+COUNTIF(H$1151:H1157,H1157)-1,1,0)</f>
        <v>77</v>
      </c>
      <c r="J1157" t="b">
        <f t="shared" si="234"/>
        <v>1</v>
      </c>
      <c r="K1157" t="str">
        <f t="shared" si="235"/>
        <v>Trichoptera</v>
      </c>
      <c r="L1157">
        <f>_xlfn.XLOOKUP(D1157,BugList!C:C,BugList!N:N)</f>
        <v>4</v>
      </c>
      <c r="M1157">
        <f t="shared" si="236"/>
        <v>308</v>
      </c>
      <c r="N1157" t="b">
        <f>_xlfn.XLOOKUP(D1157,BugList!C:C,BugList!L:L)</f>
        <v>1</v>
      </c>
      <c r="O1157" t="b">
        <f t="shared" si="237"/>
        <v>0</v>
      </c>
      <c r="P1157" s="18" t="b">
        <f>SUMPRODUCT(COUNTIF(_xlfn.XLOOKUP(D1157,BugList!C:C,BugList!P:P), "*SC*"))&gt;0</f>
        <v>0</v>
      </c>
    </row>
    <row r="1158" spans="1:16">
      <c r="A1158" s="86" t="s">
        <v>2850</v>
      </c>
      <c r="B1158" s="83">
        <v>63</v>
      </c>
      <c r="C1158" s="34" t="s">
        <v>198</v>
      </c>
      <c r="D1158" s="34" t="s">
        <v>163</v>
      </c>
      <c r="E1158" s="83">
        <v>4</v>
      </c>
      <c r="F1158" s="43">
        <f t="shared" ref="F1158:F1189" si="239">(E1158/(SUMIFS(E:E,A:A,A1158))*100)</f>
        <v>3.9603960396039604</v>
      </c>
      <c r="G1158" s="44">
        <f t="shared" si="232"/>
        <v>3</v>
      </c>
      <c r="H1158" s="44">
        <f t="shared" si="233"/>
        <v>0.96039603960396036</v>
      </c>
      <c r="I1158" cm="1">
        <f t="array" ref="I1158">INT(F1158)+IF(100-SUM(INT(F$1151:F$1158))&gt;=RANK(H1158,H$1151:H$1158)+COUNTIF(H$1151:H1158,H1158)-1,1,0)</f>
        <v>4</v>
      </c>
      <c r="J1158" t="b">
        <f t="shared" si="234"/>
        <v>1</v>
      </c>
      <c r="K1158" t="str">
        <f t="shared" si="235"/>
        <v>Trichoptera</v>
      </c>
      <c r="L1158">
        <f>_xlfn.XLOOKUP(D1158,BugList!C:C,BugList!N:N)</f>
        <v>6</v>
      </c>
      <c r="M1158">
        <f t="shared" si="236"/>
        <v>24</v>
      </c>
      <c r="N1158" t="b">
        <f>_xlfn.XLOOKUP(D1158,BugList!C:C,BugList!L:L)</f>
        <v>1</v>
      </c>
      <c r="O1158" t="b">
        <f t="shared" si="237"/>
        <v>1</v>
      </c>
      <c r="P1158" s="18" t="b">
        <f>SUMPRODUCT(COUNTIF(_xlfn.XLOOKUP(D1158,BugList!C:C,BugList!P:P), "*SC*"))&gt;0</f>
        <v>0</v>
      </c>
    </row>
    <row r="1159" spans="1:16">
      <c r="A1159" s="86" t="s">
        <v>2851</v>
      </c>
      <c r="B1159" s="83">
        <v>77</v>
      </c>
      <c r="C1159" s="34" t="s">
        <v>194</v>
      </c>
      <c r="D1159" s="34" t="s">
        <v>126</v>
      </c>
      <c r="E1159" s="83">
        <v>1</v>
      </c>
      <c r="F1159" s="43">
        <f t="shared" si="239"/>
        <v>0.82644628099173556</v>
      </c>
      <c r="G1159" s="44">
        <f t="shared" si="232"/>
        <v>0</v>
      </c>
      <c r="H1159" s="44">
        <f t="shared" si="233"/>
        <v>0.82644628099173556</v>
      </c>
      <c r="I1159" cm="1">
        <f t="array" ref="I1159">INT(F1159)+IF(100-SUM(INT(F$1159:F$1171))&gt;=RANK(H1159,H$1159:H$1171)+COUNTIF(H$1159:H1159,H1159)-1,1,0)</f>
        <v>1</v>
      </c>
      <c r="J1159" t="b">
        <f t="shared" si="234"/>
        <v>0</v>
      </c>
      <c r="K1159" t="str">
        <f t="shared" si="235"/>
        <v/>
      </c>
      <c r="L1159">
        <f>_xlfn.XLOOKUP(D1159,BugList!C:C,BugList!N:N)</f>
        <v>8</v>
      </c>
      <c r="M1159">
        <f t="shared" si="236"/>
        <v>8</v>
      </c>
      <c r="N1159" t="b">
        <f>_xlfn.XLOOKUP(D1159,BugList!C:C,BugList!L:L)</f>
        <v>1</v>
      </c>
      <c r="O1159" t="b">
        <f t="shared" si="237"/>
        <v>0</v>
      </c>
      <c r="P1159" s="18" t="b">
        <f>SUMPRODUCT(COUNTIF(_xlfn.XLOOKUP(D1159,BugList!C:C,BugList!P:P), "*SC*"))&gt;0</f>
        <v>0</v>
      </c>
    </row>
    <row r="1160" spans="1:16">
      <c r="A1160" s="86" t="s">
        <v>2851</v>
      </c>
      <c r="B1160" s="83">
        <v>77</v>
      </c>
      <c r="C1160" s="34" t="s">
        <v>194</v>
      </c>
      <c r="D1160" s="34" t="s">
        <v>90</v>
      </c>
      <c r="E1160" s="83">
        <v>15</v>
      </c>
      <c r="F1160" s="43">
        <f t="shared" si="239"/>
        <v>12.396694214876034</v>
      </c>
      <c r="G1160" s="44">
        <f t="shared" si="232"/>
        <v>12</v>
      </c>
      <c r="H1160" s="44">
        <f t="shared" si="233"/>
        <v>0.39669421487603351</v>
      </c>
      <c r="I1160" cm="1">
        <f t="array" ref="I1160">INT(F1160)+IF(100-SUM(INT(F$1159:F$1171))&gt;=RANK(H1160,H$1159:H$1171)+COUNTIF(H$1159:H1160,H1160)-1,1,0)</f>
        <v>12</v>
      </c>
      <c r="J1160" t="b">
        <f t="shared" si="234"/>
        <v>0</v>
      </c>
      <c r="K1160" t="str">
        <f t="shared" si="235"/>
        <v/>
      </c>
      <c r="L1160">
        <f>_xlfn.XLOOKUP(D1160,BugList!C:C,BugList!N:N)</f>
        <v>6</v>
      </c>
      <c r="M1160">
        <f t="shared" si="236"/>
        <v>72</v>
      </c>
      <c r="N1160" t="b">
        <f>_xlfn.XLOOKUP(D1160,BugList!C:C,BugList!L:L)</f>
        <v>1</v>
      </c>
      <c r="O1160" t="b">
        <f t="shared" si="237"/>
        <v>0</v>
      </c>
      <c r="P1160" s="18" t="b">
        <f>SUMPRODUCT(COUNTIF(_xlfn.XLOOKUP(D1160,BugList!C:C,BugList!P:P), "*SC*"))&gt;0</f>
        <v>0</v>
      </c>
    </row>
    <row r="1161" spans="1:16">
      <c r="A1161" s="86" t="s">
        <v>2851</v>
      </c>
      <c r="B1161" s="83">
        <v>77</v>
      </c>
      <c r="C1161" s="34" t="s">
        <v>194</v>
      </c>
      <c r="D1161" s="34" t="s">
        <v>101</v>
      </c>
      <c r="E1161" s="83">
        <v>1</v>
      </c>
      <c r="F1161" s="43">
        <f t="shared" si="239"/>
        <v>0.82644628099173556</v>
      </c>
      <c r="G1161" s="44">
        <f t="shared" si="232"/>
        <v>0</v>
      </c>
      <c r="H1161" s="44">
        <f t="shared" si="233"/>
        <v>0.82644628099173556</v>
      </c>
      <c r="I1161" cm="1">
        <f t="array" ref="I1161">INT(F1161)+IF(100-SUM(INT(F$1159:F$1171))&gt;=RANK(H1161,H$1159:H$1171)+COUNTIF(H$1159:H1161,H1161)-1,1,0)</f>
        <v>1</v>
      </c>
      <c r="J1161" t="b">
        <f t="shared" si="234"/>
        <v>0</v>
      </c>
      <c r="K1161" t="str">
        <f t="shared" si="235"/>
        <v/>
      </c>
      <c r="L1161">
        <f>_xlfn.XLOOKUP(D1161,BugList!C:C,BugList!N:N)</f>
        <v>6</v>
      </c>
      <c r="M1161">
        <f t="shared" si="236"/>
        <v>6</v>
      </c>
      <c r="N1161" t="b">
        <f>_xlfn.XLOOKUP(D1161,BugList!C:C,BugList!L:L)</f>
        <v>1</v>
      </c>
      <c r="O1161" t="b">
        <f t="shared" si="237"/>
        <v>0</v>
      </c>
      <c r="P1161" s="18" t="b">
        <f>SUMPRODUCT(COUNTIF(_xlfn.XLOOKUP(D1161,BugList!C:C,BugList!P:P), "*SC*"))&gt;0</f>
        <v>0</v>
      </c>
    </row>
    <row r="1162" spans="1:16">
      <c r="A1162" s="86" t="s">
        <v>2851</v>
      </c>
      <c r="B1162" s="83">
        <v>77</v>
      </c>
      <c r="C1162" s="34" t="s">
        <v>194</v>
      </c>
      <c r="D1162" s="34" t="s">
        <v>108</v>
      </c>
      <c r="E1162" s="83">
        <v>3</v>
      </c>
      <c r="F1162" s="43">
        <f t="shared" si="239"/>
        <v>2.4793388429752068</v>
      </c>
      <c r="G1162" s="44">
        <f t="shared" si="232"/>
        <v>2</v>
      </c>
      <c r="H1162" s="44">
        <f t="shared" si="233"/>
        <v>0.47933884297520679</v>
      </c>
      <c r="I1162" cm="1">
        <f t="array" ref="I1162">INT(F1162)+IF(100-SUM(INT(F$1159:F$1171))&gt;=RANK(H1162,H$1159:H$1171)+COUNTIF(H$1159:H1162,H1162)-1,1,0)</f>
        <v>3</v>
      </c>
      <c r="J1162" t="b">
        <f t="shared" si="234"/>
        <v>0</v>
      </c>
      <c r="K1162" t="str">
        <f t="shared" si="235"/>
        <v/>
      </c>
      <c r="L1162">
        <f>_xlfn.XLOOKUP(D1162,BugList!C:C,BugList!N:N)</f>
        <v>3</v>
      </c>
      <c r="M1162">
        <f t="shared" si="236"/>
        <v>9</v>
      </c>
      <c r="N1162" t="b">
        <f>_xlfn.XLOOKUP(D1162,BugList!C:C,BugList!L:L)</f>
        <v>1</v>
      </c>
      <c r="O1162" t="b">
        <f t="shared" si="237"/>
        <v>0</v>
      </c>
      <c r="P1162" s="18" t="b">
        <f>SUMPRODUCT(COUNTIF(_xlfn.XLOOKUP(D1162,BugList!C:C,BugList!P:P), "*SC*"))&gt;0</f>
        <v>0</v>
      </c>
    </row>
    <row r="1163" spans="1:16">
      <c r="A1163" s="86" t="s">
        <v>2851</v>
      </c>
      <c r="B1163" s="83">
        <v>77</v>
      </c>
      <c r="C1163" s="34" t="s">
        <v>199</v>
      </c>
      <c r="D1163" s="34" t="s">
        <v>111</v>
      </c>
      <c r="E1163" s="83">
        <v>1</v>
      </c>
      <c r="F1163" s="43">
        <f t="shared" si="239"/>
        <v>0.82644628099173556</v>
      </c>
      <c r="G1163" s="44">
        <f t="shared" si="232"/>
        <v>0</v>
      </c>
      <c r="H1163" s="44">
        <f t="shared" si="233"/>
        <v>0.82644628099173556</v>
      </c>
      <c r="I1163" cm="1">
        <f t="array" ref="I1163">INT(F1163)+IF(100-SUM(INT(F$1159:F$1171))&gt;=RANK(H1163,H$1159:H$1171)+COUNTIF(H$1159:H1163,H1163)-1,1,0)</f>
        <v>1</v>
      </c>
      <c r="J1163" t="b">
        <f t="shared" si="234"/>
        <v>1</v>
      </c>
      <c r="K1163" t="str">
        <f t="shared" si="235"/>
        <v>Ephemeroptera</v>
      </c>
      <c r="L1163">
        <f>_xlfn.XLOOKUP(D1163,BugList!C:C,BugList!N:N)</f>
        <v>4</v>
      </c>
      <c r="M1163">
        <f t="shared" si="236"/>
        <v>4</v>
      </c>
      <c r="N1163" t="b">
        <f>_xlfn.XLOOKUP(D1163,BugList!C:C,BugList!L:L)</f>
        <v>1</v>
      </c>
      <c r="O1163" t="b">
        <f t="shared" si="237"/>
        <v>1</v>
      </c>
      <c r="P1163" s="18" t="b">
        <f>SUMPRODUCT(COUNTIF(_xlfn.XLOOKUP(D1163,BugList!C:C,BugList!P:P), "*SC*"))&gt;0</f>
        <v>0</v>
      </c>
    </row>
    <row r="1164" spans="1:16">
      <c r="A1164" s="86" t="s">
        <v>2851</v>
      </c>
      <c r="B1164" s="83">
        <v>77</v>
      </c>
      <c r="C1164" s="34" t="s">
        <v>195</v>
      </c>
      <c r="D1164" s="34" t="s">
        <v>162</v>
      </c>
      <c r="E1164" s="83">
        <v>1</v>
      </c>
      <c r="F1164" s="43">
        <f t="shared" si="239"/>
        <v>0.82644628099173556</v>
      </c>
      <c r="G1164" s="44">
        <f t="shared" si="232"/>
        <v>0</v>
      </c>
      <c r="H1164" s="44">
        <f t="shared" si="233"/>
        <v>0.82644628099173556</v>
      </c>
      <c r="I1164" cm="1">
        <f t="array" ref="I1164">INT(F1164)+IF(100-SUM(INT(F$1159:F$1171))&gt;=RANK(H1164,H$1159:H$1171)+COUNTIF(H$1159:H1164,H1164)-1,1,0)</f>
        <v>1</v>
      </c>
      <c r="J1164" t="b">
        <f t="shared" si="234"/>
        <v>0</v>
      </c>
      <c r="K1164" t="str">
        <f t="shared" si="235"/>
        <v/>
      </c>
      <c r="L1164">
        <f>_xlfn.XLOOKUP(D1164,BugList!C:C,BugList!N:N)</f>
        <v>3</v>
      </c>
      <c r="M1164">
        <f t="shared" si="236"/>
        <v>3</v>
      </c>
      <c r="N1164" t="b">
        <f>_xlfn.XLOOKUP(D1164,BugList!C:C,BugList!L:L)</f>
        <v>1</v>
      </c>
      <c r="O1164" t="b">
        <f t="shared" si="237"/>
        <v>0</v>
      </c>
      <c r="P1164" s="18" t="b">
        <f>SUMPRODUCT(COUNTIF(_xlfn.XLOOKUP(D1164,BugList!C:C,BugList!P:P), "*SC*"))&gt;0</f>
        <v>0</v>
      </c>
    </row>
    <row r="1165" spans="1:16">
      <c r="A1165" s="86" t="s">
        <v>2851</v>
      </c>
      <c r="B1165" s="83">
        <v>77</v>
      </c>
      <c r="C1165" s="34" t="s">
        <v>195</v>
      </c>
      <c r="D1165" s="34" t="s">
        <v>113</v>
      </c>
      <c r="E1165" s="83">
        <v>6</v>
      </c>
      <c r="F1165" s="43">
        <f t="shared" si="239"/>
        <v>4.9586776859504136</v>
      </c>
      <c r="G1165" s="44">
        <f t="shared" si="232"/>
        <v>4</v>
      </c>
      <c r="H1165" s="44">
        <f t="shared" si="233"/>
        <v>0.95867768595041358</v>
      </c>
      <c r="I1165" cm="1">
        <f t="array" ref="I1165">INT(F1165)+IF(100-SUM(INT(F$1159:F$1171))&gt;=RANK(H1165,H$1159:H$1171)+COUNTIF(H$1159:H1165,H1165)-1,1,0)</f>
        <v>5</v>
      </c>
      <c r="J1165" t="b">
        <f t="shared" si="234"/>
        <v>0</v>
      </c>
      <c r="K1165" t="str">
        <f t="shared" si="235"/>
        <v/>
      </c>
      <c r="L1165">
        <f>_xlfn.XLOOKUP(D1165,BugList!C:C,BugList!N:N)</f>
        <v>1</v>
      </c>
      <c r="M1165">
        <f t="shared" si="236"/>
        <v>5</v>
      </c>
      <c r="N1165" t="b">
        <f>_xlfn.XLOOKUP(D1165,BugList!C:C,BugList!L:L)</f>
        <v>1</v>
      </c>
      <c r="O1165" t="b">
        <f t="shared" si="237"/>
        <v>0</v>
      </c>
      <c r="P1165" s="18" t="b">
        <f>SUMPRODUCT(COUNTIF(_xlfn.XLOOKUP(D1165,BugList!C:C,BugList!P:P), "*SC*"))&gt;0</f>
        <v>0</v>
      </c>
    </row>
    <row r="1166" spans="1:16">
      <c r="A1166" s="86" t="s">
        <v>2851</v>
      </c>
      <c r="B1166" s="83">
        <v>77</v>
      </c>
      <c r="C1166" s="34" t="s">
        <v>197</v>
      </c>
      <c r="D1166" s="34" t="s">
        <v>106</v>
      </c>
      <c r="E1166" s="83">
        <v>10</v>
      </c>
      <c r="F1166" s="43">
        <f t="shared" si="239"/>
        <v>8.2644628099173563</v>
      </c>
      <c r="G1166" s="44">
        <f t="shared" si="232"/>
        <v>8</v>
      </c>
      <c r="H1166" s="44">
        <f t="shared" si="233"/>
        <v>0.26446280991735627</v>
      </c>
      <c r="I1166" cm="1">
        <f t="array" ref="I1166">INT(F1166)+IF(100-SUM(INT(F$1159:F$1171))&gt;=RANK(H1166,H$1159:H$1171)+COUNTIF(H$1159:H1166,H1166)-1,1,0)</f>
        <v>8</v>
      </c>
      <c r="J1166" t="b">
        <f t="shared" si="234"/>
        <v>1</v>
      </c>
      <c r="K1166" t="str">
        <f t="shared" si="235"/>
        <v>Plecoptera</v>
      </c>
      <c r="L1166">
        <f>_xlfn.XLOOKUP(D1166,BugList!C:C,BugList!N:N)</f>
        <v>2</v>
      </c>
      <c r="M1166">
        <f t="shared" si="236"/>
        <v>16</v>
      </c>
      <c r="N1166" t="b">
        <f>_xlfn.XLOOKUP(D1166,BugList!C:C,BugList!L:L)</f>
        <v>1</v>
      </c>
      <c r="O1166" t="b">
        <f t="shared" si="237"/>
        <v>1</v>
      </c>
      <c r="P1166" s="18" t="b">
        <f>SUMPRODUCT(COUNTIF(_xlfn.XLOOKUP(D1166,BugList!C:C,BugList!P:P), "*SC*"))&gt;0</f>
        <v>0</v>
      </c>
    </row>
    <row r="1167" spans="1:16">
      <c r="A1167" s="86" t="s">
        <v>2851</v>
      </c>
      <c r="B1167" s="83">
        <v>77</v>
      </c>
      <c r="C1167" s="34" t="s">
        <v>198</v>
      </c>
      <c r="D1167" s="34" t="s">
        <v>89</v>
      </c>
      <c r="E1167" s="83">
        <v>53</v>
      </c>
      <c r="F1167" s="43">
        <f t="shared" si="239"/>
        <v>43.801652892561982</v>
      </c>
      <c r="G1167" s="44">
        <f t="shared" si="232"/>
        <v>43</v>
      </c>
      <c r="H1167" s="44">
        <f t="shared" si="233"/>
        <v>0.80165289256198236</v>
      </c>
      <c r="I1167" cm="1">
        <f t="array" ref="I1167">INT(F1167)+IF(100-SUM(INT(F$1159:F$1171))&gt;=RANK(H1167,H$1159:H$1171)+COUNTIF(H$1159:H1167,H1167)-1,1,0)</f>
        <v>44</v>
      </c>
      <c r="J1167" t="b">
        <f t="shared" si="234"/>
        <v>1</v>
      </c>
      <c r="K1167" t="str">
        <f t="shared" si="235"/>
        <v>Trichoptera</v>
      </c>
      <c r="L1167">
        <f>_xlfn.XLOOKUP(D1167,BugList!C:C,BugList!N:N)</f>
        <v>4</v>
      </c>
      <c r="M1167">
        <f t="shared" si="236"/>
        <v>176</v>
      </c>
      <c r="N1167" t="b">
        <f>_xlfn.XLOOKUP(D1167,BugList!C:C,BugList!L:L)</f>
        <v>1</v>
      </c>
      <c r="O1167" t="b">
        <f t="shared" si="237"/>
        <v>0</v>
      </c>
      <c r="P1167" s="18" t="b">
        <f>SUMPRODUCT(COUNTIF(_xlfn.XLOOKUP(D1167,BugList!C:C,BugList!P:P), "*SC*"))&gt;0</f>
        <v>0</v>
      </c>
    </row>
    <row r="1168" spans="1:16">
      <c r="A1168" s="86" t="s">
        <v>2851</v>
      </c>
      <c r="B1168" s="83">
        <v>77</v>
      </c>
      <c r="C1168" s="34" t="s">
        <v>198</v>
      </c>
      <c r="D1168" s="34" t="s">
        <v>114</v>
      </c>
      <c r="E1168" s="83">
        <v>1</v>
      </c>
      <c r="F1168" s="43">
        <f t="shared" si="239"/>
        <v>0.82644628099173556</v>
      </c>
      <c r="G1168" s="44">
        <f t="shared" si="232"/>
        <v>0</v>
      </c>
      <c r="H1168" s="44">
        <f t="shared" si="233"/>
        <v>0.82644628099173556</v>
      </c>
      <c r="I1168" cm="1">
        <f t="array" ref="I1168">INT(F1168)+IF(100-SUM(INT(F$1159:F$1171))&gt;=RANK(H1168,H$1159:H$1171)+COUNTIF(H$1159:H1168,H1168)-1,1,0)</f>
        <v>1</v>
      </c>
      <c r="J1168" t="b">
        <f t="shared" si="234"/>
        <v>1</v>
      </c>
      <c r="K1168" t="str">
        <f t="shared" si="235"/>
        <v>Trichoptera</v>
      </c>
      <c r="L1168">
        <f>_xlfn.XLOOKUP(D1168,BugList!C:C,BugList!N:N)</f>
        <v>1</v>
      </c>
      <c r="M1168">
        <f t="shared" si="236"/>
        <v>1</v>
      </c>
      <c r="N1168" t="b">
        <f>_xlfn.XLOOKUP(D1168,BugList!C:C,BugList!L:L)</f>
        <v>1</v>
      </c>
      <c r="O1168" t="b">
        <f t="shared" si="237"/>
        <v>1</v>
      </c>
      <c r="P1168" s="18" t="b">
        <f>SUMPRODUCT(COUNTIF(_xlfn.XLOOKUP(D1168,BugList!C:C,BugList!P:P), "*SC*"))&gt;0</f>
        <v>0</v>
      </c>
    </row>
    <row r="1169" spans="1:16">
      <c r="A1169" s="86" t="s">
        <v>2851</v>
      </c>
      <c r="B1169" s="83">
        <v>77</v>
      </c>
      <c r="C1169" s="34" t="s">
        <v>201</v>
      </c>
      <c r="D1169" s="34" t="s">
        <v>85</v>
      </c>
      <c r="E1169" s="83">
        <v>9</v>
      </c>
      <c r="F1169" s="43">
        <f t="shared" si="239"/>
        <v>7.4380165289256199</v>
      </c>
      <c r="G1169" s="44">
        <f t="shared" si="232"/>
        <v>7</v>
      </c>
      <c r="H1169" s="44">
        <f t="shared" si="233"/>
        <v>0.43801652892561993</v>
      </c>
      <c r="I1169" cm="1">
        <f t="array" ref="I1169">INT(F1169)+IF(100-SUM(INT(F$1159:F$1171))&gt;=RANK(H1169,H$1159:H$1171)+COUNTIF(H$1159:H1169,H1169)-1,1,0)</f>
        <v>7</v>
      </c>
      <c r="J1169" t="b">
        <f t="shared" si="234"/>
        <v>0</v>
      </c>
      <c r="K1169" t="str">
        <f t="shared" si="235"/>
        <v/>
      </c>
      <c r="L1169">
        <f>_xlfn.XLOOKUP(D1169,BugList!C:C,BugList!N:N)</f>
        <v>4</v>
      </c>
      <c r="M1169">
        <f t="shared" si="236"/>
        <v>28</v>
      </c>
      <c r="N1169" t="b">
        <f>_xlfn.XLOOKUP(D1169,BugList!C:C,BugList!L:L)</f>
        <v>0</v>
      </c>
      <c r="O1169" t="b">
        <f t="shared" si="237"/>
        <v>0</v>
      </c>
      <c r="P1169" s="18" t="b">
        <f>SUMPRODUCT(COUNTIF(_xlfn.XLOOKUP(D1169,BugList!C:C,BugList!P:P), "*SC*"))&gt;0</f>
        <v>0</v>
      </c>
    </row>
    <row r="1170" spans="1:16">
      <c r="A1170" s="86" t="s">
        <v>2851</v>
      </c>
      <c r="B1170" s="83">
        <v>77</v>
      </c>
      <c r="C1170" s="34" t="s">
        <v>2315</v>
      </c>
      <c r="D1170" s="34" t="s">
        <v>2315</v>
      </c>
      <c r="E1170" s="83">
        <v>5</v>
      </c>
      <c r="F1170" s="43">
        <f t="shared" si="239"/>
        <v>4.1322314049586781</v>
      </c>
      <c r="G1170" s="44">
        <f t="shared" ref="G1170:G1233" si="240">INT(F1170)</f>
        <v>4</v>
      </c>
      <c r="H1170" s="44">
        <f t="shared" ref="H1170:H1233" si="241">F1170-G1170</f>
        <v>0.13223140495867813</v>
      </c>
      <c r="I1170" cm="1">
        <f t="array" ref="I1170">INT(F1170)+IF(100-SUM(INT(F$1159:F$1171))&gt;=RANK(H1170,H$1159:H$1171)+COUNTIF(H$1159:H1170,H1170)-1,1,0)</f>
        <v>4</v>
      </c>
      <c r="J1170" t="b">
        <f t="shared" ref="J1170:J1233" si="242">IF(OR(C1170="Ephemeroptera", C1170 ="Plecoptera", C1170= "Trichoptera"), TRUE, FALSE)</f>
        <v>0</v>
      </c>
      <c r="K1170" t="str">
        <f t="shared" ref="K1170:K1233" si="243">IF(J1170=TRUE,C1170,"")</f>
        <v/>
      </c>
      <c r="L1170">
        <f>_xlfn.XLOOKUP(D1170,BugList!C:C,BugList!N:N)</f>
        <v>7</v>
      </c>
      <c r="M1170">
        <f t="shared" ref="M1170:M1233" si="244">L1170*I1170</f>
        <v>28</v>
      </c>
      <c r="N1170" t="b">
        <f>_xlfn.XLOOKUP(D1170,BugList!C:C,BugList!L:L)</f>
        <v>0</v>
      </c>
      <c r="O1170" t="b">
        <f t="shared" ref="O1170:O1233" si="245">IF(J1170=TRUE,IF(D1170="Hydropsychidae", FALSE, TRUE), FALSE)</f>
        <v>0</v>
      </c>
      <c r="P1170" s="18" t="b">
        <f>SUMPRODUCT(COUNTIF(_xlfn.XLOOKUP(D1170,BugList!C:C,BugList!P:P), "*SC*"))&gt;0</f>
        <v>1</v>
      </c>
    </row>
    <row r="1171" spans="1:16">
      <c r="A1171" s="86" t="s">
        <v>2851</v>
      </c>
      <c r="B1171" s="83">
        <v>77</v>
      </c>
      <c r="C1171" s="34" t="s">
        <v>94</v>
      </c>
      <c r="D1171" s="34" t="s">
        <v>94</v>
      </c>
      <c r="E1171" s="83">
        <v>15</v>
      </c>
      <c r="F1171" s="43">
        <f t="shared" si="239"/>
        <v>12.396694214876034</v>
      </c>
      <c r="G1171" s="44">
        <f t="shared" si="240"/>
        <v>12</v>
      </c>
      <c r="H1171" s="44">
        <f t="shared" si="241"/>
        <v>0.39669421487603351</v>
      </c>
      <c r="I1171" cm="1">
        <f t="array" ref="I1171">INT(F1171)+IF(100-SUM(INT(F$1159:F$1171))&gt;=RANK(H1171,H$1159:H$1171)+COUNTIF(H$1159:H1171,H1171)-1,1,0)</f>
        <v>12</v>
      </c>
      <c r="J1171" t="b">
        <f t="shared" si="242"/>
        <v>0</v>
      </c>
      <c r="K1171" t="str">
        <f t="shared" si="243"/>
        <v/>
      </c>
      <c r="L1171">
        <f>_xlfn.XLOOKUP(D1171,BugList!C:C,BugList!N:N)</f>
        <v>8</v>
      </c>
      <c r="M1171">
        <f t="shared" si="244"/>
        <v>96</v>
      </c>
      <c r="N1171" t="b">
        <f>_xlfn.XLOOKUP(D1171,BugList!C:C,BugList!L:L)</f>
        <v>0</v>
      </c>
      <c r="O1171" t="b">
        <f t="shared" si="245"/>
        <v>0</v>
      </c>
      <c r="P1171" s="18" t="b">
        <f>SUMPRODUCT(COUNTIF(_xlfn.XLOOKUP(D1171,BugList!C:C,BugList!P:P), "*SC*"))&gt;0</f>
        <v>0</v>
      </c>
    </row>
    <row r="1172" spans="1:16">
      <c r="A1172" s="86" t="s">
        <v>2852</v>
      </c>
      <c r="B1172" s="83">
        <v>84</v>
      </c>
      <c r="C1172" s="34" t="s">
        <v>200</v>
      </c>
      <c r="D1172" s="34" t="s">
        <v>98</v>
      </c>
      <c r="E1172" s="83">
        <v>2</v>
      </c>
      <c r="F1172" s="43">
        <f t="shared" si="239"/>
        <v>1.9047619047619049</v>
      </c>
      <c r="G1172" s="44">
        <f t="shared" si="240"/>
        <v>1</v>
      </c>
      <c r="H1172" s="44">
        <f t="shared" si="241"/>
        <v>0.90476190476190488</v>
      </c>
      <c r="I1172" cm="1">
        <f t="array" ref="I1172">INT(F1172)+IF(100-SUM(INT(F$1172:F$1183))&gt;=RANK(H1172,H$1172:H$1183)+COUNTIF(H$1172:H1172,H1172)-1,1,0)</f>
        <v>2</v>
      </c>
      <c r="J1172" t="b">
        <f t="shared" si="242"/>
        <v>0</v>
      </c>
      <c r="K1172" t="str">
        <f t="shared" si="243"/>
        <v/>
      </c>
      <c r="L1172">
        <f>_xlfn.XLOOKUP(D1172,BugList!C:C,BugList!N:N)</f>
        <v>4</v>
      </c>
      <c r="M1172">
        <f t="shared" si="244"/>
        <v>8</v>
      </c>
      <c r="N1172" t="b">
        <f>_xlfn.XLOOKUP(D1172,BugList!C:C,BugList!L:L)</f>
        <v>1</v>
      </c>
      <c r="O1172" t="b">
        <f t="shared" si="245"/>
        <v>0</v>
      </c>
      <c r="P1172" s="18" t="b">
        <f>SUMPRODUCT(COUNTIF(_xlfn.XLOOKUP(D1172,BugList!C:C,BugList!P:P), "*SC*"))&gt;0</f>
        <v>1</v>
      </c>
    </row>
    <row r="1173" spans="1:16">
      <c r="A1173" s="86" t="s">
        <v>2852</v>
      </c>
      <c r="B1173" s="83">
        <v>84</v>
      </c>
      <c r="C1173" s="34" t="s">
        <v>200</v>
      </c>
      <c r="D1173" s="34" t="s">
        <v>100</v>
      </c>
      <c r="E1173" s="83">
        <v>46</v>
      </c>
      <c r="F1173" s="43">
        <f t="shared" si="239"/>
        <v>43.80952380952381</v>
      </c>
      <c r="G1173" s="44">
        <f t="shared" si="240"/>
        <v>43</v>
      </c>
      <c r="H1173" s="44">
        <f t="shared" si="241"/>
        <v>0.8095238095238102</v>
      </c>
      <c r="I1173" cm="1">
        <f t="array" ref="I1173">INT(F1173)+IF(100-SUM(INT(F$1172:F$1183))&gt;=RANK(H1173,H$1172:H$1183)+COUNTIF(H$1172:H1173,H1173)-1,1,0)</f>
        <v>44</v>
      </c>
      <c r="J1173" t="b">
        <f t="shared" si="242"/>
        <v>0</v>
      </c>
      <c r="K1173" t="str">
        <f t="shared" si="243"/>
        <v/>
      </c>
      <c r="L1173">
        <f>_xlfn.XLOOKUP(D1173,BugList!C:C,BugList!N:N)</f>
        <v>4</v>
      </c>
      <c r="M1173">
        <f t="shared" si="244"/>
        <v>176</v>
      </c>
      <c r="N1173" t="b">
        <f>_xlfn.XLOOKUP(D1173,BugList!C:C,BugList!L:L)</f>
        <v>1</v>
      </c>
      <c r="O1173" t="b">
        <f t="shared" si="245"/>
        <v>0</v>
      </c>
      <c r="P1173" s="18" t="b">
        <f>SUMPRODUCT(COUNTIF(_xlfn.XLOOKUP(D1173,BugList!C:C,BugList!P:P), "*SC*"))&gt;0</f>
        <v>1</v>
      </c>
    </row>
    <row r="1174" spans="1:16">
      <c r="A1174" s="86" t="s">
        <v>2852</v>
      </c>
      <c r="B1174" s="83">
        <v>84</v>
      </c>
      <c r="C1174" s="34" t="s">
        <v>194</v>
      </c>
      <c r="D1174" s="34" t="s">
        <v>126</v>
      </c>
      <c r="E1174" s="83">
        <v>7</v>
      </c>
      <c r="F1174" s="43">
        <f t="shared" si="239"/>
        <v>6.666666666666667</v>
      </c>
      <c r="G1174" s="44">
        <f t="shared" si="240"/>
        <v>6</v>
      </c>
      <c r="H1174" s="44">
        <f t="shared" si="241"/>
        <v>0.66666666666666696</v>
      </c>
      <c r="I1174" cm="1">
        <f t="array" ref="I1174">INT(F1174)+IF(100-SUM(INT(F$1172:F$1183))&gt;=RANK(H1174,H$1172:H$1183)+COUNTIF(H$1172:H1174,H1174)-1,1,0)</f>
        <v>6</v>
      </c>
      <c r="J1174" t="b">
        <f t="shared" si="242"/>
        <v>0</v>
      </c>
      <c r="K1174" t="str">
        <f t="shared" si="243"/>
        <v/>
      </c>
      <c r="L1174">
        <f>_xlfn.XLOOKUP(D1174,BugList!C:C,BugList!N:N)</f>
        <v>8</v>
      </c>
      <c r="M1174">
        <f t="shared" si="244"/>
        <v>48</v>
      </c>
      <c r="N1174" t="b">
        <f>_xlfn.XLOOKUP(D1174,BugList!C:C,BugList!L:L)</f>
        <v>1</v>
      </c>
      <c r="O1174" t="b">
        <f t="shared" si="245"/>
        <v>0</v>
      </c>
      <c r="P1174" s="18" t="b">
        <f>SUMPRODUCT(COUNTIF(_xlfn.XLOOKUP(D1174,BugList!C:C,BugList!P:P), "*SC*"))&gt;0</f>
        <v>0</v>
      </c>
    </row>
    <row r="1175" spans="1:16">
      <c r="A1175" s="86" t="s">
        <v>2852</v>
      </c>
      <c r="B1175" s="83">
        <v>84</v>
      </c>
      <c r="C1175" s="34" t="s">
        <v>194</v>
      </c>
      <c r="D1175" s="34" t="s">
        <v>108</v>
      </c>
      <c r="E1175" s="83">
        <v>2</v>
      </c>
      <c r="F1175" s="43">
        <f t="shared" si="239"/>
        <v>1.9047619047619049</v>
      </c>
      <c r="G1175" s="44">
        <f t="shared" si="240"/>
        <v>1</v>
      </c>
      <c r="H1175" s="44">
        <f t="shared" si="241"/>
        <v>0.90476190476190488</v>
      </c>
      <c r="I1175" cm="1">
        <f t="array" ref="I1175">INT(F1175)+IF(100-SUM(INT(F$1172:F$1183))&gt;=RANK(H1175,H$1172:H$1183)+COUNTIF(H$1172:H1175,H1175)-1,1,0)</f>
        <v>2</v>
      </c>
      <c r="J1175" t="b">
        <f t="shared" si="242"/>
        <v>0</v>
      </c>
      <c r="K1175" t="str">
        <f t="shared" si="243"/>
        <v/>
      </c>
      <c r="L1175">
        <f>_xlfn.XLOOKUP(D1175,BugList!C:C,BugList!N:N)</f>
        <v>3</v>
      </c>
      <c r="M1175">
        <f t="shared" si="244"/>
        <v>6</v>
      </c>
      <c r="N1175" t="b">
        <f>_xlfn.XLOOKUP(D1175,BugList!C:C,BugList!L:L)</f>
        <v>1</v>
      </c>
      <c r="O1175" t="b">
        <f t="shared" si="245"/>
        <v>0</v>
      </c>
      <c r="P1175" s="18" t="b">
        <f>SUMPRODUCT(COUNTIF(_xlfn.XLOOKUP(D1175,BugList!C:C,BugList!P:P), "*SC*"))&gt;0</f>
        <v>0</v>
      </c>
    </row>
    <row r="1176" spans="1:16">
      <c r="A1176" s="86" t="s">
        <v>2852</v>
      </c>
      <c r="B1176" s="83">
        <v>84</v>
      </c>
      <c r="C1176" s="34" t="s">
        <v>199</v>
      </c>
      <c r="D1176" s="34" t="s">
        <v>96</v>
      </c>
      <c r="E1176" s="83">
        <v>2</v>
      </c>
      <c r="F1176" s="43">
        <f t="shared" si="239"/>
        <v>1.9047619047619049</v>
      </c>
      <c r="G1176" s="44">
        <f t="shared" si="240"/>
        <v>1</v>
      </c>
      <c r="H1176" s="44">
        <f t="shared" si="241"/>
        <v>0.90476190476190488</v>
      </c>
      <c r="I1176" cm="1">
        <f t="array" ref="I1176">INT(F1176)+IF(100-SUM(INT(F$1172:F$1183))&gt;=RANK(H1176,H$1172:H$1183)+COUNTIF(H$1172:H1176,H1176)-1,1,0)</f>
        <v>2</v>
      </c>
      <c r="J1176" t="b">
        <f t="shared" si="242"/>
        <v>1</v>
      </c>
      <c r="K1176" t="str">
        <f t="shared" si="243"/>
        <v>Ephemeroptera</v>
      </c>
      <c r="L1176">
        <f>_xlfn.XLOOKUP(D1176,BugList!C:C,BugList!N:N)</f>
        <v>4</v>
      </c>
      <c r="M1176">
        <f t="shared" si="244"/>
        <v>8</v>
      </c>
      <c r="N1176" t="b">
        <f>_xlfn.XLOOKUP(D1176,BugList!C:C,BugList!L:L)</f>
        <v>1</v>
      </c>
      <c r="O1176" t="b">
        <f t="shared" si="245"/>
        <v>1</v>
      </c>
      <c r="P1176" s="18" t="b">
        <f>SUMPRODUCT(COUNTIF(_xlfn.XLOOKUP(D1176,BugList!C:C,BugList!P:P), "*SC*"))&gt;0</f>
        <v>1</v>
      </c>
    </row>
    <row r="1177" spans="1:16">
      <c r="A1177" s="86" t="s">
        <v>2852</v>
      </c>
      <c r="B1177" s="83">
        <v>84</v>
      </c>
      <c r="C1177" s="34" t="s">
        <v>199</v>
      </c>
      <c r="D1177" s="34" t="s">
        <v>154</v>
      </c>
      <c r="E1177" s="83">
        <v>1</v>
      </c>
      <c r="F1177" s="43">
        <f t="shared" si="239"/>
        <v>0.95238095238095244</v>
      </c>
      <c r="G1177" s="44">
        <f t="shared" si="240"/>
        <v>0</v>
      </c>
      <c r="H1177" s="44">
        <f t="shared" si="241"/>
        <v>0.95238095238095244</v>
      </c>
      <c r="I1177" cm="1">
        <f t="array" ref="I1177">INT(F1177)+IF(100-SUM(INT(F$1172:F$1183))&gt;=RANK(H1177,H$1172:H$1183)+COUNTIF(H$1172:H1177,H1177)-1,1,0)</f>
        <v>1</v>
      </c>
      <c r="J1177" t="b">
        <f t="shared" si="242"/>
        <v>1</v>
      </c>
      <c r="K1177" t="str">
        <f t="shared" si="243"/>
        <v>Ephemeroptera</v>
      </c>
      <c r="L1177">
        <f>_xlfn.XLOOKUP(D1177,BugList!C:C,BugList!N:N)</f>
        <v>7</v>
      </c>
      <c r="M1177">
        <f t="shared" si="244"/>
        <v>7</v>
      </c>
      <c r="N1177" t="b">
        <f>_xlfn.XLOOKUP(D1177,BugList!C:C,BugList!L:L)</f>
        <v>1</v>
      </c>
      <c r="O1177" t="b">
        <f t="shared" si="245"/>
        <v>1</v>
      </c>
      <c r="P1177" s="18" t="b">
        <f>SUMPRODUCT(COUNTIF(_xlfn.XLOOKUP(D1177,BugList!C:C,BugList!P:P), "*SC*"))&gt;0</f>
        <v>0</v>
      </c>
    </row>
    <row r="1178" spans="1:16">
      <c r="A1178" s="86" t="s">
        <v>2852</v>
      </c>
      <c r="B1178" s="83">
        <v>84</v>
      </c>
      <c r="C1178" s="34" t="s">
        <v>195</v>
      </c>
      <c r="D1178" s="34" t="s">
        <v>113</v>
      </c>
      <c r="E1178" s="83">
        <v>2</v>
      </c>
      <c r="F1178" s="43">
        <f t="shared" si="239"/>
        <v>1.9047619047619049</v>
      </c>
      <c r="G1178" s="44">
        <f t="shared" si="240"/>
        <v>1</v>
      </c>
      <c r="H1178" s="44">
        <f t="shared" si="241"/>
        <v>0.90476190476190488</v>
      </c>
      <c r="I1178" cm="1">
        <f t="array" ref="I1178">INT(F1178)+IF(100-SUM(INT(F$1172:F$1183))&gt;=RANK(H1178,H$1172:H$1183)+COUNTIF(H$1172:H1178,H1178)-1,1,0)</f>
        <v>2</v>
      </c>
      <c r="J1178" t="b">
        <f t="shared" si="242"/>
        <v>0</v>
      </c>
      <c r="K1178" t="str">
        <f t="shared" si="243"/>
        <v/>
      </c>
      <c r="L1178">
        <f>_xlfn.XLOOKUP(D1178,BugList!C:C,BugList!N:N)</f>
        <v>1</v>
      </c>
      <c r="M1178">
        <f t="shared" si="244"/>
        <v>2</v>
      </c>
      <c r="N1178" t="b">
        <f>_xlfn.XLOOKUP(D1178,BugList!C:C,BugList!L:L)</f>
        <v>1</v>
      </c>
      <c r="O1178" t="b">
        <f t="shared" si="245"/>
        <v>0</v>
      </c>
      <c r="P1178" s="18" t="b">
        <f>SUMPRODUCT(COUNTIF(_xlfn.XLOOKUP(D1178,BugList!C:C,BugList!P:P), "*SC*"))&gt;0</f>
        <v>0</v>
      </c>
    </row>
    <row r="1179" spans="1:16">
      <c r="A1179" s="86" t="s">
        <v>2852</v>
      </c>
      <c r="B1179" s="83">
        <v>84</v>
      </c>
      <c r="C1179" s="34" t="s">
        <v>198</v>
      </c>
      <c r="D1179" s="34" t="s">
        <v>89</v>
      </c>
      <c r="E1179" s="83">
        <v>39</v>
      </c>
      <c r="F1179" s="43">
        <f t="shared" si="239"/>
        <v>37.142857142857146</v>
      </c>
      <c r="G1179" s="44">
        <f t="shared" si="240"/>
        <v>37</v>
      </c>
      <c r="H1179" s="44">
        <f t="shared" si="241"/>
        <v>0.1428571428571459</v>
      </c>
      <c r="I1179" cm="1">
        <f t="array" ref="I1179">INT(F1179)+IF(100-SUM(INT(F$1172:F$1183))&gt;=RANK(H1179,H$1172:H$1183)+COUNTIF(H$1172:H1179,H1179)-1,1,0)</f>
        <v>37</v>
      </c>
      <c r="J1179" t="b">
        <f t="shared" si="242"/>
        <v>1</v>
      </c>
      <c r="K1179" t="str">
        <f t="shared" si="243"/>
        <v>Trichoptera</v>
      </c>
      <c r="L1179">
        <f>_xlfn.XLOOKUP(D1179,BugList!C:C,BugList!N:N)</f>
        <v>4</v>
      </c>
      <c r="M1179">
        <f t="shared" si="244"/>
        <v>148</v>
      </c>
      <c r="N1179" t="b">
        <f>_xlfn.XLOOKUP(D1179,BugList!C:C,BugList!L:L)</f>
        <v>1</v>
      </c>
      <c r="O1179" t="b">
        <f t="shared" si="245"/>
        <v>0</v>
      </c>
      <c r="P1179" s="18" t="b">
        <f>SUMPRODUCT(COUNTIF(_xlfn.XLOOKUP(D1179,BugList!C:C,BugList!P:P), "*SC*"))&gt;0</f>
        <v>0</v>
      </c>
    </row>
    <row r="1180" spans="1:16">
      <c r="A1180" s="86" t="s">
        <v>2852</v>
      </c>
      <c r="B1180" s="83">
        <v>84</v>
      </c>
      <c r="C1180" s="34" t="s">
        <v>201</v>
      </c>
      <c r="D1180" s="34" t="s">
        <v>85</v>
      </c>
      <c r="E1180" s="83">
        <v>1</v>
      </c>
      <c r="F1180" s="43">
        <f t="shared" si="239"/>
        <v>0.95238095238095244</v>
      </c>
      <c r="G1180" s="44">
        <f t="shared" si="240"/>
        <v>0</v>
      </c>
      <c r="H1180" s="44">
        <f t="shared" si="241"/>
        <v>0.95238095238095244</v>
      </c>
      <c r="I1180" cm="1">
        <f t="array" ref="I1180">INT(F1180)+IF(100-SUM(INT(F$1172:F$1183))&gt;=RANK(H1180,H$1172:H$1183)+COUNTIF(H$1172:H1180,H1180)-1,1,0)</f>
        <v>1</v>
      </c>
      <c r="J1180" t="b">
        <f t="shared" si="242"/>
        <v>0</v>
      </c>
      <c r="K1180" t="str">
        <f t="shared" si="243"/>
        <v/>
      </c>
      <c r="L1180">
        <f>_xlfn.XLOOKUP(D1180,BugList!C:C,BugList!N:N)</f>
        <v>4</v>
      </c>
      <c r="M1180">
        <f t="shared" si="244"/>
        <v>4</v>
      </c>
      <c r="N1180" t="b">
        <f>_xlfn.XLOOKUP(D1180,BugList!C:C,BugList!L:L)</f>
        <v>0</v>
      </c>
      <c r="O1180" t="b">
        <f t="shared" si="245"/>
        <v>0</v>
      </c>
      <c r="P1180" s="18" t="b">
        <f>SUMPRODUCT(COUNTIF(_xlfn.XLOOKUP(D1180,BugList!C:C,BugList!P:P), "*SC*"))&gt;0</f>
        <v>0</v>
      </c>
    </row>
    <row r="1181" spans="1:16">
      <c r="A1181" s="86" t="s">
        <v>2852</v>
      </c>
      <c r="B1181" s="83">
        <v>84</v>
      </c>
      <c r="C1181" s="34" t="s">
        <v>2315</v>
      </c>
      <c r="D1181" s="34" t="s">
        <v>2315</v>
      </c>
      <c r="E1181" s="83">
        <v>1</v>
      </c>
      <c r="F1181" s="43">
        <f t="shared" si="239"/>
        <v>0.95238095238095244</v>
      </c>
      <c r="G1181" s="44">
        <f t="shared" si="240"/>
        <v>0</v>
      </c>
      <c r="H1181" s="44">
        <f t="shared" si="241"/>
        <v>0.95238095238095244</v>
      </c>
      <c r="I1181" cm="1">
        <f t="array" ref="I1181">INT(F1181)+IF(100-SUM(INT(F$1172:F$1183))&gt;=RANK(H1181,H$1172:H$1183)+COUNTIF(H$1172:H1181,H1181)-1,1,0)</f>
        <v>1</v>
      </c>
      <c r="J1181" t="b">
        <f t="shared" si="242"/>
        <v>0</v>
      </c>
      <c r="K1181" t="str">
        <f t="shared" si="243"/>
        <v/>
      </c>
      <c r="L1181">
        <f>_xlfn.XLOOKUP(D1181,BugList!C:C,BugList!N:N)</f>
        <v>7</v>
      </c>
      <c r="M1181">
        <f t="shared" si="244"/>
        <v>7</v>
      </c>
      <c r="N1181" t="b">
        <f>_xlfn.XLOOKUP(D1181,BugList!C:C,BugList!L:L)</f>
        <v>0</v>
      </c>
      <c r="O1181" t="b">
        <f t="shared" si="245"/>
        <v>0</v>
      </c>
      <c r="P1181" s="18" t="b">
        <f>SUMPRODUCT(COUNTIF(_xlfn.XLOOKUP(D1181,BugList!C:C,BugList!P:P), "*SC*"))&gt;0</f>
        <v>1</v>
      </c>
    </row>
    <row r="1182" spans="1:16">
      <c r="A1182" s="86" t="s">
        <v>2852</v>
      </c>
      <c r="B1182" s="83">
        <v>84</v>
      </c>
      <c r="C1182" s="34" t="s">
        <v>205</v>
      </c>
      <c r="D1182" s="34" t="s">
        <v>206</v>
      </c>
      <c r="E1182" s="83">
        <v>1</v>
      </c>
      <c r="F1182" s="43">
        <f t="shared" si="239"/>
        <v>0.95238095238095244</v>
      </c>
      <c r="G1182" s="44">
        <f t="shared" si="240"/>
        <v>0</v>
      </c>
      <c r="H1182" s="44">
        <f t="shared" si="241"/>
        <v>0.95238095238095244</v>
      </c>
      <c r="I1182" cm="1">
        <f t="array" ref="I1182">INT(F1182)+IF(100-SUM(INT(F$1172:F$1183))&gt;=RANK(H1182,H$1172:H$1183)+COUNTIF(H$1172:H1182,H1182)-1,1,0)</f>
        <v>1</v>
      </c>
      <c r="J1182" t="b">
        <f t="shared" si="242"/>
        <v>0</v>
      </c>
      <c r="K1182" t="str">
        <f t="shared" si="243"/>
        <v/>
      </c>
      <c r="L1182" s="71">
        <v>8</v>
      </c>
      <c r="M1182">
        <f t="shared" si="244"/>
        <v>8</v>
      </c>
      <c r="N1182" s="71" t="b">
        <v>0</v>
      </c>
      <c r="O1182" t="b">
        <f t="shared" si="245"/>
        <v>0</v>
      </c>
      <c r="P1182" s="72" t="b">
        <v>0</v>
      </c>
    </row>
    <row r="1183" spans="1:16">
      <c r="A1183" s="86" t="s">
        <v>2852</v>
      </c>
      <c r="B1183" s="83">
        <v>84</v>
      </c>
      <c r="C1183" s="34" t="s">
        <v>200</v>
      </c>
      <c r="D1183" s="34" t="s">
        <v>1503</v>
      </c>
      <c r="E1183" s="83">
        <v>1</v>
      </c>
      <c r="F1183" s="43">
        <f t="shared" si="239"/>
        <v>0.95238095238095244</v>
      </c>
      <c r="G1183" s="44">
        <f t="shared" si="240"/>
        <v>0</v>
      </c>
      <c r="H1183" s="44">
        <f t="shared" si="241"/>
        <v>0.95238095238095244</v>
      </c>
      <c r="I1183" cm="1">
        <f t="array" ref="I1183">INT(F1183)+IF(100-SUM(INT(F$1172:F$1183))&gt;=RANK(H1183,H$1172:H$1183)+COUNTIF(H$1172:H1183,H1183)-1,1,0)</f>
        <v>1</v>
      </c>
      <c r="J1183" t="b">
        <f t="shared" si="242"/>
        <v>0</v>
      </c>
      <c r="K1183" t="str">
        <f t="shared" si="243"/>
        <v/>
      </c>
      <c r="L1183">
        <f>_xlfn.XLOOKUP(D1183,BugList!C:C,BugList!N:N)</f>
        <v>5</v>
      </c>
      <c r="M1183">
        <f t="shared" si="244"/>
        <v>5</v>
      </c>
      <c r="N1183" t="b">
        <f>_xlfn.XLOOKUP(D1183,BugList!C:C,BugList!L:L)</f>
        <v>1</v>
      </c>
      <c r="O1183" t="b">
        <f t="shared" si="245"/>
        <v>0</v>
      </c>
      <c r="P1183" s="18" t="b">
        <f>SUMPRODUCT(COUNTIF(_xlfn.XLOOKUP(D1183,BugList!C:C,BugList!P:P), "*SC*"))&gt;0</f>
        <v>0</v>
      </c>
    </row>
    <row r="1184" spans="1:16">
      <c r="A1184" s="86" t="s">
        <v>2853</v>
      </c>
      <c r="B1184" s="83">
        <v>91</v>
      </c>
      <c r="C1184" s="34" t="s">
        <v>200</v>
      </c>
      <c r="D1184" s="34" t="s">
        <v>98</v>
      </c>
      <c r="E1184" s="83">
        <v>8</v>
      </c>
      <c r="F1184" s="43">
        <f t="shared" si="239"/>
        <v>7.6923076923076925</v>
      </c>
      <c r="G1184" s="44">
        <f t="shared" si="240"/>
        <v>7</v>
      </c>
      <c r="H1184" s="44">
        <f t="shared" si="241"/>
        <v>0.69230769230769251</v>
      </c>
      <c r="I1184" cm="1">
        <f t="array" ref="I1184">INT(F1184)+IF(100-SUM(INT(F$1184:F$1199))&gt;=RANK(H1184,H$1184:H$1199)+COUNTIF(H$1184:H1184,H1184)-1,1,0)</f>
        <v>8</v>
      </c>
      <c r="J1184" t="b">
        <f t="shared" si="242"/>
        <v>0</v>
      </c>
      <c r="K1184" t="str">
        <f t="shared" si="243"/>
        <v/>
      </c>
      <c r="L1184">
        <f>_xlfn.XLOOKUP(D1184,BugList!C:C,BugList!N:N)</f>
        <v>4</v>
      </c>
      <c r="M1184">
        <f>L1184*I1184</f>
        <v>32</v>
      </c>
      <c r="N1184" t="b">
        <f>_xlfn.XLOOKUP(D1184,BugList!C:C,BugList!L:L)</f>
        <v>1</v>
      </c>
      <c r="O1184" t="b">
        <f t="shared" si="245"/>
        <v>0</v>
      </c>
      <c r="P1184" s="18" t="b">
        <f>SUMPRODUCT(COUNTIF(_xlfn.XLOOKUP(D1184,BugList!C:C,BugList!P:P), "*SC*"))&gt;0</f>
        <v>1</v>
      </c>
    </row>
    <row r="1185" spans="1:16">
      <c r="A1185" s="86" t="s">
        <v>2853</v>
      </c>
      <c r="B1185" s="83">
        <v>91</v>
      </c>
      <c r="C1185" s="34" t="s">
        <v>200</v>
      </c>
      <c r="D1185" s="34" t="s">
        <v>100</v>
      </c>
      <c r="E1185" s="83">
        <v>15</v>
      </c>
      <c r="F1185" s="43">
        <f t="shared" si="239"/>
        <v>14.423076923076922</v>
      </c>
      <c r="G1185" s="44">
        <f t="shared" si="240"/>
        <v>14</v>
      </c>
      <c r="H1185" s="44">
        <f t="shared" si="241"/>
        <v>0.42307692307692157</v>
      </c>
      <c r="I1185" cm="1">
        <f t="array" ref="I1185">INT(F1185)+IF(100-SUM(INT(F$1184:F$1199))&gt;=RANK(H1185,H$1184:H$1199)+COUNTIF(H$1184:H1185,H1185)-1,1,0)</f>
        <v>14</v>
      </c>
      <c r="J1185" t="b">
        <f t="shared" si="242"/>
        <v>0</v>
      </c>
      <c r="K1185" t="str">
        <f t="shared" si="243"/>
        <v/>
      </c>
      <c r="L1185">
        <f>_xlfn.XLOOKUP(D1185,BugList!C:C,BugList!N:N)</f>
        <v>4</v>
      </c>
      <c r="M1185">
        <f t="shared" si="244"/>
        <v>56</v>
      </c>
      <c r="N1185" t="b">
        <f>_xlfn.XLOOKUP(D1185,BugList!C:C,BugList!L:L)</f>
        <v>1</v>
      </c>
      <c r="O1185" t="b">
        <f t="shared" si="245"/>
        <v>0</v>
      </c>
      <c r="P1185" s="18" t="b">
        <f>SUMPRODUCT(COUNTIF(_xlfn.XLOOKUP(D1185,BugList!C:C,BugList!P:P), "*SC*"))&gt;0</f>
        <v>1</v>
      </c>
    </row>
    <row r="1186" spans="1:16">
      <c r="A1186" s="86" t="s">
        <v>2853</v>
      </c>
      <c r="B1186" s="83">
        <v>91</v>
      </c>
      <c r="C1186" s="34" t="s">
        <v>200</v>
      </c>
      <c r="D1186" s="34" t="s">
        <v>1263</v>
      </c>
      <c r="E1186" s="83">
        <v>7</v>
      </c>
      <c r="F1186" s="43">
        <f t="shared" si="239"/>
        <v>6.7307692307692308</v>
      </c>
      <c r="G1186" s="44">
        <f t="shared" si="240"/>
        <v>6</v>
      </c>
      <c r="H1186" s="44">
        <f t="shared" si="241"/>
        <v>0.73076923076923084</v>
      </c>
      <c r="I1186" cm="1">
        <f t="array" ref="I1186">INT(F1186)+IF(100-SUM(INT(F$1184:F$1199))&gt;=RANK(H1186,H$1184:H$1199)+COUNTIF(H$1184:H1186,H1186)-1,1,0)</f>
        <v>7</v>
      </c>
      <c r="J1186" t="b">
        <f t="shared" si="242"/>
        <v>0</v>
      </c>
      <c r="K1186" t="str">
        <f t="shared" si="243"/>
        <v/>
      </c>
      <c r="L1186">
        <f>_xlfn.XLOOKUP(D1186,BugList!C:C,BugList!N:N)</f>
        <v>4</v>
      </c>
      <c r="M1186">
        <f t="shared" si="244"/>
        <v>28</v>
      </c>
      <c r="N1186" t="b">
        <f>_xlfn.XLOOKUP(D1186,BugList!C:C,BugList!L:L)</f>
        <v>1</v>
      </c>
      <c r="O1186" t="b">
        <f t="shared" si="245"/>
        <v>0</v>
      </c>
      <c r="P1186" s="18" t="b">
        <f>SUMPRODUCT(COUNTIF(_xlfn.XLOOKUP(D1186,BugList!C:C,BugList!P:P), "*SC*"))&gt;0</f>
        <v>0</v>
      </c>
    </row>
    <row r="1187" spans="1:16">
      <c r="A1187" s="86" t="s">
        <v>2853</v>
      </c>
      <c r="B1187" s="83">
        <v>91</v>
      </c>
      <c r="C1187" s="34" t="s">
        <v>194</v>
      </c>
      <c r="D1187" s="34" t="s">
        <v>90</v>
      </c>
      <c r="E1187" s="83">
        <v>4</v>
      </c>
      <c r="F1187" s="43">
        <f t="shared" si="239"/>
        <v>3.8461538461538463</v>
      </c>
      <c r="G1187" s="44">
        <f t="shared" si="240"/>
        <v>3</v>
      </c>
      <c r="H1187" s="44">
        <f t="shared" si="241"/>
        <v>0.84615384615384626</v>
      </c>
      <c r="I1187" cm="1">
        <f t="array" ref="I1187">INT(F1187)+IF(100-SUM(INT(F$1184:F$1199))&gt;=RANK(H1187,H$1184:H$1199)+COUNTIF(H$1184:H1187,H1187)-1,1,0)</f>
        <v>4</v>
      </c>
      <c r="J1187" t="b">
        <f t="shared" si="242"/>
        <v>0</v>
      </c>
      <c r="K1187" t="str">
        <f t="shared" si="243"/>
        <v/>
      </c>
      <c r="L1187">
        <f>_xlfn.XLOOKUP(D1187,BugList!C:C,BugList!N:N)</f>
        <v>6</v>
      </c>
      <c r="M1187">
        <f t="shared" si="244"/>
        <v>24</v>
      </c>
      <c r="N1187" t="b">
        <f>_xlfn.XLOOKUP(D1187,BugList!C:C,BugList!L:L)</f>
        <v>1</v>
      </c>
      <c r="O1187" t="b">
        <f t="shared" si="245"/>
        <v>0</v>
      </c>
      <c r="P1187" s="18" t="b">
        <f>SUMPRODUCT(COUNTIF(_xlfn.XLOOKUP(D1187,BugList!C:C,BugList!P:P), "*SC*"))&gt;0</f>
        <v>0</v>
      </c>
    </row>
    <row r="1188" spans="1:16">
      <c r="A1188" s="86" t="s">
        <v>2853</v>
      </c>
      <c r="B1188" s="83">
        <v>91</v>
      </c>
      <c r="C1188" s="34" t="s">
        <v>194</v>
      </c>
      <c r="D1188" s="34" t="s">
        <v>126</v>
      </c>
      <c r="E1188" s="83">
        <v>1</v>
      </c>
      <c r="F1188" s="43">
        <f t="shared" si="239"/>
        <v>0.96153846153846156</v>
      </c>
      <c r="G1188" s="44">
        <f t="shared" si="240"/>
        <v>0</v>
      </c>
      <c r="H1188" s="44">
        <f t="shared" si="241"/>
        <v>0.96153846153846156</v>
      </c>
      <c r="I1188" cm="1">
        <f t="array" ref="I1188">INT(F1188)+IF(100-SUM(INT(F$1184:F$1199))&gt;=RANK(H1188,H$1184:H$1199)+COUNTIF(H$1184:H1188,H1188)-1,1,0)</f>
        <v>1</v>
      </c>
      <c r="J1188" t="b">
        <f t="shared" si="242"/>
        <v>0</v>
      </c>
      <c r="K1188" t="str">
        <f t="shared" si="243"/>
        <v/>
      </c>
      <c r="L1188">
        <f>_xlfn.XLOOKUP(D1188,BugList!C:C,BugList!N:N)</f>
        <v>8</v>
      </c>
      <c r="M1188">
        <f t="shared" si="244"/>
        <v>8</v>
      </c>
      <c r="N1188" t="b">
        <f>_xlfn.XLOOKUP(D1188,BugList!C:C,BugList!L:L)</f>
        <v>1</v>
      </c>
      <c r="O1188" t="b">
        <f t="shared" si="245"/>
        <v>0</v>
      </c>
      <c r="P1188" s="18" t="b">
        <f>SUMPRODUCT(COUNTIF(_xlfn.XLOOKUP(D1188,BugList!C:C,BugList!P:P), "*SC*"))&gt;0</f>
        <v>0</v>
      </c>
    </row>
    <row r="1189" spans="1:16">
      <c r="A1189" s="86" t="s">
        <v>2853</v>
      </c>
      <c r="B1189" s="83">
        <v>91</v>
      </c>
      <c r="C1189" s="34" t="s">
        <v>194</v>
      </c>
      <c r="D1189" s="34" t="s">
        <v>108</v>
      </c>
      <c r="E1189" s="83">
        <v>2</v>
      </c>
      <c r="F1189" s="43">
        <f t="shared" si="239"/>
        <v>1.9230769230769231</v>
      </c>
      <c r="G1189" s="44">
        <f t="shared" si="240"/>
        <v>1</v>
      </c>
      <c r="H1189" s="44">
        <f t="shared" si="241"/>
        <v>0.92307692307692313</v>
      </c>
      <c r="I1189" cm="1">
        <f t="array" ref="I1189">INT(F1189)+IF(100-SUM(INT(F$1184:F$1199))&gt;=RANK(H1189,H$1184:H$1199)+COUNTIF(H$1184:H1189,H1189)-1,1,0)</f>
        <v>2</v>
      </c>
      <c r="J1189" t="b">
        <f t="shared" si="242"/>
        <v>0</v>
      </c>
      <c r="K1189" t="str">
        <f t="shared" si="243"/>
        <v/>
      </c>
      <c r="L1189">
        <f>_xlfn.XLOOKUP(D1189,BugList!C:C,BugList!N:N)</f>
        <v>3</v>
      </c>
      <c r="M1189">
        <f t="shared" si="244"/>
        <v>6</v>
      </c>
      <c r="N1189" t="b">
        <f>_xlfn.XLOOKUP(D1189,BugList!C:C,BugList!L:L)</f>
        <v>1</v>
      </c>
      <c r="O1189" t="b">
        <f t="shared" si="245"/>
        <v>0</v>
      </c>
      <c r="P1189" s="18" t="b">
        <f>SUMPRODUCT(COUNTIF(_xlfn.XLOOKUP(D1189,BugList!C:C,BugList!P:P), "*SC*"))&gt;0</f>
        <v>0</v>
      </c>
    </row>
    <row r="1190" spans="1:16">
      <c r="A1190" s="86" t="s">
        <v>2853</v>
      </c>
      <c r="B1190" s="83">
        <v>91</v>
      </c>
      <c r="C1190" s="34" t="s">
        <v>199</v>
      </c>
      <c r="D1190" s="34" t="s">
        <v>96</v>
      </c>
      <c r="E1190" s="83">
        <v>2</v>
      </c>
      <c r="F1190" s="43">
        <f t="shared" ref="F1190:F1199" si="246">(E1190/(SUMIFS(E:E,A:A,A1190))*100)</f>
        <v>1.9230769230769231</v>
      </c>
      <c r="G1190" s="44">
        <f t="shared" si="240"/>
        <v>1</v>
      </c>
      <c r="H1190" s="44">
        <f t="shared" si="241"/>
        <v>0.92307692307692313</v>
      </c>
      <c r="I1190" cm="1">
        <f t="array" ref="I1190">INT(F1190)+IF(100-SUM(INT(F$1184:F$1199))&gt;=RANK(H1190,H$1184:H$1199)+COUNTIF(H$1184:H1190,H1190)-1,1,0)</f>
        <v>2</v>
      </c>
      <c r="J1190" t="b">
        <f t="shared" si="242"/>
        <v>1</v>
      </c>
      <c r="K1190" t="str">
        <f t="shared" si="243"/>
        <v>Ephemeroptera</v>
      </c>
      <c r="L1190">
        <f>_xlfn.XLOOKUP(D1190,BugList!C:C,BugList!N:N)</f>
        <v>4</v>
      </c>
      <c r="M1190">
        <f t="shared" si="244"/>
        <v>8</v>
      </c>
      <c r="N1190" t="b">
        <f>_xlfn.XLOOKUP(D1190,BugList!C:C,BugList!L:L)</f>
        <v>1</v>
      </c>
      <c r="O1190" t="b">
        <f t="shared" si="245"/>
        <v>1</v>
      </c>
      <c r="P1190" s="18" t="b">
        <f>SUMPRODUCT(COUNTIF(_xlfn.XLOOKUP(D1190,BugList!C:C,BugList!P:P), "*SC*"))&gt;0</f>
        <v>1</v>
      </c>
    </row>
    <row r="1191" spans="1:16">
      <c r="A1191" s="86" t="s">
        <v>2853</v>
      </c>
      <c r="B1191" s="83">
        <v>91</v>
      </c>
      <c r="C1191" s="34" t="s">
        <v>195</v>
      </c>
      <c r="D1191" s="34" t="s">
        <v>162</v>
      </c>
      <c r="E1191" s="83">
        <v>3</v>
      </c>
      <c r="F1191" s="43">
        <f t="shared" si="246"/>
        <v>2.8846153846153846</v>
      </c>
      <c r="G1191" s="44">
        <f t="shared" si="240"/>
        <v>2</v>
      </c>
      <c r="H1191" s="44">
        <f t="shared" si="241"/>
        <v>0.88461538461538458</v>
      </c>
      <c r="I1191" cm="1">
        <f t="array" ref="I1191">INT(F1191)+IF(100-SUM(INT(F$1184:F$1199))&gt;=RANK(H1191,H$1184:H$1199)+COUNTIF(H$1184:H1191,H1191)-1,1,0)</f>
        <v>3</v>
      </c>
      <c r="J1191" t="b">
        <f t="shared" si="242"/>
        <v>0</v>
      </c>
      <c r="K1191" t="str">
        <f t="shared" si="243"/>
        <v/>
      </c>
      <c r="L1191">
        <f>_xlfn.XLOOKUP(D1191,BugList!C:C,BugList!N:N)</f>
        <v>3</v>
      </c>
      <c r="M1191">
        <f t="shared" si="244"/>
        <v>9</v>
      </c>
      <c r="N1191" t="b">
        <f>_xlfn.XLOOKUP(D1191,BugList!C:C,BugList!L:L)</f>
        <v>1</v>
      </c>
      <c r="O1191" t="b">
        <f t="shared" si="245"/>
        <v>0</v>
      </c>
      <c r="P1191" s="18" t="b">
        <f>SUMPRODUCT(COUNTIF(_xlfn.XLOOKUP(D1191,BugList!C:C,BugList!P:P), "*SC*"))&gt;0</f>
        <v>0</v>
      </c>
    </row>
    <row r="1192" spans="1:16">
      <c r="A1192" s="86" t="s">
        <v>2853</v>
      </c>
      <c r="B1192" s="83">
        <v>91</v>
      </c>
      <c r="C1192" s="34" t="s">
        <v>195</v>
      </c>
      <c r="D1192" s="34" t="s">
        <v>113</v>
      </c>
      <c r="E1192" s="83">
        <v>7</v>
      </c>
      <c r="F1192" s="43">
        <f t="shared" si="246"/>
        <v>6.7307692307692308</v>
      </c>
      <c r="G1192" s="44">
        <f t="shared" si="240"/>
        <v>6</v>
      </c>
      <c r="H1192" s="44">
        <f t="shared" si="241"/>
        <v>0.73076923076923084</v>
      </c>
      <c r="I1192" cm="1">
        <f t="array" ref="I1192">INT(F1192)+IF(100-SUM(INT(F$1184:F$1199))&gt;=RANK(H1192,H$1184:H$1199)+COUNTIF(H$1184:H1192,H1192)-1,1,0)</f>
        <v>7</v>
      </c>
      <c r="J1192" t="b">
        <f t="shared" si="242"/>
        <v>0</v>
      </c>
      <c r="K1192" t="str">
        <f t="shared" si="243"/>
        <v/>
      </c>
      <c r="L1192">
        <f>_xlfn.XLOOKUP(D1192,BugList!C:C,BugList!N:N)</f>
        <v>1</v>
      </c>
      <c r="M1192">
        <f t="shared" si="244"/>
        <v>7</v>
      </c>
      <c r="N1192" t="b">
        <f>_xlfn.XLOOKUP(D1192,BugList!C:C,BugList!L:L)</f>
        <v>1</v>
      </c>
      <c r="O1192" t="b">
        <f t="shared" si="245"/>
        <v>0</v>
      </c>
      <c r="P1192" s="18" t="b">
        <f>SUMPRODUCT(COUNTIF(_xlfn.XLOOKUP(D1192,BugList!C:C,BugList!P:P), "*SC*"))&gt;0</f>
        <v>0</v>
      </c>
    </row>
    <row r="1193" spans="1:16">
      <c r="A1193" s="86" t="s">
        <v>2853</v>
      </c>
      <c r="B1193" s="83">
        <v>91</v>
      </c>
      <c r="C1193" s="34" t="s">
        <v>195</v>
      </c>
      <c r="D1193" s="34" t="s">
        <v>1117</v>
      </c>
      <c r="E1193" s="83">
        <v>12</v>
      </c>
      <c r="F1193" s="43">
        <f t="shared" si="246"/>
        <v>11.538461538461538</v>
      </c>
      <c r="G1193" s="44">
        <f t="shared" si="240"/>
        <v>11</v>
      </c>
      <c r="H1193" s="44">
        <f t="shared" si="241"/>
        <v>0.53846153846153832</v>
      </c>
      <c r="I1193" cm="1">
        <f t="array" ref="I1193">INT(F1193)+IF(100-SUM(INT(F$1184:F$1199))&gt;=RANK(H1193,H$1184:H$1199)+COUNTIF(H$1184:H1193,H1193)-1,1,0)</f>
        <v>11</v>
      </c>
      <c r="J1193" t="b">
        <f t="shared" si="242"/>
        <v>0</v>
      </c>
      <c r="K1193" t="str">
        <f t="shared" si="243"/>
        <v/>
      </c>
      <c r="L1193">
        <f>_xlfn.XLOOKUP(D1193,BugList!C:C,BugList!N:N)</f>
        <v>9</v>
      </c>
      <c r="M1193">
        <f t="shared" si="244"/>
        <v>99</v>
      </c>
      <c r="N1193" t="b">
        <f>_xlfn.XLOOKUP(D1193,BugList!C:C,BugList!L:L)</f>
        <v>1</v>
      </c>
      <c r="O1193" t="b">
        <f t="shared" si="245"/>
        <v>0</v>
      </c>
      <c r="P1193" s="18" t="b">
        <f>SUMPRODUCT(COUNTIF(_xlfn.XLOOKUP(D1193,BugList!C:C,BugList!P:P), "*SC*"))&gt;0</f>
        <v>0</v>
      </c>
    </row>
    <row r="1194" spans="1:16">
      <c r="A1194" s="86" t="s">
        <v>2853</v>
      </c>
      <c r="B1194" s="83">
        <v>91</v>
      </c>
      <c r="C1194" s="34" t="s">
        <v>198</v>
      </c>
      <c r="D1194" s="34" t="s">
        <v>89</v>
      </c>
      <c r="E1194" s="83">
        <v>26</v>
      </c>
      <c r="F1194" s="43">
        <f t="shared" si="246"/>
        <v>25</v>
      </c>
      <c r="G1194" s="44">
        <f t="shared" si="240"/>
        <v>25</v>
      </c>
      <c r="H1194" s="44">
        <f t="shared" si="241"/>
        <v>0</v>
      </c>
      <c r="I1194" cm="1">
        <f t="array" ref="I1194">INT(F1194)+IF(100-SUM(INT(F$1184:F$1199))&gt;=RANK(H1194,H$1184:H$1199)+COUNTIF(H$1184:H1194,H1194)-1,1,0)</f>
        <v>25</v>
      </c>
      <c r="J1194" t="b">
        <f t="shared" si="242"/>
        <v>1</v>
      </c>
      <c r="K1194" t="str">
        <f t="shared" si="243"/>
        <v>Trichoptera</v>
      </c>
      <c r="L1194">
        <f>_xlfn.XLOOKUP(D1194,BugList!C:C,BugList!N:N)</f>
        <v>4</v>
      </c>
      <c r="M1194">
        <f t="shared" si="244"/>
        <v>100</v>
      </c>
      <c r="N1194" t="b">
        <f>_xlfn.XLOOKUP(D1194,BugList!C:C,BugList!L:L)</f>
        <v>1</v>
      </c>
      <c r="O1194" t="b">
        <f t="shared" si="245"/>
        <v>0</v>
      </c>
      <c r="P1194" s="18" t="b">
        <f>SUMPRODUCT(COUNTIF(_xlfn.XLOOKUP(D1194,BugList!C:C,BugList!P:P), "*SC*"))&gt;0</f>
        <v>0</v>
      </c>
    </row>
    <row r="1195" spans="1:16">
      <c r="A1195" s="86" t="s">
        <v>2853</v>
      </c>
      <c r="B1195" s="83">
        <v>91</v>
      </c>
      <c r="C1195" s="34" t="s">
        <v>204</v>
      </c>
      <c r="D1195" s="34" t="s">
        <v>84</v>
      </c>
      <c r="E1195" s="83">
        <v>1</v>
      </c>
      <c r="F1195" s="43">
        <f t="shared" si="246"/>
        <v>0.96153846153846156</v>
      </c>
      <c r="G1195" s="44">
        <f t="shared" si="240"/>
        <v>0</v>
      </c>
      <c r="H1195" s="44">
        <f t="shared" si="241"/>
        <v>0.96153846153846156</v>
      </c>
      <c r="I1195" cm="1">
        <f t="array" ref="I1195">INT(F1195)+IF(100-SUM(INT(F$1184:F$1199))&gt;=RANK(H1195,H$1184:H$1199)+COUNTIF(H$1184:H1195,H1195)-1,1,0)</f>
        <v>1</v>
      </c>
      <c r="J1195" t="b">
        <f t="shared" si="242"/>
        <v>0</v>
      </c>
      <c r="K1195" t="str">
        <f t="shared" si="243"/>
        <v/>
      </c>
      <c r="L1195">
        <f>_xlfn.XLOOKUP(D1195,BugList!C:C,BugList!N:N)</f>
        <v>8</v>
      </c>
      <c r="M1195">
        <f t="shared" si="244"/>
        <v>8</v>
      </c>
      <c r="N1195" t="b">
        <f>_xlfn.XLOOKUP(D1195,BugList!C:C,BugList!L:L)</f>
        <v>0</v>
      </c>
      <c r="O1195" t="b">
        <f t="shared" si="245"/>
        <v>0</v>
      </c>
      <c r="P1195" s="18" t="b">
        <f>SUMPRODUCT(COUNTIF(_xlfn.XLOOKUP(D1195,BugList!C:C,BugList!P:P), "*SC*"))&gt;0</f>
        <v>0</v>
      </c>
    </row>
    <row r="1196" spans="1:16">
      <c r="A1196" s="86" t="s">
        <v>2853</v>
      </c>
      <c r="B1196" s="83">
        <v>91</v>
      </c>
      <c r="C1196" s="34" t="s">
        <v>201</v>
      </c>
      <c r="D1196" s="34" t="s">
        <v>85</v>
      </c>
      <c r="E1196" s="83">
        <v>4</v>
      </c>
      <c r="F1196" s="43">
        <f t="shared" si="246"/>
        <v>3.8461538461538463</v>
      </c>
      <c r="G1196" s="44">
        <f t="shared" si="240"/>
        <v>3</v>
      </c>
      <c r="H1196" s="44">
        <f t="shared" si="241"/>
        <v>0.84615384615384626</v>
      </c>
      <c r="I1196" cm="1">
        <f t="array" ref="I1196">INT(F1196)+IF(100-SUM(INT(F$1184:F$1199))&gt;=RANK(H1196,H$1184:H$1199)+COUNTIF(H$1184:H1196,H1196)-1,1,0)</f>
        <v>4</v>
      </c>
      <c r="J1196" t="b">
        <f t="shared" si="242"/>
        <v>0</v>
      </c>
      <c r="K1196" t="str">
        <f t="shared" si="243"/>
        <v/>
      </c>
      <c r="L1196">
        <f>_xlfn.XLOOKUP(D1196,BugList!C:C,BugList!N:N)</f>
        <v>4</v>
      </c>
      <c r="M1196">
        <f t="shared" si="244"/>
        <v>16</v>
      </c>
      <c r="N1196" t="b">
        <f>_xlfn.XLOOKUP(D1196,BugList!C:C,BugList!L:L)</f>
        <v>0</v>
      </c>
      <c r="O1196" t="b">
        <f t="shared" si="245"/>
        <v>0</v>
      </c>
      <c r="P1196" s="18" t="b">
        <f>SUMPRODUCT(COUNTIF(_xlfn.XLOOKUP(D1196,BugList!C:C,BugList!P:P), "*SC*"))&gt;0</f>
        <v>0</v>
      </c>
    </row>
    <row r="1197" spans="1:16">
      <c r="A1197" s="86" t="s">
        <v>2853</v>
      </c>
      <c r="B1197" s="83">
        <v>91</v>
      </c>
      <c r="C1197" s="34" t="s">
        <v>210</v>
      </c>
      <c r="D1197" s="34" t="s">
        <v>210</v>
      </c>
      <c r="E1197" s="83">
        <v>1</v>
      </c>
      <c r="F1197" s="43">
        <f t="shared" si="246"/>
        <v>0.96153846153846156</v>
      </c>
      <c r="G1197" s="44">
        <f t="shared" si="240"/>
        <v>0</v>
      </c>
      <c r="H1197" s="44">
        <f t="shared" si="241"/>
        <v>0.96153846153846156</v>
      </c>
      <c r="I1197" cm="1">
        <f t="array" ref="I1197">INT(F1197)+IF(100-SUM(INT(F$1184:F$1199))&gt;=RANK(H1197,H$1184:H$1199)+COUNTIF(H$1184:H1197,H1197)-1,1,0)</f>
        <v>1</v>
      </c>
      <c r="J1197" t="b">
        <f t="shared" si="242"/>
        <v>0</v>
      </c>
      <c r="K1197" t="str">
        <f t="shared" si="243"/>
        <v/>
      </c>
      <c r="L1197" s="71">
        <v>8</v>
      </c>
      <c r="M1197">
        <f t="shared" si="244"/>
        <v>8</v>
      </c>
      <c r="N1197" s="71" t="b">
        <v>0</v>
      </c>
      <c r="O1197" t="b">
        <f t="shared" si="245"/>
        <v>0</v>
      </c>
      <c r="P1197" s="72" t="b">
        <v>0</v>
      </c>
    </row>
    <row r="1198" spans="1:16">
      <c r="A1198" s="86" t="s">
        <v>2853</v>
      </c>
      <c r="B1198" s="83">
        <v>91</v>
      </c>
      <c r="C1198" s="34" t="s">
        <v>2315</v>
      </c>
      <c r="D1198" s="34" t="s">
        <v>2315</v>
      </c>
      <c r="E1198" s="83">
        <v>9</v>
      </c>
      <c r="F1198" s="43">
        <f t="shared" si="246"/>
        <v>8.6538461538461533</v>
      </c>
      <c r="G1198" s="44">
        <f t="shared" si="240"/>
        <v>8</v>
      </c>
      <c r="H1198" s="44">
        <f t="shared" si="241"/>
        <v>0.6538461538461533</v>
      </c>
      <c r="I1198" cm="1">
        <f t="array" ref="I1198">INT(F1198)+IF(100-SUM(INT(F$1184:F$1199))&gt;=RANK(H1198,H$1184:H$1199)+COUNTIF(H$1184:H1198,H1198)-1,1,0)</f>
        <v>8</v>
      </c>
      <c r="J1198" t="b">
        <f t="shared" si="242"/>
        <v>0</v>
      </c>
      <c r="K1198" t="str">
        <f t="shared" si="243"/>
        <v/>
      </c>
      <c r="L1198">
        <f>_xlfn.XLOOKUP(D1198,BugList!C:C,BugList!N:N)</f>
        <v>7</v>
      </c>
      <c r="M1198">
        <f t="shared" si="244"/>
        <v>56</v>
      </c>
      <c r="N1198" t="b">
        <f>_xlfn.XLOOKUP(D1198,BugList!C:C,BugList!L:L)</f>
        <v>0</v>
      </c>
      <c r="O1198" t="b">
        <f t="shared" si="245"/>
        <v>0</v>
      </c>
      <c r="P1198" s="18" t="b">
        <f>SUMPRODUCT(COUNTIF(_xlfn.XLOOKUP(D1198,BugList!C:C,BugList!P:P), "*SC*"))&gt;0</f>
        <v>1</v>
      </c>
    </row>
    <row r="1199" spans="1:16">
      <c r="A1199" s="86" t="s">
        <v>2853</v>
      </c>
      <c r="B1199" s="83">
        <v>91</v>
      </c>
      <c r="C1199" s="34" t="s">
        <v>205</v>
      </c>
      <c r="D1199" s="34" t="s">
        <v>206</v>
      </c>
      <c r="E1199" s="83">
        <v>2</v>
      </c>
      <c r="F1199" s="43">
        <f t="shared" si="246"/>
        <v>1.9230769230769231</v>
      </c>
      <c r="G1199" s="44">
        <f t="shared" si="240"/>
        <v>1</v>
      </c>
      <c r="H1199" s="44">
        <f t="shared" si="241"/>
        <v>0.92307692307692313</v>
      </c>
      <c r="I1199" cm="1">
        <f t="array" ref="I1199">INT(F1199)+IF(100-SUM(INT(F$1184:F$1199))&gt;=RANK(H1199,H$1184:H$1199)+COUNTIF(H$1184:H1199,H1199)-1,1,0)</f>
        <v>2</v>
      </c>
      <c r="J1199" t="b">
        <f t="shared" si="242"/>
        <v>0</v>
      </c>
      <c r="K1199" t="str">
        <f t="shared" si="243"/>
        <v/>
      </c>
      <c r="L1199" s="71">
        <v>8</v>
      </c>
      <c r="M1199">
        <f t="shared" si="244"/>
        <v>16</v>
      </c>
      <c r="N1199" s="71" t="b">
        <v>0</v>
      </c>
      <c r="O1199" t="b">
        <f t="shared" si="245"/>
        <v>0</v>
      </c>
      <c r="P1199" s="72" t="b">
        <v>0</v>
      </c>
    </row>
    <row r="1200" spans="1:16">
      <c r="A1200" s="86" t="s">
        <v>2854</v>
      </c>
      <c r="B1200" s="83">
        <v>111</v>
      </c>
      <c r="C1200" s="34" t="s">
        <v>200</v>
      </c>
      <c r="D1200" s="34" t="s">
        <v>98</v>
      </c>
      <c r="E1200" s="83">
        <v>2</v>
      </c>
      <c r="F1200" s="43"/>
      <c r="G1200" s="44"/>
      <c r="H1200" s="44"/>
      <c r="J1200" t="b">
        <f t="shared" si="242"/>
        <v>0</v>
      </c>
      <c r="K1200" t="str">
        <f t="shared" si="243"/>
        <v/>
      </c>
      <c r="L1200">
        <f>_xlfn.XLOOKUP(D1200,BugList!C:C,BugList!N:N)</f>
        <v>4</v>
      </c>
      <c r="N1200" t="b">
        <f>_xlfn.XLOOKUP(D1200,BugList!C:C,BugList!L:L)</f>
        <v>1</v>
      </c>
      <c r="O1200" t="b">
        <f t="shared" si="245"/>
        <v>0</v>
      </c>
      <c r="P1200" s="18" t="b">
        <f>SUMPRODUCT(COUNTIF(_xlfn.XLOOKUP(D1200,BugList!C:C,BugList!P:P), "*SC*"))&gt;0</f>
        <v>1</v>
      </c>
    </row>
    <row r="1201" spans="1:16">
      <c r="A1201" s="86" t="s">
        <v>2854</v>
      </c>
      <c r="B1201" s="83">
        <v>111</v>
      </c>
      <c r="C1201" s="34" t="s">
        <v>194</v>
      </c>
      <c r="D1201" s="34" t="s">
        <v>126</v>
      </c>
      <c r="E1201" s="83">
        <v>47</v>
      </c>
      <c r="F1201" s="43"/>
      <c r="G1201" s="44"/>
      <c r="H1201" s="44"/>
      <c r="J1201" t="b">
        <f t="shared" si="242"/>
        <v>0</v>
      </c>
      <c r="K1201" t="str">
        <f t="shared" si="243"/>
        <v/>
      </c>
      <c r="L1201">
        <f>_xlfn.XLOOKUP(D1201,BugList!C:C,BugList!N:N)</f>
        <v>8</v>
      </c>
      <c r="N1201" t="b">
        <f>_xlfn.XLOOKUP(D1201,BugList!C:C,BugList!L:L)</f>
        <v>1</v>
      </c>
      <c r="O1201" t="b">
        <f t="shared" si="245"/>
        <v>0</v>
      </c>
      <c r="P1201" s="18" t="b">
        <f>SUMPRODUCT(COUNTIF(_xlfn.XLOOKUP(D1201,BugList!C:C,BugList!P:P), "*SC*"))&gt;0</f>
        <v>0</v>
      </c>
    </row>
    <row r="1202" spans="1:16">
      <c r="A1202" s="86" t="s">
        <v>2854</v>
      </c>
      <c r="B1202" s="83">
        <v>111</v>
      </c>
      <c r="C1202" s="34" t="s">
        <v>194</v>
      </c>
      <c r="D1202" s="34" t="s">
        <v>1758</v>
      </c>
      <c r="E1202" s="83">
        <v>1</v>
      </c>
      <c r="F1202" s="43"/>
      <c r="G1202" s="44"/>
      <c r="H1202" s="44"/>
      <c r="J1202" t="b">
        <f t="shared" si="242"/>
        <v>0</v>
      </c>
      <c r="K1202" t="str">
        <f t="shared" si="243"/>
        <v/>
      </c>
      <c r="L1202">
        <f>_xlfn.XLOOKUP(D1202,BugList!C:C,BugList!N:N)</f>
        <v>6</v>
      </c>
      <c r="N1202" t="b">
        <f>_xlfn.XLOOKUP(D1202,BugList!C:C,BugList!L:L)</f>
        <v>1</v>
      </c>
      <c r="O1202" t="b">
        <f t="shared" si="245"/>
        <v>0</v>
      </c>
      <c r="P1202" s="18" t="b">
        <f>SUMPRODUCT(COUNTIF(_xlfn.XLOOKUP(D1202,BugList!C:C,BugList!P:P), "*SC*"))&gt;0</f>
        <v>0</v>
      </c>
    </row>
    <row r="1203" spans="1:16">
      <c r="A1203" s="86" t="s">
        <v>2854</v>
      </c>
      <c r="B1203" s="83">
        <v>111</v>
      </c>
      <c r="C1203" s="34" t="s">
        <v>194</v>
      </c>
      <c r="D1203" s="34" t="s">
        <v>108</v>
      </c>
      <c r="E1203" s="83">
        <v>1</v>
      </c>
      <c r="F1203" s="43"/>
      <c r="G1203" s="44"/>
      <c r="H1203" s="44"/>
      <c r="J1203" t="b">
        <f t="shared" si="242"/>
        <v>0</v>
      </c>
      <c r="K1203" t="str">
        <f t="shared" si="243"/>
        <v/>
      </c>
      <c r="L1203">
        <f>_xlfn.XLOOKUP(D1203,BugList!C:C,BugList!N:N)</f>
        <v>3</v>
      </c>
      <c r="N1203" t="b">
        <f>_xlfn.XLOOKUP(D1203,BugList!C:C,BugList!L:L)</f>
        <v>1</v>
      </c>
      <c r="O1203" t="b">
        <f t="shared" si="245"/>
        <v>0</v>
      </c>
      <c r="P1203" s="18" t="b">
        <f>SUMPRODUCT(COUNTIF(_xlfn.XLOOKUP(D1203,BugList!C:C,BugList!P:P), "*SC*"))&gt;0</f>
        <v>0</v>
      </c>
    </row>
    <row r="1204" spans="1:16">
      <c r="A1204" s="86" t="s">
        <v>2854</v>
      </c>
      <c r="B1204" s="83">
        <v>111</v>
      </c>
      <c r="C1204" s="34" t="s">
        <v>199</v>
      </c>
      <c r="D1204" s="34" t="s">
        <v>151</v>
      </c>
      <c r="E1204" s="83">
        <v>2</v>
      </c>
      <c r="F1204" s="43"/>
      <c r="G1204" s="44"/>
      <c r="H1204" s="44"/>
      <c r="J1204" t="b">
        <f t="shared" si="242"/>
        <v>1</v>
      </c>
      <c r="K1204" t="str">
        <f t="shared" si="243"/>
        <v>Ephemeroptera</v>
      </c>
      <c r="L1204">
        <f>_xlfn.XLOOKUP(D1204,BugList!C:C,BugList!N:N)</f>
        <v>1</v>
      </c>
      <c r="N1204" t="b">
        <f>_xlfn.XLOOKUP(D1204,BugList!C:C,BugList!L:L)</f>
        <v>1</v>
      </c>
      <c r="O1204" t="b">
        <f t="shared" si="245"/>
        <v>1</v>
      </c>
      <c r="P1204" s="18" t="b">
        <f>SUMPRODUCT(COUNTIF(_xlfn.XLOOKUP(D1204,BugList!C:C,BugList!P:P), "*SC*"))&gt;0</f>
        <v>0</v>
      </c>
    </row>
    <row r="1205" spans="1:16">
      <c r="A1205" s="86" t="s">
        <v>2854</v>
      </c>
      <c r="B1205" s="83">
        <v>111</v>
      </c>
      <c r="C1205" s="34" t="s">
        <v>199</v>
      </c>
      <c r="D1205" s="34" t="s">
        <v>111</v>
      </c>
      <c r="E1205" s="83">
        <v>2</v>
      </c>
      <c r="F1205" s="43"/>
      <c r="G1205" s="44"/>
      <c r="H1205" s="44"/>
      <c r="J1205" t="b">
        <f t="shared" si="242"/>
        <v>1</v>
      </c>
      <c r="K1205" t="str">
        <f t="shared" si="243"/>
        <v>Ephemeroptera</v>
      </c>
      <c r="L1205">
        <f>_xlfn.XLOOKUP(D1205,BugList!C:C,BugList!N:N)</f>
        <v>4</v>
      </c>
      <c r="N1205" t="b">
        <f>_xlfn.XLOOKUP(D1205,BugList!C:C,BugList!L:L)</f>
        <v>1</v>
      </c>
      <c r="O1205" t="b">
        <f t="shared" si="245"/>
        <v>1</v>
      </c>
      <c r="P1205" s="18" t="b">
        <f>SUMPRODUCT(COUNTIF(_xlfn.XLOOKUP(D1205,BugList!C:C,BugList!P:P), "*SC*"))&gt;0</f>
        <v>0</v>
      </c>
    </row>
    <row r="1206" spans="1:16">
      <c r="A1206" s="86" t="s">
        <v>2854</v>
      </c>
      <c r="B1206" s="83">
        <v>111</v>
      </c>
      <c r="C1206" s="34" t="s">
        <v>195</v>
      </c>
      <c r="D1206" s="34" t="s">
        <v>97</v>
      </c>
      <c r="E1206" s="83">
        <v>4</v>
      </c>
      <c r="F1206" s="43"/>
      <c r="G1206" s="44"/>
      <c r="H1206" s="44"/>
      <c r="J1206" t="b">
        <f t="shared" si="242"/>
        <v>0</v>
      </c>
      <c r="K1206" t="str">
        <f t="shared" si="243"/>
        <v/>
      </c>
      <c r="L1206">
        <f>_xlfn.XLOOKUP(D1206,BugList!C:C,BugList!N:N)</f>
        <v>9</v>
      </c>
      <c r="N1206" t="b">
        <f>_xlfn.XLOOKUP(D1206,BugList!C:C,BugList!L:L)</f>
        <v>1</v>
      </c>
      <c r="O1206" t="b">
        <f t="shared" si="245"/>
        <v>0</v>
      </c>
      <c r="P1206" s="18" t="b">
        <f>SUMPRODUCT(COUNTIF(_xlfn.XLOOKUP(D1206,BugList!C:C,BugList!P:P), "*SC*"))&gt;0</f>
        <v>0</v>
      </c>
    </row>
    <row r="1207" spans="1:16">
      <c r="A1207" s="86" t="s">
        <v>2854</v>
      </c>
      <c r="B1207" s="83">
        <v>111</v>
      </c>
      <c r="C1207" s="34" t="s">
        <v>195</v>
      </c>
      <c r="D1207" s="34" t="s">
        <v>113</v>
      </c>
      <c r="E1207" s="83">
        <v>3</v>
      </c>
      <c r="F1207" s="43"/>
      <c r="G1207" s="44"/>
      <c r="H1207" s="44"/>
      <c r="J1207" t="b">
        <f t="shared" si="242"/>
        <v>0</v>
      </c>
      <c r="K1207" t="str">
        <f t="shared" si="243"/>
        <v/>
      </c>
      <c r="L1207">
        <f>_xlfn.XLOOKUP(D1207,BugList!C:C,BugList!N:N)</f>
        <v>1</v>
      </c>
      <c r="N1207" t="b">
        <f>_xlfn.XLOOKUP(D1207,BugList!C:C,BugList!L:L)</f>
        <v>1</v>
      </c>
      <c r="O1207" t="b">
        <f t="shared" si="245"/>
        <v>0</v>
      </c>
      <c r="P1207" s="18" t="b">
        <f>SUMPRODUCT(COUNTIF(_xlfn.XLOOKUP(D1207,BugList!C:C,BugList!P:P), "*SC*"))&gt;0</f>
        <v>0</v>
      </c>
    </row>
    <row r="1208" spans="1:16">
      <c r="A1208" s="86" t="s">
        <v>2854</v>
      </c>
      <c r="B1208" s="83">
        <v>111</v>
      </c>
      <c r="C1208" s="34" t="s">
        <v>198</v>
      </c>
      <c r="D1208" s="34" t="s">
        <v>89</v>
      </c>
      <c r="E1208" s="83">
        <v>8</v>
      </c>
      <c r="F1208" s="43"/>
      <c r="G1208" s="44"/>
      <c r="H1208" s="44"/>
      <c r="J1208" t="b">
        <f t="shared" si="242"/>
        <v>1</v>
      </c>
      <c r="K1208" t="str">
        <f t="shared" si="243"/>
        <v>Trichoptera</v>
      </c>
      <c r="L1208">
        <f>_xlfn.XLOOKUP(D1208,BugList!C:C,BugList!N:N)</f>
        <v>4</v>
      </c>
      <c r="N1208" t="b">
        <f>_xlfn.XLOOKUP(D1208,BugList!C:C,BugList!L:L)</f>
        <v>1</v>
      </c>
      <c r="O1208" t="b">
        <f t="shared" si="245"/>
        <v>0</v>
      </c>
      <c r="P1208" s="18" t="b">
        <f>SUMPRODUCT(COUNTIF(_xlfn.XLOOKUP(D1208,BugList!C:C,BugList!P:P), "*SC*"))&gt;0</f>
        <v>0</v>
      </c>
    </row>
    <row r="1209" spans="1:16">
      <c r="A1209" s="86" t="s">
        <v>2854</v>
      </c>
      <c r="B1209" s="83">
        <v>111</v>
      </c>
      <c r="C1209" s="34" t="s">
        <v>201</v>
      </c>
      <c r="D1209" s="34" t="s">
        <v>85</v>
      </c>
      <c r="E1209" s="83">
        <v>1</v>
      </c>
      <c r="F1209" s="43"/>
      <c r="G1209" s="44"/>
      <c r="H1209" s="44"/>
      <c r="J1209" t="b">
        <f t="shared" si="242"/>
        <v>0</v>
      </c>
      <c r="K1209" t="str">
        <f t="shared" si="243"/>
        <v/>
      </c>
      <c r="L1209">
        <f>_xlfn.XLOOKUP(D1209,BugList!C:C,BugList!N:N)</f>
        <v>4</v>
      </c>
      <c r="N1209" t="b">
        <f>_xlfn.XLOOKUP(D1209,BugList!C:C,BugList!L:L)</f>
        <v>0</v>
      </c>
      <c r="O1209" t="b">
        <f t="shared" si="245"/>
        <v>0</v>
      </c>
      <c r="P1209" s="18" t="b">
        <f>SUMPRODUCT(COUNTIF(_xlfn.XLOOKUP(D1209,BugList!C:C,BugList!P:P), "*SC*"))&gt;0</f>
        <v>0</v>
      </c>
    </row>
    <row r="1210" spans="1:16">
      <c r="A1210" s="86" t="s">
        <v>2854</v>
      </c>
      <c r="B1210" s="83">
        <v>111</v>
      </c>
      <c r="C1210" s="34" t="s">
        <v>205</v>
      </c>
      <c r="D1210" s="34" t="s">
        <v>206</v>
      </c>
      <c r="E1210" s="83">
        <v>1</v>
      </c>
      <c r="F1210" s="43"/>
      <c r="G1210" s="44"/>
      <c r="H1210" s="44"/>
      <c r="J1210" t="b">
        <f t="shared" si="242"/>
        <v>0</v>
      </c>
      <c r="K1210" t="str">
        <f t="shared" si="243"/>
        <v/>
      </c>
      <c r="L1210" s="71">
        <v>8</v>
      </c>
      <c r="N1210" s="71" t="b">
        <v>0</v>
      </c>
      <c r="O1210" t="b">
        <f t="shared" si="245"/>
        <v>0</v>
      </c>
      <c r="P1210" s="72" t="b">
        <v>0</v>
      </c>
    </row>
    <row r="1211" spans="1:16">
      <c r="A1211" s="86" t="s">
        <v>2855</v>
      </c>
      <c r="B1211" s="83">
        <v>127</v>
      </c>
      <c r="C1211" s="34" t="s">
        <v>200</v>
      </c>
      <c r="D1211" s="34" t="s">
        <v>100</v>
      </c>
      <c r="E1211" s="83">
        <v>9</v>
      </c>
      <c r="F1211" s="43">
        <f t="shared" ref="F1211:F1274" si="247">(E1211/(SUMIFS(E:E,A:A,A1211))*100)</f>
        <v>8.9108910891089099</v>
      </c>
      <c r="G1211" s="44">
        <f t="shared" si="240"/>
        <v>8</v>
      </c>
      <c r="H1211" s="44">
        <f t="shared" si="241"/>
        <v>0.91089108910890992</v>
      </c>
      <c r="I1211" cm="1">
        <f t="array" ref="I1211">INT(F1211)+IF(100-SUM(INT(F$1211:F$1220))&gt;=RANK(H1211,H$1211:H$1220)+COUNTIF(H$1211:H1211,H1211)-1,1,0)</f>
        <v>9</v>
      </c>
      <c r="J1211" t="b">
        <f t="shared" si="242"/>
        <v>0</v>
      </c>
      <c r="K1211" t="str">
        <f t="shared" si="243"/>
        <v/>
      </c>
      <c r="L1211">
        <f>_xlfn.XLOOKUP(D1211,BugList!C:C,BugList!N:N)</f>
        <v>4</v>
      </c>
      <c r="M1211">
        <f t="shared" si="244"/>
        <v>36</v>
      </c>
      <c r="N1211" t="b">
        <f>_xlfn.XLOOKUP(D1211,BugList!C:C,BugList!L:L)</f>
        <v>1</v>
      </c>
      <c r="O1211" t="b">
        <f t="shared" si="245"/>
        <v>0</v>
      </c>
      <c r="P1211" s="18" t="b">
        <f>SUMPRODUCT(COUNTIF(_xlfn.XLOOKUP(D1211,BugList!C:C,BugList!P:P), "*SC*"))&gt;0</f>
        <v>1</v>
      </c>
    </row>
    <row r="1212" spans="1:16">
      <c r="A1212" s="86" t="s">
        <v>2855</v>
      </c>
      <c r="B1212" s="83">
        <v>127</v>
      </c>
      <c r="C1212" s="34" t="s">
        <v>194</v>
      </c>
      <c r="D1212" s="34" t="s">
        <v>108</v>
      </c>
      <c r="E1212" s="83">
        <v>2</v>
      </c>
      <c r="F1212" s="43">
        <f t="shared" si="247"/>
        <v>1.9801980198019802</v>
      </c>
      <c r="G1212" s="44">
        <f t="shared" si="240"/>
        <v>1</v>
      </c>
      <c r="H1212" s="44">
        <f t="shared" si="241"/>
        <v>0.98019801980198018</v>
      </c>
      <c r="I1212" cm="1">
        <f t="array" ref="I1212">INT(F1212)+IF(100-SUM(INT(F$1211:F$1220))&gt;=RANK(H1212,H$1211:H$1220)+COUNTIF(H$1211:H1212,H1212)-1,1,0)</f>
        <v>2</v>
      </c>
      <c r="J1212" t="b">
        <f t="shared" si="242"/>
        <v>0</v>
      </c>
      <c r="K1212" t="str">
        <f t="shared" si="243"/>
        <v/>
      </c>
      <c r="L1212">
        <f>_xlfn.XLOOKUP(D1212,BugList!C:C,BugList!N:N)</f>
        <v>3</v>
      </c>
      <c r="M1212">
        <f t="shared" si="244"/>
        <v>6</v>
      </c>
      <c r="N1212" t="b">
        <f>_xlfn.XLOOKUP(D1212,BugList!C:C,BugList!L:L)</f>
        <v>1</v>
      </c>
      <c r="O1212" t="b">
        <f t="shared" si="245"/>
        <v>0</v>
      </c>
      <c r="P1212" s="18" t="b">
        <f>SUMPRODUCT(COUNTIF(_xlfn.XLOOKUP(D1212,BugList!C:C,BugList!P:P), "*SC*"))&gt;0</f>
        <v>0</v>
      </c>
    </row>
    <row r="1213" spans="1:16">
      <c r="A1213" s="86" t="s">
        <v>2855</v>
      </c>
      <c r="B1213" s="83">
        <v>127</v>
      </c>
      <c r="C1213" s="34" t="s">
        <v>195</v>
      </c>
      <c r="D1213" s="34" t="s">
        <v>97</v>
      </c>
      <c r="E1213" s="83">
        <v>1</v>
      </c>
      <c r="F1213" s="43">
        <f t="shared" si="247"/>
        <v>0.99009900990099009</v>
      </c>
      <c r="G1213" s="44">
        <f t="shared" si="240"/>
        <v>0</v>
      </c>
      <c r="H1213" s="44">
        <f t="shared" si="241"/>
        <v>0.99009900990099009</v>
      </c>
      <c r="I1213" cm="1">
        <f t="array" ref="I1213">INT(F1213)+IF(100-SUM(INT(F$1211:F$1220))&gt;=RANK(H1213,H$1211:H$1220)+COUNTIF(H$1211:H1213,H1213)-1,1,0)</f>
        <v>1</v>
      </c>
      <c r="J1213" t="b">
        <f t="shared" si="242"/>
        <v>0</v>
      </c>
      <c r="K1213" t="str">
        <f t="shared" si="243"/>
        <v/>
      </c>
      <c r="L1213">
        <f>_xlfn.XLOOKUP(D1213,BugList!C:C,BugList!N:N)</f>
        <v>9</v>
      </c>
      <c r="M1213">
        <f t="shared" si="244"/>
        <v>9</v>
      </c>
      <c r="N1213" t="b">
        <f>_xlfn.XLOOKUP(D1213,BugList!C:C,BugList!L:L)</f>
        <v>1</v>
      </c>
      <c r="O1213" t="b">
        <f t="shared" si="245"/>
        <v>0</v>
      </c>
      <c r="P1213" s="18" t="b">
        <f>SUMPRODUCT(COUNTIF(_xlfn.XLOOKUP(D1213,BugList!C:C,BugList!P:P), "*SC*"))&gt;0</f>
        <v>0</v>
      </c>
    </row>
    <row r="1214" spans="1:16">
      <c r="A1214" s="86" t="s">
        <v>2855</v>
      </c>
      <c r="B1214" s="83">
        <v>127</v>
      </c>
      <c r="C1214" s="34" t="s">
        <v>195</v>
      </c>
      <c r="D1214" s="34" t="s">
        <v>113</v>
      </c>
      <c r="E1214" s="83">
        <v>2</v>
      </c>
      <c r="F1214" s="43">
        <f t="shared" si="247"/>
        <v>1.9801980198019802</v>
      </c>
      <c r="G1214" s="44">
        <f t="shared" si="240"/>
        <v>1</v>
      </c>
      <c r="H1214" s="44">
        <f t="shared" si="241"/>
        <v>0.98019801980198018</v>
      </c>
      <c r="I1214" cm="1">
        <f t="array" ref="I1214">INT(F1214)+IF(100-SUM(INT(F$1211:F$1220))&gt;=RANK(H1214,H$1211:H$1220)+COUNTIF(H$1211:H1214,H1214)-1,1,0)</f>
        <v>2</v>
      </c>
      <c r="J1214" t="b">
        <f t="shared" si="242"/>
        <v>0</v>
      </c>
      <c r="K1214" t="str">
        <f t="shared" si="243"/>
        <v/>
      </c>
      <c r="L1214">
        <f>_xlfn.XLOOKUP(D1214,BugList!C:C,BugList!N:N)</f>
        <v>1</v>
      </c>
      <c r="M1214">
        <f t="shared" si="244"/>
        <v>2</v>
      </c>
      <c r="N1214" t="b">
        <f>_xlfn.XLOOKUP(D1214,BugList!C:C,BugList!L:L)</f>
        <v>1</v>
      </c>
      <c r="O1214" t="b">
        <f t="shared" si="245"/>
        <v>0</v>
      </c>
      <c r="P1214" s="18" t="b">
        <f>SUMPRODUCT(COUNTIF(_xlfn.XLOOKUP(D1214,BugList!C:C,BugList!P:P), "*SC*"))&gt;0</f>
        <v>0</v>
      </c>
    </row>
    <row r="1215" spans="1:16">
      <c r="A1215" s="86" t="s">
        <v>2855</v>
      </c>
      <c r="B1215" s="83">
        <v>127</v>
      </c>
      <c r="C1215" s="34" t="s">
        <v>195</v>
      </c>
      <c r="D1215" s="34" t="s">
        <v>1117</v>
      </c>
      <c r="E1215" s="83">
        <v>1</v>
      </c>
      <c r="F1215" s="43">
        <f t="shared" si="247"/>
        <v>0.99009900990099009</v>
      </c>
      <c r="G1215" s="44">
        <f t="shared" si="240"/>
        <v>0</v>
      </c>
      <c r="H1215" s="44">
        <f t="shared" si="241"/>
        <v>0.99009900990099009</v>
      </c>
      <c r="I1215" cm="1">
        <f t="array" ref="I1215">INT(F1215)+IF(100-SUM(INT(F$1211:F$1220))&gt;=RANK(H1215,H$1211:H$1220)+COUNTIF(H$1211:H1215,H1215)-1,1,0)</f>
        <v>1</v>
      </c>
      <c r="J1215" t="b">
        <f t="shared" si="242"/>
        <v>0</v>
      </c>
      <c r="K1215" t="str">
        <f t="shared" si="243"/>
        <v/>
      </c>
      <c r="L1215">
        <f>_xlfn.XLOOKUP(D1215,BugList!C:C,BugList!N:N)</f>
        <v>9</v>
      </c>
      <c r="M1215">
        <f t="shared" si="244"/>
        <v>9</v>
      </c>
      <c r="N1215" t="b">
        <f>_xlfn.XLOOKUP(D1215,BugList!C:C,BugList!L:L)</f>
        <v>1</v>
      </c>
      <c r="O1215" t="b">
        <f t="shared" si="245"/>
        <v>0</v>
      </c>
      <c r="P1215" s="18" t="b">
        <f>SUMPRODUCT(COUNTIF(_xlfn.XLOOKUP(D1215,BugList!C:C,BugList!P:P), "*SC*"))&gt;0</f>
        <v>0</v>
      </c>
    </row>
    <row r="1216" spans="1:16">
      <c r="A1216" s="86" t="s">
        <v>2855</v>
      </c>
      <c r="B1216" s="83">
        <v>127</v>
      </c>
      <c r="C1216" s="34" t="s">
        <v>198</v>
      </c>
      <c r="D1216" s="34" t="s">
        <v>89</v>
      </c>
      <c r="E1216" s="83">
        <v>2</v>
      </c>
      <c r="F1216" s="43">
        <f t="shared" si="247"/>
        <v>1.9801980198019802</v>
      </c>
      <c r="G1216" s="44">
        <f t="shared" si="240"/>
        <v>1</v>
      </c>
      <c r="H1216" s="44">
        <f t="shared" si="241"/>
        <v>0.98019801980198018</v>
      </c>
      <c r="I1216" cm="1">
        <f t="array" ref="I1216">INT(F1216)+IF(100-SUM(INT(F$1211:F$1220))&gt;=RANK(H1216,H$1211:H$1220)+COUNTIF(H$1211:H1216,H1216)-1,1,0)</f>
        <v>2</v>
      </c>
      <c r="J1216" t="b">
        <f t="shared" si="242"/>
        <v>1</v>
      </c>
      <c r="K1216" t="str">
        <f t="shared" si="243"/>
        <v>Trichoptera</v>
      </c>
      <c r="L1216">
        <f>_xlfn.XLOOKUP(D1216,BugList!C:C,BugList!N:N)</f>
        <v>4</v>
      </c>
      <c r="M1216">
        <f t="shared" si="244"/>
        <v>8</v>
      </c>
      <c r="N1216" t="b">
        <f>_xlfn.XLOOKUP(D1216,BugList!C:C,BugList!L:L)</f>
        <v>1</v>
      </c>
      <c r="O1216" t="b">
        <f t="shared" si="245"/>
        <v>0</v>
      </c>
      <c r="P1216" s="18" t="b">
        <f>SUMPRODUCT(COUNTIF(_xlfn.XLOOKUP(D1216,BugList!C:C,BugList!P:P), "*SC*"))&gt;0</f>
        <v>0</v>
      </c>
    </row>
    <row r="1217" spans="1:16">
      <c r="A1217" s="86" t="s">
        <v>2855</v>
      </c>
      <c r="B1217" s="83">
        <v>127</v>
      </c>
      <c r="C1217" s="34" t="s">
        <v>201</v>
      </c>
      <c r="D1217" s="34" t="s">
        <v>85</v>
      </c>
      <c r="E1217" s="83">
        <v>9</v>
      </c>
      <c r="F1217" s="43">
        <f t="shared" si="247"/>
        <v>8.9108910891089099</v>
      </c>
      <c r="G1217" s="44">
        <f t="shared" si="240"/>
        <v>8</v>
      </c>
      <c r="H1217" s="44">
        <f t="shared" si="241"/>
        <v>0.91089108910890992</v>
      </c>
      <c r="I1217" cm="1">
        <f t="array" ref="I1217">INT(F1217)+IF(100-SUM(INT(F$1211:F$1220))&gt;=RANK(H1217,H$1211:H$1220)+COUNTIF(H$1211:H1217,H1217)-1,1,0)</f>
        <v>9</v>
      </c>
      <c r="J1217" t="b">
        <f t="shared" si="242"/>
        <v>0</v>
      </c>
      <c r="K1217" t="str">
        <f t="shared" si="243"/>
        <v/>
      </c>
      <c r="L1217">
        <f>_xlfn.XLOOKUP(D1217,BugList!C:C,BugList!N:N)</f>
        <v>4</v>
      </c>
      <c r="M1217">
        <f t="shared" si="244"/>
        <v>36</v>
      </c>
      <c r="N1217" t="b">
        <f>_xlfn.XLOOKUP(D1217,BugList!C:C,BugList!L:L)</f>
        <v>0</v>
      </c>
      <c r="O1217" t="b">
        <f t="shared" si="245"/>
        <v>0</v>
      </c>
      <c r="P1217" s="18" t="b">
        <f>SUMPRODUCT(COUNTIF(_xlfn.XLOOKUP(D1217,BugList!C:C,BugList!P:P), "*SC*"))&gt;0</f>
        <v>0</v>
      </c>
    </row>
    <row r="1218" spans="1:16">
      <c r="A1218" s="86" t="s">
        <v>2855</v>
      </c>
      <c r="B1218" s="83">
        <v>127</v>
      </c>
      <c r="C1218" s="34" t="s">
        <v>2315</v>
      </c>
      <c r="D1218" s="34" t="s">
        <v>2315</v>
      </c>
      <c r="E1218" s="83">
        <v>63</v>
      </c>
      <c r="F1218" s="43">
        <f t="shared" si="247"/>
        <v>62.376237623762378</v>
      </c>
      <c r="G1218" s="44">
        <f t="shared" si="240"/>
        <v>62</v>
      </c>
      <c r="H1218" s="44">
        <f t="shared" si="241"/>
        <v>0.37623762376237835</v>
      </c>
      <c r="I1218" cm="1">
        <f t="array" ref="I1218">INT(F1218)+IF(100-SUM(INT(F$1211:F$1220))&gt;=RANK(H1218,H$1211:H$1220)+COUNTIF(H$1211:H1218,H1218)-1,1,0)</f>
        <v>62</v>
      </c>
      <c r="J1218" t="b">
        <f t="shared" si="242"/>
        <v>0</v>
      </c>
      <c r="K1218" t="str">
        <f t="shared" si="243"/>
        <v/>
      </c>
      <c r="L1218">
        <f>_xlfn.XLOOKUP(D1218,BugList!C:C,BugList!N:N)</f>
        <v>7</v>
      </c>
      <c r="M1218">
        <f t="shared" si="244"/>
        <v>434</v>
      </c>
      <c r="N1218" t="b">
        <f>_xlfn.XLOOKUP(D1218,BugList!C:C,BugList!L:L)</f>
        <v>0</v>
      </c>
      <c r="O1218" t="b">
        <f t="shared" si="245"/>
        <v>0</v>
      </c>
      <c r="P1218" s="18" t="b">
        <f>SUMPRODUCT(COUNTIF(_xlfn.XLOOKUP(D1218,BugList!C:C,BugList!P:P), "*SC*"))&gt;0</f>
        <v>1</v>
      </c>
    </row>
    <row r="1219" spans="1:16">
      <c r="A1219" s="86" t="s">
        <v>2855</v>
      </c>
      <c r="B1219" s="83">
        <v>127</v>
      </c>
      <c r="C1219" s="34" t="s">
        <v>205</v>
      </c>
      <c r="D1219" s="34" t="s">
        <v>206</v>
      </c>
      <c r="E1219" s="83">
        <v>11</v>
      </c>
      <c r="F1219" s="43">
        <f t="shared" si="247"/>
        <v>10.891089108910892</v>
      </c>
      <c r="G1219" s="44">
        <f t="shared" si="240"/>
        <v>10</v>
      </c>
      <c r="H1219" s="44">
        <f t="shared" si="241"/>
        <v>0.89108910891089188</v>
      </c>
      <c r="I1219" cm="1">
        <f t="array" ref="I1219">INT(F1219)+IF(100-SUM(INT(F$1211:F$1220))&gt;=RANK(H1219,H$1211:H$1220)+COUNTIF(H$1211:H1219,H1219)-1,1,0)</f>
        <v>11</v>
      </c>
      <c r="J1219" t="b">
        <f t="shared" si="242"/>
        <v>0</v>
      </c>
      <c r="K1219" t="str">
        <f t="shared" si="243"/>
        <v/>
      </c>
      <c r="L1219" s="71">
        <v>8</v>
      </c>
      <c r="M1219">
        <f t="shared" si="244"/>
        <v>88</v>
      </c>
      <c r="N1219" s="71" t="b">
        <v>0</v>
      </c>
      <c r="O1219" t="b">
        <f t="shared" si="245"/>
        <v>0</v>
      </c>
      <c r="P1219" s="72" t="b">
        <v>0</v>
      </c>
    </row>
    <row r="1220" spans="1:16">
      <c r="A1220" s="86" t="s">
        <v>2855</v>
      </c>
      <c r="B1220" s="83">
        <v>127</v>
      </c>
      <c r="C1220" s="34" t="s">
        <v>94</v>
      </c>
      <c r="D1220" s="34" t="s">
        <v>94</v>
      </c>
      <c r="E1220" s="83">
        <v>1</v>
      </c>
      <c r="F1220" s="43">
        <f t="shared" si="247"/>
        <v>0.99009900990099009</v>
      </c>
      <c r="G1220" s="44">
        <f t="shared" si="240"/>
        <v>0</v>
      </c>
      <c r="H1220" s="44">
        <f t="shared" si="241"/>
        <v>0.99009900990099009</v>
      </c>
      <c r="I1220" cm="1">
        <f t="array" ref="I1220">INT(F1220)+IF(100-SUM(INT(F$1211:F$1220))&gt;=RANK(H1220,H$1211:H$1220)+COUNTIF(H$1211:H1220,H1220)-1,1,0)</f>
        <v>1</v>
      </c>
      <c r="J1220" t="b">
        <f t="shared" si="242"/>
        <v>0</v>
      </c>
      <c r="K1220" t="str">
        <f t="shared" si="243"/>
        <v/>
      </c>
      <c r="L1220">
        <f>_xlfn.XLOOKUP(D1220,BugList!C:C,BugList!N:N)</f>
        <v>8</v>
      </c>
      <c r="M1220">
        <f t="shared" si="244"/>
        <v>8</v>
      </c>
      <c r="N1220" t="b">
        <f>_xlfn.XLOOKUP(D1220,BugList!C:C,BugList!L:L)</f>
        <v>0</v>
      </c>
      <c r="O1220" t="b">
        <f t="shared" si="245"/>
        <v>0</v>
      </c>
      <c r="P1220" s="18" t="b">
        <f>SUMPRODUCT(COUNTIF(_xlfn.XLOOKUP(D1220,BugList!C:C,BugList!P:P), "*SC*"))&gt;0</f>
        <v>0</v>
      </c>
    </row>
    <row r="1221" spans="1:16">
      <c r="A1221" s="86" t="s">
        <v>2856</v>
      </c>
      <c r="B1221" s="83">
        <v>136</v>
      </c>
      <c r="C1221" s="34" t="s">
        <v>200</v>
      </c>
      <c r="D1221" s="34" t="s">
        <v>99</v>
      </c>
      <c r="E1221" s="83">
        <v>1</v>
      </c>
      <c r="F1221" s="43">
        <f t="shared" si="247"/>
        <v>0.93457943925233633</v>
      </c>
      <c r="G1221" s="44">
        <f t="shared" si="240"/>
        <v>0</v>
      </c>
      <c r="H1221" s="44">
        <f t="shared" si="241"/>
        <v>0.93457943925233633</v>
      </c>
      <c r="I1221" cm="1">
        <f t="array" ref="I1221">INT(F1221)+IF(100-SUM(INT(F$1221:F$1237))&gt;=RANK(H1221,H$1221:H$1237)+COUNTIF(H$1221:H1221,H1221)-1,1,0)</f>
        <v>1</v>
      </c>
      <c r="J1221" t="b">
        <f t="shared" si="242"/>
        <v>0</v>
      </c>
      <c r="K1221" t="str">
        <f t="shared" si="243"/>
        <v/>
      </c>
      <c r="L1221">
        <f>_xlfn.XLOOKUP(D1221,BugList!C:C,BugList!N:N)</f>
        <v>5</v>
      </c>
      <c r="M1221">
        <f t="shared" si="244"/>
        <v>5</v>
      </c>
      <c r="N1221" t="b">
        <f>_xlfn.XLOOKUP(D1221,BugList!C:C,BugList!L:L)</f>
        <v>1</v>
      </c>
      <c r="O1221" t="b">
        <f t="shared" si="245"/>
        <v>0</v>
      </c>
      <c r="P1221" s="18" t="b">
        <f>SUMPRODUCT(COUNTIF(_xlfn.XLOOKUP(D1221,BugList!C:C,BugList!P:P), "*SC*"))&gt;0</f>
        <v>0</v>
      </c>
    </row>
    <row r="1222" spans="1:16">
      <c r="A1222" s="86" t="s">
        <v>2856</v>
      </c>
      <c r="B1222" s="83">
        <v>136</v>
      </c>
      <c r="C1222" s="34" t="s">
        <v>194</v>
      </c>
      <c r="D1222" s="34" t="s">
        <v>126</v>
      </c>
      <c r="E1222" s="83">
        <v>3</v>
      </c>
      <c r="F1222" s="43">
        <f t="shared" si="247"/>
        <v>2.8037383177570092</v>
      </c>
      <c r="G1222" s="44">
        <f t="shared" si="240"/>
        <v>2</v>
      </c>
      <c r="H1222" s="44">
        <f t="shared" si="241"/>
        <v>0.80373831775700921</v>
      </c>
      <c r="I1222" cm="1">
        <f t="array" ref="I1222">INT(F1222)+IF(100-SUM(INT(F$1221:F$1237))&gt;=RANK(H1222,H$1221:H$1237)+COUNTIF(H$1221:H1222,H1222)-1,1,0)</f>
        <v>3</v>
      </c>
      <c r="J1222" t="b">
        <f t="shared" si="242"/>
        <v>0</v>
      </c>
      <c r="K1222" t="str">
        <f t="shared" si="243"/>
        <v/>
      </c>
      <c r="L1222">
        <f>_xlfn.XLOOKUP(D1222,BugList!C:C,BugList!N:N)</f>
        <v>8</v>
      </c>
      <c r="M1222">
        <f t="shared" si="244"/>
        <v>24</v>
      </c>
      <c r="N1222" t="b">
        <f>_xlfn.XLOOKUP(D1222,BugList!C:C,BugList!L:L)</f>
        <v>1</v>
      </c>
      <c r="O1222" t="b">
        <f t="shared" si="245"/>
        <v>0</v>
      </c>
      <c r="P1222" s="18" t="b">
        <f>SUMPRODUCT(COUNTIF(_xlfn.XLOOKUP(D1222,BugList!C:C,BugList!P:P), "*SC*"))&gt;0</f>
        <v>0</v>
      </c>
    </row>
    <row r="1223" spans="1:16">
      <c r="A1223" s="86" t="s">
        <v>2856</v>
      </c>
      <c r="B1223" s="83">
        <v>136</v>
      </c>
      <c r="C1223" s="34" t="s">
        <v>194</v>
      </c>
      <c r="D1223" s="34" t="s">
        <v>90</v>
      </c>
      <c r="E1223" s="83">
        <v>28</v>
      </c>
      <c r="F1223" s="43">
        <f t="shared" si="247"/>
        <v>26.168224299065418</v>
      </c>
      <c r="G1223" s="44">
        <f t="shared" si="240"/>
        <v>26</v>
      </c>
      <c r="H1223" s="44">
        <f t="shared" si="241"/>
        <v>0.16822429906541814</v>
      </c>
      <c r="I1223" cm="1">
        <f t="array" ref="I1223">INT(F1223)+IF(100-SUM(INT(F$1221:F$1237))&gt;=RANK(H1223,H$1221:H$1237)+COUNTIF(H$1221:H1223,H1223)-1,1,0)</f>
        <v>26</v>
      </c>
      <c r="J1223" t="b">
        <f t="shared" si="242"/>
        <v>0</v>
      </c>
      <c r="K1223" t="str">
        <f t="shared" si="243"/>
        <v/>
      </c>
      <c r="L1223">
        <f>_xlfn.XLOOKUP(D1223,BugList!C:C,BugList!N:N)</f>
        <v>6</v>
      </c>
      <c r="M1223">
        <f t="shared" si="244"/>
        <v>156</v>
      </c>
      <c r="N1223" t="b">
        <f>_xlfn.XLOOKUP(D1223,BugList!C:C,BugList!L:L)</f>
        <v>1</v>
      </c>
      <c r="O1223" t="b">
        <f t="shared" si="245"/>
        <v>0</v>
      </c>
      <c r="P1223" s="18" t="b">
        <f>SUMPRODUCT(COUNTIF(_xlfn.XLOOKUP(D1223,BugList!C:C,BugList!P:P), "*SC*"))&gt;0</f>
        <v>0</v>
      </c>
    </row>
    <row r="1224" spans="1:16">
      <c r="A1224" s="86" t="s">
        <v>2856</v>
      </c>
      <c r="B1224" s="83">
        <v>136</v>
      </c>
      <c r="C1224" s="34" t="s">
        <v>194</v>
      </c>
      <c r="D1224" s="34" t="s">
        <v>131</v>
      </c>
      <c r="E1224" s="83">
        <v>1</v>
      </c>
      <c r="F1224" s="43">
        <f t="shared" si="247"/>
        <v>0.93457943925233633</v>
      </c>
      <c r="G1224" s="44">
        <f t="shared" si="240"/>
        <v>0</v>
      </c>
      <c r="H1224" s="44">
        <f t="shared" si="241"/>
        <v>0.93457943925233633</v>
      </c>
      <c r="I1224" cm="1">
        <f t="array" ref="I1224">INT(F1224)+IF(100-SUM(INT(F$1221:F$1237))&gt;=RANK(H1224,H$1221:H$1237)+COUNTIF(H$1221:H1224,H1224)-1,1,0)</f>
        <v>1</v>
      </c>
      <c r="J1224" t="b">
        <f t="shared" si="242"/>
        <v>0</v>
      </c>
      <c r="K1224" t="str">
        <f t="shared" si="243"/>
        <v/>
      </c>
      <c r="L1224">
        <f>_xlfn.XLOOKUP(D1224,BugList!C:C,BugList!N:N)</f>
        <v>6</v>
      </c>
      <c r="M1224">
        <f t="shared" si="244"/>
        <v>6</v>
      </c>
      <c r="N1224" t="b">
        <f>_xlfn.XLOOKUP(D1224,BugList!C:C,BugList!L:L)</f>
        <v>1</v>
      </c>
      <c r="O1224" t="b">
        <f t="shared" si="245"/>
        <v>0</v>
      </c>
      <c r="P1224" s="18" t="b">
        <f>SUMPRODUCT(COUNTIF(_xlfn.XLOOKUP(D1224,BugList!C:C,BugList!P:P), "*SC*"))&gt;0</f>
        <v>0</v>
      </c>
    </row>
    <row r="1225" spans="1:16">
      <c r="A1225" s="86" t="s">
        <v>2856</v>
      </c>
      <c r="B1225" s="83">
        <v>136</v>
      </c>
      <c r="C1225" s="34" t="s">
        <v>194</v>
      </c>
      <c r="D1225" s="34" t="s">
        <v>101</v>
      </c>
      <c r="E1225" s="83">
        <v>5</v>
      </c>
      <c r="F1225" s="43">
        <f t="shared" si="247"/>
        <v>4.6728971962616823</v>
      </c>
      <c r="G1225" s="44">
        <f t="shared" si="240"/>
        <v>4</v>
      </c>
      <c r="H1225" s="44">
        <f t="shared" si="241"/>
        <v>0.67289719626168232</v>
      </c>
      <c r="I1225" cm="1">
        <f t="array" ref="I1225">INT(F1225)+IF(100-SUM(INT(F$1221:F$1237))&gt;=RANK(H1225,H$1221:H$1237)+COUNTIF(H$1221:H1225,H1225)-1,1,0)</f>
        <v>5</v>
      </c>
      <c r="J1225" t="b">
        <f t="shared" si="242"/>
        <v>0</v>
      </c>
      <c r="K1225" t="str">
        <f t="shared" si="243"/>
        <v/>
      </c>
      <c r="L1225">
        <f>_xlfn.XLOOKUP(D1225,BugList!C:C,BugList!N:N)</f>
        <v>6</v>
      </c>
      <c r="M1225">
        <f t="shared" si="244"/>
        <v>30</v>
      </c>
      <c r="N1225" t="b">
        <f>_xlfn.XLOOKUP(D1225,BugList!C:C,BugList!L:L)</f>
        <v>1</v>
      </c>
      <c r="O1225" t="b">
        <f t="shared" si="245"/>
        <v>0</v>
      </c>
      <c r="P1225" s="18" t="b">
        <f>SUMPRODUCT(COUNTIF(_xlfn.XLOOKUP(D1225,BugList!C:C,BugList!P:P), "*SC*"))&gt;0</f>
        <v>0</v>
      </c>
    </row>
    <row r="1226" spans="1:16">
      <c r="A1226" s="86" t="s">
        <v>2856</v>
      </c>
      <c r="B1226" s="83">
        <v>136</v>
      </c>
      <c r="C1226" s="34" t="s">
        <v>194</v>
      </c>
      <c r="D1226" s="34" t="s">
        <v>108</v>
      </c>
      <c r="E1226" s="83">
        <v>2</v>
      </c>
      <c r="F1226" s="43">
        <f t="shared" si="247"/>
        <v>1.8691588785046727</v>
      </c>
      <c r="G1226" s="44">
        <f t="shared" si="240"/>
        <v>1</v>
      </c>
      <c r="H1226" s="44">
        <f t="shared" si="241"/>
        <v>0.86915887850467266</v>
      </c>
      <c r="I1226" cm="1">
        <f t="array" ref="I1226">INT(F1226)+IF(100-SUM(INT(F$1221:F$1237))&gt;=RANK(H1226,H$1221:H$1237)+COUNTIF(H$1221:H1226,H1226)-1,1,0)</f>
        <v>2</v>
      </c>
      <c r="J1226" t="b">
        <f t="shared" si="242"/>
        <v>0</v>
      </c>
      <c r="K1226" t="str">
        <f t="shared" si="243"/>
        <v/>
      </c>
      <c r="L1226">
        <f>_xlfn.XLOOKUP(D1226,BugList!C:C,BugList!N:N)</f>
        <v>3</v>
      </c>
      <c r="M1226">
        <f t="shared" si="244"/>
        <v>6</v>
      </c>
      <c r="N1226" t="b">
        <f>_xlfn.XLOOKUP(D1226,BugList!C:C,BugList!L:L)</f>
        <v>1</v>
      </c>
      <c r="O1226" t="b">
        <f t="shared" si="245"/>
        <v>0</v>
      </c>
      <c r="P1226" s="18" t="b">
        <f>SUMPRODUCT(COUNTIF(_xlfn.XLOOKUP(D1226,BugList!C:C,BugList!P:P), "*SC*"))&gt;0</f>
        <v>0</v>
      </c>
    </row>
    <row r="1227" spans="1:16">
      <c r="A1227" s="86" t="s">
        <v>2856</v>
      </c>
      <c r="B1227" s="83">
        <v>136</v>
      </c>
      <c r="C1227" s="34" t="s">
        <v>199</v>
      </c>
      <c r="D1227" s="34" t="s">
        <v>969</v>
      </c>
      <c r="E1227" s="83">
        <v>7</v>
      </c>
      <c r="F1227" s="43">
        <f t="shared" si="247"/>
        <v>6.5420560747663545</v>
      </c>
      <c r="G1227" s="44">
        <f t="shared" si="240"/>
        <v>6</v>
      </c>
      <c r="H1227" s="44">
        <f t="shared" si="241"/>
        <v>0.54205607476635453</v>
      </c>
      <c r="I1227" cm="1">
        <f t="array" ref="I1227">INT(F1227)+IF(100-SUM(INT(F$1221:F$1237))&gt;=RANK(H1227,H$1221:H$1237)+COUNTIF(H$1221:H1227,H1227)-1,1,0)</f>
        <v>6</v>
      </c>
      <c r="J1227" t="b">
        <f t="shared" si="242"/>
        <v>1</v>
      </c>
      <c r="K1227" t="str">
        <f t="shared" si="243"/>
        <v>Ephemeroptera</v>
      </c>
      <c r="L1227">
        <f>_xlfn.XLOOKUP(D1227,BugList!C:C,BugList!N:N)</f>
        <v>7</v>
      </c>
      <c r="M1227">
        <f t="shared" si="244"/>
        <v>42</v>
      </c>
      <c r="N1227" t="b">
        <f>_xlfn.XLOOKUP(D1227,BugList!C:C,BugList!L:L)</f>
        <v>1</v>
      </c>
      <c r="O1227" t="b">
        <f t="shared" si="245"/>
        <v>1</v>
      </c>
      <c r="P1227" s="18" t="b">
        <f>SUMPRODUCT(COUNTIF(_xlfn.XLOOKUP(D1227,BugList!C:C,BugList!P:P), "*SC*"))&gt;0</f>
        <v>0</v>
      </c>
    </row>
    <row r="1228" spans="1:16">
      <c r="A1228" s="86" t="s">
        <v>2856</v>
      </c>
      <c r="B1228" s="83">
        <v>136</v>
      </c>
      <c r="C1228" s="34" t="s">
        <v>195</v>
      </c>
      <c r="D1228" s="34" t="s">
        <v>113</v>
      </c>
      <c r="E1228" s="83">
        <v>1</v>
      </c>
      <c r="F1228" s="43">
        <f t="shared" si="247"/>
        <v>0.93457943925233633</v>
      </c>
      <c r="G1228" s="44">
        <f t="shared" si="240"/>
        <v>0</v>
      </c>
      <c r="H1228" s="44">
        <f t="shared" si="241"/>
        <v>0.93457943925233633</v>
      </c>
      <c r="I1228" cm="1">
        <f t="array" ref="I1228">INT(F1228)+IF(100-SUM(INT(F$1221:F$1237))&gt;=RANK(H1228,H$1221:H$1237)+COUNTIF(H$1221:H1228,H1228)-1,1,0)</f>
        <v>1</v>
      </c>
      <c r="J1228" t="b">
        <f t="shared" si="242"/>
        <v>0</v>
      </c>
      <c r="K1228" t="str">
        <f t="shared" si="243"/>
        <v/>
      </c>
      <c r="L1228">
        <f>_xlfn.XLOOKUP(D1228,BugList!C:C,BugList!N:N)</f>
        <v>1</v>
      </c>
      <c r="M1228">
        <f t="shared" si="244"/>
        <v>1</v>
      </c>
      <c r="N1228" t="b">
        <f>_xlfn.XLOOKUP(D1228,BugList!C:C,BugList!L:L)</f>
        <v>1</v>
      </c>
      <c r="O1228" t="b">
        <f t="shared" si="245"/>
        <v>0</v>
      </c>
      <c r="P1228" s="18" t="b">
        <f>SUMPRODUCT(COUNTIF(_xlfn.XLOOKUP(D1228,BugList!C:C,BugList!P:P), "*SC*"))&gt;0</f>
        <v>0</v>
      </c>
    </row>
    <row r="1229" spans="1:16">
      <c r="A1229" s="86" t="s">
        <v>2856</v>
      </c>
      <c r="B1229" s="83">
        <v>136</v>
      </c>
      <c r="C1229" s="34" t="s">
        <v>197</v>
      </c>
      <c r="D1229" s="34" t="s">
        <v>498</v>
      </c>
      <c r="E1229" s="83">
        <v>6</v>
      </c>
      <c r="F1229" s="43">
        <f t="shared" si="247"/>
        <v>5.6074766355140184</v>
      </c>
      <c r="G1229" s="44">
        <f t="shared" si="240"/>
        <v>5</v>
      </c>
      <c r="H1229" s="44">
        <f t="shared" si="241"/>
        <v>0.60747663551401843</v>
      </c>
      <c r="I1229" cm="1">
        <f t="array" ref="I1229">INT(F1229)+IF(100-SUM(INT(F$1221:F$1237))&gt;=RANK(H1229,H$1221:H$1237)+COUNTIF(H$1221:H1229,H1229)-1,1,0)</f>
        <v>6</v>
      </c>
      <c r="J1229" t="b">
        <f t="shared" si="242"/>
        <v>1</v>
      </c>
      <c r="K1229" t="str">
        <f t="shared" si="243"/>
        <v>Plecoptera</v>
      </c>
      <c r="L1229">
        <f>_xlfn.XLOOKUP(D1229,BugList!C:C,BugList!N:N)</f>
        <v>1</v>
      </c>
      <c r="M1229">
        <f t="shared" si="244"/>
        <v>6</v>
      </c>
      <c r="N1229" t="b">
        <f>_xlfn.XLOOKUP(D1229,BugList!C:C,BugList!L:L)</f>
        <v>1</v>
      </c>
      <c r="O1229" t="b">
        <f t="shared" si="245"/>
        <v>1</v>
      </c>
      <c r="P1229" s="18" t="b">
        <f>SUMPRODUCT(COUNTIF(_xlfn.XLOOKUP(D1229,BugList!C:C,BugList!P:P), "*SC*"))&gt;0</f>
        <v>0</v>
      </c>
    </row>
    <row r="1230" spans="1:16">
      <c r="A1230" s="86" t="s">
        <v>2856</v>
      </c>
      <c r="B1230" s="83">
        <v>136</v>
      </c>
      <c r="C1230" s="34" t="s">
        <v>197</v>
      </c>
      <c r="D1230" s="34" t="s">
        <v>106</v>
      </c>
      <c r="E1230" s="83">
        <v>7</v>
      </c>
      <c r="F1230" s="43">
        <f t="shared" si="247"/>
        <v>6.5420560747663545</v>
      </c>
      <c r="G1230" s="44">
        <f t="shared" si="240"/>
        <v>6</v>
      </c>
      <c r="H1230" s="44">
        <f t="shared" si="241"/>
        <v>0.54205607476635453</v>
      </c>
      <c r="I1230" cm="1">
        <f t="array" ref="I1230">INT(F1230)+IF(100-SUM(INT(F$1221:F$1237))&gt;=RANK(H1230,H$1221:H$1237)+COUNTIF(H$1221:H1230,H1230)-1,1,0)</f>
        <v>6</v>
      </c>
      <c r="J1230" t="b">
        <f t="shared" si="242"/>
        <v>1</v>
      </c>
      <c r="K1230" t="str">
        <f t="shared" si="243"/>
        <v>Plecoptera</v>
      </c>
      <c r="L1230">
        <f>_xlfn.XLOOKUP(D1230,BugList!C:C,BugList!N:N)</f>
        <v>2</v>
      </c>
      <c r="M1230">
        <f t="shared" si="244"/>
        <v>12</v>
      </c>
      <c r="N1230" t="b">
        <f>_xlfn.XLOOKUP(D1230,BugList!C:C,BugList!L:L)</f>
        <v>1</v>
      </c>
      <c r="O1230" t="b">
        <f t="shared" si="245"/>
        <v>1</v>
      </c>
      <c r="P1230" s="18" t="b">
        <f>SUMPRODUCT(COUNTIF(_xlfn.XLOOKUP(D1230,BugList!C:C,BugList!P:P), "*SC*"))&gt;0</f>
        <v>0</v>
      </c>
    </row>
    <row r="1231" spans="1:16">
      <c r="A1231" s="86" t="s">
        <v>2856</v>
      </c>
      <c r="B1231" s="83">
        <v>136</v>
      </c>
      <c r="C1231" s="34" t="s">
        <v>198</v>
      </c>
      <c r="D1231" s="34" t="s">
        <v>89</v>
      </c>
      <c r="E1231" s="83">
        <v>16</v>
      </c>
      <c r="F1231" s="43">
        <f t="shared" si="247"/>
        <v>14.953271028037381</v>
      </c>
      <c r="G1231" s="44">
        <f t="shared" si="240"/>
        <v>14</v>
      </c>
      <c r="H1231" s="44">
        <f t="shared" si="241"/>
        <v>0.95327102803738129</v>
      </c>
      <c r="I1231" cm="1">
        <f t="array" ref="I1231">INT(F1231)+IF(100-SUM(INT(F$1221:F$1237))&gt;=RANK(H1231,H$1221:H$1237)+COUNTIF(H$1221:H1231,H1231)-1,1,0)</f>
        <v>15</v>
      </c>
      <c r="J1231" t="b">
        <f t="shared" si="242"/>
        <v>1</v>
      </c>
      <c r="K1231" t="str">
        <f t="shared" si="243"/>
        <v>Trichoptera</v>
      </c>
      <c r="L1231">
        <f>_xlfn.XLOOKUP(D1231,BugList!C:C,BugList!N:N)</f>
        <v>4</v>
      </c>
      <c r="M1231">
        <f t="shared" si="244"/>
        <v>60</v>
      </c>
      <c r="N1231" t="b">
        <f>_xlfn.XLOOKUP(D1231,BugList!C:C,BugList!L:L)</f>
        <v>1</v>
      </c>
      <c r="O1231" t="b">
        <f t="shared" si="245"/>
        <v>0</v>
      </c>
      <c r="P1231" s="18" t="b">
        <f>SUMPRODUCT(COUNTIF(_xlfn.XLOOKUP(D1231,BugList!C:C,BugList!P:P), "*SC*"))&gt;0</f>
        <v>0</v>
      </c>
    </row>
    <row r="1232" spans="1:16">
      <c r="A1232" s="86" t="s">
        <v>2856</v>
      </c>
      <c r="B1232" s="83">
        <v>136</v>
      </c>
      <c r="C1232" s="34" t="s">
        <v>204</v>
      </c>
      <c r="D1232" s="34" t="s">
        <v>84</v>
      </c>
      <c r="E1232" s="83">
        <v>1</v>
      </c>
      <c r="F1232" s="43">
        <f t="shared" si="247"/>
        <v>0.93457943925233633</v>
      </c>
      <c r="G1232" s="44">
        <f t="shared" si="240"/>
        <v>0</v>
      </c>
      <c r="H1232" s="44">
        <f t="shared" si="241"/>
        <v>0.93457943925233633</v>
      </c>
      <c r="I1232" cm="1">
        <f t="array" ref="I1232">INT(F1232)+IF(100-SUM(INT(F$1221:F$1237))&gt;=RANK(H1232,H$1221:H$1237)+COUNTIF(H$1221:H1232,H1232)-1,1,0)</f>
        <v>1</v>
      </c>
      <c r="J1232" t="b">
        <f t="shared" si="242"/>
        <v>0</v>
      </c>
      <c r="K1232" t="str">
        <f t="shared" si="243"/>
        <v/>
      </c>
      <c r="L1232">
        <f>_xlfn.XLOOKUP(D1232,BugList!C:C,BugList!N:N)</f>
        <v>8</v>
      </c>
      <c r="M1232">
        <f t="shared" si="244"/>
        <v>8</v>
      </c>
      <c r="N1232" t="b">
        <f>_xlfn.XLOOKUP(D1232,BugList!C:C,BugList!L:L)</f>
        <v>0</v>
      </c>
      <c r="O1232" t="b">
        <f t="shared" si="245"/>
        <v>0</v>
      </c>
      <c r="P1232" s="18" t="b">
        <f>SUMPRODUCT(COUNTIF(_xlfn.XLOOKUP(D1232,BugList!C:C,BugList!P:P), "*SC*"))&gt;0</f>
        <v>0</v>
      </c>
    </row>
    <row r="1233" spans="1:16">
      <c r="A1233" s="86" t="s">
        <v>2856</v>
      </c>
      <c r="B1233" s="83">
        <v>136</v>
      </c>
      <c r="C1233" s="34" t="s">
        <v>201</v>
      </c>
      <c r="D1233" s="34" t="s">
        <v>85</v>
      </c>
      <c r="E1233" s="83">
        <v>1</v>
      </c>
      <c r="F1233" s="43">
        <f t="shared" si="247"/>
        <v>0.93457943925233633</v>
      </c>
      <c r="G1233" s="44">
        <f t="shared" si="240"/>
        <v>0</v>
      </c>
      <c r="H1233" s="44">
        <f t="shared" si="241"/>
        <v>0.93457943925233633</v>
      </c>
      <c r="I1233" cm="1">
        <f t="array" ref="I1233">INT(F1233)+IF(100-SUM(INT(F$1221:F$1237))&gt;=RANK(H1233,H$1221:H$1237)+COUNTIF(H$1221:H1233,H1233)-1,1,0)</f>
        <v>1</v>
      </c>
      <c r="J1233" t="b">
        <f t="shared" si="242"/>
        <v>0</v>
      </c>
      <c r="K1233" t="str">
        <f t="shared" si="243"/>
        <v/>
      </c>
      <c r="L1233">
        <f>_xlfn.XLOOKUP(D1233,BugList!C:C,BugList!N:N)</f>
        <v>4</v>
      </c>
      <c r="M1233">
        <f t="shared" si="244"/>
        <v>4</v>
      </c>
      <c r="N1233" t="b">
        <f>_xlfn.XLOOKUP(D1233,BugList!C:C,BugList!L:L)</f>
        <v>0</v>
      </c>
      <c r="O1233" t="b">
        <f t="shared" si="245"/>
        <v>0</v>
      </c>
      <c r="P1233" s="18" t="b">
        <f>SUMPRODUCT(COUNTIF(_xlfn.XLOOKUP(D1233,BugList!C:C,BugList!P:P), "*SC*"))&gt;0</f>
        <v>0</v>
      </c>
    </row>
    <row r="1234" spans="1:16">
      <c r="A1234" s="86" t="s">
        <v>2856</v>
      </c>
      <c r="B1234" s="83">
        <v>136</v>
      </c>
      <c r="C1234" s="34" t="s">
        <v>210</v>
      </c>
      <c r="D1234" s="34" t="s">
        <v>210</v>
      </c>
      <c r="E1234" s="83">
        <v>1</v>
      </c>
      <c r="F1234" s="43">
        <f t="shared" si="247"/>
        <v>0.93457943925233633</v>
      </c>
      <c r="G1234" s="44">
        <f t="shared" ref="G1234:G1297" si="248">INT(F1234)</f>
        <v>0</v>
      </c>
      <c r="H1234" s="44">
        <f t="shared" ref="H1234:H1297" si="249">F1234-G1234</f>
        <v>0.93457943925233633</v>
      </c>
      <c r="I1234" cm="1">
        <f t="array" ref="I1234">INT(F1234)+IF(100-SUM(INT(F$1221:F$1237))&gt;=RANK(H1234,H$1221:H$1237)+COUNTIF(H$1221:H1234,H1234)-1,1,0)</f>
        <v>1</v>
      </c>
      <c r="J1234" t="b">
        <f t="shared" ref="J1234:J1297" si="250">IF(OR(C1234="Ephemeroptera", C1234 ="Plecoptera", C1234= "Trichoptera"), TRUE, FALSE)</f>
        <v>0</v>
      </c>
      <c r="K1234" t="str">
        <f t="shared" ref="K1234:K1297" si="251">IF(J1234=TRUE,C1234,"")</f>
        <v/>
      </c>
      <c r="L1234" s="71">
        <v>8</v>
      </c>
      <c r="M1234">
        <f t="shared" ref="M1234" si="252">L1234*I1234</f>
        <v>8</v>
      </c>
      <c r="N1234" s="71" t="b">
        <v>0</v>
      </c>
      <c r="O1234" t="b">
        <f t="shared" ref="O1234" si="253">IF(J1234=TRUE,IF(D1234="Hydropsychidae", FALSE, TRUE), FALSE)</f>
        <v>0</v>
      </c>
      <c r="P1234" s="72" t="b">
        <v>0</v>
      </c>
    </row>
    <row r="1235" spans="1:16">
      <c r="A1235" s="86" t="s">
        <v>2856</v>
      </c>
      <c r="B1235" s="83">
        <v>136</v>
      </c>
      <c r="C1235" s="34" t="s">
        <v>2315</v>
      </c>
      <c r="D1235" s="34" t="s">
        <v>2315</v>
      </c>
      <c r="E1235" s="83">
        <v>11</v>
      </c>
      <c r="F1235" s="43">
        <f t="shared" si="247"/>
        <v>10.2803738317757</v>
      </c>
      <c r="G1235" s="44">
        <f t="shared" si="248"/>
        <v>10</v>
      </c>
      <c r="H1235" s="44">
        <f t="shared" si="249"/>
        <v>0.28037383177569986</v>
      </c>
      <c r="I1235" cm="1">
        <f t="array" ref="I1235">INT(F1235)+IF(100-SUM(INT(F$1221:F$1237))&gt;=RANK(H1235,H$1221:H$1237)+COUNTIF(H$1221:H1235,H1235)-1,1,0)</f>
        <v>10</v>
      </c>
      <c r="J1235" t="b">
        <f t="shared" si="250"/>
        <v>0</v>
      </c>
      <c r="K1235" t="str">
        <f t="shared" si="251"/>
        <v/>
      </c>
      <c r="L1235">
        <f>_xlfn.XLOOKUP(D1235,BugList!C:C,BugList!N:N)</f>
        <v>7</v>
      </c>
      <c r="M1235">
        <f t="shared" ref="M1235:M1297" si="254">L1235*I1235</f>
        <v>70</v>
      </c>
      <c r="N1235" t="b">
        <f>_xlfn.XLOOKUP(D1235,BugList!C:C,BugList!L:L)</f>
        <v>0</v>
      </c>
      <c r="O1235" t="b">
        <f t="shared" ref="O1235:O1297" si="255">IF(J1235=TRUE,IF(D1235="Hydropsychidae", FALSE, TRUE), FALSE)</f>
        <v>0</v>
      </c>
      <c r="P1235" s="18" t="b">
        <f>SUMPRODUCT(COUNTIF(_xlfn.XLOOKUP(D1235,BugList!C:C,BugList!P:P), "*SC*"))&gt;0</f>
        <v>1</v>
      </c>
    </row>
    <row r="1236" spans="1:16">
      <c r="A1236" s="86" t="s">
        <v>2856</v>
      </c>
      <c r="B1236" s="83">
        <v>136</v>
      </c>
      <c r="C1236" s="34" t="s">
        <v>205</v>
      </c>
      <c r="D1236" s="34" t="s">
        <v>206</v>
      </c>
      <c r="E1236" s="83">
        <v>3</v>
      </c>
      <c r="F1236" s="43">
        <f t="shared" si="247"/>
        <v>2.8037383177570092</v>
      </c>
      <c r="G1236" s="44">
        <f t="shared" si="248"/>
        <v>2</v>
      </c>
      <c r="H1236" s="44">
        <f t="shared" si="249"/>
        <v>0.80373831775700921</v>
      </c>
      <c r="I1236" cm="1">
        <f t="array" ref="I1236">INT(F1236)+IF(100-SUM(INT(F$1221:F$1237))&gt;=RANK(H1236,H$1221:H$1237)+COUNTIF(H$1221:H1236,H1236)-1,1,0)</f>
        <v>3</v>
      </c>
      <c r="J1236" t="b">
        <f t="shared" si="250"/>
        <v>0</v>
      </c>
      <c r="K1236" t="str">
        <f t="shared" si="251"/>
        <v/>
      </c>
      <c r="L1236" s="71">
        <v>8</v>
      </c>
      <c r="M1236">
        <f t="shared" si="254"/>
        <v>24</v>
      </c>
      <c r="N1236" s="71" t="b">
        <v>0</v>
      </c>
      <c r="O1236" t="b">
        <f t="shared" si="255"/>
        <v>0</v>
      </c>
      <c r="P1236" s="72" t="b">
        <v>0</v>
      </c>
    </row>
    <row r="1237" spans="1:16">
      <c r="A1237" s="86" t="s">
        <v>2856</v>
      </c>
      <c r="B1237" s="83">
        <v>136</v>
      </c>
      <c r="C1237" s="34" t="s">
        <v>94</v>
      </c>
      <c r="D1237" s="34" t="s">
        <v>94</v>
      </c>
      <c r="E1237" s="83">
        <v>13</v>
      </c>
      <c r="F1237" s="43">
        <f t="shared" si="247"/>
        <v>12.149532710280374</v>
      </c>
      <c r="G1237" s="44">
        <f t="shared" si="248"/>
        <v>12</v>
      </c>
      <c r="H1237" s="44">
        <f t="shared" si="249"/>
        <v>0.14953271028037385</v>
      </c>
      <c r="I1237" cm="1">
        <f t="array" ref="I1237">INT(F1237)+IF(100-SUM(INT(F$1221:F$1237))&gt;=RANK(H1237,H$1221:H$1237)+COUNTIF(H$1221:H1237,H1237)-1,1,0)</f>
        <v>12</v>
      </c>
      <c r="J1237" t="b">
        <f t="shared" si="250"/>
        <v>0</v>
      </c>
      <c r="K1237" t="str">
        <f t="shared" si="251"/>
        <v/>
      </c>
      <c r="L1237">
        <f>_xlfn.XLOOKUP(D1237,BugList!C:C,BugList!N:N)</f>
        <v>8</v>
      </c>
      <c r="M1237">
        <f t="shared" si="254"/>
        <v>96</v>
      </c>
      <c r="N1237" t="b">
        <f>_xlfn.XLOOKUP(D1237,BugList!C:C,BugList!L:L)</f>
        <v>0</v>
      </c>
      <c r="O1237" t="b">
        <f t="shared" si="255"/>
        <v>0</v>
      </c>
      <c r="P1237" s="18" t="b">
        <f>SUMPRODUCT(COUNTIF(_xlfn.XLOOKUP(D1237,BugList!C:C,BugList!P:P), "*SC*"))&gt;0</f>
        <v>0</v>
      </c>
    </row>
    <row r="1238" spans="1:16">
      <c r="A1238" s="86" t="s">
        <v>2857</v>
      </c>
      <c r="B1238" s="83">
        <v>152</v>
      </c>
      <c r="C1238" s="34" t="s">
        <v>200</v>
      </c>
      <c r="D1238" s="34" t="s">
        <v>98</v>
      </c>
      <c r="E1238" s="83">
        <v>19</v>
      </c>
      <c r="F1238" s="43">
        <f t="shared" si="247"/>
        <v>15.966386554621847</v>
      </c>
      <c r="G1238" s="44">
        <f t="shared" si="248"/>
        <v>15</v>
      </c>
      <c r="H1238" s="44">
        <f t="shared" si="249"/>
        <v>0.96638655462184708</v>
      </c>
      <c r="I1238" cm="1">
        <f t="array" ref="I1238">INT(F1238)+IF(100-SUM(INT(F$1238:F$1249))&gt;=RANK(H1238,H$1238:H$1249)+COUNTIF(H$1238:H1238,H1238)-1,1,0)</f>
        <v>16</v>
      </c>
      <c r="J1238" t="b">
        <f t="shared" si="250"/>
        <v>0</v>
      </c>
      <c r="K1238" t="str">
        <f t="shared" si="251"/>
        <v/>
      </c>
      <c r="L1238">
        <f>_xlfn.XLOOKUP(D1238,BugList!C:C,BugList!N:N)</f>
        <v>4</v>
      </c>
      <c r="M1238">
        <f t="shared" si="254"/>
        <v>64</v>
      </c>
      <c r="N1238" t="b">
        <f>_xlfn.XLOOKUP(D1238,BugList!C:C,BugList!L:L)</f>
        <v>1</v>
      </c>
      <c r="O1238" t="b">
        <f t="shared" si="255"/>
        <v>0</v>
      </c>
      <c r="P1238" s="18" t="b">
        <f>SUMPRODUCT(COUNTIF(_xlfn.XLOOKUP(D1238,BugList!C:C,BugList!P:P), "*SC*"))&gt;0</f>
        <v>1</v>
      </c>
    </row>
    <row r="1239" spans="1:16">
      <c r="A1239" s="86" t="s">
        <v>2857</v>
      </c>
      <c r="B1239" s="83">
        <v>152</v>
      </c>
      <c r="C1239" s="34" t="s">
        <v>200</v>
      </c>
      <c r="D1239" s="34" t="s">
        <v>100</v>
      </c>
      <c r="E1239" s="83">
        <v>42</v>
      </c>
      <c r="F1239" s="43">
        <f t="shared" si="247"/>
        <v>35.294117647058826</v>
      </c>
      <c r="G1239" s="44">
        <f t="shared" si="248"/>
        <v>35</v>
      </c>
      <c r="H1239" s="44">
        <f t="shared" si="249"/>
        <v>0.29411764705882604</v>
      </c>
      <c r="I1239" cm="1">
        <f t="array" ref="I1239">INT(F1239)+IF(100-SUM(INT(F$1238:F$1249))&gt;=RANK(H1239,H$1238:H$1249)+COUNTIF(H$1238:H1239,H1239)-1,1,0)</f>
        <v>35</v>
      </c>
      <c r="J1239" t="b">
        <f t="shared" si="250"/>
        <v>0</v>
      </c>
      <c r="K1239" t="str">
        <f t="shared" si="251"/>
        <v/>
      </c>
      <c r="L1239">
        <f>_xlfn.XLOOKUP(D1239,BugList!C:C,BugList!N:N)</f>
        <v>4</v>
      </c>
      <c r="M1239">
        <f t="shared" si="254"/>
        <v>140</v>
      </c>
      <c r="N1239" t="b">
        <f>_xlfn.XLOOKUP(D1239,BugList!C:C,BugList!L:L)</f>
        <v>1</v>
      </c>
      <c r="O1239" t="b">
        <f t="shared" si="255"/>
        <v>0</v>
      </c>
      <c r="P1239" s="18" t="b">
        <f>SUMPRODUCT(COUNTIF(_xlfn.XLOOKUP(D1239,BugList!C:C,BugList!P:P), "*SC*"))&gt;0</f>
        <v>1</v>
      </c>
    </row>
    <row r="1240" spans="1:16">
      <c r="A1240" s="86" t="s">
        <v>2857</v>
      </c>
      <c r="B1240" s="83">
        <v>152</v>
      </c>
      <c r="C1240" s="34" t="s">
        <v>194</v>
      </c>
      <c r="D1240" s="34" t="s">
        <v>126</v>
      </c>
      <c r="E1240" s="83">
        <v>2</v>
      </c>
      <c r="F1240" s="43">
        <f t="shared" si="247"/>
        <v>1.680672268907563</v>
      </c>
      <c r="G1240" s="44">
        <f t="shared" si="248"/>
        <v>1</v>
      </c>
      <c r="H1240" s="44">
        <f t="shared" si="249"/>
        <v>0.68067226890756305</v>
      </c>
      <c r="I1240" cm="1">
        <f t="array" ref="I1240">INT(F1240)+IF(100-SUM(INT(F$1238:F$1249))&gt;=RANK(H1240,H$1238:H$1249)+COUNTIF(H$1238:H1240,H1240)-1,1,0)</f>
        <v>2</v>
      </c>
      <c r="J1240" t="b">
        <f t="shared" si="250"/>
        <v>0</v>
      </c>
      <c r="K1240" t="str">
        <f t="shared" si="251"/>
        <v/>
      </c>
      <c r="L1240">
        <f>_xlfn.XLOOKUP(D1240,BugList!C:C,BugList!N:N)</f>
        <v>8</v>
      </c>
      <c r="M1240">
        <f t="shared" si="254"/>
        <v>16</v>
      </c>
      <c r="N1240" t="b">
        <f>_xlfn.XLOOKUP(D1240,BugList!C:C,BugList!L:L)</f>
        <v>1</v>
      </c>
      <c r="O1240" t="b">
        <f t="shared" si="255"/>
        <v>0</v>
      </c>
      <c r="P1240" s="18" t="b">
        <f>SUMPRODUCT(COUNTIF(_xlfn.XLOOKUP(D1240,BugList!C:C,BugList!P:P), "*SC*"))&gt;0</f>
        <v>0</v>
      </c>
    </row>
    <row r="1241" spans="1:16">
      <c r="A1241" s="86" t="s">
        <v>2857</v>
      </c>
      <c r="B1241" s="83">
        <v>152</v>
      </c>
      <c r="C1241" s="34" t="s">
        <v>194</v>
      </c>
      <c r="D1241" s="34" t="s">
        <v>90</v>
      </c>
      <c r="E1241" s="83">
        <v>7</v>
      </c>
      <c r="F1241" s="43">
        <f t="shared" si="247"/>
        <v>5.8823529411764701</v>
      </c>
      <c r="G1241" s="44">
        <f t="shared" si="248"/>
        <v>5</v>
      </c>
      <c r="H1241" s="44">
        <f t="shared" si="249"/>
        <v>0.88235294117647012</v>
      </c>
      <c r="I1241" cm="1">
        <f t="array" ref="I1241">INT(F1241)+IF(100-SUM(INT(F$1238:F$1249))&gt;=RANK(H1241,H$1238:H$1249)+COUNTIF(H$1238:H1241,H1241)-1,1,0)</f>
        <v>6</v>
      </c>
      <c r="J1241" t="b">
        <f t="shared" si="250"/>
        <v>0</v>
      </c>
      <c r="K1241" t="str">
        <f t="shared" si="251"/>
        <v/>
      </c>
      <c r="L1241">
        <f>_xlfn.XLOOKUP(D1241,BugList!C:C,BugList!N:N)</f>
        <v>6</v>
      </c>
      <c r="M1241">
        <f t="shared" si="254"/>
        <v>36</v>
      </c>
      <c r="N1241" t="b">
        <f>_xlfn.XLOOKUP(D1241,BugList!C:C,BugList!L:L)</f>
        <v>1</v>
      </c>
      <c r="O1241" t="b">
        <f t="shared" si="255"/>
        <v>0</v>
      </c>
      <c r="P1241" s="18" t="b">
        <f>SUMPRODUCT(COUNTIF(_xlfn.XLOOKUP(D1241,BugList!C:C,BugList!P:P), "*SC*"))&gt;0</f>
        <v>0</v>
      </c>
    </row>
    <row r="1242" spans="1:16">
      <c r="A1242" s="86" t="s">
        <v>2857</v>
      </c>
      <c r="B1242" s="83">
        <v>152</v>
      </c>
      <c r="C1242" s="34" t="s">
        <v>199</v>
      </c>
      <c r="D1242" s="34" t="s">
        <v>96</v>
      </c>
      <c r="E1242" s="83">
        <v>1</v>
      </c>
      <c r="F1242" s="43">
        <f t="shared" si="247"/>
        <v>0.84033613445378152</v>
      </c>
      <c r="G1242" s="44">
        <f t="shared" si="248"/>
        <v>0</v>
      </c>
      <c r="H1242" s="44">
        <f t="shared" si="249"/>
        <v>0.84033613445378152</v>
      </c>
      <c r="I1242" cm="1">
        <f t="array" ref="I1242">INT(F1242)+IF(100-SUM(INT(F$1238:F$1249))&gt;=RANK(H1242,H$1238:H$1249)+COUNTIF(H$1238:H1242,H1242)-1,1,0)</f>
        <v>1</v>
      </c>
      <c r="J1242" t="b">
        <f t="shared" si="250"/>
        <v>1</v>
      </c>
      <c r="K1242" t="str">
        <f t="shared" si="251"/>
        <v>Ephemeroptera</v>
      </c>
      <c r="L1242">
        <f>_xlfn.XLOOKUP(D1242,BugList!C:C,BugList!N:N)</f>
        <v>4</v>
      </c>
      <c r="M1242">
        <f t="shared" si="254"/>
        <v>4</v>
      </c>
      <c r="N1242" t="b">
        <f>_xlfn.XLOOKUP(D1242,BugList!C:C,BugList!L:L)</f>
        <v>1</v>
      </c>
      <c r="O1242" t="b">
        <f t="shared" si="255"/>
        <v>1</v>
      </c>
      <c r="P1242" s="18" t="b">
        <f>SUMPRODUCT(COUNTIF(_xlfn.XLOOKUP(D1242,BugList!C:C,BugList!P:P), "*SC*"))&gt;0</f>
        <v>1</v>
      </c>
    </row>
    <row r="1243" spans="1:16">
      <c r="A1243" s="86" t="s">
        <v>2857</v>
      </c>
      <c r="B1243" s="83">
        <v>152</v>
      </c>
      <c r="C1243" s="34" t="s">
        <v>195</v>
      </c>
      <c r="D1243" s="34" t="s">
        <v>97</v>
      </c>
      <c r="E1243" s="83">
        <v>2</v>
      </c>
      <c r="F1243" s="43">
        <f t="shared" si="247"/>
        <v>1.680672268907563</v>
      </c>
      <c r="G1243" s="44">
        <f t="shared" si="248"/>
        <v>1</v>
      </c>
      <c r="H1243" s="44">
        <f t="shared" si="249"/>
        <v>0.68067226890756305</v>
      </c>
      <c r="I1243" cm="1">
        <f t="array" ref="I1243">INT(F1243)+IF(100-SUM(INT(F$1238:F$1249))&gt;=RANK(H1243,H$1238:H$1249)+COUNTIF(H$1238:H1243,H1243)-1,1,0)</f>
        <v>2</v>
      </c>
      <c r="J1243" t="b">
        <f t="shared" si="250"/>
        <v>0</v>
      </c>
      <c r="K1243" t="str">
        <f t="shared" si="251"/>
        <v/>
      </c>
      <c r="L1243">
        <f>_xlfn.XLOOKUP(D1243,BugList!C:C,BugList!N:N)</f>
        <v>9</v>
      </c>
      <c r="M1243">
        <f t="shared" si="254"/>
        <v>18</v>
      </c>
      <c r="N1243" t="b">
        <f>_xlfn.XLOOKUP(D1243,BugList!C:C,BugList!L:L)</f>
        <v>1</v>
      </c>
      <c r="O1243" t="b">
        <f t="shared" si="255"/>
        <v>0</v>
      </c>
      <c r="P1243" s="18" t="b">
        <f>SUMPRODUCT(COUNTIF(_xlfn.XLOOKUP(D1243,BugList!C:C,BugList!P:P), "*SC*"))&gt;0</f>
        <v>0</v>
      </c>
    </row>
    <row r="1244" spans="1:16">
      <c r="A1244" s="86" t="s">
        <v>2857</v>
      </c>
      <c r="B1244" s="83">
        <v>152</v>
      </c>
      <c r="C1244" s="34" t="s">
        <v>195</v>
      </c>
      <c r="D1244" s="34" t="s">
        <v>113</v>
      </c>
      <c r="E1244" s="83">
        <v>11</v>
      </c>
      <c r="F1244" s="43">
        <f t="shared" si="247"/>
        <v>9.2436974789915975</v>
      </c>
      <c r="G1244" s="44">
        <f t="shared" si="248"/>
        <v>9</v>
      </c>
      <c r="H1244" s="44">
        <f t="shared" si="249"/>
        <v>0.24369747899159755</v>
      </c>
      <c r="I1244" cm="1">
        <f t="array" ref="I1244">INT(F1244)+IF(100-SUM(INT(F$1238:F$1249))&gt;=RANK(H1244,H$1238:H$1249)+COUNTIF(H$1238:H1244,H1244)-1,1,0)</f>
        <v>9</v>
      </c>
      <c r="J1244" t="b">
        <f t="shared" si="250"/>
        <v>0</v>
      </c>
      <c r="K1244" t="str">
        <f t="shared" si="251"/>
        <v/>
      </c>
      <c r="L1244">
        <f>_xlfn.XLOOKUP(D1244,BugList!C:C,BugList!N:N)</f>
        <v>1</v>
      </c>
      <c r="M1244">
        <f t="shared" si="254"/>
        <v>9</v>
      </c>
      <c r="N1244" t="b">
        <f>_xlfn.XLOOKUP(D1244,BugList!C:C,BugList!L:L)</f>
        <v>1</v>
      </c>
      <c r="O1244" t="b">
        <f t="shared" si="255"/>
        <v>0</v>
      </c>
      <c r="P1244" s="18" t="b">
        <f>SUMPRODUCT(COUNTIF(_xlfn.XLOOKUP(D1244,BugList!C:C,BugList!P:P), "*SC*"))&gt;0</f>
        <v>0</v>
      </c>
    </row>
    <row r="1245" spans="1:16">
      <c r="A1245" s="86" t="s">
        <v>2857</v>
      </c>
      <c r="B1245" s="83">
        <v>152</v>
      </c>
      <c r="C1245" s="34" t="s">
        <v>198</v>
      </c>
      <c r="D1245" s="34" t="s">
        <v>89</v>
      </c>
      <c r="E1245" s="83">
        <v>23</v>
      </c>
      <c r="F1245" s="43">
        <f t="shared" si="247"/>
        <v>19.327731092436977</v>
      </c>
      <c r="G1245" s="44">
        <f t="shared" si="248"/>
        <v>19</v>
      </c>
      <c r="H1245" s="44">
        <f t="shared" si="249"/>
        <v>0.32773109243697718</v>
      </c>
      <c r="I1245" cm="1">
        <f t="array" ref="I1245">INT(F1245)+IF(100-SUM(INT(F$1238:F$1249))&gt;=RANK(H1245,H$1238:H$1249)+COUNTIF(H$1238:H1245,H1245)-1,1,0)</f>
        <v>19</v>
      </c>
      <c r="J1245" t="b">
        <f t="shared" si="250"/>
        <v>1</v>
      </c>
      <c r="K1245" t="str">
        <f t="shared" si="251"/>
        <v>Trichoptera</v>
      </c>
      <c r="L1245">
        <f>_xlfn.XLOOKUP(D1245,BugList!C:C,BugList!N:N)</f>
        <v>4</v>
      </c>
      <c r="M1245">
        <f t="shared" si="254"/>
        <v>76</v>
      </c>
      <c r="N1245" t="b">
        <f>_xlfn.XLOOKUP(D1245,BugList!C:C,BugList!L:L)</f>
        <v>1</v>
      </c>
      <c r="O1245" t="b">
        <f t="shared" si="255"/>
        <v>0</v>
      </c>
      <c r="P1245" s="18" t="b">
        <f>SUMPRODUCT(COUNTIF(_xlfn.XLOOKUP(D1245,BugList!C:C,BugList!P:P), "*SC*"))&gt;0</f>
        <v>0</v>
      </c>
    </row>
    <row r="1246" spans="1:16">
      <c r="A1246" s="86" t="s">
        <v>2857</v>
      </c>
      <c r="B1246" s="83">
        <v>152</v>
      </c>
      <c r="C1246" s="34" t="s">
        <v>201</v>
      </c>
      <c r="D1246" s="34" t="s">
        <v>85</v>
      </c>
      <c r="E1246" s="83">
        <v>6</v>
      </c>
      <c r="F1246" s="43">
        <f t="shared" si="247"/>
        <v>5.0420168067226889</v>
      </c>
      <c r="G1246" s="44">
        <f t="shared" si="248"/>
        <v>5</v>
      </c>
      <c r="H1246" s="44">
        <f t="shared" si="249"/>
        <v>4.2016806722688926E-2</v>
      </c>
      <c r="I1246" cm="1">
        <f t="array" ref="I1246">INT(F1246)+IF(100-SUM(INT(F$1238:F$1249))&gt;=RANK(H1246,H$1238:H$1249)+COUNTIF(H$1238:H1246,H1246)-1,1,0)</f>
        <v>5</v>
      </c>
      <c r="J1246" t="b">
        <f t="shared" si="250"/>
        <v>0</v>
      </c>
      <c r="K1246" t="str">
        <f t="shared" si="251"/>
        <v/>
      </c>
      <c r="L1246">
        <f>_xlfn.XLOOKUP(D1246,BugList!C:C,BugList!N:N)</f>
        <v>4</v>
      </c>
      <c r="M1246">
        <f t="shared" si="254"/>
        <v>20</v>
      </c>
      <c r="N1246" t="b">
        <f>_xlfn.XLOOKUP(D1246,BugList!C:C,BugList!L:L)</f>
        <v>0</v>
      </c>
      <c r="O1246" t="b">
        <f t="shared" si="255"/>
        <v>0</v>
      </c>
      <c r="P1246" s="18" t="b">
        <f>SUMPRODUCT(COUNTIF(_xlfn.XLOOKUP(D1246,BugList!C:C,BugList!P:P), "*SC*"))&gt;0</f>
        <v>0</v>
      </c>
    </row>
    <row r="1247" spans="1:16">
      <c r="A1247" s="86" t="s">
        <v>2857</v>
      </c>
      <c r="B1247" s="83">
        <v>152</v>
      </c>
      <c r="C1247" s="34" t="s">
        <v>2315</v>
      </c>
      <c r="D1247" s="34" t="s">
        <v>2315</v>
      </c>
      <c r="E1247" s="83">
        <v>3</v>
      </c>
      <c r="F1247" s="43">
        <f t="shared" si="247"/>
        <v>2.5210084033613445</v>
      </c>
      <c r="G1247" s="44">
        <f t="shared" si="248"/>
        <v>2</v>
      </c>
      <c r="H1247" s="44">
        <f t="shared" si="249"/>
        <v>0.52100840336134446</v>
      </c>
      <c r="I1247" cm="1">
        <f t="array" ref="I1247">INT(F1247)+IF(100-SUM(INT(F$1238:F$1249))&gt;=RANK(H1247,H$1238:H$1249)+COUNTIF(H$1238:H1247,H1247)-1,1,0)</f>
        <v>2</v>
      </c>
      <c r="J1247" t="b">
        <f t="shared" si="250"/>
        <v>0</v>
      </c>
      <c r="K1247" t="str">
        <f t="shared" si="251"/>
        <v/>
      </c>
      <c r="L1247">
        <f>_xlfn.XLOOKUP(D1247,BugList!C:C,BugList!N:N)</f>
        <v>7</v>
      </c>
      <c r="M1247">
        <f t="shared" si="254"/>
        <v>14</v>
      </c>
      <c r="N1247" t="b">
        <f>_xlfn.XLOOKUP(D1247,BugList!C:C,BugList!L:L)</f>
        <v>0</v>
      </c>
      <c r="O1247" t="b">
        <f t="shared" si="255"/>
        <v>0</v>
      </c>
      <c r="P1247" s="18" t="b">
        <f>SUMPRODUCT(COUNTIF(_xlfn.XLOOKUP(D1247,BugList!C:C,BugList!P:P), "*SC*"))&gt;0</f>
        <v>1</v>
      </c>
    </row>
    <row r="1248" spans="1:16">
      <c r="A1248" s="86" t="s">
        <v>2857</v>
      </c>
      <c r="B1248" s="83">
        <v>152</v>
      </c>
      <c r="C1248" s="34" t="s">
        <v>205</v>
      </c>
      <c r="D1248" s="34" t="s">
        <v>206</v>
      </c>
      <c r="E1248" s="83">
        <v>2</v>
      </c>
      <c r="F1248" s="43">
        <f t="shared" si="247"/>
        <v>1.680672268907563</v>
      </c>
      <c r="G1248" s="44">
        <f t="shared" si="248"/>
        <v>1</v>
      </c>
      <c r="H1248" s="44">
        <f t="shared" si="249"/>
        <v>0.68067226890756305</v>
      </c>
      <c r="I1248" cm="1">
        <f t="array" ref="I1248">INT(F1248)+IF(100-SUM(INT(F$1238:F$1249))&gt;=RANK(H1248,H$1238:H$1249)+COUNTIF(H$1238:H1248,H1248)-1,1,0)</f>
        <v>2</v>
      </c>
      <c r="J1248" t="b">
        <f t="shared" si="250"/>
        <v>0</v>
      </c>
      <c r="K1248" t="str">
        <f t="shared" si="251"/>
        <v/>
      </c>
      <c r="L1248" s="71">
        <v>8</v>
      </c>
      <c r="M1248">
        <f t="shared" si="254"/>
        <v>16</v>
      </c>
      <c r="N1248" s="71" t="b">
        <v>0</v>
      </c>
      <c r="O1248" t="b">
        <f t="shared" si="255"/>
        <v>0</v>
      </c>
      <c r="P1248" s="72" t="b">
        <v>0</v>
      </c>
    </row>
    <row r="1249" spans="1:16">
      <c r="A1249" s="86" t="s">
        <v>2857</v>
      </c>
      <c r="B1249" s="83">
        <v>152</v>
      </c>
      <c r="C1249" s="34" t="s">
        <v>94</v>
      </c>
      <c r="D1249" s="34" t="s">
        <v>94</v>
      </c>
      <c r="E1249" s="83">
        <v>1</v>
      </c>
      <c r="F1249" s="43">
        <f t="shared" si="247"/>
        <v>0.84033613445378152</v>
      </c>
      <c r="G1249" s="44">
        <f t="shared" si="248"/>
        <v>0</v>
      </c>
      <c r="H1249" s="44">
        <f t="shared" si="249"/>
        <v>0.84033613445378152</v>
      </c>
      <c r="I1249" cm="1">
        <f t="array" ref="I1249">INT(F1249)+IF(100-SUM(INT(F$1238:F$1249))&gt;=RANK(H1249,H$1238:H$1249)+COUNTIF(H$1238:H1249,H1249)-1,1,0)</f>
        <v>1</v>
      </c>
      <c r="J1249" t="b">
        <f t="shared" si="250"/>
        <v>0</v>
      </c>
      <c r="K1249" t="str">
        <f t="shared" si="251"/>
        <v/>
      </c>
      <c r="L1249">
        <f>_xlfn.XLOOKUP(D1249,BugList!C:C,BugList!N:N)</f>
        <v>8</v>
      </c>
      <c r="M1249">
        <f t="shared" si="254"/>
        <v>8</v>
      </c>
      <c r="N1249" t="b">
        <f>_xlfn.XLOOKUP(D1249,BugList!C:C,BugList!L:L)</f>
        <v>0</v>
      </c>
      <c r="O1249" t="b">
        <f t="shared" si="255"/>
        <v>0</v>
      </c>
      <c r="P1249" s="18" t="b">
        <f>SUMPRODUCT(COUNTIF(_xlfn.XLOOKUP(D1249,BugList!C:C,BugList!P:P), "*SC*"))&gt;0</f>
        <v>0</v>
      </c>
    </row>
    <row r="1250" spans="1:16">
      <c r="A1250" s="86" t="s">
        <v>2858</v>
      </c>
      <c r="B1250" s="83">
        <v>163</v>
      </c>
      <c r="C1250" s="34" t="s">
        <v>200</v>
      </c>
      <c r="D1250" s="34" t="s">
        <v>98</v>
      </c>
      <c r="E1250" s="83">
        <v>4</v>
      </c>
      <c r="F1250" s="43">
        <f t="shared" si="247"/>
        <v>3.5714285714285712</v>
      </c>
      <c r="G1250" s="44">
        <f t="shared" si="248"/>
        <v>3</v>
      </c>
      <c r="H1250" s="44">
        <f t="shared" si="249"/>
        <v>0.57142857142857117</v>
      </c>
      <c r="I1250" cm="1">
        <f t="array" ref="I1250">INT(F1250)+IF(100-SUM(INT(F$1250:F$1259))&gt;=RANK(H1250,H$1250:H$1259)+COUNTIF(H$1250:H1250,H1250)-1,1,0)</f>
        <v>3</v>
      </c>
      <c r="J1250" t="b">
        <f t="shared" si="250"/>
        <v>0</v>
      </c>
      <c r="K1250" t="str">
        <f t="shared" si="251"/>
        <v/>
      </c>
      <c r="L1250">
        <f>_xlfn.XLOOKUP(D1250,BugList!C:C,BugList!N:N)</f>
        <v>4</v>
      </c>
      <c r="M1250">
        <f t="shared" si="254"/>
        <v>12</v>
      </c>
      <c r="N1250" t="b">
        <f>_xlfn.XLOOKUP(D1250,BugList!C:C,BugList!L:L)</f>
        <v>1</v>
      </c>
      <c r="O1250" t="b">
        <f t="shared" si="255"/>
        <v>0</v>
      </c>
      <c r="P1250" s="18" t="b">
        <f>SUMPRODUCT(COUNTIF(_xlfn.XLOOKUP(D1250,BugList!C:C,BugList!P:P), "*SC*"))&gt;0</f>
        <v>1</v>
      </c>
    </row>
    <row r="1251" spans="1:16">
      <c r="A1251" s="86" t="s">
        <v>2858</v>
      </c>
      <c r="B1251" s="83">
        <v>163</v>
      </c>
      <c r="C1251" s="34" t="s">
        <v>200</v>
      </c>
      <c r="D1251" s="34" t="s">
        <v>100</v>
      </c>
      <c r="E1251" s="83">
        <v>26</v>
      </c>
      <c r="F1251" s="43">
        <f t="shared" si="247"/>
        <v>23.214285714285715</v>
      </c>
      <c r="G1251" s="44">
        <f t="shared" si="248"/>
        <v>23</v>
      </c>
      <c r="H1251" s="44">
        <f t="shared" si="249"/>
        <v>0.2142857142857153</v>
      </c>
      <c r="I1251" cm="1">
        <f t="array" ref="I1251">INT(F1251)+IF(100-SUM(INT(F$1250:F$1259))&gt;=RANK(H1251,H$1250:H$1259)+COUNTIF(H$1250:H1251,H1251)-1,1,0)</f>
        <v>23</v>
      </c>
      <c r="J1251" t="b">
        <f t="shared" si="250"/>
        <v>0</v>
      </c>
      <c r="K1251" t="str">
        <f t="shared" si="251"/>
        <v/>
      </c>
      <c r="L1251">
        <f>_xlfn.XLOOKUP(D1251,BugList!C:C,BugList!N:N)</f>
        <v>4</v>
      </c>
      <c r="M1251">
        <f t="shared" si="254"/>
        <v>92</v>
      </c>
      <c r="N1251" t="b">
        <f>_xlfn.XLOOKUP(D1251,BugList!C:C,BugList!L:L)</f>
        <v>1</v>
      </c>
      <c r="O1251" t="b">
        <f t="shared" si="255"/>
        <v>0</v>
      </c>
      <c r="P1251" s="18" t="b">
        <f>SUMPRODUCT(COUNTIF(_xlfn.XLOOKUP(D1251,BugList!C:C,BugList!P:P), "*SC*"))&gt;0</f>
        <v>1</v>
      </c>
    </row>
    <row r="1252" spans="1:16">
      <c r="A1252" s="86" t="s">
        <v>2858</v>
      </c>
      <c r="B1252" s="83">
        <v>163</v>
      </c>
      <c r="C1252" s="34" t="s">
        <v>194</v>
      </c>
      <c r="D1252" s="34" t="s">
        <v>126</v>
      </c>
      <c r="E1252" s="83">
        <v>1</v>
      </c>
      <c r="F1252" s="43">
        <f t="shared" si="247"/>
        <v>0.89285714285714279</v>
      </c>
      <c r="G1252" s="44">
        <f t="shared" si="248"/>
        <v>0</v>
      </c>
      <c r="H1252" s="44">
        <f t="shared" si="249"/>
        <v>0.89285714285714279</v>
      </c>
      <c r="I1252" cm="1">
        <f t="array" ref="I1252">INT(F1252)+IF(100-SUM(INT(F$1250:F$1259))&gt;=RANK(H1252,H$1250:H$1259)+COUNTIF(H$1250:H1252,H1252)-1,1,0)</f>
        <v>1</v>
      </c>
      <c r="J1252" t="b">
        <f t="shared" si="250"/>
        <v>0</v>
      </c>
      <c r="K1252" t="str">
        <f t="shared" si="251"/>
        <v/>
      </c>
      <c r="L1252">
        <f>_xlfn.XLOOKUP(D1252,BugList!C:C,BugList!N:N)</f>
        <v>8</v>
      </c>
      <c r="M1252">
        <f t="shared" si="254"/>
        <v>8</v>
      </c>
      <c r="N1252" t="b">
        <f>_xlfn.XLOOKUP(D1252,BugList!C:C,BugList!L:L)</f>
        <v>1</v>
      </c>
      <c r="O1252" t="b">
        <f t="shared" si="255"/>
        <v>0</v>
      </c>
      <c r="P1252" s="18" t="b">
        <f>SUMPRODUCT(COUNTIF(_xlfn.XLOOKUP(D1252,BugList!C:C,BugList!P:P), "*SC*"))&gt;0</f>
        <v>0</v>
      </c>
    </row>
    <row r="1253" spans="1:16">
      <c r="A1253" s="86" t="s">
        <v>2858</v>
      </c>
      <c r="B1253" s="83">
        <v>163</v>
      </c>
      <c r="C1253" s="34" t="s">
        <v>194</v>
      </c>
      <c r="D1253" s="34" t="s">
        <v>108</v>
      </c>
      <c r="E1253" s="83">
        <v>1</v>
      </c>
      <c r="F1253" s="43">
        <f t="shared" si="247"/>
        <v>0.89285714285714279</v>
      </c>
      <c r="G1253" s="44">
        <f t="shared" si="248"/>
        <v>0</v>
      </c>
      <c r="H1253" s="44">
        <f t="shared" si="249"/>
        <v>0.89285714285714279</v>
      </c>
      <c r="I1253" cm="1">
        <f t="array" ref="I1253">INT(F1253)+IF(100-SUM(INT(F$1250:F$1259))&gt;=RANK(H1253,H$1250:H$1259)+COUNTIF(H$1250:H1253,H1253)-1,1,0)</f>
        <v>1</v>
      </c>
      <c r="J1253" t="b">
        <f t="shared" si="250"/>
        <v>0</v>
      </c>
      <c r="K1253" t="str">
        <f t="shared" si="251"/>
        <v/>
      </c>
      <c r="L1253">
        <f>_xlfn.XLOOKUP(D1253,BugList!C:C,BugList!N:N)</f>
        <v>3</v>
      </c>
      <c r="M1253">
        <f t="shared" si="254"/>
        <v>3</v>
      </c>
      <c r="N1253" t="b">
        <f>_xlfn.XLOOKUP(D1253,BugList!C:C,BugList!L:L)</f>
        <v>1</v>
      </c>
      <c r="O1253" t="b">
        <f t="shared" si="255"/>
        <v>0</v>
      </c>
      <c r="P1253" s="18" t="b">
        <f>SUMPRODUCT(COUNTIF(_xlfn.XLOOKUP(D1253,BugList!C:C,BugList!P:P), "*SC*"))&gt;0</f>
        <v>0</v>
      </c>
    </row>
    <row r="1254" spans="1:16">
      <c r="A1254" s="86" t="s">
        <v>2858</v>
      </c>
      <c r="B1254" s="83">
        <v>163</v>
      </c>
      <c r="C1254" s="34" t="s">
        <v>195</v>
      </c>
      <c r="D1254" s="34" t="s">
        <v>97</v>
      </c>
      <c r="E1254" s="83">
        <v>4</v>
      </c>
      <c r="F1254" s="43">
        <f t="shared" si="247"/>
        <v>3.5714285714285712</v>
      </c>
      <c r="G1254" s="44">
        <f t="shared" si="248"/>
        <v>3</v>
      </c>
      <c r="H1254" s="44">
        <f t="shared" si="249"/>
        <v>0.57142857142857117</v>
      </c>
      <c r="I1254" cm="1">
        <f t="array" ref="I1254">INT(F1254)+IF(100-SUM(INT(F$1250:F$1259))&gt;=RANK(H1254,H$1250:H$1259)+COUNTIF(H$1250:H1254,H1254)-1,1,0)</f>
        <v>3</v>
      </c>
      <c r="J1254" t="b">
        <f t="shared" si="250"/>
        <v>0</v>
      </c>
      <c r="K1254" t="str">
        <f t="shared" si="251"/>
        <v/>
      </c>
      <c r="L1254">
        <f>_xlfn.XLOOKUP(D1254,BugList!C:C,BugList!N:N)</f>
        <v>9</v>
      </c>
      <c r="M1254">
        <f t="shared" si="254"/>
        <v>27</v>
      </c>
      <c r="N1254" t="b">
        <f>_xlfn.XLOOKUP(D1254,BugList!C:C,BugList!L:L)</f>
        <v>1</v>
      </c>
      <c r="O1254" t="b">
        <f t="shared" si="255"/>
        <v>0</v>
      </c>
      <c r="P1254" s="18" t="b">
        <f>SUMPRODUCT(COUNTIF(_xlfn.XLOOKUP(D1254,BugList!C:C,BugList!P:P), "*SC*"))&gt;0</f>
        <v>0</v>
      </c>
    </row>
    <row r="1255" spans="1:16">
      <c r="A1255" s="86" t="s">
        <v>2858</v>
      </c>
      <c r="B1255" s="83">
        <v>163</v>
      </c>
      <c r="C1255" s="34" t="s">
        <v>198</v>
      </c>
      <c r="D1255" s="34" t="s">
        <v>89</v>
      </c>
      <c r="E1255" s="83">
        <v>49</v>
      </c>
      <c r="F1255" s="43">
        <f t="shared" si="247"/>
        <v>43.75</v>
      </c>
      <c r="G1255" s="44">
        <f t="shared" si="248"/>
        <v>43</v>
      </c>
      <c r="H1255" s="44">
        <f t="shared" si="249"/>
        <v>0.75</v>
      </c>
      <c r="I1255" cm="1">
        <f t="array" ref="I1255">INT(F1255)+IF(100-SUM(INT(F$1250:F$1259))&gt;=RANK(H1255,H$1250:H$1259)+COUNTIF(H$1250:H1255,H1255)-1,1,0)</f>
        <v>44</v>
      </c>
      <c r="J1255" t="b">
        <f t="shared" si="250"/>
        <v>1</v>
      </c>
      <c r="K1255" t="str">
        <f t="shared" si="251"/>
        <v>Trichoptera</v>
      </c>
      <c r="L1255">
        <f>_xlfn.XLOOKUP(D1255,BugList!C:C,BugList!N:N)</f>
        <v>4</v>
      </c>
      <c r="M1255">
        <f t="shared" si="254"/>
        <v>176</v>
      </c>
      <c r="N1255" t="b">
        <f>_xlfn.XLOOKUP(D1255,BugList!C:C,BugList!L:L)</f>
        <v>1</v>
      </c>
      <c r="O1255" t="b">
        <f t="shared" si="255"/>
        <v>0</v>
      </c>
      <c r="P1255" s="18" t="b">
        <f>SUMPRODUCT(COUNTIF(_xlfn.XLOOKUP(D1255,BugList!C:C,BugList!P:P), "*SC*"))&gt;0</f>
        <v>0</v>
      </c>
    </row>
    <row r="1256" spans="1:16">
      <c r="A1256" s="86" t="s">
        <v>2858</v>
      </c>
      <c r="B1256" s="83">
        <v>163</v>
      </c>
      <c r="C1256" s="34" t="s">
        <v>198</v>
      </c>
      <c r="D1256" s="34" t="s">
        <v>107</v>
      </c>
      <c r="E1256" s="83">
        <v>2</v>
      </c>
      <c r="F1256" s="43">
        <f t="shared" si="247"/>
        <v>1.7857142857142856</v>
      </c>
      <c r="G1256" s="44">
        <f t="shared" si="248"/>
        <v>1</v>
      </c>
      <c r="H1256" s="44">
        <f t="shared" si="249"/>
        <v>0.78571428571428559</v>
      </c>
      <c r="I1256" cm="1">
        <f t="array" ref="I1256">INT(F1256)+IF(100-SUM(INT(F$1250:F$1259))&gt;=RANK(H1256,H$1250:H$1259)+COUNTIF(H$1250:H1256,H1256)-1,1,0)</f>
        <v>2</v>
      </c>
      <c r="J1256" t="b">
        <f t="shared" si="250"/>
        <v>1</v>
      </c>
      <c r="K1256" t="str">
        <f t="shared" si="251"/>
        <v>Trichoptera</v>
      </c>
      <c r="L1256">
        <f>_xlfn.XLOOKUP(D1256,BugList!C:C,BugList!N:N)</f>
        <v>3</v>
      </c>
      <c r="M1256">
        <f t="shared" si="254"/>
        <v>6</v>
      </c>
      <c r="N1256" t="b">
        <f>_xlfn.XLOOKUP(D1256,BugList!C:C,BugList!L:L)</f>
        <v>1</v>
      </c>
      <c r="O1256" t="b">
        <f t="shared" si="255"/>
        <v>1</v>
      </c>
      <c r="P1256" s="18" t="b">
        <f>SUMPRODUCT(COUNTIF(_xlfn.XLOOKUP(D1256,BugList!C:C,BugList!P:P), "*SC*"))&gt;0</f>
        <v>0</v>
      </c>
    </row>
    <row r="1257" spans="1:16">
      <c r="A1257" s="86" t="s">
        <v>2858</v>
      </c>
      <c r="B1257" s="83">
        <v>163</v>
      </c>
      <c r="C1257" s="34" t="s">
        <v>201</v>
      </c>
      <c r="D1257" s="34" t="s">
        <v>85</v>
      </c>
      <c r="E1257" s="83">
        <v>12</v>
      </c>
      <c r="F1257" s="43">
        <f t="shared" si="247"/>
        <v>10.714285714285714</v>
      </c>
      <c r="G1257" s="44">
        <f t="shared" si="248"/>
        <v>10</v>
      </c>
      <c r="H1257" s="44">
        <f t="shared" si="249"/>
        <v>0.71428571428571352</v>
      </c>
      <c r="I1257" cm="1">
        <f t="array" ref="I1257">INT(F1257)+IF(100-SUM(INT(F$1250:F$1259))&gt;=RANK(H1257,H$1250:H$1259)+COUNTIF(H$1250:H1257,H1257)-1,1,0)</f>
        <v>11</v>
      </c>
      <c r="J1257" t="b">
        <f t="shared" si="250"/>
        <v>0</v>
      </c>
      <c r="K1257" t="str">
        <f t="shared" si="251"/>
        <v/>
      </c>
      <c r="L1257">
        <f>_xlfn.XLOOKUP(D1257,BugList!C:C,BugList!N:N)</f>
        <v>4</v>
      </c>
      <c r="M1257">
        <f t="shared" si="254"/>
        <v>44</v>
      </c>
      <c r="N1257" t="b">
        <f>_xlfn.XLOOKUP(D1257,BugList!C:C,BugList!L:L)</f>
        <v>0</v>
      </c>
      <c r="O1257" t="b">
        <f t="shared" si="255"/>
        <v>0</v>
      </c>
      <c r="P1257" s="18" t="b">
        <f>SUMPRODUCT(COUNTIF(_xlfn.XLOOKUP(D1257,BugList!C:C,BugList!P:P), "*SC*"))&gt;0</f>
        <v>0</v>
      </c>
    </row>
    <row r="1258" spans="1:16">
      <c r="A1258" s="86" t="s">
        <v>2858</v>
      </c>
      <c r="B1258" s="83">
        <v>163</v>
      </c>
      <c r="C1258" s="34" t="s">
        <v>2315</v>
      </c>
      <c r="D1258" s="34" t="s">
        <v>2315</v>
      </c>
      <c r="E1258" s="83">
        <v>10</v>
      </c>
      <c r="F1258" s="43">
        <f t="shared" si="247"/>
        <v>8.9285714285714288</v>
      </c>
      <c r="G1258" s="44">
        <f t="shared" si="248"/>
        <v>8</v>
      </c>
      <c r="H1258" s="44">
        <f t="shared" si="249"/>
        <v>0.92857142857142883</v>
      </c>
      <c r="I1258" cm="1">
        <f t="array" ref="I1258">INT(F1258)+IF(100-SUM(INT(F$1250:F$1259))&gt;=RANK(H1258,H$1250:H$1259)+COUNTIF(H$1250:H1258,H1258)-1,1,0)</f>
        <v>9</v>
      </c>
      <c r="J1258" t="b">
        <f t="shared" si="250"/>
        <v>0</v>
      </c>
      <c r="K1258" t="str">
        <f t="shared" si="251"/>
        <v/>
      </c>
      <c r="L1258">
        <f>_xlfn.XLOOKUP(D1258,BugList!C:C,BugList!N:N)</f>
        <v>7</v>
      </c>
      <c r="M1258">
        <f t="shared" si="254"/>
        <v>63</v>
      </c>
      <c r="N1258" t="b">
        <f>_xlfn.XLOOKUP(D1258,BugList!C:C,BugList!L:L)</f>
        <v>0</v>
      </c>
      <c r="O1258" t="b">
        <f t="shared" si="255"/>
        <v>0</v>
      </c>
      <c r="P1258" s="18" t="b">
        <f>SUMPRODUCT(COUNTIF(_xlfn.XLOOKUP(D1258,BugList!C:C,BugList!P:P), "*SC*"))&gt;0</f>
        <v>1</v>
      </c>
    </row>
    <row r="1259" spans="1:16">
      <c r="A1259" s="86" t="s">
        <v>2858</v>
      </c>
      <c r="B1259" s="83">
        <v>163</v>
      </c>
      <c r="C1259" s="34" t="s">
        <v>205</v>
      </c>
      <c r="D1259" s="34" t="s">
        <v>206</v>
      </c>
      <c r="E1259" s="83">
        <v>3</v>
      </c>
      <c r="F1259" s="43">
        <f t="shared" si="247"/>
        <v>2.6785714285714284</v>
      </c>
      <c r="G1259" s="44">
        <f t="shared" si="248"/>
        <v>2</v>
      </c>
      <c r="H1259" s="44">
        <f t="shared" si="249"/>
        <v>0.67857142857142838</v>
      </c>
      <c r="I1259" cm="1">
        <f t="array" ref="I1259">INT(F1259)+IF(100-SUM(INT(F$1250:F$1259))&gt;=RANK(H1259,H$1250:H$1259)+COUNTIF(H$1250:H1259,H1259)-1,1,0)</f>
        <v>3</v>
      </c>
      <c r="J1259" t="b">
        <f t="shared" si="250"/>
        <v>0</v>
      </c>
      <c r="K1259" t="str">
        <f t="shared" si="251"/>
        <v/>
      </c>
      <c r="L1259" s="71">
        <v>8</v>
      </c>
      <c r="M1259">
        <f t="shared" si="254"/>
        <v>24</v>
      </c>
      <c r="N1259" s="71" t="b">
        <v>0</v>
      </c>
      <c r="O1259" t="b">
        <f t="shared" si="255"/>
        <v>0</v>
      </c>
      <c r="P1259" s="72" t="b">
        <v>0</v>
      </c>
    </row>
    <row r="1260" spans="1:16">
      <c r="A1260" s="86" t="s">
        <v>2859</v>
      </c>
      <c r="B1260" s="83">
        <v>192</v>
      </c>
      <c r="C1260" s="34" t="s">
        <v>200</v>
      </c>
      <c r="D1260" s="34" t="s">
        <v>98</v>
      </c>
      <c r="E1260" s="83">
        <v>1</v>
      </c>
      <c r="F1260" s="43">
        <f t="shared" si="247"/>
        <v>0.90909090909090906</v>
      </c>
      <c r="G1260" s="44">
        <f t="shared" si="248"/>
        <v>0</v>
      </c>
      <c r="H1260" s="44">
        <f t="shared" si="249"/>
        <v>0.90909090909090906</v>
      </c>
      <c r="I1260" cm="1">
        <f t="array" ref="I1260">INT(F1260)+IF(100-SUM(INT(F$1260:F$1276))&gt;=RANK(H1260,H$1260:H$1276)+COUNTIF(H$1260:H1260,H1260)-1,1,0)</f>
        <v>1</v>
      </c>
      <c r="J1260" t="b">
        <f t="shared" si="250"/>
        <v>0</v>
      </c>
      <c r="K1260" t="str">
        <f t="shared" si="251"/>
        <v/>
      </c>
      <c r="L1260">
        <f>_xlfn.XLOOKUP(D1260,BugList!C:C,BugList!N:N)</f>
        <v>4</v>
      </c>
      <c r="M1260">
        <f t="shared" si="254"/>
        <v>4</v>
      </c>
      <c r="N1260" t="b">
        <f>_xlfn.XLOOKUP(D1260,BugList!C:C,BugList!L:L)</f>
        <v>1</v>
      </c>
      <c r="O1260" t="b">
        <f t="shared" si="255"/>
        <v>0</v>
      </c>
      <c r="P1260" s="18" t="b">
        <f>SUMPRODUCT(COUNTIF(_xlfn.XLOOKUP(D1260,BugList!C:C,BugList!P:P), "*SC*"))&gt;0</f>
        <v>1</v>
      </c>
    </row>
    <row r="1261" spans="1:16">
      <c r="A1261" s="86" t="s">
        <v>2859</v>
      </c>
      <c r="B1261" s="83">
        <v>192</v>
      </c>
      <c r="C1261" s="34" t="s">
        <v>200</v>
      </c>
      <c r="D1261" s="34" t="s">
        <v>1563</v>
      </c>
      <c r="E1261" s="83">
        <v>1</v>
      </c>
      <c r="F1261" s="43">
        <f t="shared" si="247"/>
        <v>0.90909090909090906</v>
      </c>
      <c r="G1261" s="44">
        <f t="shared" si="248"/>
        <v>0</v>
      </c>
      <c r="H1261" s="44">
        <f t="shared" si="249"/>
        <v>0.90909090909090906</v>
      </c>
      <c r="I1261" cm="1">
        <f t="array" ref="I1261">INT(F1261)+IF(100-SUM(INT(F$1260:F$1276))&gt;=RANK(H1261,H$1260:H$1276)+COUNTIF(H$1260:H1261,H1261)-1,1,0)</f>
        <v>1</v>
      </c>
      <c r="J1261" t="b">
        <f t="shared" si="250"/>
        <v>0</v>
      </c>
      <c r="K1261" t="str">
        <f t="shared" si="251"/>
        <v/>
      </c>
      <c r="L1261">
        <f>_xlfn.XLOOKUP(D1261,BugList!C:C,BugList!N:N)</f>
        <v>5</v>
      </c>
      <c r="M1261">
        <f t="shared" si="254"/>
        <v>5</v>
      </c>
      <c r="N1261" t="b">
        <f>_xlfn.XLOOKUP(D1261,BugList!C:C,BugList!L:L)</f>
        <v>1</v>
      </c>
      <c r="O1261" t="b">
        <f t="shared" si="255"/>
        <v>0</v>
      </c>
      <c r="P1261" s="18" t="b">
        <f>SUMPRODUCT(COUNTIF(_xlfn.XLOOKUP(D1261,BugList!C:C,BugList!P:P), "*SC*"))&gt;0</f>
        <v>0</v>
      </c>
    </row>
    <row r="1262" spans="1:16">
      <c r="A1262" s="86" t="s">
        <v>2859</v>
      </c>
      <c r="B1262" s="83">
        <v>192</v>
      </c>
      <c r="C1262" s="34" t="s">
        <v>200</v>
      </c>
      <c r="D1262" s="34" t="s">
        <v>100</v>
      </c>
      <c r="E1262" s="83">
        <v>5</v>
      </c>
      <c r="F1262" s="43">
        <f t="shared" si="247"/>
        <v>4.5454545454545459</v>
      </c>
      <c r="G1262" s="44">
        <f t="shared" si="248"/>
        <v>4</v>
      </c>
      <c r="H1262" s="44">
        <f t="shared" si="249"/>
        <v>0.54545454545454586</v>
      </c>
      <c r="I1262" cm="1">
        <f t="array" ref="I1262">INT(F1262)+IF(100-SUM(INT(F$1260:F$1276))&gt;=RANK(H1262,H$1260:H$1276)+COUNTIF(H$1260:H1262,H1262)-1,1,0)</f>
        <v>4</v>
      </c>
      <c r="J1262" t="b">
        <f t="shared" si="250"/>
        <v>0</v>
      </c>
      <c r="K1262" t="str">
        <f t="shared" si="251"/>
        <v/>
      </c>
      <c r="L1262">
        <f>_xlfn.XLOOKUP(D1262,BugList!C:C,BugList!N:N)</f>
        <v>4</v>
      </c>
      <c r="M1262">
        <f t="shared" si="254"/>
        <v>16</v>
      </c>
      <c r="N1262" t="b">
        <f>_xlfn.XLOOKUP(D1262,BugList!C:C,BugList!L:L)</f>
        <v>1</v>
      </c>
      <c r="O1262" t="b">
        <f t="shared" si="255"/>
        <v>0</v>
      </c>
      <c r="P1262" s="18" t="b">
        <f>SUMPRODUCT(COUNTIF(_xlfn.XLOOKUP(D1262,BugList!C:C,BugList!P:P), "*SC*"))&gt;0</f>
        <v>1</v>
      </c>
    </row>
    <row r="1263" spans="1:16">
      <c r="A1263" s="86" t="s">
        <v>2859</v>
      </c>
      <c r="B1263" s="83">
        <v>192</v>
      </c>
      <c r="C1263" s="34" t="s">
        <v>194</v>
      </c>
      <c r="D1263" s="34" t="s">
        <v>90</v>
      </c>
      <c r="E1263" s="83">
        <v>34</v>
      </c>
      <c r="F1263" s="43">
        <f t="shared" si="247"/>
        <v>30.909090909090907</v>
      </c>
      <c r="G1263" s="44">
        <f t="shared" si="248"/>
        <v>30</v>
      </c>
      <c r="H1263" s="44">
        <f t="shared" si="249"/>
        <v>0.90909090909090651</v>
      </c>
      <c r="I1263" cm="1">
        <f t="array" ref="I1263">INT(F1263)+IF(100-SUM(INT(F$1260:F$1276))&gt;=RANK(H1263,H$1260:H$1276)+COUNTIF(H$1260:H1263,H1263)-1,1,0)</f>
        <v>31</v>
      </c>
      <c r="J1263" t="b">
        <f t="shared" si="250"/>
        <v>0</v>
      </c>
      <c r="K1263" t="str">
        <f t="shared" si="251"/>
        <v/>
      </c>
      <c r="L1263">
        <f>_xlfn.XLOOKUP(D1263,BugList!C:C,BugList!N:N)</f>
        <v>6</v>
      </c>
      <c r="M1263">
        <f t="shared" si="254"/>
        <v>186</v>
      </c>
      <c r="N1263" t="b">
        <f>_xlfn.XLOOKUP(D1263,BugList!C:C,BugList!L:L)</f>
        <v>1</v>
      </c>
      <c r="O1263" t="b">
        <f t="shared" si="255"/>
        <v>0</v>
      </c>
      <c r="P1263" s="18" t="b">
        <f>SUMPRODUCT(COUNTIF(_xlfn.XLOOKUP(D1263,BugList!C:C,BugList!P:P), "*SC*"))&gt;0</f>
        <v>0</v>
      </c>
    </row>
    <row r="1264" spans="1:16">
      <c r="A1264" s="86" t="s">
        <v>2859</v>
      </c>
      <c r="B1264" s="83">
        <v>192</v>
      </c>
      <c r="C1264" s="34" t="s">
        <v>194</v>
      </c>
      <c r="D1264" s="34" t="s">
        <v>131</v>
      </c>
      <c r="E1264" s="83">
        <v>1</v>
      </c>
      <c r="F1264" s="43">
        <f t="shared" si="247"/>
        <v>0.90909090909090906</v>
      </c>
      <c r="G1264" s="44">
        <f t="shared" si="248"/>
        <v>0</v>
      </c>
      <c r="H1264" s="44">
        <f t="shared" si="249"/>
        <v>0.90909090909090906</v>
      </c>
      <c r="I1264" cm="1">
        <f t="array" ref="I1264">INT(F1264)+IF(100-SUM(INT(F$1260:F$1276))&gt;=RANK(H1264,H$1260:H$1276)+COUNTIF(H$1260:H1264,H1264)-1,1,0)</f>
        <v>1</v>
      </c>
      <c r="J1264" t="b">
        <f t="shared" si="250"/>
        <v>0</v>
      </c>
      <c r="K1264" t="str">
        <f t="shared" si="251"/>
        <v/>
      </c>
      <c r="L1264">
        <f>_xlfn.XLOOKUP(D1264,BugList!C:C,BugList!N:N)</f>
        <v>6</v>
      </c>
      <c r="M1264">
        <f t="shared" si="254"/>
        <v>6</v>
      </c>
      <c r="N1264" t="b">
        <f>_xlfn.XLOOKUP(D1264,BugList!C:C,BugList!L:L)</f>
        <v>1</v>
      </c>
      <c r="O1264" t="b">
        <f t="shared" si="255"/>
        <v>0</v>
      </c>
      <c r="P1264" s="18" t="b">
        <f>SUMPRODUCT(COUNTIF(_xlfn.XLOOKUP(D1264,BugList!C:C,BugList!P:P), "*SC*"))&gt;0</f>
        <v>0</v>
      </c>
    </row>
    <row r="1265" spans="1:16">
      <c r="A1265" s="86" t="s">
        <v>2859</v>
      </c>
      <c r="B1265" s="83">
        <v>192</v>
      </c>
      <c r="C1265" s="34" t="s">
        <v>194</v>
      </c>
      <c r="D1265" s="34" t="s">
        <v>101</v>
      </c>
      <c r="E1265" s="83">
        <v>7</v>
      </c>
      <c r="F1265" s="43">
        <f t="shared" si="247"/>
        <v>6.3636363636363633</v>
      </c>
      <c r="G1265" s="44">
        <f t="shared" si="248"/>
        <v>6</v>
      </c>
      <c r="H1265" s="44">
        <f t="shared" si="249"/>
        <v>0.36363636363636331</v>
      </c>
      <c r="I1265" cm="1">
        <f t="array" ref="I1265">INT(F1265)+IF(100-SUM(INT(F$1260:F$1276))&gt;=RANK(H1265,H$1260:H$1276)+COUNTIF(H$1260:H1265,H1265)-1,1,0)</f>
        <v>6</v>
      </c>
      <c r="J1265" t="b">
        <f t="shared" si="250"/>
        <v>0</v>
      </c>
      <c r="K1265" t="str">
        <f t="shared" si="251"/>
        <v/>
      </c>
      <c r="L1265">
        <f>_xlfn.XLOOKUP(D1265,BugList!C:C,BugList!N:N)</f>
        <v>6</v>
      </c>
      <c r="M1265">
        <f t="shared" si="254"/>
        <v>36</v>
      </c>
      <c r="N1265" t="b">
        <f>_xlfn.XLOOKUP(D1265,BugList!C:C,BugList!L:L)</f>
        <v>1</v>
      </c>
      <c r="O1265" t="b">
        <f t="shared" si="255"/>
        <v>0</v>
      </c>
      <c r="P1265" s="18" t="b">
        <f>SUMPRODUCT(COUNTIF(_xlfn.XLOOKUP(D1265,BugList!C:C,BugList!P:P), "*SC*"))&gt;0</f>
        <v>0</v>
      </c>
    </row>
    <row r="1266" spans="1:16">
      <c r="A1266" s="86" t="s">
        <v>2859</v>
      </c>
      <c r="B1266" s="83">
        <v>192</v>
      </c>
      <c r="C1266" s="34" t="s">
        <v>194</v>
      </c>
      <c r="D1266" s="34" t="s">
        <v>108</v>
      </c>
      <c r="E1266" s="83">
        <v>3</v>
      </c>
      <c r="F1266" s="43">
        <f t="shared" si="247"/>
        <v>2.7272727272727271</v>
      </c>
      <c r="G1266" s="44">
        <f t="shared" si="248"/>
        <v>2</v>
      </c>
      <c r="H1266" s="44">
        <f t="shared" si="249"/>
        <v>0.72727272727272707</v>
      </c>
      <c r="I1266" cm="1">
        <f t="array" ref="I1266">INT(F1266)+IF(100-SUM(INT(F$1260:F$1276))&gt;=RANK(H1266,H$1260:H$1276)+COUNTIF(H$1260:H1266,H1266)-1,1,0)</f>
        <v>3</v>
      </c>
      <c r="J1266" t="b">
        <f t="shared" si="250"/>
        <v>0</v>
      </c>
      <c r="K1266" t="str">
        <f t="shared" si="251"/>
        <v/>
      </c>
      <c r="L1266">
        <f>_xlfn.XLOOKUP(D1266,BugList!C:C,BugList!N:N)</f>
        <v>3</v>
      </c>
      <c r="M1266">
        <f t="shared" si="254"/>
        <v>9</v>
      </c>
      <c r="N1266" t="b">
        <f>_xlfn.XLOOKUP(D1266,BugList!C:C,BugList!L:L)</f>
        <v>1</v>
      </c>
      <c r="O1266" t="b">
        <f t="shared" si="255"/>
        <v>0</v>
      </c>
      <c r="P1266" s="18" t="b">
        <f>SUMPRODUCT(COUNTIF(_xlfn.XLOOKUP(D1266,BugList!C:C,BugList!P:P), "*SC*"))&gt;0</f>
        <v>0</v>
      </c>
    </row>
    <row r="1267" spans="1:16">
      <c r="A1267" s="86" t="s">
        <v>2859</v>
      </c>
      <c r="B1267" s="83">
        <v>192</v>
      </c>
      <c r="C1267" s="34" t="s">
        <v>199</v>
      </c>
      <c r="D1267" s="34" t="s">
        <v>96</v>
      </c>
      <c r="E1267" s="83">
        <v>2</v>
      </c>
      <c r="F1267" s="43">
        <f t="shared" si="247"/>
        <v>1.8181818181818181</v>
      </c>
      <c r="G1267" s="44">
        <f t="shared" si="248"/>
        <v>1</v>
      </c>
      <c r="H1267" s="44">
        <f t="shared" si="249"/>
        <v>0.81818181818181812</v>
      </c>
      <c r="I1267" cm="1">
        <f t="array" ref="I1267">INT(F1267)+IF(100-SUM(INT(F$1260:F$1276))&gt;=RANK(H1267,H$1260:H$1276)+COUNTIF(H$1260:H1267,H1267)-1,1,0)</f>
        <v>2</v>
      </c>
      <c r="J1267" t="b">
        <f t="shared" si="250"/>
        <v>1</v>
      </c>
      <c r="K1267" t="str">
        <f t="shared" si="251"/>
        <v>Ephemeroptera</v>
      </c>
      <c r="L1267">
        <f>_xlfn.XLOOKUP(D1267,BugList!C:C,BugList!N:N)</f>
        <v>4</v>
      </c>
      <c r="M1267">
        <f t="shared" si="254"/>
        <v>8</v>
      </c>
      <c r="N1267" t="b">
        <f>_xlfn.XLOOKUP(D1267,BugList!C:C,BugList!L:L)</f>
        <v>1</v>
      </c>
      <c r="O1267" t="b">
        <f t="shared" si="255"/>
        <v>1</v>
      </c>
      <c r="P1267" s="18" t="b">
        <f>SUMPRODUCT(COUNTIF(_xlfn.XLOOKUP(D1267,BugList!C:C,BugList!P:P), "*SC*"))&gt;0</f>
        <v>1</v>
      </c>
    </row>
    <row r="1268" spans="1:16">
      <c r="A1268" s="86" t="s">
        <v>2859</v>
      </c>
      <c r="B1268" s="83">
        <v>192</v>
      </c>
      <c r="C1268" s="34" t="s">
        <v>195</v>
      </c>
      <c r="D1268" s="34" t="s">
        <v>97</v>
      </c>
      <c r="E1268" s="83">
        <v>1</v>
      </c>
      <c r="F1268" s="43">
        <f t="shared" si="247"/>
        <v>0.90909090909090906</v>
      </c>
      <c r="G1268" s="44">
        <f t="shared" si="248"/>
        <v>0</v>
      </c>
      <c r="H1268" s="44">
        <f t="shared" si="249"/>
        <v>0.90909090909090906</v>
      </c>
      <c r="I1268" cm="1">
        <f t="array" ref="I1268">INT(F1268)+IF(100-SUM(INT(F$1260:F$1276))&gt;=RANK(H1268,H$1260:H$1276)+COUNTIF(H$1260:H1268,H1268)-1,1,0)</f>
        <v>1</v>
      </c>
      <c r="J1268" t="b">
        <f t="shared" si="250"/>
        <v>0</v>
      </c>
      <c r="K1268" t="str">
        <f t="shared" si="251"/>
        <v/>
      </c>
      <c r="L1268">
        <f>_xlfn.XLOOKUP(D1268,BugList!C:C,BugList!N:N)</f>
        <v>9</v>
      </c>
      <c r="M1268">
        <f t="shared" si="254"/>
        <v>9</v>
      </c>
      <c r="N1268" t="b">
        <f>_xlfn.XLOOKUP(D1268,BugList!C:C,BugList!L:L)</f>
        <v>1</v>
      </c>
      <c r="O1268" t="b">
        <f t="shared" si="255"/>
        <v>0</v>
      </c>
      <c r="P1268" s="18" t="b">
        <f>SUMPRODUCT(COUNTIF(_xlfn.XLOOKUP(D1268,BugList!C:C,BugList!P:P), "*SC*"))&gt;0</f>
        <v>0</v>
      </c>
    </row>
    <row r="1269" spans="1:16">
      <c r="A1269" s="86" t="s">
        <v>2859</v>
      </c>
      <c r="B1269" s="83">
        <v>192</v>
      </c>
      <c r="C1269" s="34" t="s">
        <v>195</v>
      </c>
      <c r="D1269" s="34" t="s">
        <v>113</v>
      </c>
      <c r="E1269" s="83">
        <v>2</v>
      </c>
      <c r="F1269" s="43">
        <f t="shared" si="247"/>
        <v>1.8181818181818181</v>
      </c>
      <c r="G1269" s="44">
        <f t="shared" si="248"/>
        <v>1</v>
      </c>
      <c r="H1269" s="44">
        <f t="shared" si="249"/>
        <v>0.81818181818181812</v>
      </c>
      <c r="I1269" cm="1">
        <f t="array" ref="I1269">INT(F1269)+IF(100-SUM(INT(F$1260:F$1276))&gt;=RANK(H1269,H$1260:H$1276)+COUNTIF(H$1260:H1269,H1269)-1,1,0)</f>
        <v>2</v>
      </c>
      <c r="J1269" t="b">
        <f t="shared" si="250"/>
        <v>0</v>
      </c>
      <c r="K1269" t="str">
        <f t="shared" si="251"/>
        <v/>
      </c>
      <c r="L1269">
        <f>_xlfn.XLOOKUP(D1269,BugList!C:C,BugList!N:N)</f>
        <v>1</v>
      </c>
      <c r="M1269">
        <f t="shared" si="254"/>
        <v>2</v>
      </c>
      <c r="N1269" t="b">
        <f>_xlfn.XLOOKUP(D1269,BugList!C:C,BugList!L:L)</f>
        <v>1</v>
      </c>
      <c r="O1269" t="b">
        <f t="shared" si="255"/>
        <v>0</v>
      </c>
      <c r="P1269" s="18" t="b">
        <f>SUMPRODUCT(COUNTIF(_xlfn.XLOOKUP(D1269,BugList!C:C,BugList!P:P), "*SC*"))&gt;0</f>
        <v>0</v>
      </c>
    </row>
    <row r="1270" spans="1:16">
      <c r="A1270" s="86" t="s">
        <v>2859</v>
      </c>
      <c r="B1270" s="83">
        <v>192</v>
      </c>
      <c r="C1270" s="34" t="s">
        <v>197</v>
      </c>
      <c r="D1270" s="34" t="s">
        <v>498</v>
      </c>
      <c r="E1270" s="83">
        <v>10</v>
      </c>
      <c r="F1270" s="43">
        <f t="shared" si="247"/>
        <v>9.0909090909090917</v>
      </c>
      <c r="G1270" s="44">
        <f t="shared" si="248"/>
        <v>9</v>
      </c>
      <c r="H1270" s="44">
        <f t="shared" si="249"/>
        <v>9.0909090909091717E-2</v>
      </c>
      <c r="I1270" cm="1">
        <f t="array" ref="I1270">INT(F1270)+IF(100-SUM(INT(F$1260:F$1276))&gt;=RANK(H1270,H$1260:H$1276)+COUNTIF(H$1260:H1270,H1270)-1,1,0)</f>
        <v>9</v>
      </c>
      <c r="J1270" t="b">
        <f t="shared" si="250"/>
        <v>1</v>
      </c>
      <c r="K1270" t="str">
        <f t="shared" si="251"/>
        <v>Plecoptera</v>
      </c>
      <c r="L1270">
        <f>_xlfn.XLOOKUP(D1270,BugList!C:C,BugList!N:N)</f>
        <v>1</v>
      </c>
      <c r="M1270">
        <f t="shared" si="254"/>
        <v>9</v>
      </c>
      <c r="N1270" t="b">
        <f>_xlfn.XLOOKUP(D1270,BugList!C:C,BugList!L:L)</f>
        <v>1</v>
      </c>
      <c r="O1270" t="b">
        <f t="shared" si="255"/>
        <v>1</v>
      </c>
      <c r="P1270" s="18" t="b">
        <f>SUMPRODUCT(COUNTIF(_xlfn.XLOOKUP(D1270,BugList!C:C,BugList!P:P), "*SC*"))&gt;0</f>
        <v>0</v>
      </c>
    </row>
    <row r="1271" spans="1:16">
      <c r="A1271" s="86" t="s">
        <v>2859</v>
      </c>
      <c r="B1271" s="83">
        <v>192</v>
      </c>
      <c r="C1271" s="34" t="s">
        <v>198</v>
      </c>
      <c r="D1271" s="34" t="s">
        <v>89</v>
      </c>
      <c r="E1271" s="83">
        <v>38</v>
      </c>
      <c r="F1271" s="43">
        <f t="shared" si="247"/>
        <v>34.545454545454547</v>
      </c>
      <c r="G1271" s="44">
        <f t="shared" si="248"/>
        <v>34</v>
      </c>
      <c r="H1271" s="44">
        <f t="shared" si="249"/>
        <v>0.54545454545454675</v>
      </c>
      <c r="I1271" cm="1">
        <f t="array" ref="I1271">INT(F1271)+IF(100-SUM(INT(F$1260:F$1276))&gt;=RANK(H1271,H$1260:H$1276)+COUNTIF(H$1260:H1271,H1271)-1,1,0)</f>
        <v>34</v>
      </c>
      <c r="J1271" t="b">
        <f t="shared" si="250"/>
        <v>1</v>
      </c>
      <c r="K1271" t="str">
        <f t="shared" si="251"/>
        <v>Trichoptera</v>
      </c>
      <c r="L1271">
        <f>_xlfn.XLOOKUP(D1271,BugList!C:C,BugList!N:N)</f>
        <v>4</v>
      </c>
      <c r="M1271">
        <f t="shared" si="254"/>
        <v>136</v>
      </c>
      <c r="N1271" t="b">
        <f>_xlfn.XLOOKUP(D1271,BugList!C:C,BugList!L:L)</f>
        <v>1</v>
      </c>
      <c r="O1271" t="b">
        <f t="shared" si="255"/>
        <v>0</v>
      </c>
      <c r="P1271" s="18" t="b">
        <f>SUMPRODUCT(COUNTIF(_xlfn.XLOOKUP(D1271,BugList!C:C,BugList!P:P), "*SC*"))&gt;0</f>
        <v>0</v>
      </c>
    </row>
    <row r="1272" spans="1:16">
      <c r="A1272" s="86" t="s">
        <v>2859</v>
      </c>
      <c r="B1272" s="83">
        <v>192</v>
      </c>
      <c r="C1272" s="34" t="s">
        <v>198</v>
      </c>
      <c r="D1272" s="34" t="s">
        <v>1411</v>
      </c>
      <c r="E1272" s="83">
        <v>1</v>
      </c>
      <c r="F1272" s="43">
        <f t="shared" si="247"/>
        <v>0.90909090909090906</v>
      </c>
      <c r="G1272" s="44">
        <f t="shared" si="248"/>
        <v>0</v>
      </c>
      <c r="H1272" s="44">
        <f t="shared" si="249"/>
        <v>0.90909090909090906</v>
      </c>
      <c r="I1272" cm="1">
        <f t="array" ref="I1272">INT(F1272)+IF(100-SUM(INT(F$1260:F$1276))&gt;=RANK(H1272,H$1260:H$1276)+COUNTIF(H$1260:H1272,H1272)-1,1,0)</f>
        <v>1</v>
      </c>
      <c r="J1272" t="b">
        <f t="shared" si="250"/>
        <v>1</v>
      </c>
      <c r="K1272" t="str">
        <f t="shared" si="251"/>
        <v>Trichoptera</v>
      </c>
      <c r="L1272">
        <f>_xlfn.XLOOKUP(D1272,BugList!C:C,BugList!N:N)</f>
        <v>0</v>
      </c>
      <c r="M1272">
        <f t="shared" si="254"/>
        <v>0</v>
      </c>
      <c r="N1272" t="b">
        <f>_xlfn.XLOOKUP(D1272,BugList!C:C,BugList!L:L)</f>
        <v>1</v>
      </c>
      <c r="O1272" t="b">
        <f t="shared" si="255"/>
        <v>1</v>
      </c>
      <c r="P1272" s="18" t="b">
        <f>SUMPRODUCT(COUNTIF(_xlfn.XLOOKUP(D1272,BugList!C:C,BugList!P:P), "*SC*"))&gt;0</f>
        <v>1</v>
      </c>
    </row>
    <row r="1273" spans="1:16">
      <c r="A1273" s="86" t="s">
        <v>2859</v>
      </c>
      <c r="B1273" s="83">
        <v>192</v>
      </c>
      <c r="C1273" s="34" t="s">
        <v>198</v>
      </c>
      <c r="D1273" s="34" t="s">
        <v>163</v>
      </c>
      <c r="E1273" s="83">
        <v>1</v>
      </c>
      <c r="F1273" s="43">
        <f t="shared" si="247"/>
        <v>0.90909090909090906</v>
      </c>
      <c r="G1273" s="44">
        <f t="shared" si="248"/>
        <v>0</v>
      </c>
      <c r="H1273" s="44">
        <f t="shared" si="249"/>
        <v>0.90909090909090906</v>
      </c>
      <c r="I1273" cm="1">
        <f t="array" ref="I1273">INT(F1273)+IF(100-SUM(INT(F$1260:F$1276))&gt;=RANK(H1273,H$1260:H$1276)+COUNTIF(H$1260:H1273,H1273)-1,1,0)</f>
        <v>1</v>
      </c>
      <c r="J1273" t="b">
        <f t="shared" si="250"/>
        <v>1</v>
      </c>
      <c r="K1273" t="str">
        <f t="shared" si="251"/>
        <v>Trichoptera</v>
      </c>
      <c r="L1273">
        <f>_xlfn.XLOOKUP(D1273,BugList!C:C,BugList!N:N)</f>
        <v>6</v>
      </c>
      <c r="M1273">
        <f t="shared" si="254"/>
        <v>6</v>
      </c>
      <c r="N1273" t="b">
        <f>_xlfn.XLOOKUP(D1273,BugList!C:C,BugList!L:L)</f>
        <v>1</v>
      </c>
      <c r="O1273" t="b">
        <f t="shared" si="255"/>
        <v>1</v>
      </c>
      <c r="P1273" s="18" t="b">
        <f>SUMPRODUCT(COUNTIF(_xlfn.XLOOKUP(D1273,BugList!C:C,BugList!P:P), "*SC*"))&gt;0</f>
        <v>0</v>
      </c>
    </row>
    <row r="1274" spans="1:16">
      <c r="A1274" s="86" t="s">
        <v>2859</v>
      </c>
      <c r="B1274" s="83">
        <v>192</v>
      </c>
      <c r="C1274" s="34" t="s">
        <v>201</v>
      </c>
      <c r="D1274" s="34" t="s">
        <v>85</v>
      </c>
      <c r="E1274" s="83">
        <v>1</v>
      </c>
      <c r="F1274" s="43">
        <f t="shared" si="247"/>
        <v>0.90909090909090906</v>
      </c>
      <c r="G1274" s="44">
        <f t="shared" si="248"/>
        <v>0</v>
      </c>
      <c r="H1274" s="44">
        <f t="shared" si="249"/>
        <v>0.90909090909090906</v>
      </c>
      <c r="I1274" cm="1">
        <f t="array" ref="I1274">INT(F1274)+IF(100-SUM(INT(F$1260:F$1276))&gt;=RANK(H1274,H$1260:H$1276)+COUNTIF(H$1260:H1274,H1274)-1,1,0)</f>
        <v>1</v>
      </c>
      <c r="J1274" t="b">
        <f t="shared" si="250"/>
        <v>0</v>
      </c>
      <c r="K1274" t="str">
        <f t="shared" si="251"/>
        <v/>
      </c>
      <c r="L1274">
        <f>_xlfn.XLOOKUP(D1274,BugList!C:C,BugList!N:N)</f>
        <v>4</v>
      </c>
      <c r="M1274">
        <f t="shared" si="254"/>
        <v>4</v>
      </c>
      <c r="N1274" t="b">
        <f>_xlfn.XLOOKUP(D1274,BugList!C:C,BugList!L:L)</f>
        <v>0</v>
      </c>
      <c r="O1274" t="b">
        <f t="shared" si="255"/>
        <v>0</v>
      </c>
      <c r="P1274" s="18" t="b">
        <f>SUMPRODUCT(COUNTIF(_xlfn.XLOOKUP(D1274,BugList!C:C,BugList!P:P), "*SC*"))&gt;0</f>
        <v>0</v>
      </c>
    </row>
    <row r="1275" spans="1:16">
      <c r="A1275" s="86" t="s">
        <v>2859</v>
      </c>
      <c r="B1275" s="83">
        <v>192</v>
      </c>
      <c r="C1275" s="34" t="s">
        <v>205</v>
      </c>
      <c r="D1275" s="34" t="s">
        <v>206</v>
      </c>
      <c r="E1275" s="83">
        <v>1</v>
      </c>
      <c r="F1275" s="43">
        <f t="shared" ref="F1275:F1338" si="256">(E1275/(SUMIFS(E:E,A:A,A1275))*100)</f>
        <v>0.90909090909090906</v>
      </c>
      <c r="G1275" s="44">
        <f t="shared" si="248"/>
        <v>0</v>
      </c>
      <c r="H1275" s="44">
        <f t="shared" si="249"/>
        <v>0.90909090909090906</v>
      </c>
      <c r="I1275" cm="1">
        <f t="array" ref="I1275">INT(F1275)+IF(100-SUM(INT(F$1260:F$1276))&gt;=RANK(H1275,H$1260:H$1276)+COUNTIF(H$1260:H1275,H1275)-1,1,0)</f>
        <v>1</v>
      </c>
      <c r="J1275" t="b">
        <f t="shared" si="250"/>
        <v>0</v>
      </c>
      <c r="K1275" t="str">
        <f t="shared" si="251"/>
        <v/>
      </c>
      <c r="L1275" s="71">
        <v>8</v>
      </c>
      <c r="M1275">
        <f t="shared" si="254"/>
        <v>8</v>
      </c>
      <c r="N1275" s="71" t="b">
        <v>0</v>
      </c>
      <c r="O1275" t="b">
        <f t="shared" si="255"/>
        <v>0</v>
      </c>
      <c r="P1275" s="72" t="b">
        <v>0</v>
      </c>
    </row>
    <row r="1276" spans="1:16">
      <c r="A1276" s="86" t="s">
        <v>2859</v>
      </c>
      <c r="B1276" s="83">
        <v>192</v>
      </c>
      <c r="C1276" s="34" t="s">
        <v>94</v>
      </c>
      <c r="D1276" s="34" t="s">
        <v>94</v>
      </c>
      <c r="E1276" s="83">
        <v>1</v>
      </c>
      <c r="F1276" s="43">
        <f t="shared" si="256"/>
        <v>0.90909090909090906</v>
      </c>
      <c r="G1276" s="44">
        <f t="shared" si="248"/>
        <v>0</v>
      </c>
      <c r="H1276" s="44">
        <f t="shared" si="249"/>
        <v>0.90909090909090906</v>
      </c>
      <c r="I1276" cm="1">
        <f t="array" ref="I1276">INT(F1276)+IF(100-SUM(INT(F$1260:F$1276))&gt;=RANK(H1276,H$1260:H$1276)+COUNTIF(H$1260:H1276,H1276)-1,1,0)</f>
        <v>1</v>
      </c>
      <c r="J1276" t="b">
        <f t="shared" si="250"/>
        <v>0</v>
      </c>
      <c r="K1276" t="str">
        <f t="shared" si="251"/>
        <v/>
      </c>
      <c r="L1276">
        <f>_xlfn.XLOOKUP(D1276,BugList!C:C,BugList!N:N)</f>
        <v>8</v>
      </c>
      <c r="M1276">
        <f t="shared" si="254"/>
        <v>8</v>
      </c>
      <c r="N1276" t="b">
        <f>_xlfn.XLOOKUP(D1276,BugList!C:C,BugList!L:L)</f>
        <v>0</v>
      </c>
      <c r="O1276" t="b">
        <f t="shared" si="255"/>
        <v>0</v>
      </c>
      <c r="P1276" s="18" t="b">
        <f>SUMPRODUCT(COUNTIF(_xlfn.XLOOKUP(D1276,BugList!C:C,BugList!P:P), "*SC*"))&gt;0</f>
        <v>0</v>
      </c>
    </row>
    <row r="1277" spans="1:16">
      <c r="A1277" s="86" t="s">
        <v>2860</v>
      </c>
      <c r="B1277" s="83">
        <v>189</v>
      </c>
      <c r="C1277" s="34" t="s">
        <v>200</v>
      </c>
      <c r="D1277" s="34" t="s">
        <v>98</v>
      </c>
      <c r="E1277" s="83">
        <v>3</v>
      </c>
      <c r="F1277" s="43">
        <f t="shared" si="256"/>
        <v>2.0979020979020979</v>
      </c>
      <c r="G1277" s="44">
        <f t="shared" si="248"/>
        <v>2</v>
      </c>
      <c r="H1277" s="44">
        <f t="shared" si="249"/>
        <v>9.7902097902097918E-2</v>
      </c>
      <c r="I1277" cm="1">
        <f t="array" ref="I1277">INT(F1277)+IF(100-SUM(INT(F$1277:F$1289))&gt;=RANK(H1277,H$1277:H$1289)+COUNTIF(H$1277:H1277,H1277)-1,1,0)</f>
        <v>2</v>
      </c>
      <c r="J1277" t="b">
        <f t="shared" si="250"/>
        <v>0</v>
      </c>
      <c r="K1277" t="str">
        <f t="shared" si="251"/>
        <v/>
      </c>
      <c r="L1277">
        <f>_xlfn.XLOOKUP(D1277,BugList!C:C,BugList!N:N)</f>
        <v>4</v>
      </c>
      <c r="M1277">
        <f t="shared" si="254"/>
        <v>8</v>
      </c>
      <c r="N1277" t="b">
        <f>_xlfn.XLOOKUP(D1277,BugList!C:C,BugList!L:L)</f>
        <v>1</v>
      </c>
      <c r="O1277" t="b">
        <f t="shared" si="255"/>
        <v>0</v>
      </c>
      <c r="P1277" s="18" t="b">
        <f>SUMPRODUCT(COUNTIF(_xlfn.XLOOKUP(D1277,BugList!C:C,BugList!P:P), "*SC*"))&gt;0</f>
        <v>1</v>
      </c>
    </row>
    <row r="1278" spans="1:16">
      <c r="A1278" s="86" t="s">
        <v>2860</v>
      </c>
      <c r="B1278" s="83">
        <v>189</v>
      </c>
      <c r="C1278" s="34" t="s">
        <v>200</v>
      </c>
      <c r="D1278" s="34" t="s">
        <v>99</v>
      </c>
      <c r="E1278" s="83">
        <v>1</v>
      </c>
      <c r="F1278" s="43">
        <f t="shared" si="256"/>
        <v>0.69930069930069927</v>
      </c>
      <c r="G1278" s="44">
        <f t="shared" si="248"/>
        <v>0</v>
      </c>
      <c r="H1278" s="44">
        <f t="shared" si="249"/>
        <v>0.69930069930069927</v>
      </c>
      <c r="I1278" cm="1">
        <f t="array" ref="I1278">INT(F1278)+IF(100-SUM(INT(F$1277:F$1289))&gt;=RANK(H1278,H$1277:H$1289)+COUNTIF(H$1277:H1278,H1278)-1,1,0)</f>
        <v>1</v>
      </c>
      <c r="J1278" t="b">
        <f t="shared" si="250"/>
        <v>0</v>
      </c>
      <c r="K1278" t="str">
        <f t="shared" si="251"/>
        <v/>
      </c>
      <c r="L1278">
        <f>_xlfn.XLOOKUP(D1278,BugList!C:C,BugList!N:N)</f>
        <v>5</v>
      </c>
      <c r="M1278">
        <f t="shared" si="254"/>
        <v>5</v>
      </c>
      <c r="N1278" t="b">
        <f>_xlfn.XLOOKUP(D1278,BugList!C:C,BugList!L:L)</f>
        <v>1</v>
      </c>
      <c r="O1278" t="b">
        <f t="shared" si="255"/>
        <v>0</v>
      </c>
      <c r="P1278" s="18" t="b">
        <f>SUMPRODUCT(COUNTIF(_xlfn.XLOOKUP(D1278,BugList!C:C,BugList!P:P), "*SC*"))&gt;0</f>
        <v>0</v>
      </c>
    </row>
    <row r="1279" spans="1:16">
      <c r="A1279" s="86" t="s">
        <v>2860</v>
      </c>
      <c r="B1279" s="83">
        <v>189</v>
      </c>
      <c r="C1279" s="34" t="s">
        <v>200</v>
      </c>
      <c r="D1279" s="34" t="s">
        <v>100</v>
      </c>
      <c r="E1279" s="83">
        <v>21</v>
      </c>
      <c r="F1279" s="43">
        <f t="shared" si="256"/>
        <v>14.685314685314685</v>
      </c>
      <c r="G1279" s="44">
        <f t="shared" si="248"/>
        <v>14</v>
      </c>
      <c r="H1279" s="44">
        <f t="shared" si="249"/>
        <v>0.68531468531468498</v>
      </c>
      <c r="I1279" cm="1">
        <f t="array" ref="I1279">INT(F1279)+IF(100-SUM(INT(F$1277:F$1289))&gt;=RANK(H1279,H$1277:H$1289)+COUNTIF(H$1277:H1279,H1279)-1,1,0)</f>
        <v>15</v>
      </c>
      <c r="J1279" t="b">
        <f t="shared" si="250"/>
        <v>0</v>
      </c>
      <c r="K1279" t="str">
        <f t="shared" si="251"/>
        <v/>
      </c>
      <c r="L1279">
        <f>_xlfn.XLOOKUP(D1279,BugList!C:C,BugList!N:N)</f>
        <v>4</v>
      </c>
      <c r="M1279">
        <f t="shared" si="254"/>
        <v>60</v>
      </c>
      <c r="N1279" t="b">
        <f>_xlfn.XLOOKUP(D1279,BugList!C:C,BugList!L:L)</f>
        <v>1</v>
      </c>
      <c r="O1279" t="b">
        <f t="shared" si="255"/>
        <v>0</v>
      </c>
      <c r="P1279" s="18" t="b">
        <f>SUMPRODUCT(COUNTIF(_xlfn.XLOOKUP(D1279,BugList!C:C,BugList!P:P), "*SC*"))&gt;0</f>
        <v>1</v>
      </c>
    </row>
    <row r="1280" spans="1:16">
      <c r="A1280" s="86" t="s">
        <v>2860</v>
      </c>
      <c r="B1280" s="83">
        <v>189</v>
      </c>
      <c r="C1280" s="34" t="s">
        <v>194</v>
      </c>
      <c r="D1280" s="34" t="s">
        <v>108</v>
      </c>
      <c r="E1280" s="83">
        <v>7</v>
      </c>
      <c r="F1280" s="43">
        <f t="shared" si="256"/>
        <v>4.895104895104895</v>
      </c>
      <c r="G1280" s="44">
        <f t="shared" si="248"/>
        <v>4</v>
      </c>
      <c r="H1280" s="44">
        <f t="shared" si="249"/>
        <v>0.89510489510489499</v>
      </c>
      <c r="I1280" cm="1">
        <f t="array" ref="I1280">INT(F1280)+IF(100-SUM(INT(F$1277:F$1289))&gt;=RANK(H1280,H$1277:H$1289)+COUNTIF(H$1277:H1280,H1280)-1,1,0)</f>
        <v>5</v>
      </c>
      <c r="J1280" t="b">
        <f t="shared" si="250"/>
        <v>0</v>
      </c>
      <c r="K1280" t="str">
        <f t="shared" si="251"/>
        <v/>
      </c>
      <c r="L1280">
        <f>_xlfn.XLOOKUP(D1280,BugList!C:C,BugList!N:N)</f>
        <v>3</v>
      </c>
      <c r="M1280">
        <f t="shared" si="254"/>
        <v>15</v>
      </c>
      <c r="N1280" t="b">
        <f>_xlfn.XLOOKUP(D1280,BugList!C:C,BugList!L:L)</f>
        <v>1</v>
      </c>
      <c r="O1280" t="b">
        <f t="shared" si="255"/>
        <v>0</v>
      </c>
      <c r="P1280" s="18" t="b">
        <f>SUMPRODUCT(COUNTIF(_xlfn.XLOOKUP(D1280,BugList!C:C,BugList!P:P), "*SC*"))&gt;0</f>
        <v>0</v>
      </c>
    </row>
    <row r="1281" spans="1:16">
      <c r="A1281" s="86" t="s">
        <v>2860</v>
      </c>
      <c r="B1281" s="83">
        <v>189</v>
      </c>
      <c r="C1281" s="34" t="s">
        <v>199</v>
      </c>
      <c r="D1281" s="34" t="s">
        <v>111</v>
      </c>
      <c r="E1281" s="83">
        <v>7</v>
      </c>
      <c r="F1281" s="43">
        <f t="shared" si="256"/>
        <v>4.895104895104895</v>
      </c>
      <c r="G1281" s="44">
        <f t="shared" si="248"/>
        <v>4</v>
      </c>
      <c r="H1281" s="44">
        <f t="shared" si="249"/>
        <v>0.89510489510489499</v>
      </c>
      <c r="I1281" cm="1">
        <f t="array" ref="I1281">INT(F1281)+IF(100-SUM(INT(F$1277:F$1289))&gt;=RANK(H1281,H$1277:H$1289)+COUNTIF(H$1277:H1281,H1281)-1,1,0)</f>
        <v>5</v>
      </c>
      <c r="J1281" t="b">
        <f t="shared" si="250"/>
        <v>1</v>
      </c>
      <c r="K1281" t="str">
        <f t="shared" si="251"/>
        <v>Ephemeroptera</v>
      </c>
      <c r="L1281">
        <f>_xlfn.XLOOKUP(D1281,BugList!C:C,BugList!N:N)</f>
        <v>4</v>
      </c>
      <c r="M1281">
        <f t="shared" si="254"/>
        <v>20</v>
      </c>
      <c r="N1281" t="b">
        <f>_xlfn.XLOOKUP(D1281,BugList!C:C,BugList!L:L)</f>
        <v>1</v>
      </c>
      <c r="O1281" t="b">
        <f t="shared" si="255"/>
        <v>1</v>
      </c>
      <c r="P1281" s="18" t="b">
        <f>SUMPRODUCT(COUNTIF(_xlfn.XLOOKUP(D1281,BugList!C:C,BugList!P:P), "*SC*"))&gt;0</f>
        <v>0</v>
      </c>
    </row>
    <row r="1282" spans="1:16">
      <c r="A1282" s="86" t="s">
        <v>2860</v>
      </c>
      <c r="B1282" s="83">
        <v>189</v>
      </c>
      <c r="C1282" s="34" t="s">
        <v>195</v>
      </c>
      <c r="D1282" s="34" t="s">
        <v>97</v>
      </c>
      <c r="E1282" s="83">
        <v>3</v>
      </c>
      <c r="F1282" s="43">
        <f t="shared" si="256"/>
        <v>2.0979020979020979</v>
      </c>
      <c r="G1282" s="44">
        <f t="shared" si="248"/>
        <v>2</v>
      </c>
      <c r="H1282" s="44">
        <f t="shared" si="249"/>
        <v>9.7902097902097918E-2</v>
      </c>
      <c r="I1282" cm="1">
        <f t="array" ref="I1282">INT(F1282)+IF(100-SUM(INT(F$1277:F$1289))&gt;=RANK(H1282,H$1277:H$1289)+COUNTIF(H$1277:H1282,H1282)-1,1,0)</f>
        <v>2</v>
      </c>
      <c r="J1282" t="b">
        <f t="shared" si="250"/>
        <v>0</v>
      </c>
      <c r="K1282" t="str">
        <f t="shared" si="251"/>
        <v/>
      </c>
      <c r="L1282">
        <f>_xlfn.XLOOKUP(D1282,BugList!C:C,BugList!N:N)</f>
        <v>9</v>
      </c>
      <c r="M1282">
        <f t="shared" si="254"/>
        <v>18</v>
      </c>
      <c r="N1282" t="b">
        <f>_xlfn.XLOOKUP(D1282,BugList!C:C,BugList!L:L)</f>
        <v>1</v>
      </c>
      <c r="O1282" t="b">
        <f t="shared" si="255"/>
        <v>0</v>
      </c>
      <c r="P1282" s="18" t="b">
        <f>SUMPRODUCT(COUNTIF(_xlfn.XLOOKUP(D1282,BugList!C:C,BugList!P:P), "*SC*"))&gt;0</f>
        <v>0</v>
      </c>
    </row>
    <row r="1283" spans="1:16">
      <c r="A1283" s="86" t="s">
        <v>2860</v>
      </c>
      <c r="B1283" s="83">
        <v>189</v>
      </c>
      <c r="C1283" s="34" t="s">
        <v>195</v>
      </c>
      <c r="D1283" s="34" t="s">
        <v>113</v>
      </c>
      <c r="E1283" s="83">
        <v>9</v>
      </c>
      <c r="F1283" s="43">
        <f t="shared" si="256"/>
        <v>6.2937062937062942</v>
      </c>
      <c r="G1283" s="44">
        <f t="shared" si="248"/>
        <v>6</v>
      </c>
      <c r="H1283" s="44">
        <f t="shared" si="249"/>
        <v>0.2937062937062942</v>
      </c>
      <c r="I1283" cm="1">
        <f t="array" ref="I1283">INT(F1283)+IF(100-SUM(INT(F$1277:F$1289))&gt;=RANK(H1283,H$1277:H$1289)+COUNTIF(H$1277:H1283,H1283)-1,1,0)</f>
        <v>6</v>
      </c>
      <c r="J1283" t="b">
        <f t="shared" si="250"/>
        <v>0</v>
      </c>
      <c r="K1283" t="str">
        <f t="shared" si="251"/>
        <v/>
      </c>
      <c r="L1283">
        <f>_xlfn.XLOOKUP(D1283,BugList!C:C,BugList!N:N)</f>
        <v>1</v>
      </c>
      <c r="M1283">
        <f t="shared" si="254"/>
        <v>6</v>
      </c>
      <c r="N1283" t="b">
        <f>_xlfn.XLOOKUP(D1283,BugList!C:C,BugList!L:L)</f>
        <v>1</v>
      </c>
      <c r="O1283" t="b">
        <f t="shared" si="255"/>
        <v>0</v>
      </c>
      <c r="P1283" s="18" t="b">
        <f>SUMPRODUCT(COUNTIF(_xlfn.XLOOKUP(D1283,BugList!C:C,BugList!P:P), "*SC*"))&gt;0</f>
        <v>0</v>
      </c>
    </row>
    <row r="1284" spans="1:16">
      <c r="A1284" s="86" t="s">
        <v>2860</v>
      </c>
      <c r="B1284" s="83">
        <v>189</v>
      </c>
      <c r="C1284" s="34" t="s">
        <v>212</v>
      </c>
      <c r="D1284" s="34" t="s">
        <v>159</v>
      </c>
      <c r="E1284" s="83">
        <v>2</v>
      </c>
      <c r="F1284" s="43">
        <f t="shared" si="256"/>
        <v>1.3986013986013985</v>
      </c>
      <c r="G1284" s="44">
        <f t="shared" si="248"/>
        <v>1</v>
      </c>
      <c r="H1284" s="44">
        <f t="shared" si="249"/>
        <v>0.39860139860139854</v>
      </c>
      <c r="I1284" cm="1">
        <f t="array" ref="I1284">INT(F1284)+IF(100-SUM(INT(F$1277:F$1289))&gt;=RANK(H1284,H$1277:H$1289)+COUNTIF(H$1277:H1284,H1284)-1,1,0)</f>
        <v>2</v>
      </c>
      <c r="J1284" t="b">
        <f t="shared" si="250"/>
        <v>0</v>
      </c>
      <c r="K1284" t="str">
        <f t="shared" si="251"/>
        <v/>
      </c>
      <c r="L1284">
        <f>_xlfn.XLOOKUP(D1284,BugList!C:C,BugList!N:N)</f>
        <v>9</v>
      </c>
      <c r="M1284">
        <f t="shared" si="254"/>
        <v>18</v>
      </c>
      <c r="N1284" t="b">
        <f>_xlfn.XLOOKUP(D1284,BugList!C:C,BugList!L:L)</f>
        <v>1</v>
      </c>
      <c r="O1284" t="b">
        <f t="shared" si="255"/>
        <v>0</v>
      </c>
      <c r="P1284" s="18" t="b">
        <f>SUMPRODUCT(COUNTIF(_xlfn.XLOOKUP(D1284,BugList!C:C,BugList!P:P), "*SC*"))&gt;0</f>
        <v>0</v>
      </c>
    </row>
    <row r="1285" spans="1:16">
      <c r="A1285" s="86" t="s">
        <v>2860</v>
      </c>
      <c r="B1285" s="83">
        <v>189</v>
      </c>
      <c r="C1285" s="34" t="s">
        <v>198</v>
      </c>
      <c r="D1285" s="34" t="s">
        <v>89</v>
      </c>
      <c r="E1285" s="83">
        <v>66</v>
      </c>
      <c r="F1285" s="43">
        <f t="shared" si="256"/>
        <v>46.153846153846153</v>
      </c>
      <c r="G1285" s="44">
        <f t="shared" si="248"/>
        <v>46</v>
      </c>
      <c r="H1285" s="44">
        <f t="shared" si="249"/>
        <v>0.1538461538461533</v>
      </c>
      <c r="I1285" cm="1">
        <f t="array" ref="I1285">INT(F1285)+IF(100-SUM(INT(F$1277:F$1289))&gt;=RANK(H1285,H$1277:H$1289)+COUNTIF(H$1277:H1285,H1285)-1,1,0)</f>
        <v>46</v>
      </c>
      <c r="J1285" t="b">
        <f t="shared" si="250"/>
        <v>1</v>
      </c>
      <c r="K1285" t="str">
        <f t="shared" si="251"/>
        <v>Trichoptera</v>
      </c>
      <c r="L1285">
        <f>_xlfn.XLOOKUP(D1285,BugList!C:C,BugList!N:N)</f>
        <v>4</v>
      </c>
      <c r="M1285">
        <f t="shared" si="254"/>
        <v>184</v>
      </c>
      <c r="N1285" t="b">
        <f>_xlfn.XLOOKUP(D1285,BugList!C:C,BugList!L:L)</f>
        <v>1</v>
      </c>
      <c r="O1285" t="b">
        <f t="shared" si="255"/>
        <v>0</v>
      </c>
      <c r="P1285" s="18" t="b">
        <f>SUMPRODUCT(COUNTIF(_xlfn.XLOOKUP(D1285,BugList!C:C,BugList!P:P), "*SC*"))&gt;0</f>
        <v>0</v>
      </c>
    </row>
    <row r="1286" spans="1:16">
      <c r="A1286" s="86" t="s">
        <v>2860</v>
      </c>
      <c r="B1286" s="83">
        <v>189</v>
      </c>
      <c r="C1286" s="34" t="s">
        <v>198</v>
      </c>
      <c r="D1286" s="34" t="s">
        <v>107</v>
      </c>
      <c r="E1286" s="83">
        <v>2</v>
      </c>
      <c r="F1286" s="43">
        <f t="shared" si="256"/>
        <v>1.3986013986013985</v>
      </c>
      <c r="G1286" s="44">
        <f t="shared" si="248"/>
        <v>1</v>
      </c>
      <c r="H1286" s="44">
        <f t="shared" si="249"/>
        <v>0.39860139860139854</v>
      </c>
      <c r="I1286" cm="1">
        <f t="array" ref="I1286">INT(F1286)+IF(100-SUM(INT(F$1277:F$1289))&gt;=RANK(H1286,H$1277:H$1289)+COUNTIF(H$1277:H1286,H1286)-1,1,0)</f>
        <v>1</v>
      </c>
      <c r="J1286" t="b">
        <f t="shared" si="250"/>
        <v>1</v>
      </c>
      <c r="K1286" t="str">
        <f t="shared" si="251"/>
        <v>Trichoptera</v>
      </c>
      <c r="L1286">
        <f>_xlfn.XLOOKUP(D1286,BugList!C:C,BugList!N:N)</f>
        <v>3</v>
      </c>
      <c r="M1286">
        <f t="shared" si="254"/>
        <v>3</v>
      </c>
      <c r="N1286" t="b">
        <f>_xlfn.XLOOKUP(D1286,BugList!C:C,BugList!L:L)</f>
        <v>1</v>
      </c>
      <c r="O1286" t="b">
        <f t="shared" si="255"/>
        <v>1</v>
      </c>
      <c r="P1286" s="18" t="b">
        <f>SUMPRODUCT(COUNTIF(_xlfn.XLOOKUP(D1286,BugList!C:C,BugList!P:P), "*SC*"))&gt;0</f>
        <v>0</v>
      </c>
    </row>
    <row r="1287" spans="1:16">
      <c r="A1287" s="86" t="s">
        <v>2860</v>
      </c>
      <c r="B1287" s="83">
        <v>189</v>
      </c>
      <c r="C1287" s="34" t="s">
        <v>2315</v>
      </c>
      <c r="D1287" s="34" t="s">
        <v>2315</v>
      </c>
      <c r="E1287" s="83">
        <v>19</v>
      </c>
      <c r="F1287" s="43">
        <f t="shared" si="256"/>
        <v>13.286713286713287</v>
      </c>
      <c r="G1287" s="44">
        <f t="shared" si="248"/>
        <v>13</v>
      </c>
      <c r="H1287" s="44">
        <f t="shared" si="249"/>
        <v>0.28671328671328666</v>
      </c>
      <c r="I1287" cm="1">
        <f t="array" ref="I1287">INT(F1287)+IF(100-SUM(INT(F$1277:F$1289))&gt;=RANK(H1287,H$1277:H$1289)+COUNTIF(H$1277:H1287,H1287)-1,1,0)</f>
        <v>13</v>
      </c>
      <c r="J1287" t="b">
        <f t="shared" si="250"/>
        <v>0</v>
      </c>
      <c r="K1287" t="str">
        <f t="shared" si="251"/>
        <v/>
      </c>
      <c r="L1287">
        <f>_xlfn.XLOOKUP(D1287,BugList!C:C,BugList!N:N)</f>
        <v>7</v>
      </c>
      <c r="M1287">
        <f t="shared" si="254"/>
        <v>91</v>
      </c>
      <c r="N1287" t="b">
        <f>_xlfn.XLOOKUP(D1287,BugList!C:C,BugList!L:L)</f>
        <v>0</v>
      </c>
      <c r="O1287" t="b">
        <f t="shared" si="255"/>
        <v>0</v>
      </c>
      <c r="P1287" s="18" t="b">
        <f>SUMPRODUCT(COUNTIF(_xlfn.XLOOKUP(D1287,BugList!C:C,BugList!P:P), "*SC*"))&gt;0</f>
        <v>1</v>
      </c>
    </row>
    <row r="1288" spans="1:16">
      <c r="A1288" s="86" t="s">
        <v>2860</v>
      </c>
      <c r="B1288" s="83">
        <v>189</v>
      </c>
      <c r="C1288" s="34" t="s">
        <v>205</v>
      </c>
      <c r="D1288" s="34" t="s">
        <v>206</v>
      </c>
      <c r="E1288" s="83">
        <v>2</v>
      </c>
      <c r="F1288" s="43">
        <f t="shared" si="256"/>
        <v>1.3986013986013985</v>
      </c>
      <c r="G1288" s="44">
        <f t="shared" si="248"/>
        <v>1</v>
      </c>
      <c r="H1288" s="44">
        <f t="shared" si="249"/>
        <v>0.39860139860139854</v>
      </c>
      <c r="I1288" cm="1">
        <f t="array" ref="I1288">INT(F1288)+IF(100-SUM(INT(F$1277:F$1289))&gt;=RANK(H1288,H$1277:H$1289)+COUNTIF(H$1277:H1288,H1288)-1,1,0)</f>
        <v>1</v>
      </c>
      <c r="J1288" t="b">
        <f t="shared" si="250"/>
        <v>0</v>
      </c>
      <c r="K1288" t="str">
        <f t="shared" si="251"/>
        <v/>
      </c>
      <c r="L1288" s="71">
        <v>8</v>
      </c>
      <c r="M1288">
        <f t="shared" si="254"/>
        <v>8</v>
      </c>
      <c r="N1288" s="71" t="b">
        <v>0</v>
      </c>
      <c r="O1288" t="b">
        <f t="shared" si="255"/>
        <v>0</v>
      </c>
      <c r="P1288" s="72" t="b">
        <v>0</v>
      </c>
    </row>
    <row r="1289" spans="1:16">
      <c r="A1289" s="86" t="s">
        <v>2860</v>
      </c>
      <c r="B1289" s="83">
        <v>189</v>
      </c>
      <c r="C1289" s="34" t="s">
        <v>94</v>
      </c>
      <c r="D1289" s="34" t="s">
        <v>94</v>
      </c>
      <c r="E1289" s="83">
        <v>1</v>
      </c>
      <c r="F1289" s="43">
        <f t="shared" si="256"/>
        <v>0.69930069930069927</v>
      </c>
      <c r="G1289" s="44">
        <f t="shared" si="248"/>
        <v>0</v>
      </c>
      <c r="H1289" s="44">
        <f t="shared" si="249"/>
        <v>0.69930069930069927</v>
      </c>
      <c r="I1289" cm="1">
        <f t="array" ref="I1289">INT(F1289)+IF(100-SUM(INT(F$1277:F$1289))&gt;=RANK(H1289,H$1277:H$1289)+COUNTIF(H$1277:H1289,H1289)-1,1,0)</f>
        <v>1</v>
      </c>
      <c r="J1289" t="b">
        <f t="shared" si="250"/>
        <v>0</v>
      </c>
      <c r="K1289" t="str">
        <f t="shared" si="251"/>
        <v/>
      </c>
      <c r="L1289">
        <f>_xlfn.XLOOKUP(D1289,BugList!C:C,BugList!N:N)</f>
        <v>8</v>
      </c>
      <c r="M1289">
        <f t="shared" si="254"/>
        <v>8</v>
      </c>
      <c r="N1289" t="b">
        <f>_xlfn.XLOOKUP(D1289,BugList!C:C,BugList!L:L)</f>
        <v>0</v>
      </c>
      <c r="O1289" t="b">
        <f t="shared" si="255"/>
        <v>0</v>
      </c>
      <c r="P1289" s="18" t="b">
        <f>SUMPRODUCT(COUNTIF(_xlfn.XLOOKUP(D1289,BugList!C:C,BugList!P:P), "*SC*"))&gt;0</f>
        <v>0</v>
      </c>
    </row>
    <row r="1290" spans="1:16">
      <c r="A1290" s="86" t="s">
        <v>2861</v>
      </c>
      <c r="B1290" s="83">
        <v>198</v>
      </c>
      <c r="C1290" s="34" t="s">
        <v>200</v>
      </c>
      <c r="D1290" s="34" t="s">
        <v>98</v>
      </c>
      <c r="E1290" s="83">
        <v>2</v>
      </c>
      <c r="F1290" s="43">
        <f t="shared" si="256"/>
        <v>1.7543859649122806</v>
      </c>
      <c r="G1290" s="44">
        <f t="shared" si="248"/>
        <v>1</v>
      </c>
      <c r="H1290" s="44">
        <f t="shared" si="249"/>
        <v>0.7543859649122806</v>
      </c>
      <c r="I1290" cm="1">
        <f t="array" ref="I1290">INT(F1290)+IF(100-SUM(INT(F$1290:F$1300))&gt;=RANK(H1290,H$1290:H$1300)+COUNTIF(H$1290:H1290,H1290)-1,1,0)</f>
        <v>2</v>
      </c>
      <c r="J1290" t="b">
        <f t="shared" si="250"/>
        <v>0</v>
      </c>
      <c r="K1290" t="str">
        <f t="shared" si="251"/>
        <v/>
      </c>
      <c r="L1290">
        <f>_xlfn.XLOOKUP(D1290,BugList!C:C,BugList!N:N)</f>
        <v>4</v>
      </c>
      <c r="M1290">
        <f t="shared" si="254"/>
        <v>8</v>
      </c>
      <c r="N1290" t="b">
        <f>_xlfn.XLOOKUP(D1290,BugList!C:C,BugList!L:L)</f>
        <v>1</v>
      </c>
      <c r="O1290" t="b">
        <f t="shared" si="255"/>
        <v>0</v>
      </c>
      <c r="P1290" s="18" t="b">
        <f>SUMPRODUCT(COUNTIF(_xlfn.XLOOKUP(D1290,BugList!C:C,BugList!P:P), "*SC*"))&gt;0</f>
        <v>1</v>
      </c>
    </row>
    <row r="1291" spans="1:16">
      <c r="A1291" s="86" t="s">
        <v>2861</v>
      </c>
      <c r="B1291" s="83">
        <v>198</v>
      </c>
      <c r="C1291" s="34" t="s">
        <v>200</v>
      </c>
      <c r="D1291" s="34" t="s">
        <v>100</v>
      </c>
      <c r="E1291" s="83">
        <v>28</v>
      </c>
      <c r="F1291" s="43">
        <f t="shared" si="256"/>
        <v>24.561403508771928</v>
      </c>
      <c r="G1291" s="44">
        <f t="shared" si="248"/>
        <v>24</v>
      </c>
      <c r="H1291" s="44">
        <f t="shared" si="249"/>
        <v>0.56140350877192802</v>
      </c>
      <c r="I1291" cm="1">
        <f t="array" ref="I1291">INT(F1291)+IF(100-SUM(INT(F$1290:F$1300))&gt;=RANK(H1291,H$1290:H$1300)+COUNTIF(H$1290:H1291,H1291)-1,1,0)</f>
        <v>24</v>
      </c>
      <c r="J1291" t="b">
        <f t="shared" si="250"/>
        <v>0</v>
      </c>
      <c r="K1291" t="str">
        <f t="shared" si="251"/>
        <v/>
      </c>
      <c r="L1291">
        <f>_xlfn.XLOOKUP(D1291,BugList!C:C,BugList!N:N)</f>
        <v>4</v>
      </c>
      <c r="M1291">
        <f t="shared" si="254"/>
        <v>96</v>
      </c>
      <c r="N1291" t="b">
        <f>_xlfn.XLOOKUP(D1291,BugList!C:C,BugList!L:L)</f>
        <v>1</v>
      </c>
      <c r="O1291" t="b">
        <f t="shared" si="255"/>
        <v>0</v>
      </c>
      <c r="P1291" s="18" t="b">
        <f>SUMPRODUCT(COUNTIF(_xlfn.XLOOKUP(D1291,BugList!C:C,BugList!P:P), "*SC*"))&gt;0</f>
        <v>1</v>
      </c>
    </row>
    <row r="1292" spans="1:16">
      <c r="A1292" s="86" t="s">
        <v>2861</v>
      </c>
      <c r="B1292" s="83">
        <v>198</v>
      </c>
      <c r="C1292" s="34" t="s">
        <v>200</v>
      </c>
      <c r="D1292" s="34" t="s">
        <v>1503</v>
      </c>
      <c r="E1292" s="83">
        <v>1</v>
      </c>
      <c r="F1292" s="43">
        <f t="shared" si="256"/>
        <v>0.8771929824561403</v>
      </c>
      <c r="G1292" s="44">
        <f t="shared" si="248"/>
        <v>0</v>
      </c>
      <c r="H1292" s="44">
        <f t="shared" si="249"/>
        <v>0.8771929824561403</v>
      </c>
      <c r="I1292" cm="1">
        <f t="array" ref="I1292">INT(F1292)+IF(100-SUM(INT(F$1290:F$1300))&gt;=RANK(H1292,H$1290:H$1300)+COUNTIF(H$1290:H1292,H1292)-1,1,0)</f>
        <v>1</v>
      </c>
      <c r="J1292" t="b">
        <f t="shared" si="250"/>
        <v>0</v>
      </c>
      <c r="K1292" t="str">
        <f t="shared" si="251"/>
        <v/>
      </c>
      <c r="L1292">
        <f>_xlfn.XLOOKUP(D1292,BugList!C:C,BugList!N:N)</f>
        <v>5</v>
      </c>
      <c r="M1292">
        <f t="shared" si="254"/>
        <v>5</v>
      </c>
      <c r="N1292" t="b">
        <f>_xlfn.XLOOKUP(D1292,BugList!C:C,BugList!L:L)</f>
        <v>1</v>
      </c>
      <c r="O1292" t="b">
        <f t="shared" si="255"/>
        <v>0</v>
      </c>
      <c r="P1292" s="18" t="b">
        <f>SUMPRODUCT(COUNTIF(_xlfn.XLOOKUP(D1292,BugList!C:C,BugList!P:P), "*SC*"))&gt;0</f>
        <v>0</v>
      </c>
    </row>
    <row r="1293" spans="1:16">
      <c r="A1293" s="86" t="s">
        <v>2861</v>
      </c>
      <c r="B1293" s="83">
        <v>198</v>
      </c>
      <c r="C1293" s="34" t="s">
        <v>194</v>
      </c>
      <c r="D1293" s="34" t="s">
        <v>108</v>
      </c>
      <c r="E1293" s="83">
        <v>1</v>
      </c>
      <c r="F1293" s="43">
        <f t="shared" si="256"/>
        <v>0.8771929824561403</v>
      </c>
      <c r="G1293" s="44">
        <f t="shared" si="248"/>
        <v>0</v>
      </c>
      <c r="H1293" s="44">
        <f t="shared" si="249"/>
        <v>0.8771929824561403</v>
      </c>
      <c r="I1293" cm="1">
        <f t="array" ref="I1293">INT(F1293)+IF(100-SUM(INT(F$1290:F$1300))&gt;=RANK(H1293,H$1290:H$1300)+COUNTIF(H$1290:H1293,H1293)-1,1,0)</f>
        <v>1</v>
      </c>
      <c r="J1293" t="b">
        <f t="shared" si="250"/>
        <v>0</v>
      </c>
      <c r="K1293" t="str">
        <f t="shared" si="251"/>
        <v/>
      </c>
      <c r="L1293">
        <f>_xlfn.XLOOKUP(D1293,BugList!C:C,BugList!N:N)</f>
        <v>3</v>
      </c>
      <c r="M1293">
        <f t="shared" si="254"/>
        <v>3</v>
      </c>
      <c r="N1293" t="b">
        <f>_xlfn.XLOOKUP(D1293,BugList!C:C,BugList!L:L)</f>
        <v>1</v>
      </c>
      <c r="O1293" t="b">
        <f t="shared" si="255"/>
        <v>0</v>
      </c>
      <c r="P1293" s="18" t="b">
        <f>SUMPRODUCT(COUNTIF(_xlfn.XLOOKUP(D1293,BugList!C:C,BugList!P:P), "*SC*"))&gt;0</f>
        <v>0</v>
      </c>
    </row>
    <row r="1294" spans="1:16">
      <c r="A1294" s="86" t="s">
        <v>2861</v>
      </c>
      <c r="B1294" s="83">
        <v>198</v>
      </c>
      <c r="C1294" s="34" t="s">
        <v>195</v>
      </c>
      <c r="D1294" s="34" t="s">
        <v>162</v>
      </c>
      <c r="E1294" s="83">
        <v>1</v>
      </c>
      <c r="F1294" s="43">
        <f t="shared" si="256"/>
        <v>0.8771929824561403</v>
      </c>
      <c r="G1294" s="44">
        <f t="shared" si="248"/>
        <v>0</v>
      </c>
      <c r="H1294" s="44">
        <f t="shared" si="249"/>
        <v>0.8771929824561403</v>
      </c>
      <c r="I1294" cm="1">
        <f t="array" ref="I1294">INT(F1294)+IF(100-SUM(INT(F$1290:F$1300))&gt;=RANK(H1294,H$1290:H$1300)+COUNTIF(H$1290:H1294,H1294)-1,1,0)</f>
        <v>1</v>
      </c>
      <c r="J1294" t="b">
        <f t="shared" si="250"/>
        <v>0</v>
      </c>
      <c r="K1294" t="str">
        <f t="shared" si="251"/>
        <v/>
      </c>
      <c r="L1294">
        <f>_xlfn.XLOOKUP(D1294,BugList!C:C,BugList!N:N)</f>
        <v>3</v>
      </c>
      <c r="M1294">
        <f t="shared" si="254"/>
        <v>3</v>
      </c>
      <c r="N1294" t="b">
        <f>_xlfn.XLOOKUP(D1294,BugList!C:C,BugList!L:L)</f>
        <v>1</v>
      </c>
      <c r="O1294" t="b">
        <f t="shared" si="255"/>
        <v>0</v>
      </c>
      <c r="P1294" s="18" t="b">
        <f>SUMPRODUCT(COUNTIF(_xlfn.XLOOKUP(D1294,BugList!C:C,BugList!P:P), "*SC*"))&gt;0</f>
        <v>0</v>
      </c>
    </row>
    <row r="1295" spans="1:16">
      <c r="A1295" s="86" t="s">
        <v>2861</v>
      </c>
      <c r="B1295" s="83">
        <v>198</v>
      </c>
      <c r="C1295" s="34" t="s">
        <v>195</v>
      </c>
      <c r="D1295" s="34" t="s">
        <v>97</v>
      </c>
      <c r="E1295" s="83">
        <v>1</v>
      </c>
      <c r="F1295" s="43">
        <f t="shared" si="256"/>
        <v>0.8771929824561403</v>
      </c>
      <c r="G1295" s="44">
        <f t="shared" si="248"/>
        <v>0</v>
      </c>
      <c r="H1295" s="44">
        <f t="shared" si="249"/>
        <v>0.8771929824561403</v>
      </c>
      <c r="I1295" cm="1">
        <f t="array" ref="I1295">INT(F1295)+IF(100-SUM(INT(F$1290:F$1300))&gt;=RANK(H1295,H$1290:H$1300)+COUNTIF(H$1290:H1295,H1295)-1,1,0)</f>
        <v>1</v>
      </c>
      <c r="J1295" t="b">
        <f t="shared" si="250"/>
        <v>0</v>
      </c>
      <c r="K1295" t="str">
        <f t="shared" si="251"/>
        <v/>
      </c>
      <c r="L1295">
        <f>_xlfn.XLOOKUP(D1295,BugList!C:C,BugList!N:N)</f>
        <v>9</v>
      </c>
      <c r="M1295">
        <f t="shared" si="254"/>
        <v>9</v>
      </c>
      <c r="N1295" t="b">
        <f>_xlfn.XLOOKUP(D1295,BugList!C:C,BugList!L:L)</f>
        <v>1</v>
      </c>
      <c r="O1295" t="b">
        <f t="shared" si="255"/>
        <v>0</v>
      </c>
      <c r="P1295" s="18" t="b">
        <f>SUMPRODUCT(COUNTIF(_xlfn.XLOOKUP(D1295,BugList!C:C,BugList!P:P), "*SC*"))&gt;0</f>
        <v>0</v>
      </c>
    </row>
    <row r="1296" spans="1:16">
      <c r="A1296" s="86" t="s">
        <v>2861</v>
      </c>
      <c r="B1296" s="83">
        <v>198</v>
      </c>
      <c r="C1296" s="34" t="s">
        <v>198</v>
      </c>
      <c r="D1296" s="34" t="s">
        <v>89</v>
      </c>
      <c r="E1296" s="83">
        <v>67</v>
      </c>
      <c r="F1296" s="43">
        <f t="shared" si="256"/>
        <v>58.771929824561411</v>
      </c>
      <c r="G1296" s="44">
        <f t="shared" si="248"/>
        <v>58</v>
      </c>
      <c r="H1296" s="44">
        <f t="shared" si="249"/>
        <v>0.77192982456141124</v>
      </c>
      <c r="I1296" cm="1">
        <f t="array" ref="I1296">INT(F1296)+IF(100-SUM(INT(F$1290:F$1300))&gt;=RANK(H1296,H$1290:H$1300)+COUNTIF(H$1290:H1296,H1296)-1,1,0)</f>
        <v>59</v>
      </c>
      <c r="J1296" t="b">
        <f t="shared" si="250"/>
        <v>1</v>
      </c>
      <c r="K1296" t="str">
        <f t="shared" si="251"/>
        <v>Trichoptera</v>
      </c>
      <c r="L1296">
        <f>_xlfn.XLOOKUP(D1296,BugList!C:C,BugList!N:N)</f>
        <v>4</v>
      </c>
      <c r="M1296">
        <f t="shared" si="254"/>
        <v>236</v>
      </c>
      <c r="N1296" t="b">
        <f>_xlfn.XLOOKUP(D1296,BugList!C:C,BugList!L:L)</f>
        <v>1</v>
      </c>
      <c r="O1296" t="b">
        <f t="shared" si="255"/>
        <v>0</v>
      </c>
      <c r="P1296" s="18" t="b">
        <f>SUMPRODUCT(COUNTIF(_xlfn.XLOOKUP(D1296,BugList!C:C,BugList!P:P), "*SC*"))&gt;0</f>
        <v>0</v>
      </c>
    </row>
    <row r="1297" spans="1:16">
      <c r="A1297" s="86" t="s">
        <v>2861</v>
      </c>
      <c r="B1297" s="83">
        <v>198</v>
      </c>
      <c r="C1297" s="34" t="s">
        <v>198</v>
      </c>
      <c r="D1297" s="34" t="s">
        <v>107</v>
      </c>
      <c r="E1297" s="83">
        <v>5</v>
      </c>
      <c r="F1297" s="43">
        <f t="shared" si="256"/>
        <v>4.3859649122807012</v>
      </c>
      <c r="G1297" s="44">
        <f t="shared" si="248"/>
        <v>4</v>
      </c>
      <c r="H1297" s="44">
        <f t="shared" si="249"/>
        <v>0.38596491228070118</v>
      </c>
      <c r="I1297" cm="1">
        <f t="array" ref="I1297">INT(F1297)+IF(100-SUM(INT(F$1290:F$1300))&gt;=RANK(H1297,H$1290:H$1300)+COUNTIF(H$1290:H1297,H1297)-1,1,0)</f>
        <v>4</v>
      </c>
      <c r="J1297" t="b">
        <f t="shared" si="250"/>
        <v>1</v>
      </c>
      <c r="K1297" t="str">
        <f t="shared" si="251"/>
        <v>Trichoptera</v>
      </c>
      <c r="L1297">
        <f>_xlfn.XLOOKUP(D1297,BugList!C:C,BugList!N:N)</f>
        <v>3</v>
      </c>
      <c r="M1297">
        <f t="shared" si="254"/>
        <v>12</v>
      </c>
      <c r="N1297" t="b">
        <f>_xlfn.XLOOKUP(D1297,BugList!C:C,BugList!L:L)</f>
        <v>1</v>
      </c>
      <c r="O1297" t="b">
        <f t="shared" si="255"/>
        <v>1</v>
      </c>
      <c r="P1297" s="18" t="b">
        <f>SUMPRODUCT(COUNTIF(_xlfn.XLOOKUP(D1297,BugList!C:C,BugList!P:P), "*SC*"))&gt;0</f>
        <v>0</v>
      </c>
    </row>
    <row r="1298" spans="1:16">
      <c r="A1298" s="86" t="s">
        <v>2861</v>
      </c>
      <c r="B1298" s="83">
        <v>198</v>
      </c>
      <c r="C1298" s="34" t="s">
        <v>2315</v>
      </c>
      <c r="D1298" s="34" t="s">
        <v>2315</v>
      </c>
      <c r="E1298" s="83">
        <v>5</v>
      </c>
      <c r="F1298" s="43">
        <f t="shared" si="256"/>
        <v>4.3859649122807012</v>
      </c>
      <c r="G1298" s="44">
        <f t="shared" ref="G1298:G1361" si="257">INT(F1298)</f>
        <v>4</v>
      </c>
      <c r="H1298" s="44">
        <f t="shared" ref="H1298:H1361" si="258">F1298-G1298</f>
        <v>0.38596491228070118</v>
      </c>
      <c r="I1298" cm="1">
        <f t="array" ref="I1298">INT(F1298)+IF(100-SUM(INT(F$1290:F$1300))&gt;=RANK(H1298,H$1290:H$1300)+COUNTIF(H$1290:H1298,H1298)-1,1,0)</f>
        <v>4</v>
      </c>
      <c r="J1298" t="b">
        <f t="shared" ref="J1298:J1361" si="259">IF(OR(C1298="Ephemeroptera", C1298 ="Plecoptera", C1298= "Trichoptera"), TRUE, FALSE)</f>
        <v>0</v>
      </c>
      <c r="K1298" t="str">
        <f t="shared" ref="K1298:K1361" si="260">IF(J1298=TRUE,C1298,"")</f>
        <v/>
      </c>
      <c r="L1298">
        <f>_xlfn.XLOOKUP(D1298,BugList!C:C,BugList!N:N)</f>
        <v>7</v>
      </c>
      <c r="M1298">
        <f t="shared" ref="M1298:M1361" si="261">L1298*I1298</f>
        <v>28</v>
      </c>
      <c r="N1298" t="b">
        <f>_xlfn.XLOOKUP(D1298,BugList!C:C,BugList!L:L)</f>
        <v>0</v>
      </c>
      <c r="O1298" t="b">
        <f t="shared" ref="O1298:O1361" si="262">IF(J1298=TRUE,IF(D1298="Hydropsychidae", FALSE, TRUE), FALSE)</f>
        <v>0</v>
      </c>
      <c r="P1298" s="18" t="b">
        <f>SUMPRODUCT(COUNTIF(_xlfn.XLOOKUP(D1298,BugList!C:C,BugList!P:P), "*SC*"))&gt;0</f>
        <v>1</v>
      </c>
    </row>
    <row r="1299" spans="1:16">
      <c r="A1299" s="86" t="s">
        <v>2861</v>
      </c>
      <c r="B1299" s="83">
        <v>198</v>
      </c>
      <c r="C1299" s="34" t="s">
        <v>205</v>
      </c>
      <c r="D1299" s="34" t="s">
        <v>206</v>
      </c>
      <c r="E1299" s="83">
        <v>2</v>
      </c>
      <c r="F1299" s="43">
        <f t="shared" si="256"/>
        <v>1.7543859649122806</v>
      </c>
      <c r="G1299" s="44">
        <f t="shared" si="257"/>
        <v>1</v>
      </c>
      <c r="H1299" s="44">
        <f t="shared" si="258"/>
        <v>0.7543859649122806</v>
      </c>
      <c r="I1299" cm="1">
        <f t="array" ref="I1299">INT(F1299)+IF(100-SUM(INT(F$1290:F$1300))&gt;=RANK(H1299,H$1290:H$1300)+COUNTIF(H$1290:H1299,H1299)-1,1,0)</f>
        <v>2</v>
      </c>
      <c r="J1299" t="b">
        <f t="shared" si="259"/>
        <v>0</v>
      </c>
      <c r="K1299" t="str">
        <f t="shared" si="260"/>
        <v/>
      </c>
      <c r="L1299" s="71">
        <v>8</v>
      </c>
      <c r="M1299">
        <f t="shared" si="261"/>
        <v>16</v>
      </c>
      <c r="N1299" s="71" t="b">
        <v>0</v>
      </c>
      <c r="O1299" t="b">
        <f t="shared" si="262"/>
        <v>0</v>
      </c>
      <c r="P1299" s="72" t="b">
        <v>0</v>
      </c>
    </row>
    <row r="1300" spans="1:16">
      <c r="A1300" s="86" t="s">
        <v>2861</v>
      </c>
      <c r="B1300" s="83">
        <v>198</v>
      </c>
      <c r="C1300" s="34" t="s">
        <v>240</v>
      </c>
      <c r="D1300" s="34" t="s">
        <v>87</v>
      </c>
      <c r="E1300" s="83">
        <v>1</v>
      </c>
      <c r="F1300" s="43">
        <f t="shared" si="256"/>
        <v>0.8771929824561403</v>
      </c>
      <c r="G1300" s="44">
        <f t="shared" si="257"/>
        <v>0</v>
      </c>
      <c r="H1300" s="44">
        <f t="shared" si="258"/>
        <v>0.8771929824561403</v>
      </c>
      <c r="I1300" cm="1">
        <f t="array" ref="I1300">INT(F1300)+IF(100-SUM(INT(F$1290:F$1300))&gt;=RANK(H1300,H$1290:H$1300)+COUNTIF(H$1290:H1300,H1300)-1,1,0)</f>
        <v>1</v>
      </c>
      <c r="J1300" t="b">
        <f t="shared" si="259"/>
        <v>0</v>
      </c>
      <c r="K1300" t="str">
        <f t="shared" si="260"/>
        <v/>
      </c>
      <c r="L1300">
        <f>_xlfn.XLOOKUP(D1300,BugList!C:C,BugList!N:N)</f>
        <v>4</v>
      </c>
      <c r="M1300">
        <f t="shared" si="261"/>
        <v>4</v>
      </c>
      <c r="N1300" t="b">
        <f>_xlfn.XLOOKUP(D1300,BugList!C:C,BugList!L:L)</f>
        <v>0</v>
      </c>
      <c r="O1300" t="b">
        <f t="shared" si="262"/>
        <v>0</v>
      </c>
      <c r="P1300" s="18" t="b">
        <f>SUMPRODUCT(COUNTIF(_xlfn.XLOOKUP(D1300,BugList!C:C,BugList!P:P), "*SC*"))&gt;0</f>
        <v>0</v>
      </c>
    </row>
    <row r="1301" spans="1:16">
      <c r="A1301" s="86" t="s">
        <v>2862</v>
      </c>
      <c r="B1301" s="83">
        <v>211</v>
      </c>
      <c r="C1301" s="34" t="s">
        <v>200</v>
      </c>
      <c r="D1301" s="34" t="s">
        <v>100</v>
      </c>
      <c r="E1301" s="83">
        <v>15</v>
      </c>
      <c r="F1301" s="43">
        <f t="shared" si="256"/>
        <v>13.043478260869565</v>
      </c>
      <c r="G1301" s="44">
        <f t="shared" si="257"/>
        <v>13</v>
      </c>
      <c r="H1301" s="44">
        <f t="shared" si="258"/>
        <v>4.3478260869564522E-2</v>
      </c>
      <c r="I1301" cm="1">
        <f t="array" ref="I1301">INT(F1301)+IF(100-SUM(INT(F$1301:F$1320))&gt;=RANK(H1301,H$1301:H$1320)+COUNTIF(H$1301:H1301,H1301)-1,1,0)</f>
        <v>13</v>
      </c>
      <c r="J1301" t="b">
        <f t="shared" si="259"/>
        <v>0</v>
      </c>
      <c r="K1301" t="str">
        <f t="shared" si="260"/>
        <v/>
      </c>
      <c r="L1301">
        <f>_xlfn.XLOOKUP(D1301,BugList!C:C,BugList!N:N)</f>
        <v>4</v>
      </c>
      <c r="M1301">
        <f t="shared" si="261"/>
        <v>52</v>
      </c>
      <c r="N1301" t="b">
        <f>_xlfn.XLOOKUP(D1301,BugList!C:C,BugList!L:L)</f>
        <v>1</v>
      </c>
      <c r="O1301" t="b">
        <f t="shared" si="262"/>
        <v>0</v>
      </c>
      <c r="P1301" s="18" t="b">
        <f>SUMPRODUCT(COUNTIF(_xlfn.XLOOKUP(D1301,BugList!C:C,BugList!P:P), "*SC*"))&gt;0</f>
        <v>1</v>
      </c>
    </row>
    <row r="1302" spans="1:16">
      <c r="A1302" s="86" t="s">
        <v>2862</v>
      </c>
      <c r="B1302" s="83">
        <v>211</v>
      </c>
      <c r="C1302" s="34" t="s">
        <v>194</v>
      </c>
      <c r="D1302" s="34" t="s">
        <v>90</v>
      </c>
      <c r="E1302" s="83">
        <v>17</v>
      </c>
      <c r="F1302" s="43">
        <f t="shared" si="256"/>
        <v>14.782608695652174</v>
      </c>
      <c r="G1302" s="44">
        <f t="shared" si="257"/>
        <v>14</v>
      </c>
      <c r="H1302" s="44">
        <f t="shared" si="258"/>
        <v>0.78260869565217384</v>
      </c>
      <c r="I1302" cm="1">
        <f t="array" ref="I1302">INT(F1302)+IF(100-SUM(INT(F$1301:F$1320))&gt;=RANK(H1302,H$1301:H$1320)+COUNTIF(H$1301:H1302,H1302)-1,1,0)</f>
        <v>15</v>
      </c>
      <c r="J1302" t="b">
        <f t="shared" si="259"/>
        <v>0</v>
      </c>
      <c r="K1302" t="str">
        <f t="shared" si="260"/>
        <v/>
      </c>
      <c r="L1302">
        <f>_xlfn.XLOOKUP(D1302,BugList!C:C,BugList!N:N)</f>
        <v>6</v>
      </c>
      <c r="M1302">
        <f t="shared" si="261"/>
        <v>90</v>
      </c>
      <c r="N1302" t="b">
        <f>_xlfn.XLOOKUP(D1302,BugList!C:C,BugList!L:L)</f>
        <v>1</v>
      </c>
      <c r="O1302" t="b">
        <f t="shared" si="262"/>
        <v>0</v>
      </c>
      <c r="P1302" s="18" t="b">
        <f>SUMPRODUCT(COUNTIF(_xlfn.XLOOKUP(D1302,BugList!C:C,BugList!P:P), "*SC*"))&gt;0</f>
        <v>0</v>
      </c>
    </row>
    <row r="1303" spans="1:16">
      <c r="A1303" s="86" t="s">
        <v>2862</v>
      </c>
      <c r="B1303" s="83">
        <v>211</v>
      </c>
      <c r="C1303" s="34" t="s">
        <v>194</v>
      </c>
      <c r="D1303" s="34" t="s">
        <v>131</v>
      </c>
      <c r="E1303" s="83">
        <v>1</v>
      </c>
      <c r="F1303" s="43">
        <f t="shared" si="256"/>
        <v>0.86956521739130432</v>
      </c>
      <c r="G1303" s="44">
        <f t="shared" si="257"/>
        <v>0</v>
      </c>
      <c r="H1303" s="44">
        <f t="shared" si="258"/>
        <v>0.86956521739130432</v>
      </c>
      <c r="I1303" cm="1">
        <f t="array" ref="I1303">INT(F1303)+IF(100-SUM(INT(F$1301:F$1320))&gt;=RANK(H1303,H$1301:H$1320)+COUNTIF(H$1301:H1303,H1303)-1,1,0)</f>
        <v>1</v>
      </c>
      <c r="J1303" t="b">
        <f t="shared" si="259"/>
        <v>0</v>
      </c>
      <c r="K1303" t="str">
        <f t="shared" si="260"/>
        <v/>
      </c>
      <c r="L1303">
        <f>_xlfn.XLOOKUP(D1303,BugList!C:C,BugList!N:N)</f>
        <v>6</v>
      </c>
      <c r="M1303">
        <f t="shared" si="261"/>
        <v>6</v>
      </c>
      <c r="N1303" t="b">
        <f>_xlfn.XLOOKUP(D1303,BugList!C:C,BugList!L:L)</f>
        <v>1</v>
      </c>
      <c r="O1303" t="b">
        <f t="shared" si="262"/>
        <v>0</v>
      </c>
      <c r="P1303" s="18" t="b">
        <f>SUMPRODUCT(COUNTIF(_xlfn.XLOOKUP(D1303,BugList!C:C,BugList!P:P), "*SC*"))&gt;0</f>
        <v>0</v>
      </c>
    </row>
    <row r="1304" spans="1:16">
      <c r="A1304" s="86" t="s">
        <v>2862</v>
      </c>
      <c r="B1304" s="83">
        <v>211</v>
      </c>
      <c r="C1304" s="34" t="s">
        <v>194</v>
      </c>
      <c r="D1304" s="34" t="s">
        <v>101</v>
      </c>
      <c r="E1304" s="83">
        <v>7</v>
      </c>
      <c r="F1304" s="43">
        <f t="shared" si="256"/>
        <v>6.0869565217391308</v>
      </c>
      <c r="G1304" s="44">
        <f t="shared" si="257"/>
        <v>6</v>
      </c>
      <c r="H1304" s="44">
        <f t="shared" si="258"/>
        <v>8.6956521739130821E-2</v>
      </c>
      <c r="I1304" cm="1">
        <f t="array" ref="I1304">INT(F1304)+IF(100-SUM(INT(F$1301:F$1320))&gt;=RANK(H1304,H$1301:H$1320)+COUNTIF(H$1301:H1304,H1304)-1,1,0)</f>
        <v>6</v>
      </c>
      <c r="J1304" t="b">
        <f t="shared" si="259"/>
        <v>0</v>
      </c>
      <c r="K1304" t="str">
        <f t="shared" si="260"/>
        <v/>
      </c>
      <c r="L1304">
        <f>_xlfn.XLOOKUP(D1304,BugList!C:C,BugList!N:N)</f>
        <v>6</v>
      </c>
      <c r="M1304">
        <f t="shared" si="261"/>
        <v>36</v>
      </c>
      <c r="N1304" t="b">
        <f>_xlfn.XLOOKUP(D1304,BugList!C:C,BugList!L:L)</f>
        <v>1</v>
      </c>
      <c r="O1304" t="b">
        <f t="shared" si="262"/>
        <v>0</v>
      </c>
      <c r="P1304" s="18" t="b">
        <f>SUMPRODUCT(COUNTIF(_xlfn.XLOOKUP(D1304,BugList!C:C,BugList!P:P), "*SC*"))&gt;0</f>
        <v>0</v>
      </c>
    </row>
    <row r="1305" spans="1:16">
      <c r="A1305" s="86" t="s">
        <v>2862</v>
      </c>
      <c r="B1305" s="83">
        <v>211</v>
      </c>
      <c r="C1305" s="34" t="s">
        <v>194</v>
      </c>
      <c r="D1305" s="34" t="s">
        <v>108</v>
      </c>
      <c r="E1305" s="83">
        <v>3</v>
      </c>
      <c r="F1305" s="43">
        <f t="shared" si="256"/>
        <v>2.6086956521739131</v>
      </c>
      <c r="G1305" s="44">
        <f t="shared" si="257"/>
        <v>2</v>
      </c>
      <c r="H1305" s="44">
        <f t="shared" si="258"/>
        <v>0.60869565217391308</v>
      </c>
      <c r="I1305" cm="1">
        <f t="array" ref="I1305">INT(F1305)+IF(100-SUM(INT(F$1301:F$1320))&gt;=RANK(H1305,H$1301:H$1320)+COUNTIF(H$1301:H1305,H1305)-1,1,0)</f>
        <v>2</v>
      </c>
      <c r="J1305" t="b">
        <f t="shared" si="259"/>
        <v>0</v>
      </c>
      <c r="K1305" t="str">
        <f t="shared" si="260"/>
        <v/>
      </c>
      <c r="L1305">
        <f>_xlfn.XLOOKUP(D1305,BugList!C:C,BugList!N:N)</f>
        <v>3</v>
      </c>
      <c r="M1305">
        <f t="shared" si="261"/>
        <v>6</v>
      </c>
      <c r="N1305" t="b">
        <f>_xlfn.XLOOKUP(D1305,BugList!C:C,BugList!L:L)</f>
        <v>1</v>
      </c>
      <c r="O1305" t="b">
        <f t="shared" si="262"/>
        <v>0</v>
      </c>
      <c r="P1305" s="18" t="b">
        <f>SUMPRODUCT(COUNTIF(_xlfn.XLOOKUP(D1305,BugList!C:C,BugList!P:P), "*SC*"))&gt;0</f>
        <v>0</v>
      </c>
    </row>
    <row r="1306" spans="1:16">
      <c r="A1306" s="86" t="s">
        <v>2862</v>
      </c>
      <c r="B1306" s="83">
        <v>211</v>
      </c>
      <c r="C1306" s="34" t="s">
        <v>199</v>
      </c>
      <c r="D1306" s="34" t="s">
        <v>111</v>
      </c>
      <c r="E1306" s="83">
        <v>1</v>
      </c>
      <c r="F1306" s="43">
        <f t="shared" si="256"/>
        <v>0.86956521739130432</v>
      </c>
      <c r="G1306" s="44">
        <f t="shared" si="257"/>
        <v>0</v>
      </c>
      <c r="H1306" s="44">
        <f t="shared" si="258"/>
        <v>0.86956521739130432</v>
      </c>
      <c r="I1306" cm="1">
        <f t="array" ref="I1306">INT(F1306)+IF(100-SUM(INT(F$1301:F$1320))&gt;=RANK(H1306,H$1301:H$1320)+COUNTIF(H$1301:H1306,H1306)-1,1,0)</f>
        <v>1</v>
      </c>
      <c r="J1306" t="b">
        <f t="shared" si="259"/>
        <v>1</v>
      </c>
      <c r="K1306" t="str">
        <f t="shared" si="260"/>
        <v>Ephemeroptera</v>
      </c>
      <c r="L1306">
        <f>_xlfn.XLOOKUP(D1306,BugList!C:C,BugList!N:N)</f>
        <v>4</v>
      </c>
      <c r="M1306">
        <f t="shared" si="261"/>
        <v>4</v>
      </c>
      <c r="N1306" t="b">
        <f>_xlfn.XLOOKUP(D1306,BugList!C:C,BugList!L:L)</f>
        <v>1</v>
      </c>
      <c r="O1306" t="b">
        <f t="shared" si="262"/>
        <v>1</v>
      </c>
      <c r="P1306" s="18" t="b">
        <f>SUMPRODUCT(COUNTIF(_xlfn.XLOOKUP(D1306,BugList!C:C,BugList!P:P), "*SC*"))&gt;0</f>
        <v>0</v>
      </c>
    </row>
    <row r="1307" spans="1:16">
      <c r="A1307" s="86" t="s">
        <v>2862</v>
      </c>
      <c r="B1307" s="83">
        <v>211</v>
      </c>
      <c r="C1307" s="34" t="s">
        <v>195</v>
      </c>
      <c r="D1307" s="34" t="s">
        <v>97</v>
      </c>
      <c r="E1307" s="83">
        <v>1</v>
      </c>
      <c r="F1307" s="43">
        <f t="shared" si="256"/>
        <v>0.86956521739130432</v>
      </c>
      <c r="G1307" s="44">
        <f t="shared" si="257"/>
        <v>0</v>
      </c>
      <c r="H1307" s="44">
        <f t="shared" si="258"/>
        <v>0.86956521739130432</v>
      </c>
      <c r="I1307" cm="1">
        <f t="array" ref="I1307">INT(F1307)+IF(100-SUM(INT(F$1301:F$1320))&gt;=RANK(H1307,H$1301:H$1320)+COUNTIF(H$1301:H1307,H1307)-1,1,0)</f>
        <v>1</v>
      </c>
      <c r="J1307" t="b">
        <f t="shared" si="259"/>
        <v>0</v>
      </c>
      <c r="K1307" t="str">
        <f t="shared" si="260"/>
        <v/>
      </c>
      <c r="L1307">
        <f>_xlfn.XLOOKUP(D1307,BugList!C:C,BugList!N:N)</f>
        <v>9</v>
      </c>
      <c r="M1307">
        <f t="shared" si="261"/>
        <v>9</v>
      </c>
      <c r="N1307" t="b">
        <f>_xlfn.XLOOKUP(D1307,BugList!C:C,BugList!L:L)</f>
        <v>1</v>
      </c>
      <c r="O1307" t="b">
        <f t="shared" si="262"/>
        <v>0</v>
      </c>
      <c r="P1307" s="18" t="b">
        <f>SUMPRODUCT(COUNTIF(_xlfn.XLOOKUP(D1307,BugList!C:C,BugList!P:P), "*SC*"))&gt;0</f>
        <v>0</v>
      </c>
    </row>
    <row r="1308" spans="1:16">
      <c r="A1308" s="86" t="s">
        <v>2862</v>
      </c>
      <c r="B1308" s="83">
        <v>211</v>
      </c>
      <c r="C1308" s="34" t="s">
        <v>195</v>
      </c>
      <c r="D1308" s="34" t="s">
        <v>113</v>
      </c>
      <c r="E1308" s="83">
        <v>1</v>
      </c>
      <c r="F1308" s="43">
        <f t="shared" si="256"/>
        <v>0.86956521739130432</v>
      </c>
      <c r="G1308" s="44">
        <f t="shared" si="257"/>
        <v>0</v>
      </c>
      <c r="H1308" s="44">
        <f t="shared" si="258"/>
        <v>0.86956521739130432</v>
      </c>
      <c r="I1308" cm="1">
        <f t="array" ref="I1308">INT(F1308)+IF(100-SUM(INT(F$1301:F$1320))&gt;=RANK(H1308,H$1301:H$1320)+COUNTIF(H$1301:H1308,H1308)-1,1,0)</f>
        <v>1</v>
      </c>
      <c r="J1308" t="b">
        <f t="shared" si="259"/>
        <v>0</v>
      </c>
      <c r="K1308" t="str">
        <f t="shared" si="260"/>
        <v/>
      </c>
      <c r="L1308">
        <f>_xlfn.XLOOKUP(D1308,BugList!C:C,BugList!N:N)</f>
        <v>1</v>
      </c>
      <c r="M1308">
        <f t="shared" si="261"/>
        <v>1</v>
      </c>
      <c r="N1308" t="b">
        <f>_xlfn.XLOOKUP(D1308,BugList!C:C,BugList!L:L)</f>
        <v>1</v>
      </c>
      <c r="O1308" t="b">
        <f t="shared" si="262"/>
        <v>0</v>
      </c>
      <c r="P1308" s="18" t="b">
        <f>SUMPRODUCT(COUNTIF(_xlfn.XLOOKUP(D1308,BugList!C:C,BugList!P:P), "*SC*"))&gt;0</f>
        <v>0</v>
      </c>
    </row>
    <row r="1309" spans="1:16">
      <c r="A1309" s="86" t="s">
        <v>2862</v>
      </c>
      <c r="B1309" s="83">
        <v>211</v>
      </c>
      <c r="C1309" s="34" t="s">
        <v>197</v>
      </c>
      <c r="D1309" s="34" t="s">
        <v>106</v>
      </c>
      <c r="E1309" s="83">
        <v>7</v>
      </c>
      <c r="F1309" s="43">
        <f t="shared" si="256"/>
        <v>6.0869565217391308</v>
      </c>
      <c r="G1309" s="44">
        <f t="shared" si="257"/>
        <v>6</v>
      </c>
      <c r="H1309" s="44">
        <f t="shared" si="258"/>
        <v>8.6956521739130821E-2</v>
      </c>
      <c r="I1309" cm="1">
        <f t="array" ref="I1309">INT(F1309)+IF(100-SUM(INT(F$1301:F$1320))&gt;=RANK(H1309,H$1301:H$1320)+COUNTIF(H$1301:H1309,H1309)-1,1,0)</f>
        <v>6</v>
      </c>
      <c r="J1309" t="b">
        <f t="shared" si="259"/>
        <v>1</v>
      </c>
      <c r="K1309" t="str">
        <f t="shared" si="260"/>
        <v>Plecoptera</v>
      </c>
      <c r="L1309">
        <f>_xlfn.XLOOKUP(D1309,BugList!C:C,BugList!N:N)</f>
        <v>2</v>
      </c>
      <c r="M1309">
        <f t="shared" si="261"/>
        <v>12</v>
      </c>
      <c r="N1309" t="b">
        <f>_xlfn.XLOOKUP(D1309,BugList!C:C,BugList!L:L)</f>
        <v>1</v>
      </c>
      <c r="O1309" t="b">
        <f t="shared" si="262"/>
        <v>1</v>
      </c>
      <c r="P1309" s="18" t="b">
        <f>SUMPRODUCT(COUNTIF(_xlfn.XLOOKUP(D1309,BugList!C:C,BugList!P:P), "*SC*"))&gt;0</f>
        <v>0</v>
      </c>
    </row>
    <row r="1310" spans="1:16">
      <c r="A1310" s="86" t="s">
        <v>2862</v>
      </c>
      <c r="B1310" s="83">
        <v>211</v>
      </c>
      <c r="C1310" s="34" t="s">
        <v>198</v>
      </c>
      <c r="D1310" s="34" t="s">
        <v>89</v>
      </c>
      <c r="E1310" s="83">
        <v>30</v>
      </c>
      <c r="F1310" s="43">
        <f t="shared" si="256"/>
        <v>26.086956521739129</v>
      </c>
      <c r="G1310" s="44">
        <f t="shared" si="257"/>
        <v>26</v>
      </c>
      <c r="H1310" s="44">
        <f t="shared" si="258"/>
        <v>8.6956521739129045E-2</v>
      </c>
      <c r="I1310" cm="1">
        <f t="array" ref="I1310">INT(F1310)+IF(100-SUM(INT(F$1301:F$1320))&gt;=RANK(H1310,H$1301:H$1320)+COUNTIF(H$1301:H1310,H1310)-1,1,0)</f>
        <v>26</v>
      </c>
      <c r="J1310" t="b">
        <f t="shared" si="259"/>
        <v>1</v>
      </c>
      <c r="K1310" t="str">
        <f t="shared" si="260"/>
        <v>Trichoptera</v>
      </c>
      <c r="L1310">
        <f>_xlfn.XLOOKUP(D1310,BugList!C:C,BugList!N:N)</f>
        <v>4</v>
      </c>
      <c r="M1310">
        <f t="shared" si="261"/>
        <v>104</v>
      </c>
      <c r="N1310" t="b">
        <f>_xlfn.XLOOKUP(D1310,BugList!C:C,BugList!L:L)</f>
        <v>1</v>
      </c>
      <c r="O1310" t="b">
        <f t="shared" si="262"/>
        <v>0</v>
      </c>
      <c r="P1310" s="18" t="b">
        <f>SUMPRODUCT(COUNTIF(_xlfn.XLOOKUP(D1310,BugList!C:C,BugList!P:P), "*SC*"))&gt;0</f>
        <v>0</v>
      </c>
    </row>
    <row r="1311" spans="1:16">
      <c r="A1311" s="86" t="s">
        <v>2862</v>
      </c>
      <c r="B1311" s="83">
        <v>211</v>
      </c>
      <c r="C1311" s="34" t="s">
        <v>198</v>
      </c>
      <c r="D1311" s="34" t="s">
        <v>156</v>
      </c>
      <c r="E1311" s="83">
        <v>1</v>
      </c>
      <c r="F1311" s="43">
        <f t="shared" si="256"/>
        <v>0.86956521739130432</v>
      </c>
      <c r="G1311" s="44">
        <f t="shared" si="257"/>
        <v>0</v>
      </c>
      <c r="H1311" s="44">
        <f t="shared" si="258"/>
        <v>0.86956521739130432</v>
      </c>
      <c r="I1311" cm="1">
        <f t="array" ref="I1311">INT(F1311)+IF(100-SUM(INT(F$1301:F$1320))&gt;=RANK(H1311,H$1301:H$1320)+COUNTIF(H$1301:H1311,H1311)-1,1,0)</f>
        <v>1</v>
      </c>
      <c r="J1311" t="b">
        <f t="shared" si="259"/>
        <v>1</v>
      </c>
      <c r="K1311" t="str">
        <f t="shared" si="260"/>
        <v>Trichoptera</v>
      </c>
      <c r="L1311">
        <f>_xlfn.XLOOKUP(D1311,BugList!C:C,BugList!N:N)</f>
        <v>0</v>
      </c>
      <c r="M1311">
        <f t="shared" si="261"/>
        <v>0</v>
      </c>
      <c r="N1311" t="b">
        <f>_xlfn.XLOOKUP(D1311,BugList!C:C,BugList!L:L)</f>
        <v>1</v>
      </c>
      <c r="O1311" t="b">
        <f t="shared" si="262"/>
        <v>1</v>
      </c>
      <c r="P1311" s="18" t="b">
        <f>SUMPRODUCT(COUNTIF(_xlfn.XLOOKUP(D1311,BugList!C:C,BugList!P:P), "*SC*"))&gt;0</f>
        <v>0</v>
      </c>
    </row>
    <row r="1312" spans="1:16">
      <c r="A1312" s="86" t="s">
        <v>2862</v>
      </c>
      <c r="B1312" s="83">
        <v>211</v>
      </c>
      <c r="C1312" s="34" t="s">
        <v>198</v>
      </c>
      <c r="D1312" s="34" t="s">
        <v>1271</v>
      </c>
      <c r="E1312" s="83">
        <v>10</v>
      </c>
      <c r="F1312" s="43">
        <f t="shared" si="256"/>
        <v>8.695652173913043</v>
      </c>
      <c r="G1312" s="44">
        <f t="shared" si="257"/>
        <v>8</v>
      </c>
      <c r="H1312" s="44">
        <f t="shared" si="258"/>
        <v>0.69565217391304301</v>
      </c>
      <c r="I1312" cm="1">
        <f t="array" ref="I1312">INT(F1312)+IF(100-SUM(INT(F$1301:F$1320))&gt;=RANK(H1312,H$1301:H$1320)+COUNTIF(H$1301:H1312,H1312)-1,1,0)</f>
        <v>8</v>
      </c>
      <c r="J1312" t="b">
        <f t="shared" si="259"/>
        <v>1</v>
      </c>
      <c r="K1312" t="str">
        <f t="shared" si="260"/>
        <v>Trichoptera</v>
      </c>
      <c r="L1312">
        <f>_xlfn.XLOOKUP(D1312,BugList!C:C,BugList!N:N)</f>
        <v>4</v>
      </c>
      <c r="M1312">
        <f t="shared" si="261"/>
        <v>32</v>
      </c>
      <c r="N1312" t="b">
        <f>_xlfn.XLOOKUP(D1312,BugList!C:C,BugList!L:L)</f>
        <v>1</v>
      </c>
      <c r="O1312" t="b">
        <f t="shared" si="262"/>
        <v>1</v>
      </c>
      <c r="P1312" s="18" t="b">
        <f>SUMPRODUCT(COUNTIF(_xlfn.XLOOKUP(D1312,BugList!C:C,BugList!P:P), "*SC*"))&gt;0</f>
        <v>0</v>
      </c>
    </row>
    <row r="1313" spans="1:16">
      <c r="A1313" s="86" t="s">
        <v>2862</v>
      </c>
      <c r="B1313" s="83">
        <v>211</v>
      </c>
      <c r="C1313" s="34" t="s">
        <v>201</v>
      </c>
      <c r="D1313" s="34" t="s">
        <v>85</v>
      </c>
      <c r="E1313" s="83">
        <v>6</v>
      </c>
      <c r="F1313" s="43">
        <f t="shared" si="256"/>
        <v>5.2173913043478262</v>
      </c>
      <c r="G1313" s="44">
        <f t="shared" si="257"/>
        <v>5</v>
      </c>
      <c r="H1313" s="44">
        <f t="shared" si="258"/>
        <v>0.21739130434782616</v>
      </c>
      <c r="I1313" cm="1">
        <f t="array" ref="I1313">INT(F1313)+IF(100-SUM(INT(F$1301:F$1320))&gt;=RANK(H1313,H$1301:H$1320)+COUNTIF(H$1301:H1313,H1313)-1,1,0)</f>
        <v>5</v>
      </c>
      <c r="J1313" t="b">
        <f t="shared" si="259"/>
        <v>0</v>
      </c>
      <c r="K1313" t="str">
        <f t="shared" si="260"/>
        <v/>
      </c>
      <c r="L1313">
        <f>_xlfn.XLOOKUP(D1313,BugList!C:C,BugList!N:N)</f>
        <v>4</v>
      </c>
      <c r="M1313">
        <f t="shared" si="261"/>
        <v>20</v>
      </c>
      <c r="N1313" t="b">
        <f>_xlfn.XLOOKUP(D1313,BugList!C:C,BugList!L:L)</f>
        <v>0</v>
      </c>
      <c r="O1313" t="b">
        <f t="shared" si="262"/>
        <v>0</v>
      </c>
      <c r="P1313" s="18" t="b">
        <f>SUMPRODUCT(COUNTIF(_xlfn.XLOOKUP(D1313,BugList!C:C,BugList!P:P), "*SC*"))&gt;0</f>
        <v>0</v>
      </c>
    </row>
    <row r="1314" spans="1:16">
      <c r="A1314" s="86" t="s">
        <v>2862</v>
      </c>
      <c r="B1314" s="83">
        <v>211</v>
      </c>
      <c r="C1314" s="34" t="s">
        <v>205</v>
      </c>
      <c r="D1314" s="34" t="s">
        <v>206</v>
      </c>
      <c r="E1314" s="83">
        <v>1</v>
      </c>
      <c r="F1314" s="43">
        <f t="shared" si="256"/>
        <v>0.86956521739130432</v>
      </c>
      <c r="G1314" s="44">
        <f t="shared" si="257"/>
        <v>0</v>
      </c>
      <c r="H1314" s="44">
        <f t="shared" si="258"/>
        <v>0.86956521739130432</v>
      </c>
      <c r="I1314" cm="1">
        <f t="array" ref="I1314">INT(F1314)+IF(100-SUM(INT(F$1301:F$1320))&gt;=RANK(H1314,H$1301:H$1320)+COUNTIF(H$1301:H1314,H1314)-1,1,0)</f>
        <v>1</v>
      </c>
      <c r="J1314" t="b">
        <f t="shared" si="259"/>
        <v>0</v>
      </c>
      <c r="K1314" t="str">
        <f t="shared" si="260"/>
        <v/>
      </c>
      <c r="L1314" s="71">
        <v>8</v>
      </c>
      <c r="M1314">
        <f t="shared" si="261"/>
        <v>8</v>
      </c>
      <c r="N1314" s="71" t="b">
        <v>0</v>
      </c>
      <c r="O1314" t="b">
        <f t="shared" si="262"/>
        <v>0</v>
      </c>
      <c r="P1314" s="72" t="b">
        <v>0</v>
      </c>
    </row>
    <row r="1315" spans="1:16">
      <c r="A1315" s="86" t="s">
        <v>2862</v>
      </c>
      <c r="B1315" s="83">
        <v>211</v>
      </c>
      <c r="C1315" s="34" t="s">
        <v>94</v>
      </c>
      <c r="D1315" s="34" t="s">
        <v>94</v>
      </c>
      <c r="E1315" s="83">
        <v>8</v>
      </c>
      <c r="F1315" s="43">
        <f t="shared" si="256"/>
        <v>6.9565217391304346</v>
      </c>
      <c r="G1315" s="44">
        <f t="shared" si="257"/>
        <v>6</v>
      </c>
      <c r="H1315" s="44">
        <f t="shared" si="258"/>
        <v>0.95652173913043459</v>
      </c>
      <c r="I1315" cm="1">
        <f t="array" ref="I1315">INT(F1315)+IF(100-SUM(INT(F$1301:F$1320))&gt;=RANK(H1315,H$1301:H$1320)+COUNTIF(H$1301:H1315,H1315)-1,1,0)</f>
        <v>7</v>
      </c>
      <c r="J1315" t="b">
        <f t="shared" si="259"/>
        <v>0</v>
      </c>
      <c r="K1315" t="str">
        <f t="shared" si="260"/>
        <v/>
      </c>
      <c r="L1315">
        <f>_xlfn.XLOOKUP(D1315,BugList!C:C,BugList!N:N)</f>
        <v>8</v>
      </c>
      <c r="M1315">
        <f t="shared" si="261"/>
        <v>56</v>
      </c>
      <c r="N1315" t="b">
        <f>_xlfn.XLOOKUP(D1315,BugList!C:C,BugList!L:L)</f>
        <v>0</v>
      </c>
      <c r="O1315" t="b">
        <f t="shared" si="262"/>
        <v>0</v>
      </c>
      <c r="P1315" s="18" t="b">
        <f>SUMPRODUCT(COUNTIF(_xlfn.XLOOKUP(D1315,BugList!C:C,BugList!P:P), "*SC*"))&gt;0</f>
        <v>0</v>
      </c>
    </row>
    <row r="1316" spans="1:16">
      <c r="A1316" s="86" t="s">
        <v>2862</v>
      </c>
      <c r="B1316" s="83">
        <v>211</v>
      </c>
      <c r="C1316" s="34" t="s">
        <v>211</v>
      </c>
      <c r="D1316" s="34" t="s">
        <v>87</v>
      </c>
      <c r="E1316" s="83">
        <v>1</v>
      </c>
      <c r="F1316" s="43">
        <f t="shared" si="256"/>
        <v>0.86956521739130432</v>
      </c>
      <c r="G1316" s="44">
        <f t="shared" si="257"/>
        <v>0</v>
      </c>
      <c r="H1316" s="44">
        <f t="shared" si="258"/>
        <v>0.86956521739130432</v>
      </c>
      <c r="I1316" cm="1">
        <f t="array" ref="I1316">INT(F1316)+IF(100-SUM(INT(F$1301:F$1320))&gt;=RANK(H1316,H$1301:H$1320)+COUNTIF(H$1301:H1316,H1316)-1,1,0)</f>
        <v>1</v>
      </c>
      <c r="J1316" t="b">
        <f t="shared" si="259"/>
        <v>0</v>
      </c>
      <c r="K1316" t="str">
        <f t="shared" si="260"/>
        <v/>
      </c>
      <c r="L1316">
        <f>_xlfn.XLOOKUP(D1316,BugList!C:C,BugList!N:N)</f>
        <v>4</v>
      </c>
      <c r="M1316">
        <f t="shared" si="261"/>
        <v>4</v>
      </c>
      <c r="N1316" t="b">
        <f>_xlfn.XLOOKUP(D1316,BugList!C:C,BugList!L:L)</f>
        <v>0</v>
      </c>
      <c r="O1316" t="b">
        <f t="shared" si="262"/>
        <v>0</v>
      </c>
      <c r="P1316" s="18" t="b">
        <f>SUMPRODUCT(COUNTIF(_xlfn.XLOOKUP(D1316,BugList!C:C,BugList!P:P), "*SC*"))&gt;0</f>
        <v>0</v>
      </c>
    </row>
    <row r="1317" spans="1:16">
      <c r="A1317" s="86" t="s">
        <v>2862</v>
      </c>
      <c r="B1317" s="83">
        <v>211</v>
      </c>
      <c r="C1317" s="34" t="s">
        <v>199</v>
      </c>
      <c r="D1317" s="34" t="s">
        <v>828</v>
      </c>
      <c r="E1317" s="83">
        <v>1</v>
      </c>
      <c r="F1317" s="43">
        <f t="shared" si="256"/>
        <v>0.86956521739130432</v>
      </c>
      <c r="G1317" s="44">
        <f t="shared" si="257"/>
        <v>0</v>
      </c>
      <c r="H1317" s="44">
        <f t="shared" si="258"/>
        <v>0.86956521739130432</v>
      </c>
      <c r="I1317" cm="1">
        <f t="array" ref="I1317">INT(F1317)+IF(100-SUM(INT(F$1301:F$1320))&gt;=RANK(H1317,H$1301:H$1320)+COUNTIF(H$1301:H1317,H1317)-1,1,0)</f>
        <v>1</v>
      </c>
      <c r="J1317" t="b">
        <f t="shared" si="259"/>
        <v>1</v>
      </c>
      <c r="K1317" t="str">
        <f t="shared" si="260"/>
        <v>Ephemeroptera</v>
      </c>
      <c r="L1317">
        <f>_xlfn.XLOOKUP(D1317,BugList!C:C,BugList!N:N)</f>
        <v>7</v>
      </c>
      <c r="M1317">
        <f t="shared" si="261"/>
        <v>7</v>
      </c>
      <c r="N1317" t="b">
        <f>_xlfn.XLOOKUP(D1317,BugList!C:C,BugList!L:L)</f>
        <v>1</v>
      </c>
      <c r="O1317" t="b">
        <f t="shared" si="262"/>
        <v>1</v>
      </c>
      <c r="P1317" s="18" t="b">
        <f>SUMPRODUCT(COUNTIF(_xlfn.XLOOKUP(D1317,BugList!C:C,BugList!P:P), "*SC*"))&gt;0</f>
        <v>0</v>
      </c>
    </row>
    <row r="1318" spans="1:16">
      <c r="A1318" s="86" t="s">
        <v>2862</v>
      </c>
      <c r="B1318" s="83">
        <v>211</v>
      </c>
      <c r="C1318" s="34" t="s">
        <v>2315</v>
      </c>
      <c r="D1318" s="34" t="s">
        <v>102</v>
      </c>
      <c r="E1318" s="83">
        <v>1</v>
      </c>
      <c r="F1318" s="43">
        <f t="shared" si="256"/>
        <v>0.86956521739130432</v>
      </c>
      <c r="G1318" s="44">
        <f t="shared" si="257"/>
        <v>0</v>
      </c>
      <c r="H1318" s="44">
        <f t="shared" si="258"/>
        <v>0.86956521739130432</v>
      </c>
      <c r="I1318" cm="1">
        <f t="array" ref="I1318">INT(F1318)+IF(100-SUM(INT(F$1301:F$1320))&gt;=RANK(H1318,H$1301:H$1320)+COUNTIF(H$1301:H1318,H1318)-1,1,0)</f>
        <v>1</v>
      </c>
      <c r="J1318" t="b">
        <f t="shared" si="259"/>
        <v>0</v>
      </c>
      <c r="K1318" t="str">
        <f t="shared" si="260"/>
        <v/>
      </c>
      <c r="L1318">
        <f>_xlfn.XLOOKUP(D1318,BugList!C:C,BugList!N:N)</f>
        <v>7</v>
      </c>
      <c r="M1318">
        <f t="shared" si="261"/>
        <v>7</v>
      </c>
      <c r="N1318" t="b">
        <f>_xlfn.XLOOKUP(D1318,BugList!C:C,BugList!L:L)</f>
        <v>0</v>
      </c>
      <c r="O1318" t="b">
        <f t="shared" si="262"/>
        <v>0</v>
      </c>
      <c r="P1318" s="18" t="b">
        <f>SUMPRODUCT(COUNTIF(_xlfn.XLOOKUP(D1318,BugList!C:C,BugList!P:P), "*SC*"))&gt;0</f>
        <v>1</v>
      </c>
    </row>
    <row r="1319" spans="1:16">
      <c r="A1319" s="86" t="s">
        <v>2862</v>
      </c>
      <c r="B1319" s="83">
        <v>211</v>
      </c>
      <c r="C1319" s="34" t="s">
        <v>2315</v>
      </c>
      <c r="D1319" s="34" t="s">
        <v>121</v>
      </c>
      <c r="E1319" s="83">
        <v>2</v>
      </c>
      <c r="F1319" s="43">
        <f t="shared" si="256"/>
        <v>1.7391304347826086</v>
      </c>
      <c r="G1319" s="44">
        <f t="shared" si="257"/>
        <v>1</v>
      </c>
      <c r="H1319" s="44">
        <f t="shared" si="258"/>
        <v>0.73913043478260865</v>
      </c>
      <c r="I1319" cm="1">
        <f t="array" ref="I1319">INT(F1319)+IF(100-SUM(INT(F$1301:F$1320))&gt;=RANK(H1319,H$1301:H$1320)+COUNTIF(H$1301:H1319,H1319)-1,1,0)</f>
        <v>2</v>
      </c>
      <c r="J1319" t="b">
        <f t="shared" si="259"/>
        <v>0</v>
      </c>
      <c r="K1319" t="str">
        <f t="shared" si="260"/>
        <v/>
      </c>
      <c r="L1319">
        <f>_xlfn.XLOOKUP(D1319,BugList!C:C,BugList!N:N)</f>
        <v>6</v>
      </c>
      <c r="M1319">
        <f t="shared" si="261"/>
        <v>12</v>
      </c>
      <c r="N1319" t="b">
        <f>_xlfn.XLOOKUP(D1319,BugList!C:C,BugList!L:L)</f>
        <v>0</v>
      </c>
      <c r="O1319" t="b">
        <f t="shared" si="262"/>
        <v>0</v>
      </c>
      <c r="P1319" s="18" t="b">
        <f>SUMPRODUCT(COUNTIF(_xlfn.XLOOKUP(D1319,BugList!C:C,BugList!P:P), "*SC*"))&gt;0</f>
        <v>0</v>
      </c>
    </row>
    <row r="1320" spans="1:16">
      <c r="A1320" s="86" t="s">
        <v>2862</v>
      </c>
      <c r="B1320" s="83">
        <v>211</v>
      </c>
      <c r="C1320" s="34" t="s">
        <v>2315</v>
      </c>
      <c r="D1320" s="34" t="s">
        <v>2342</v>
      </c>
      <c r="E1320" s="83">
        <v>1</v>
      </c>
      <c r="F1320" s="43">
        <f t="shared" si="256"/>
        <v>0.86956521739130432</v>
      </c>
      <c r="G1320" s="44">
        <f t="shared" si="257"/>
        <v>0</v>
      </c>
      <c r="H1320" s="44">
        <f t="shared" si="258"/>
        <v>0.86956521739130432</v>
      </c>
      <c r="I1320" cm="1">
        <f t="array" ref="I1320">INT(F1320)+IF(100-SUM(INT(F$1301:F$1320))&gt;=RANK(H1320,H$1301:H$1320)+COUNTIF(H$1301:H1320,H1320)-1,1,0)</f>
        <v>1</v>
      </c>
      <c r="J1320" t="b">
        <f t="shared" si="259"/>
        <v>0</v>
      </c>
      <c r="K1320" t="str">
        <f t="shared" si="260"/>
        <v/>
      </c>
      <c r="L1320">
        <f>_xlfn.XLOOKUP(D1320,BugList!C:C,BugList!N:N)</f>
        <v>6</v>
      </c>
      <c r="M1320">
        <f t="shared" si="261"/>
        <v>6</v>
      </c>
      <c r="N1320" t="b">
        <f>_xlfn.XLOOKUP(D1320,BugList!C:C,BugList!L:L)</f>
        <v>0</v>
      </c>
      <c r="O1320" t="b">
        <f t="shared" si="262"/>
        <v>0</v>
      </c>
      <c r="P1320" s="18" t="b">
        <f>SUMPRODUCT(COUNTIF(_xlfn.XLOOKUP(D1320,BugList!C:C,BugList!P:P), "*SC*"))&gt;0</f>
        <v>1</v>
      </c>
    </row>
    <row r="1321" spans="1:16">
      <c r="A1321" s="86" t="s">
        <v>2863</v>
      </c>
      <c r="B1321" s="83">
        <v>214</v>
      </c>
      <c r="C1321" s="34" t="s">
        <v>200</v>
      </c>
      <c r="D1321" s="34" t="s">
        <v>98</v>
      </c>
      <c r="E1321" s="83">
        <v>3</v>
      </c>
      <c r="F1321" s="43">
        <f t="shared" si="256"/>
        <v>2.4193548387096775</v>
      </c>
      <c r="G1321" s="44">
        <f t="shared" si="257"/>
        <v>2</v>
      </c>
      <c r="H1321" s="44">
        <f t="shared" si="258"/>
        <v>0.41935483870967749</v>
      </c>
      <c r="I1321" cm="1">
        <f t="array" ref="I1321">INT(F1321)+IF(100-SUM(INT(F$1321:F$1334))&gt;=RANK(H1321,H$1321:H$1334)+COUNTIF(H$1321:H1321,H1321)-1,1,0)</f>
        <v>2</v>
      </c>
      <c r="J1321" t="b">
        <f t="shared" si="259"/>
        <v>0</v>
      </c>
      <c r="K1321" t="str">
        <f t="shared" si="260"/>
        <v/>
      </c>
      <c r="L1321">
        <f>_xlfn.XLOOKUP(D1321,BugList!C:C,BugList!N:N)</f>
        <v>4</v>
      </c>
      <c r="M1321">
        <f t="shared" si="261"/>
        <v>8</v>
      </c>
      <c r="N1321" t="b">
        <f>_xlfn.XLOOKUP(D1321,BugList!C:C,BugList!L:L)</f>
        <v>1</v>
      </c>
      <c r="O1321" t="b">
        <f t="shared" si="262"/>
        <v>0</v>
      </c>
      <c r="P1321" s="18" t="b">
        <f>SUMPRODUCT(COUNTIF(_xlfn.XLOOKUP(D1321,BugList!C:C,BugList!P:P), "*SC*"))&gt;0</f>
        <v>1</v>
      </c>
    </row>
    <row r="1322" spans="1:16">
      <c r="A1322" s="86" t="s">
        <v>2863</v>
      </c>
      <c r="B1322" s="83">
        <v>214</v>
      </c>
      <c r="C1322" s="34" t="s">
        <v>200</v>
      </c>
      <c r="D1322" s="34" t="s">
        <v>100</v>
      </c>
      <c r="E1322" s="83">
        <v>17</v>
      </c>
      <c r="F1322" s="43">
        <f t="shared" si="256"/>
        <v>13.709677419354838</v>
      </c>
      <c r="G1322" s="44">
        <f t="shared" si="257"/>
        <v>13</v>
      </c>
      <c r="H1322" s="44">
        <f t="shared" si="258"/>
        <v>0.70967741935483808</v>
      </c>
      <c r="I1322" cm="1">
        <f t="array" ref="I1322">INT(F1322)+IF(100-SUM(INT(F$1321:F$1334))&gt;=RANK(H1322,H$1321:H$1334)+COUNTIF(H$1321:H1322,H1322)-1,1,0)</f>
        <v>14</v>
      </c>
      <c r="J1322" t="b">
        <f t="shared" si="259"/>
        <v>0</v>
      </c>
      <c r="K1322" t="str">
        <f t="shared" si="260"/>
        <v/>
      </c>
      <c r="L1322">
        <f>_xlfn.XLOOKUP(D1322,BugList!C:C,BugList!N:N)</f>
        <v>4</v>
      </c>
      <c r="M1322">
        <f t="shared" si="261"/>
        <v>56</v>
      </c>
      <c r="N1322" t="b">
        <f>_xlfn.XLOOKUP(D1322,BugList!C:C,BugList!L:L)</f>
        <v>1</v>
      </c>
      <c r="O1322" t="b">
        <f t="shared" si="262"/>
        <v>0</v>
      </c>
      <c r="P1322" s="18" t="b">
        <f>SUMPRODUCT(COUNTIF(_xlfn.XLOOKUP(D1322,BugList!C:C,BugList!P:P), "*SC*"))&gt;0</f>
        <v>1</v>
      </c>
    </row>
    <row r="1323" spans="1:16">
      <c r="A1323" s="86" t="s">
        <v>2863</v>
      </c>
      <c r="B1323" s="83">
        <v>214</v>
      </c>
      <c r="C1323" s="34" t="s">
        <v>194</v>
      </c>
      <c r="D1323" s="34" t="s">
        <v>90</v>
      </c>
      <c r="E1323" s="83">
        <v>5</v>
      </c>
      <c r="F1323" s="43">
        <f t="shared" si="256"/>
        <v>4.032258064516129</v>
      </c>
      <c r="G1323" s="44">
        <f t="shared" si="257"/>
        <v>4</v>
      </c>
      <c r="H1323" s="44">
        <f t="shared" si="258"/>
        <v>3.2258064516129004E-2</v>
      </c>
      <c r="I1323" cm="1">
        <f t="array" ref="I1323">INT(F1323)+IF(100-SUM(INT(F$1321:F$1334))&gt;=RANK(H1323,H$1321:H$1334)+COUNTIF(H$1321:H1323,H1323)-1,1,0)</f>
        <v>4</v>
      </c>
      <c r="J1323" t="b">
        <f t="shared" si="259"/>
        <v>0</v>
      </c>
      <c r="K1323" t="str">
        <f t="shared" si="260"/>
        <v/>
      </c>
      <c r="L1323">
        <f>_xlfn.XLOOKUP(D1323,BugList!C:C,BugList!N:N)</f>
        <v>6</v>
      </c>
      <c r="M1323">
        <f t="shared" si="261"/>
        <v>24</v>
      </c>
      <c r="N1323" t="b">
        <f>_xlfn.XLOOKUP(D1323,BugList!C:C,BugList!L:L)</f>
        <v>1</v>
      </c>
      <c r="O1323" t="b">
        <f t="shared" si="262"/>
        <v>0</v>
      </c>
      <c r="P1323" s="18" t="b">
        <f>SUMPRODUCT(COUNTIF(_xlfn.XLOOKUP(D1323,BugList!C:C,BugList!P:P), "*SC*"))&gt;0</f>
        <v>0</v>
      </c>
    </row>
    <row r="1324" spans="1:16">
      <c r="A1324" s="86" t="s">
        <v>2863</v>
      </c>
      <c r="B1324" s="83">
        <v>214</v>
      </c>
      <c r="C1324" s="34" t="s">
        <v>194</v>
      </c>
      <c r="D1324" s="34" t="s">
        <v>108</v>
      </c>
      <c r="E1324" s="83">
        <v>2</v>
      </c>
      <c r="F1324" s="43">
        <f t="shared" si="256"/>
        <v>1.6129032258064515</v>
      </c>
      <c r="G1324" s="44">
        <f t="shared" si="257"/>
        <v>1</v>
      </c>
      <c r="H1324" s="44">
        <f t="shared" si="258"/>
        <v>0.61290322580645151</v>
      </c>
      <c r="I1324" cm="1">
        <f t="array" ref="I1324">INT(F1324)+IF(100-SUM(INT(F$1321:F$1334))&gt;=RANK(H1324,H$1321:H$1334)+COUNTIF(H$1321:H1324,H1324)-1,1,0)</f>
        <v>2</v>
      </c>
      <c r="J1324" t="b">
        <f t="shared" si="259"/>
        <v>0</v>
      </c>
      <c r="K1324" t="str">
        <f t="shared" si="260"/>
        <v/>
      </c>
      <c r="L1324">
        <f>_xlfn.XLOOKUP(D1324,BugList!C:C,BugList!N:N)</f>
        <v>3</v>
      </c>
      <c r="M1324">
        <f t="shared" si="261"/>
        <v>6</v>
      </c>
      <c r="N1324" t="b">
        <f>_xlfn.XLOOKUP(D1324,BugList!C:C,BugList!L:L)</f>
        <v>1</v>
      </c>
      <c r="O1324" t="b">
        <f t="shared" si="262"/>
        <v>0</v>
      </c>
      <c r="P1324" s="18" t="b">
        <f>SUMPRODUCT(COUNTIF(_xlfn.XLOOKUP(D1324,BugList!C:C,BugList!P:P), "*SC*"))&gt;0</f>
        <v>0</v>
      </c>
    </row>
    <row r="1325" spans="1:16">
      <c r="A1325" s="86" t="s">
        <v>2863</v>
      </c>
      <c r="B1325" s="83">
        <v>214</v>
      </c>
      <c r="C1325" s="34" t="s">
        <v>199</v>
      </c>
      <c r="D1325" s="34" t="s">
        <v>96</v>
      </c>
      <c r="E1325" s="83">
        <v>4</v>
      </c>
      <c r="F1325" s="43">
        <f t="shared" si="256"/>
        <v>3.225806451612903</v>
      </c>
      <c r="G1325" s="44">
        <f t="shared" si="257"/>
        <v>3</v>
      </c>
      <c r="H1325" s="44">
        <f t="shared" si="258"/>
        <v>0.22580645161290303</v>
      </c>
      <c r="I1325" cm="1">
        <f t="array" ref="I1325">INT(F1325)+IF(100-SUM(INT(F$1321:F$1334))&gt;=RANK(H1325,H$1321:H$1334)+COUNTIF(H$1321:H1325,H1325)-1,1,0)</f>
        <v>3</v>
      </c>
      <c r="J1325" t="b">
        <f t="shared" si="259"/>
        <v>1</v>
      </c>
      <c r="K1325" t="str">
        <f t="shared" si="260"/>
        <v>Ephemeroptera</v>
      </c>
      <c r="L1325">
        <f>_xlfn.XLOOKUP(D1325,BugList!C:C,BugList!N:N)</f>
        <v>4</v>
      </c>
      <c r="M1325">
        <f t="shared" si="261"/>
        <v>12</v>
      </c>
      <c r="N1325" t="b">
        <f>_xlfn.XLOOKUP(D1325,BugList!C:C,BugList!L:L)</f>
        <v>1</v>
      </c>
      <c r="O1325" t="b">
        <f t="shared" si="262"/>
        <v>1</v>
      </c>
      <c r="P1325" s="18" t="b">
        <f>SUMPRODUCT(COUNTIF(_xlfn.XLOOKUP(D1325,BugList!C:C,BugList!P:P), "*SC*"))&gt;0</f>
        <v>1</v>
      </c>
    </row>
    <row r="1326" spans="1:16">
      <c r="A1326" s="86" t="s">
        <v>2863</v>
      </c>
      <c r="B1326" s="83">
        <v>214</v>
      </c>
      <c r="C1326" s="34" t="s">
        <v>199</v>
      </c>
      <c r="D1326" s="34" t="s">
        <v>111</v>
      </c>
      <c r="E1326" s="83">
        <v>9</v>
      </c>
      <c r="F1326" s="43">
        <f t="shared" si="256"/>
        <v>7.2580645161290329</v>
      </c>
      <c r="G1326" s="44">
        <f t="shared" si="257"/>
        <v>7</v>
      </c>
      <c r="H1326" s="44">
        <f t="shared" si="258"/>
        <v>0.25806451612903292</v>
      </c>
      <c r="I1326" cm="1">
        <f t="array" ref="I1326">INT(F1326)+IF(100-SUM(INT(F$1321:F$1334))&gt;=RANK(H1326,H$1321:H$1334)+COUNTIF(H$1321:H1326,H1326)-1,1,0)</f>
        <v>7</v>
      </c>
      <c r="J1326" t="b">
        <f t="shared" si="259"/>
        <v>1</v>
      </c>
      <c r="K1326" t="str">
        <f t="shared" si="260"/>
        <v>Ephemeroptera</v>
      </c>
      <c r="L1326">
        <f>_xlfn.XLOOKUP(D1326,BugList!C:C,BugList!N:N)</f>
        <v>4</v>
      </c>
      <c r="M1326">
        <f t="shared" si="261"/>
        <v>28</v>
      </c>
      <c r="N1326" t="b">
        <f>_xlfn.XLOOKUP(D1326,BugList!C:C,BugList!L:L)</f>
        <v>1</v>
      </c>
      <c r="O1326" t="b">
        <f t="shared" si="262"/>
        <v>1</v>
      </c>
      <c r="P1326" s="18" t="b">
        <f>SUMPRODUCT(COUNTIF(_xlfn.XLOOKUP(D1326,BugList!C:C,BugList!P:P), "*SC*"))&gt;0</f>
        <v>0</v>
      </c>
    </row>
    <row r="1327" spans="1:16">
      <c r="A1327" s="86" t="s">
        <v>2863</v>
      </c>
      <c r="B1327" s="83">
        <v>214</v>
      </c>
      <c r="C1327" s="34" t="s">
        <v>195</v>
      </c>
      <c r="D1327" s="34" t="s">
        <v>162</v>
      </c>
      <c r="E1327" s="83">
        <v>1</v>
      </c>
      <c r="F1327" s="43">
        <f t="shared" si="256"/>
        <v>0.80645161290322576</v>
      </c>
      <c r="G1327" s="44">
        <f t="shared" si="257"/>
        <v>0</v>
      </c>
      <c r="H1327" s="44">
        <f t="shared" si="258"/>
        <v>0.80645161290322576</v>
      </c>
      <c r="I1327" cm="1">
        <f t="array" ref="I1327">INT(F1327)+IF(100-SUM(INT(F$1321:F$1334))&gt;=RANK(H1327,H$1321:H$1334)+COUNTIF(H$1321:H1327,H1327)-1,1,0)</f>
        <v>1</v>
      </c>
      <c r="J1327" t="b">
        <f t="shared" si="259"/>
        <v>0</v>
      </c>
      <c r="K1327" t="str">
        <f t="shared" si="260"/>
        <v/>
      </c>
      <c r="L1327">
        <f>_xlfn.XLOOKUP(D1327,BugList!C:C,BugList!N:N)</f>
        <v>3</v>
      </c>
      <c r="M1327">
        <f t="shared" si="261"/>
        <v>3</v>
      </c>
      <c r="N1327" t="b">
        <f>_xlfn.XLOOKUP(D1327,BugList!C:C,BugList!L:L)</f>
        <v>1</v>
      </c>
      <c r="O1327" t="b">
        <f t="shared" si="262"/>
        <v>0</v>
      </c>
      <c r="P1327" s="18" t="b">
        <f>SUMPRODUCT(COUNTIF(_xlfn.XLOOKUP(D1327,BugList!C:C,BugList!P:P), "*SC*"))&gt;0</f>
        <v>0</v>
      </c>
    </row>
    <row r="1328" spans="1:16">
      <c r="A1328" s="86" t="s">
        <v>2863</v>
      </c>
      <c r="B1328" s="83">
        <v>214</v>
      </c>
      <c r="C1328" s="34" t="s">
        <v>195</v>
      </c>
      <c r="D1328" s="34" t="s">
        <v>97</v>
      </c>
      <c r="E1328" s="83">
        <v>2</v>
      </c>
      <c r="F1328" s="43">
        <f t="shared" si="256"/>
        <v>1.6129032258064515</v>
      </c>
      <c r="G1328" s="44">
        <f t="shared" si="257"/>
        <v>1</v>
      </c>
      <c r="H1328" s="44">
        <f t="shared" si="258"/>
        <v>0.61290322580645151</v>
      </c>
      <c r="I1328" cm="1">
        <f t="array" ref="I1328">INT(F1328)+IF(100-SUM(INT(F$1321:F$1334))&gt;=RANK(H1328,H$1321:H$1334)+COUNTIF(H$1321:H1328,H1328)-1,1,0)</f>
        <v>2</v>
      </c>
      <c r="J1328" t="b">
        <f t="shared" si="259"/>
        <v>0</v>
      </c>
      <c r="K1328" t="str">
        <f t="shared" si="260"/>
        <v/>
      </c>
      <c r="L1328">
        <f>_xlfn.XLOOKUP(D1328,BugList!C:C,BugList!N:N)</f>
        <v>9</v>
      </c>
      <c r="M1328">
        <f t="shared" si="261"/>
        <v>18</v>
      </c>
      <c r="N1328" t="b">
        <f>_xlfn.XLOOKUP(D1328,BugList!C:C,BugList!L:L)</f>
        <v>1</v>
      </c>
      <c r="O1328" t="b">
        <f t="shared" si="262"/>
        <v>0</v>
      </c>
      <c r="P1328" s="18" t="b">
        <f>SUMPRODUCT(COUNTIF(_xlfn.XLOOKUP(D1328,BugList!C:C,BugList!P:P), "*SC*"))&gt;0</f>
        <v>0</v>
      </c>
    </row>
    <row r="1329" spans="1:16">
      <c r="A1329" s="86" t="s">
        <v>2863</v>
      </c>
      <c r="B1329" s="83">
        <v>214</v>
      </c>
      <c r="C1329" s="34" t="s">
        <v>195</v>
      </c>
      <c r="D1329" s="34" t="s">
        <v>113</v>
      </c>
      <c r="E1329" s="83">
        <v>5</v>
      </c>
      <c r="F1329" s="43">
        <f t="shared" si="256"/>
        <v>4.032258064516129</v>
      </c>
      <c r="G1329" s="44">
        <f t="shared" si="257"/>
        <v>4</v>
      </c>
      <c r="H1329" s="44">
        <f t="shared" si="258"/>
        <v>3.2258064516129004E-2</v>
      </c>
      <c r="I1329" cm="1">
        <f t="array" ref="I1329">INT(F1329)+IF(100-SUM(INT(F$1321:F$1334))&gt;=RANK(H1329,H$1321:H$1334)+COUNTIF(H$1321:H1329,H1329)-1,1,0)</f>
        <v>4</v>
      </c>
      <c r="J1329" t="b">
        <f t="shared" si="259"/>
        <v>0</v>
      </c>
      <c r="K1329" t="str">
        <f t="shared" si="260"/>
        <v/>
      </c>
      <c r="L1329">
        <f>_xlfn.XLOOKUP(D1329,BugList!C:C,BugList!N:N)</f>
        <v>1</v>
      </c>
      <c r="M1329">
        <f t="shared" si="261"/>
        <v>4</v>
      </c>
      <c r="N1329" t="b">
        <f>_xlfn.XLOOKUP(D1329,BugList!C:C,BugList!L:L)</f>
        <v>1</v>
      </c>
      <c r="O1329" t="b">
        <f t="shared" si="262"/>
        <v>0</v>
      </c>
      <c r="P1329" s="18" t="b">
        <f>SUMPRODUCT(COUNTIF(_xlfn.XLOOKUP(D1329,BugList!C:C,BugList!P:P), "*SC*"))&gt;0</f>
        <v>0</v>
      </c>
    </row>
    <row r="1330" spans="1:16">
      <c r="A1330" s="86" t="s">
        <v>2863</v>
      </c>
      <c r="B1330" s="83">
        <v>214</v>
      </c>
      <c r="C1330" s="34" t="s">
        <v>198</v>
      </c>
      <c r="D1330" s="34" t="s">
        <v>89</v>
      </c>
      <c r="E1330" s="83">
        <v>65</v>
      </c>
      <c r="F1330" s="43">
        <f t="shared" si="256"/>
        <v>52.419354838709673</v>
      </c>
      <c r="G1330" s="44">
        <f t="shared" si="257"/>
        <v>52</v>
      </c>
      <c r="H1330" s="44">
        <f t="shared" si="258"/>
        <v>0.41935483870967261</v>
      </c>
      <c r="I1330" cm="1">
        <f t="array" ref="I1330">INT(F1330)+IF(100-SUM(INT(F$1321:F$1334))&gt;=RANK(H1330,H$1321:H$1334)+COUNTIF(H$1321:H1330,H1330)-1,1,0)</f>
        <v>52</v>
      </c>
      <c r="J1330" t="b">
        <f t="shared" si="259"/>
        <v>1</v>
      </c>
      <c r="K1330" t="str">
        <f t="shared" si="260"/>
        <v>Trichoptera</v>
      </c>
      <c r="L1330">
        <f>_xlfn.XLOOKUP(D1330,BugList!C:C,BugList!N:N)</f>
        <v>4</v>
      </c>
      <c r="M1330">
        <f t="shared" si="261"/>
        <v>208</v>
      </c>
      <c r="N1330" t="b">
        <f>_xlfn.XLOOKUP(D1330,BugList!C:C,BugList!L:L)</f>
        <v>1</v>
      </c>
      <c r="O1330" t="b">
        <f t="shared" si="262"/>
        <v>0</v>
      </c>
      <c r="P1330" s="18" t="b">
        <f>SUMPRODUCT(COUNTIF(_xlfn.XLOOKUP(D1330,BugList!C:C,BugList!P:P), "*SC*"))&gt;0</f>
        <v>0</v>
      </c>
    </row>
    <row r="1331" spans="1:16">
      <c r="A1331" s="86" t="s">
        <v>2863</v>
      </c>
      <c r="B1331" s="83">
        <v>214</v>
      </c>
      <c r="C1331" s="34" t="s">
        <v>198</v>
      </c>
      <c r="D1331" s="34" t="s">
        <v>107</v>
      </c>
      <c r="E1331" s="83">
        <v>4</v>
      </c>
      <c r="F1331" s="43">
        <f t="shared" si="256"/>
        <v>3.225806451612903</v>
      </c>
      <c r="G1331" s="44">
        <f t="shared" si="257"/>
        <v>3</v>
      </c>
      <c r="H1331" s="44">
        <f t="shared" si="258"/>
        <v>0.22580645161290303</v>
      </c>
      <c r="I1331" cm="1">
        <f t="array" ref="I1331">INT(F1331)+IF(100-SUM(INT(F$1321:F$1334))&gt;=RANK(H1331,H$1321:H$1334)+COUNTIF(H$1321:H1331,H1331)-1,1,0)</f>
        <v>3</v>
      </c>
      <c r="J1331" t="b">
        <f t="shared" si="259"/>
        <v>1</v>
      </c>
      <c r="K1331" t="str">
        <f t="shared" si="260"/>
        <v>Trichoptera</v>
      </c>
      <c r="L1331">
        <f>_xlfn.XLOOKUP(D1331,BugList!C:C,BugList!N:N)</f>
        <v>3</v>
      </c>
      <c r="M1331">
        <f t="shared" si="261"/>
        <v>9</v>
      </c>
      <c r="N1331" t="b">
        <f>_xlfn.XLOOKUP(D1331,BugList!C:C,BugList!L:L)</f>
        <v>1</v>
      </c>
      <c r="O1331" t="b">
        <f t="shared" si="262"/>
        <v>1</v>
      </c>
      <c r="P1331" s="18" t="b">
        <f>SUMPRODUCT(COUNTIF(_xlfn.XLOOKUP(D1331,BugList!C:C,BugList!P:P), "*SC*"))&gt;0</f>
        <v>0</v>
      </c>
    </row>
    <row r="1332" spans="1:16">
      <c r="A1332" s="86" t="s">
        <v>2863</v>
      </c>
      <c r="B1332" s="83">
        <v>214</v>
      </c>
      <c r="C1332" s="34" t="s">
        <v>201</v>
      </c>
      <c r="D1332" s="34" t="s">
        <v>85</v>
      </c>
      <c r="E1332" s="83">
        <v>5</v>
      </c>
      <c r="F1332" s="43">
        <f t="shared" si="256"/>
        <v>4.032258064516129</v>
      </c>
      <c r="G1332" s="44">
        <f t="shared" si="257"/>
        <v>4</v>
      </c>
      <c r="H1332" s="44">
        <f t="shared" si="258"/>
        <v>3.2258064516129004E-2</v>
      </c>
      <c r="I1332" cm="1">
        <f t="array" ref="I1332">INT(F1332)+IF(100-SUM(INT(F$1321:F$1334))&gt;=RANK(H1332,H$1321:H$1334)+COUNTIF(H$1321:H1332,H1332)-1,1,0)</f>
        <v>4</v>
      </c>
      <c r="J1332" t="b">
        <f t="shared" si="259"/>
        <v>0</v>
      </c>
      <c r="K1332" t="str">
        <f t="shared" si="260"/>
        <v/>
      </c>
      <c r="L1332">
        <f>_xlfn.XLOOKUP(D1332,BugList!C:C,BugList!N:N)</f>
        <v>4</v>
      </c>
      <c r="M1332">
        <f t="shared" si="261"/>
        <v>16</v>
      </c>
      <c r="N1332" t="b">
        <f>_xlfn.XLOOKUP(D1332,BugList!C:C,BugList!L:L)</f>
        <v>0</v>
      </c>
      <c r="O1332" t="b">
        <f t="shared" si="262"/>
        <v>0</v>
      </c>
      <c r="P1332" s="18" t="b">
        <f>SUMPRODUCT(COUNTIF(_xlfn.XLOOKUP(D1332,BugList!C:C,BugList!P:P), "*SC*"))&gt;0</f>
        <v>0</v>
      </c>
    </row>
    <row r="1333" spans="1:16">
      <c r="A1333" s="86" t="s">
        <v>2863</v>
      </c>
      <c r="B1333" s="83">
        <v>214</v>
      </c>
      <c r="C1333" s="34" t="s">
        <v>205</v>
      </c>
      <c r="D1333" s="34" t="s">
        <v>206</v>
      </c>
      <c r="E1333" s="83">
        <v>1</v>
      </c>
      <c r="F1333" s="43">
        <f t="shared" si="256"/>
        <v>0.80645161290322576</v>
      </c>
      <c r="G1333" s="44">
        <f t="shared" si="257"/>
        <v>0</v>
      </c>
      <c r="H1333" s="44">
        <f t="shared" si="258"/>
        <v>0.80645161290322576</v>
      </c>
      <c r="I1333" cm="1">
        <f t="array" ref="I1333">INT(F1333)+IF(100-SUM(INT(F$1321:F$1334))&gt;=RANK(H1333,H$1321:H$1334)+COUNTIF(H$1321:H1333,H1333)-1,1,0)</f>
        <v>1</v>
      </c>
      <c r="J1333" t="b">
        <f t="shared" si="259"/>
        <v>0</v>
      </c>
      <c r="K1333" t="str">
        <f t="shared" si="260"/>
        <v/>
      </c>
      <c r="L1333" s="71">
        <v>8</v>
      </c>
      <c r="M1333">
        <f t="shared" si="261"/>
        <v>8</v>
      </c>
      <c r="N1333" s="71" t="b">
        <v>0</v>
      </c>
      <c r="O1333" t="b">
        <f t="shared" si="262"/>
        <v>0</v>
      </c>
      <c r="P1333" s="72" t="b">
        <v>0</v>
      </c>
    </row>
    <row r="1334" spans="1:16">
      <c r="A1334" s="86" t="s">
        <v>2863</v>
      </c>
      <c r="B1334" s="83">
        <v>214</v>
      </c>
      <c r="C1334" s="34" t="s">
        <v>94</v>
      </c>
      <c r="D1334" s="34" t="s">
        <v>94</v>
      </c>
      <c r="E1334" s="83">
        <v>1</v>
      </c>
      <c r="F1334" s="43">
        <f t="shared" si="256"/>
        <v>0.80645161290322576</v>
      </c>
      <c r="G1334" s="44">
        <f t="shared" si="257"/>
        <v>0</v>
      </c>
      <c r="H1334" s="44">
        <f t="shared" si="258"/>
        <v>0.80645161290322576</v>
      </c>
      <c r="I1334" cm="1">
        <f t="array" ref="I1334">INT(F1334)+IF(100-SUM(INT(F$1321:F$1334))&gt;=RANK(H1334,H$1321:H$1334)+COUNTIF(H$1321:H1334,H1334)-1,1,0)</f>
        <v>1</v>
      </c>
      <c r="J1334" t="b">
        <f t="shared" si="259"/>
        <v>0</v>
      </c>
      <c r="K1334" t="str">
        <f t="shared" si="260"/>
        <v/>
      </c>
      <c r="L1334">
        <f>_xlfn.XLOOKUP(D1334,BugList!C:C,BugList!N:N)</f>
        <v>8</v>
      </c>
      <c r="M1334">
        <f t="shared" si="261"/>
        <v>8</v>
      </c>
      <c r="N1334" t="b">
        <f>_xlfn.XLOOKUP(D1334,BugList!C:C,BugList!L:L)</f>
        <v>0</v>
      </c>
      <c r="O1334" t="b">
        <f t="shared" si="262"/>
        <v>0</v>
      </c>
      <c r="P1334" s="18" t="b">
        <f>SUMPRODUCT(COUNTIF(_xlfn.XLOOKUP(D1334,BugList!C:C,BugList!P:P), "*SC*"))&gt;0</f>
        <v>0</v>
      </c>
    </row>
    <row r="1335" spans="1:16">
      <c r="A1335" s="86" t="s">
        <v>2864</v>
      </c>
      <c r="B1335" s="83">
        <v>241</v>
      </c>
      <c r="C1335" s="34" t="s">
        <v>200</v>
      </c>
      <c r="D1335" s="34" t="s">
        <v>100</v>
      </c>
      <c r="E1335" s="83">
        <v>3</v>
      </c>
      <c r="F1335" s="43">
        <f t="shared" si="256"/>
        <v>2.5423728813559325</v>
      </c>
      <c r="G1335" s="44">
        <f t="shared" si="257"/>
        <v>2</v>
      </c>
      <c r="H1335" s="44">
        <f t="shared" si="258"/>
        <v>0.54237288135593253</v>
      </c>
      <c r="I1335" cm="1">
        <f t="array" ref="I1335">INT(F1335)+IF(100-SUM(INT(F$1335:F$1343))&gt;=RANK(H1335,H$1335:H$1343)+COUNTIF(H$1335:H1335,H1335)-1,1,0)</f>
        <v>2</v>
      </c>
      <c r="J1335" t="b">
        <f t="shared" si="259"/>
        <v>0</v>
      </c>
      <c r="K1335" t="str">
        <f t="shared" si="260"/>
        <v/>
      </c>
      <c r="L1335">
        <f>_xlfn.XLOOKUP(D1335,BugList!C:C,BugList!N:N)</f>
        <v>4</v>
      </c>
      <c r="M1335">
        <f t="shared" si="261"/>
        <v>8</v>
      </c>
      <c r="N1335" t="b">
        <f>_xlfn.XLOOKUP(D1335,BugList!C:C,BugList!L:L)</f>
        <v>1</v>
      </c>
      <c r="O1335" t="b">
        <f t="shared" si="262"/>
        <v>0</v>
      </c>
      <c r="P1335" s="18" t="b">
        <f>SUMPRODUCT(COUNTIF(_xlfn.XLOOKUP(D1335,BugList!C:C,BugList!P:P), "*SC*"))&gt;0</f>
        <v>1</v>
      </c>
    </row>
    <row r="1336" spans="1:16">
      <c r="A1336" s="86" t="s">
        <v>2864</v>
      </c>
      <c r="B1336" s="83">
        <v>241</v>
      </c>
      <c r="C1336" s="34" t="s">
        <v>194</v>
      </c>
      <c r="D1336" s="34" t="s">
        <v>90</v>
      </c>
      <c r="E1336" s="83">
        <v>13</v>
      </c>
      <c r="F1336" s="43">
        <f t="shared" si="256"/>
        <v>11.016949152542372</v>
      </c>
      <c r="G1336" s="44">
        <f t="shared" si="257"/>
        <v>11</v>
      </c>
      <c r="H1336" s="44">
        <f t="shared" si="258"/>
        <v>1.6949152542371948E-2</v>
      </c>
      <c r="I1336" cm="1">
        <f t="array" ref="I1336">INT(F1336)+IF(100-SUM(INT(F$1335:F$1343))&gt;=RANK(H1336,H$1335:H$1343)+COUNTIF(H$1335:H1336,H1336)-1,1,0)</f>
        <v>11</v>
      </c>
      <c r="J1336" t="b">
        <f t="shared" si="259"/>
        <v>0</v>
      </c>
      <c r="K1336" t="str">
        <f t="shared" si="260"/>
        <v/>
      </c>
      <c r="L1336">
        <f>_xlfn.XLOOKUP(D1336,BugList!C:C,BugList!N:N)</f>
        <v>6</v>
      </c>
      <c r="M1336">
        <f t="shared" si="261"/>
        <v>66</v>
      </c>
      <c r="N1336" t="b">
        <f>_xlfn.XLOOKUP(D1336,BugList!C:C,BugList!L:L)</f>
        <v>1</v>
      </c>
      <c r="O1336" t="b">
        <f t="shared" si="262"/>
        <v>0</v>
      </c>
      <c r="P1336" s="18" t="b">
        <f>SUMPRODUCT(COUNTIF(_xlfn.XLOOKUP(D1336,BugList!C:C,BugList!P:P), "*SC*"))&gt;0</f>
        <v>0</v>
      </c>
    </row>
    <row r="1337" spans="1:16">
      <c r="A1337" s="86" t="s">
        <v>2864</v>
      </c>
      <c r="B1337" s="83">
        <v>241</v>
      </c>
      <c r="C1337" s="34" t="s">
        <v>194</v>
      </c>
      <c r="D1337" s="34" t="s">
        <v>101</v>
      </c>
      <c r="E1337" s="83">
        <v>87</v>
      </c>
      <c r="F1337" s="43">
        <f t="shared" si="256"/>
        <v>73.728813559322035</v>
      </c>
      <c r="G1337" s="44">
        <f t="shared" si="257"/>
        <v>73</v>
      </c>
      <c r="H1337" s="44">
        <f t="shared" si="258"/>
        <v>0.72881355932203462</v>
      </c>
      <c r="I1337" cm="1">
        <f t="array" ref="I1337">INT(F1337)+IF(100-SUM(INT(F$1335:F$1343))&gt;=RANK(H1337,H$1335:H$1343)+COUNTIF(H$1335:H1337,H1337)-1,1,0)</f>
        <v>74</v>
      </c>
      <c r="J1337" t="b">
        <f t="shared" si="259"/>
        <v>0</v>
      </c>
      <c r="K1337" t="str">
        <f t="shared" si="260"/>
        <v/>
      </c>
      <c r="L1337">
        <f>_xlfn.XLOOKUP(D1337,BugList!C:C,BugList!N:N)</f>
        <v>6</v>
      </c>
      <c r="M1337">
        <f t="shared" si="261"/>
        <v>444</v>
      </c>
      <c r="N1337" t="b">
        <f>_xlfn.XLOOKUP(D1337,BugList!C:C,BugList!L:L)</f>
        <v>1</v>
      </c>
      <c r="O1337" t="b">
        <f t="shared" si="262"/>
        <v>0</v>
      </c>
      <c r="P1337" s="18" t="b">
        <f>SUMPRODUCT(COUNTIF(_xlfn.XLOOKUP(D1337,BugList!C:C,BugList!P:P), "*SC*"))&gt;0</f>
        <v>0</v>
      </c>
    </row>
    <row r="1338" spans="1:16">
      <c r="A1338" s="86" t="s">
        <v>2864</v>
      </c>
      <c r="B1338" s="83">
        <v>241</v>
      </c>
      <c r="C1338" s="34" t="s">
        <v>199</v>
      </c>
      <c r="D1338" s="34" t="s">
        <v>828</v>
      </c>
      <c r="E1338" s="83">
        <v>4</v>
      </c>
      <c r="F1338" s="43">
        <f t="shared" si="256"/>
        <v>3.3898305084745761</v>
      </c>
      <c r="G1338" s="44">
        <f t="shared" si="257"/>
        <v>3</v>
      </c>
      <c r="H1338" s="44">
        <f t="shared" si="258"/>
        <v>0.38983050847457612</v>
      </c>
      <c r="I1338" cm="1">
        <f t="array" ref="I1338">INT(F1338)+IF(100-SUM(INT(F$1335:F$1343))&gt;=RANK(H1338,H$1335:H$1343)+COUNTIF(H$1335:H1338,H1338)-1,1,0)</f>
        <v>3</v>
      </c>
      <c r="J1338" t="b">
        <f t="shared" si="259"/>
        <v>1</v>
      </c>
      <c r="K1338" t="str">
        <f t="shared" si="260"/>
        <v>Ephemeroptera</v>
      </c>
      <c r="L1338">
        <f>_xlfn.XLOOKUP(D1338,BugList!C:C,BugList!N:N)</f>
        <v>7</v>
      </c>
      <c r="M1338">
        <f t="shared" si="261"/>
        <v>21</v>
      </c>
      <c r="N1338" t="b">
        <f>_xlfn.XLOOKUP(D1338,BugList!C:C,BugList!L:L)</f>
        <v>1</v>
      </c>
      <c r="O1338" t="b">
        <f t="shared" si="262"/>
        <v>1</v>
      </c>
      <c r="P1338" s="18" t="b">
        <f>SUMPRODUCT(COUNTIF(_xlfn.XLOOKUP(D1338,BugList!C:C,BugList!P:P), "*SC*"))&gt;0</f>
        <v>0</v>
      </c>
    </row>
    <row r="1339" spans="1:16">
      <c r="A1339" s="86" t="s">
        <v>2864</v>
      </c>
      <c r="B1339" s="83">
        <v>241</v>
      </c>
      <c r="C1339" s="34" t="s">
        <v>195</v>
      </c>
      <c r="D1339" s="34" t="s">
        <v>113</v>
      </c>
      <c r="E1339" s="83">
        <v>1</v>
      </c>
      <c r="F1339" s="43">
        <f t="shared" ref="F1339:F1402" si="263">(E1339/(SUMIFS(E:E,A:A,A1339))*100)</f>
        <v>0.84745762711864403</v>
      </c>
      <c r="G1339" s="44">
        <f t="shared" si="257"/>
        <v>0</v>
      </c>
      <c r="H1339" s="44">
        <f t="shared" si="258"/>
        <v>0.84745762711864403</v>
      </c>
      <c r="I1339" cm="1">
        <f t="array" ref="I1339">INT(F1339)+IF(100-SUM(INT(F$1335:F$1343))&gt;=RANK(H1339,H$1335:H$1343)+COUNTIF(H$1335:H1339,H1339)-1,1,0)</f>
        <v>1</v>
      </c>
      <c r="J1339" t="b">
        <f t="shared" si="259"/>
        <v>0</v>
      </c>
      <c r="K1339" t="str">
        <f t="shared" si="260"/>
        <v/>
      </c>
      <c r="L1339">
        <f>_xlfn.XLOOKUP(D1339,BugList!C:C,BugList!N:N)</f>
        <v>1</v>
      </c>
      <c r="M1339">
        <f t="shared" si="261"/>
        <v>1</v>
      </c>
      <c r="N1339" t="b">
        <f>_xlfn.XLOOKUP(D1339,BugList!C:C,BugList!L:L)</f>
        <v>1</v>
      </c>
      <c r="O1339" t="b">
        <f t="shared" si="262"/>
        <v>0</v>
      </c>
      <c r="P1339" s="18" t="b">
        <f>SUMPRODUCT(COUNTIF(_xlfn.XLOOKUP(D1339,BugList!C:C,BugList!P:P), "*SC*"))&gt;0</f>
        <v>0</v>
      </c>
    </row>
    <row r="1340" spans="1:16">
      <c r="A1340" s="86" t="s">
        <v>2864</v>
      </c>
      <c r="B1340" s="83">
        <v>241</v>
      </c>
      <c r="C1340" s="34" t="s">
        <v>197</v>
      </c>
      <c r="D1340" s="34" t="s">
        <v>106</v>
      </c>
      <c r="E1340" s="83">
        <v>6</v>
      </c>
      <c r="F1340" s="43">
        <f t="shared" si="263"/>
        <v>5.0847457627118651</v>
      </c>
      <c r="G1340" s="44">
        <f t="shared" si="257"/>
        <v>5</v>
      </c>
      <c r="H1340" s="44">
        <f t="shared" si="258"/>
        <v>8.4745762711865069E-2</v>
      </c>
      <c r="I1340" cm="1">
        <f t="array" ref="I1340">INT(F1340)+IF(100-SUM(INT(F$1335:F$1343))&gt;=RANK(H1340,H$1335:H$1343)+COUNTIF(H$1335:H1340,H1340)-1,1,0)</f>
        <v>5</v>
      </c>
      <c r="J1340" t="b">
        <f t="shared" si="259"/>
        <v>1</v>
      </c>
      <c r="K1340" t="str">
        <f t="shared" si="260"/>
        <v>Plecoptera</v>
      </c>
      <c r="L1340">
        <f>_xlfn.XLOOKUP(D1340,BugList!C:C,BugList!N:N)</f>
        <v>2</v>
      </c>
      <c r="M1340">
        <f t="shared" si="261"/>
        <v>10</v>
      </c>
      <c r="N1340" t="b">
        <f>_xlfn.XLOOKUP(D1340,BugList!C:C,BugList!L:L)</f>
        <v>1</v>
      </c>
      <c r="O1340" t="b">
        <f t="shared" si="262"/>
        <v>1</v>
      </c>
      <c r="P1340" s="18" t="b">
        <f>SUMPRODUCT(COUNTIF(_xlfn.XLOOKUP(D1340,BugList!C:C,BugList!P:P), "*SC*"))&gt;0</f>
        <v>0</v>
      </c>
    </row>
    <row r="1341" spans="1:16">
      <c r="A1341" s="86" t="s">
        <v>2864</v>
      </c>
      <c r="B1341" s="83">
        <v>241</v>
      </c>
      <c r="C1341" s="34" t="s">
        <v>197</v>
      </c>
      <c r="D1341" s="34" t="s">
        <v>153</v>
      </c>
      <c r="E1341" s="83">
        <v>1</v>
      </c>
      <c r="F1341" s="43">
        <f t="shared" si="263"/>
        <v>0.84745762711864403</v>
      </c>
      <c r="G1341" s="44">
        <f t="shared" si="257"/>
        <v>0</v>
      </c>
      <c r="H1341" s="44">
        <f t="shared" si="258"/>
        <v>0.84745762711864403</v>
      </c>
      <c r="I1341" cm="1">
        <f t="array" ref="I1341">INT(F1341)+IF(100-SUM(INT(F$1335:F$1343))&gt;=RANK(H1341,H$1335:H$1343)+COUNTIF(H$1335:H1341,H1341)-1,1,0)</f>
        <v>1</v>
      </c>
      <c r="J1341" t="b">
        <f t="shared" si="259"/>
        <v>1</v>
      </c>
      <c r="K1341" t="str">
        <f t="shared" si="260"/>
        <v>Plecoptera</v>
      </c>
      <c r="L1341">
        <f>_xlfn.XLOOKUP(D1341,BugList!C:C,BugList!N:N)</f>
        <v>2</v>
      </c>
      <c r="M1341">
        <f t="shared" si="261"/>
        <v>2</v>
      </c>
      <c r="N1341" t="b">
        <f>_xlfn.XLOOKUP(D1341,BugList!C:C,BugList!L:L)</f>
        <v>1</v>
      </c>
      <c r="O1341" t="b">
        <f t="shared" si="262"/>
        <v>1</v>
      </c>
      <c r="P1341" s="18" t="b">
        <f>SUMPRODUCT(COUNTIF(_xlfn.XLOOKUP(D1341,BugList!C:C,BugList!P:P), "*SC*"))&gt;0</f>
        <v>0</v>
      </c>
    </row>
    <row r="1342" spans="1:16">
      <c r="A1342" s="86" t="s">
        <v>2864</v>
      </c>
      <c r="B1342" s="83">
        <v>241</v>
      </c>
      <c r="C1342" s="34" t="s">
        <v>198</v>
      </c>
      <c r="D1342" s="34" t="s">
        <v>89</v>
      </c>
      <c r="E1342" s="83">
        <v>2</v>
      </c>
      <c r="F1342" s="43">
        <f t="shared" si="263"/>
        <v>1.6949152542372881</v>
      </c>
      <c r="G1342" s="44">
        <f t="shared" si="257"/>
        <v>1</v>
      </c>
      <c r="H1342" s="44">
        <f t="shared" si="258"/>
        <v>0.69491525423728806</v>
      </c>
      <c r="I1342" cm="1">
        <f t="array" ref="I1342">INT(F1342)+IF(100-SUM(INT(F$1335:F$1343))&gt;=RANK(H1342,H$1335:H$1343)+COUNTIF(H$1335:H1342,H1342)-1,1,0)</f>
        <v>2</v>
      </c>
      <c r="J1342" t="b">
        <f t="shared" si="259"/>
        <v>1</v>
      </c>
      <c r="K1342" t="str">
        <f t="shared" si="260"/>
        <v>Trichoptera</v>
      </c>
      <c r="L1342">
        <f>_xlfn.XLOOKUP(D1342,BugList!C:C,BugList!N:N)</f>
        <v>4</v>
      </c>
      <c r="M1342">
        <f t="shared" si="261"/>
        <v>8</v>
      </c>
      <c r="N1342" t="b">
        <f>_xlfn.XLOOKUP(D1342,BugList!C:C,BugList!L:L)</f>
        <v>1</v>
      </c>
      <c r="O1342" t="b">
        <f t="shared" si="262"/>
        <v>0</v>
      </c>
      <c r="P1342" s="18" t="b">
        <f>SUMPRODUCT(COUNTIF(_xlfn.XLOOKUP(D1342,BugList!C:C,BugList!P:P), "*SC*"))&gt;0</f>
        <v>0</v>
      </c>
    </row>
    <row r="1343" spans="1:16">
      <c r="A1343" s="86" t="s">
        <v>2864</v>
      </c>
      <c r="B1343" s="83">
        <v>241</v>
      </c>
      <c r="C1343" s="34" t="s">
        <v>2315</v>
      </c>
      <c r="D1343" s="34" t="s">
        <v>2315</v>
      </c>
      <c r="E1343" s="83">
        <v>1</v>
      </c>
      <c r="F1343" s="43">
        <f t="shared" si="263"/>
        <v>0.84745762711864403</v>
      </c>
      <c r="G1343" s="44">
        <f t="shared" si="257"/>
        <v>0</v>
      </c>
      <c r="H1343" s="44">
        <f t="shared" si="258"/>
        <v>0.84745762711864403</v>
      </c>
      <c r="I1343" cm="1">
        <f t="array" ref="I1343">INT(F1343)+IF(100-SUM(INT(F$1335:F$1343))&gt;=RANK(H1343,H$1335:H$1343)+COUNTIF(H$1335:H1343,H1343)-1,1,0)</f>
        <v>1</v>
      </c>
      <c r="J1343" t="b">
        <f t="shared" si="259"/>
        <v>0</v>
      </c>
      <c r="K1343" t="str">
        <f t="shared" si="260"/>
        <v/>
      </c>
      <c r="L1343">
        <f>_xlfn.XLOOKUP(D1343,BugList!C:C,BugList!N:N)</f>
        <v>7</v>
      </c>
      <c r="M1343">
        <f t="shared" si="261"/>
        <v>7</v>
      </c>
      <c r="N1343" t="b">
        <f>_xlfn.XLOOKUP(D1343,BugList!C:C,BugList!L:L)</f>
        <v>0</v>
      </c>
      <c r="O1343" t="b">
        <f t="shared" si="262"/>
        <v>0</v>
      </c>
      <c r="P1343" s="18" t="b">
        <f>SUMPRODUCT(COUNTIF(_xlfn.XLOOKUP(D1343,BugList!C:C,BugList!P:P), "*SC*"))&gt;0</f>
        <v>1</v>
      </c>
    </row>
    <row r="1344" spans="1:16">
      <c r="A1344" s="86" t="s">
        <v>2865</v>
      </c>
      <c r="B1344" s="83">
        <v>253</v>
      </c>
      <c r="C1344" s="34" t="s">
        <v>200</v>
      </c>
      <c r="D1344" s="34" t="s">
        <v>98</v>
      </c>
      <c r="E1344" s="83">
        <v>18</v>
      </c>
      <c r="F1344" s="43">
        <f t="shared" si="263"/>
        <v>16.216216216216218</v>
      </c>
      <c r="G1344" s="44">
        <f t="shared" si="257"/>
        <v>16</v>
      </c>
      <c r="H1344" s="44">
        <f t="shared" si="258"/>
        <v>0.21621621621621756</v>
      </c>
      <c r="I1344" cm="1">
        <f t="array" ref="I1344">INT(F1344)+IF(100-SUM(INT(F$1344:F$1357))&gt;=RANK(H1344,H$1344:H$1357)+COUNTIF(H$1344:H1344,H1344)-1,1,0)</f>
        <v>16</v>
      </c>
      <c r="J1344" t="b">
        <f t="shared" si="259"/>
        <v>0</v>
      </c>
      <c r="K1344" t="str">
        <f t="shared" si="260"/>
        <v/>
      </c>
      <c r="L1344">
        <f>_xlfn.XLOOKUP(D1344,BugList!C:C,BugList!N:N)</f>
        <v>4</v>
      </c>
      <c r="M1344">
        <f t="shared" si="261"/>
        <v>64</v>
      </c>
      <c r="N1344" t="b">
        <f>_xlfn.XLOOKUP(D1344,BugList!C:C,BugList!L:L)</f>
        <v>1</v>
      </c>
      <c r="O1344" t="b">
        <f t="shared" si="262"/>
        <v>0</v>
      </c>
      <c r="P1344" s="18" t="b">
        <f>SUMPRODUCT(COUNTIF(_xlfn.XLOOKUP(D1344,BugList!C:C,BugList!P:P), "*SC*"))&gt;0</f>
        <v>1</v>
      </c>
    </row>
    <row r="1345" spans="1:16">
      <c r="A1345" s="86" t="s">
        <v>2865</v>
      </c>
      <c r="B1345" s="83">
        <v>253</v>
      </c>
      <c r="C1345" s="34" t="s">
        <v>200</v>
      </c>
      <c r="D1345" s="34" t="s">
        <v>100</v>
      </c>
      <c r="E1345" s="83">
        <v>27</v>
      </c>
      <c r="F1345" s="43">
        <f t="shared" si="263"/>
        <v>24.324324324324326</v>
      </c>
      <c r="G1345" s="44">
        <f t="shared" si="257"/>
        <v>24</v>
      </c>
      <c r="H1345" s="44">
        <f t="shared" si="258"/>
        <v>0.32432432432432634</v>
      </c>
      <c r="I1345" cm="1">
        <f t="array" ref="I1345">INT(F1345)+IF(100-SUM(INT(F$1344:F$1357))&gt;=RANK(H1345,H$1344:H$1357)+COUNTIF(H$1344:H1345,H1345)-1,1,0)</f>
        <v>24</v>
      </c>
      <c r="J1345" t="b">
        <f t="shared" si="259"/>
        <v>0</v>
      </c>
      <c r="K1345" t="str">
        <f t="shared" si="260"/>
        <v/>
      </c>
      <c r="L1345">
        <f>_xlfn.XLOOKUP(D1345,BugList!C:C,BugList!N:N)</f>
        <v>4</v>
      </c>
      <c r="M1345">
        <f t="shared" si="261"/>
        <v>96</v>
      </c>
      <c r="N1345" t="b">
        <f>_xlfn.XLOOKUP(D1345,BugList!C:C,BugList!L:L)</f>
        <v>1</v>
      </c>
      <c r="O1345" t="b">
        <f t="shared" si="262"/>
        <v>0</v>
      </c>
      <c r="P1345" s="18" t="b">
        <f>SUMPRODUCT(COUNTIF(_xlfn.XLOOKUP(D1345,BugList!C:C,BugList!P:P), "*SC*"))&gt;0</f>
        <v>1</v>
      </c>
    </row>
    <row r="1346" spans="1:16">
      <c r="A1346" s="86" t="s">
        <v>2865</v>
      </c>
      <c r="B1346" s="83">
        <v>253</v>
      </c>
      <c r="C1346" s="34" t="s">
        <v>194</v>
      </c>
      <c r="D1346" s="34" t="s">
        <v>101</v>
      </c>
      <c r="E1346" s="83">
        <v>1</v>
      </c>
      <c r="F1346" s="43">
        <f t="shared" si="263"/>
        <v>0.90090090090090091</v>
      </c>
      <c r="G1346" s="44">
        <f t="shared" si="257"/>
        <v>0</v>
      </c>
      <c r="H1346" s="44">
        <f t="shared" si="258"/>
        <v>0.90090090090090091</v>
      </c>
      <c r="I1346" cm="1">
        <f t="array" ref="I1346">INT(F1346)+IF(100-SUM(INT(F$1344:F$1357))&gt;=RANK(H1346,H$1344:H$1357)+COUNTIF(H$1344:H1346,H1346)-1,1,0)</f>
        <v>1</v>
      </c>
      <c r="J1346" t="b">
        <f t="shared" si="259"/>
        <v>0</v>
      </c>
      <c r="K1346" t="str">
        <f t="shared" si="260"/>
        <v/>
      </c>
      <c r="L1346">
        <f>_xlfn.XLOOKUP(D1346,BugList!C:C,BugList!N:N)</f>
        <v>6</v>
      </c>
      <c r="M1346">
        <f t="shared" si="261"/>
        <v>6</v>
      </c>
      <c r="N1346" t="b">
        <f>_xlfn.XLOOKUP(D1346,BugList!C:C,BugList!L:L)</f>
        <v>1</v>
      </c>
      <c r="O1346" t="b">
        <f t="shared" si="262"/>
        <v>0</v>
      </c>
      <c r="P1346" s="18" t="b">
        <f>SUMPRODUCT(COUNTIF(_xlfn.XLOOKUP(D1346,BugList!C:C,BugList!P:P), "*SC*"))&gt;0</f>
        <v>0</v>
      </c>
    </row>
    <row r="1347" spans="1:16">
      <c r="A1347" s="86" t="s">
        <v>2865</v>
      </c>
      <c r="B1347" s="83">
        <v>253</v>
      </c>
      <c r="C1347" s="34" t="s">
        <v>194</v>
      </c>
      <c r="D1347" s="34" t="s">
        <v>108</v>
      </c>
      <c r="E1347" s="83">
        <v>1</v>
      </c>
      <c r="F1347" s="43">
        <f t="shared" si="263"/>
        <v>0.90090090090090091</v>
      </c>
      <c r="G1347" s="44">
        <f t="shared" si="257"/>
        <v>0</v>
      </c>
      <c r="H1347" s="44">
        <f t="shared" si="258"/>
        <v>0.90090090090090091</v>
      </c>
      <c r="I1347" cm="1">
        <f t="array" ref="I1347">INT(F1347)+IF(100-SUM(INT(F$1344:F$1357))&gt;=RANK(H1347,H$1344:H$1357)+COUNTIF(H$1344:H1347,H1347)-1,1,0)</f>
        <v>1</v>
      </c>
      <c r="J1347" t="b">
        <f t="shared" si="259"/>
        <v>0</v>
      </c>
      <c r="K1347" t="str">
        <f t="shared" si="260"/>
        <v/>
      </c>
      <c r="L1347">
        <f>_xlfn.XLOOKUP(D1347,BugList!C:C,BugList!N:N)</f>
        <v>3</v>
      </c>
      <c r="M1347">
        <f t="shared" si="261"/>
        <v>3</v>
      </c>
      <c r="N1347" t="b">
        <f>_xlfn.XLOOKUP(D1347,BugList!C:C,BugList!L:L)</f>
        <v>1</v>
      </c>
      <c r="O1347" t="b">
        <f t="shared" si="262"/>
        <v>0</v>
      </c>
      <c r="P1347" s="18" t="b">
        <f>SUMPRODUCT(COUNTIF(_xlfn.XLOOKUP(D1347,BugList!C:C,BugList!P:P), "*SC*"))&gt;0</f>
        <v>0</v>
      </c>
    </row>
    <row r="1348" spans="1:16">
      <c r="A1348" s="86" t="s">
        <v>2865</v>
      </c>
      <c r="B1348" s="83">
        <v>253</v>
      </c>
      <c r="C1348" s="34" t="s">
        <v>199</v>
      </c>
      <c r="D1348" s="34" t="s">
        <v>96</v>
      </c>
      <c r="E1348" s="83">
        <v>3</v>
      </c>
      <c r="F1348" s="43">
        <f t="shared" si="263"/>
        <v>2.7027027027027026</v>
      </c>
      <c r="G1348" s="44">
        <f t="shared" si="257"/>
        <v>2</v>
      </c>
      <c r="H1348" s="44">
        <f t="shared" si="258"/>
        <v>0.70270270270270263</v>
      </c>
      <c r="I1348" cm="1">
        <f t="array" ref="I1348">INT(F1348)+IF(100-SUM(INT(F$1344:F$1357))&gt;=RANK(H1348,H$1344:H$1357)+COUNTIF(H$1344:H1348,H1348)-1,1,0)</f>
        <v>3</v>
      </c>
      <c r="J1348" t="b">
        <f t="shared" si="259"/>
        <v>1</v>
      </c>
      <c r="K1348" t="str">
        <f t="shared" si="260"/>
        <v>Ephemeroptera</v>
      </c>
      <c r="L1348">
        <f>_xlfn.XLOOKUP(D1348,BugList!C:C,BugList!N:N)</f>
        <v>4</v>
      </c>
      <c r="M1348">
        <f t="shared" si="261"/>
        <v>12</v>
      </c>
      <c r="N1348" t="b">
        <f>_xlfn.XLOOKUP(D1348,BugList!C:C,BugList!L:L)</f>
        <v>1</v>
      </c>
      <c r="O1348" t="b">
        <f t="shared" si="262"/>
        <v>1</v>
      </c>
      <c r="P1348" s="18" t="b">
        <f>SUMPRODUCT(COUNTIF(_xlfn.XLOOKUP(D1348,BugList!C:C,BugList!P:P), "*SC*"))&gt;0</f>
        <v>1</v>
      </c>
    </row>
    <row r="1349" spans="1:16">
      <c r="A1349" s="86" t="s">
        <v>2865</v>
      </c>
      <c r="B1349" s="83">
        <v>253</v>
      </c>
      <c r="C1349" s="34" t="s">
        <v>199</v>
      </c>
      <c r="D1349" s="34" t="s">
        <v>111</v>
      </c>
      <c r="E1349" s="83">
        <v>3</v>
      </c>
      <c r="F1349" s="43">
        <f t="shared" si="263"/>
        <v>2.7027027027027026</v>
      </c>
      <c r="G1349" s="44">
        <f t="shared" si="257"/>
        <v>2</v>
      </c>
      <c r="H1349" s="44">
        <f t="shared" si="258"/>
        <v>0.70270270270270263</v>
      </c>
      <c r="I1349" cm="1">
        <f t="array" ref="I1349">INT(F1349)+IF(100-SUM(INT(F$1344:F$1357))&gt;=RANK(H1349,H$1344:H$1357)+COUNTIF(H$1344:H1349,H1349)-1,1,0)</f>
        <v>3</v>
      </c>
      <c r="J1349" t="b">
        <f t="shared" si="259"/>
        <v>1</v>
      </c>
      <c r="K1349" t="str">
        <f t="shared" si="260"/>
        <v>Ephemeroptera</v>
      </c>
      <c r="L1349">
        <f>_xlfn.XLOOKUP(D1349,BugList!C:C,BugList!N:N)</f>
        <v>4</v>
      </c>
      <c r="M1349">
        <f t="shared" si="261"/>
        <v>12</v>
      </c>
      <c r="N1349" t="b">
        <f>_xlfn.XLOOKUP(D1349,BugList!C:C,BugList!L:L)</f>
        <v>1</v>
      </c>
      <c r="O1349" t="b">
        <f t="shared" si="262"/>
        <v>1</v>
      </c>
      <c r="P1349" s="18" t="b">
        <f>SUMPRODUCT(COUNTIF(_xlfn.XLOOKUP(D1349,BugList!C:C,BugList!P:P), "*SC*"))&gt;0</f>
        <v>0</v>
      </c>
    </row>
    <row r="1350" spans="1:16">
      <c r="A1350" s="86" t="s">
        <v>2865</v>
      </c>
      <c r="B1350" s="83">
        <v>253</v>
      </c>
      <c r="C1350" s="34" t="s">
        <v>195</v>
      </c>
      <c r="D1350" s="34" t="s">
        <v>162</v>
      </c>
      <c r="E1350" s="83">
        <v>1</v>
      </c>
      <c r="F1350" s="43">
        <f t="shared" si="263"/>
        <v>0.90090090090090091</v>
      </c>
      <c r="G1350" s="44">
        <f t="shared" si="257"/>
        <v>0</v>
      </c>
      <c r="H1350" s="44">
        <f t="shared" si="258"/>
        <v>0.90090090090090091</v>
      </c>
      <c r="I1350" cm="1">
        <f t="array" ref="I1350">INT(F1350)+IF(100-SUM(INT(F$1344:F$1357))&gt;=RANK(H1350,H$1344:H$1357)+COUNTIF(H$1344:H1350,H1350)-1,1,0)</f>
        <v>1</v>
      </c>
      <c r="J1350" t="b">
        <f t="shared" si="259"/>
        <v>0</v>
      </c>
      <c r="K1350" t="str">
        <f t="shared" si="260"/>
        <v/>
      </c>
      <c r="L1350">
        <f>_xlfn.XLOOKUP(D1350,BugList!C:C,BugList!N:N)</f>
        <v>3</v>
      </c>
      <c r="M1350">
        <f t="shared" si="261"/>
        <v>3</v>
      </c>
      <c r="N1350" t="b">
        <f>_xlfn.XLOOKUP(D1350,BugList!C:C,BugList!L:L)</f>
        <v>1</v>
      </c>
      <c r="O1350" t="b">
        <f t="shared" si="262"/>
        <v>0</v>
      </c>
      <c r="P1350" s="18" t="b">
        <f>SUMPRODUCT(COUNTIF(_xlfn.XLOOKUP(D1350,BugList!C:C,BugList!P:P), "*SC*"))&gt;0</f>
        <v>0</v>
      </c>
    </row>
    <row r="1351" spans="1:16">
      <c r="A1351" s="86" t="s">
        <v>2865</v>
      </c>
      <c r="B1351" s="83">
        <v>253</v>
      </c>
      <c r="C1351" s="34" t="s">
        <v>195</v>
      </c>
      <c r="D1351" s="34" t="s">
        <v>97</v>
      </c>
      <c r="E1351" s="83">
        <v>1</v>
      </c>
      <c r="F1351" s="43">
        <f t="shared" si="263"/>
        <v>0.90090090090090091</v>
      </c>
      <c r="G1351" s="44">
        <f t="shared" si="257"/>
        <v>0</v>
      </c>
      <c r="H1351" s="44">
        <f t="shared" si="258"/>
        <v>0.90090090090090091</v>
      </c>
      <c r="I1351" cm="1">
        <f t="array" ref="I1351">INT(F1351)+IF(100-SUM(INT(F$1344:F$1357))&gt;=RANK(H1351,H$1344:H$1357)+COUNTIF(H$1344:H1351,H1351)-1,1,0)</f>
        <v>1</v>
      </c>
      <c r="J1351" t="b">
        <f t="shared" si="259"/>
        <v>0</v>
      </c>
      <c r="K1351" t="str">
        <f t="shared" si="260"/>
        <v/>
      </c>
      <c r="L1351">
        <f>_xlfn.XLOOKUP(D1351,BugList!C:C,BugList!N:N)</f>
        <v>9</v>
      </c>
      <c r="M1351">
        <f t="shared" si="261"/>
        <v>9</v>
      </c>
      <c r="N1351" t="b">
        <f>_xlfn.XLOOKUP(D1351,BugList!C:C,BugList!L:L)</f>
        <v>1</v>
      </c>
      <c r="O1351" t="b">
        <f t="shared" si="262"/>
        <v>0</v>
      </c>
      <c r="P1351" s="18" t="b">
        <f>SUMPRODUCT(COUNTIF(_xlfn.XLOOKUP(D1351,BugList!C:C,BugList!P:P), "*SC*"))&gt;0</f>
        <v>0</v>
      </c>
    </row>
    <row r="1352" spans="1:16">
      <c r="A1352" s="86" t="s">
        <v>2865</v>
      </c>
      <c r="B1352" s="83">
        <v>253</v>
      </c>
      <c r="C1352" s="34" t="s">
        <v>195</v>
      </c>
      <c r="D1352" s="34" t="s">
        <v>113</v>
      </c>
      <c r="E1352" s="83">
        <v>7</v>
      </c>
      <c r="F1352" s="43">
        <f t="shared" si="263"/>
        <v>6.3063063063063058</v>
      </c>
      <c r="G1352" s="44">
        <f t="shared" si="257"/>
        <v>6</v>
      </c>
      <c r="H1352" s="44">
        <f t="shared" si="258"/>
        <v>0.30630630630630584</v>
      </c>
      <c r="I1352" cm="1">
        <f t="array" ref="I1352">INT(F1352)+IF(100-SUM(INT(F$1344:F$1357))&gt;=RANK(H1352,H$1344:H$1357)+COUNTIF(H$1344:H1352,H1352)-1,1,0)</f>
        <v>6</v>
      </c>
      <c r="J1352" t="b">
        <f t="shared" si="259"/>
        <v>0</v>
      </c>
      <c r="K1352" t="str">
        <f t="shared" si="260"/>
        <v/>
      </c>
      <c r="L1352">
        <f>_xlfn.XLOOKUP(D1352,BugList!C:C,BugList!N:N)</f>
        <v>1</v>
      </c>
      <c r="M1352">
        <f t="shared" si="261"/>
        <v>6</v>
      </c>
      <c r="N1352" t="b">
        <f>_xlfn.XLOOKUP(D1352,BugList!C:C,BugList!L:L)</f>
        <v>1</v>
      </c>
      <c r="O1352" t="b">
        <f t="shared" si="262"/>
        <v>0</v>
      </c>
      <c r="P1352" s="18" t="b">
        <f>SUMPRODUCT(COUNTIF(_xlfn.XLOOKUP(D1352,BugList!C:C,BugList!P:P), "*SC*"))&gt;0</f>
        <v>0</v>
      </c>
    </row>
    <row r="1353" spans="1:16">
      <c r="A1353" s="86" t="s">
        <v>2865</v>
      </c>
      <c r="B1353" s="83">
        <v>253</v>
      </c>
      <c r="C1353" s="34" t="s">
        <v>197</v>
      </c>
      <c r="D1353" s="34" t="s">
        <v>105</v>
      </c>
      <c r="E1353" s="83">
        <v>1</v>
      </c>
      <c r="F1353" s="43">
        <f t="shared" si="263"/>
        <v>0.90090090090090091</v>
      </c>
      <c r="G1353" s="44">
        <f t="shared" si="257"/>
        <v>0</v>
      </c>
      <c r="H1353" s="44">
        <f t="shared" si="258"/>
        <v>0.90090090090090091</v>
      </c>
      <c r="I1353" cm="1">
        <f t="array" ref="I1353">INT(F1353)+IF(100-SUM(INT(F$1344:F$1357))&gt;=RANK(H1353,H$1344:H$1357)+COUNTIF(H$1344:H1353,H1353)-1,1,0)</f>
        <v>1</v>
      </c>
      <c r="J1353" t="b">
        <f t="shared" si="259"/>
        <v>1</v>
      </c>
      <c r="K1353" t="str">
        <f t="shared" si="260"/>
        <v>Plecoptera</v>
      </c>
      <c r="L1353">
        <f>_xlfn.XLOOKUP(D1353,BugList!C:C,BugList!N:N)</f>
        <v>1</v>
      </c>
      <c r="M1353">
        <f t="shared" si="261"/>
        <v>1</v>
      </c>
      <c r="N1353" t="b">
        <f>_xlfn.XLOOKUP(D1353,BugList!C:C,BugList!L:L)</f>
        <v>1</v>
      </c>
      <c r="O1353" t="b">
        <f t="shared" si="262"/>
        <v>1</v>
      </c>
      <c r="P1353" s="18" t="b">
        <f>SUMPRODUCT(COUNTIF(_xlfn.XLOOKUP(D1353,BugList!C:C,BugList!P:P), "*SC*"))&gt;0</f>
        <v>0</v>
      </c>
    </row>
    <row r="1354" spans="1:16">
      <c r="A1354" s="86" t="s">
        <v>2865</v>
      </c>
      <c r="B1354" s="83">
        <v>253</v>
      </c>
      <c r="C1354" s="34" t="s">
        <v>198</v>
      </c>
      <c r="D1354" s="34" t="s">
        <v>89</v>
      </c>
      <c r="E1354" s="83">
        <v>45</v>
      </c>
      <c r="F1354" s="43">
        <f t="shared" si="263"/>
        <v>40.54054054054054</v>
      </c>
      <c r="G1354" s="44">
        <f t="shared" si="257"/>
        <v>40</v>
      </c>
      <c r="H1354" s="44">
        <f t="shared" si="258"/>
        <v>0.54054054054054035</v>
      </c>
      <c r="I1354" cm="1">
        <f t="array" ref="I1354">INT(F1354)+IF(100-SUM(INT(F$1344:F$1357))&gt;=RANK(H1354,H$1344:H$1357)+COUNTIF(H$1344:H1354,H1354)-1,1,0)</f>
        <v>40</v>
      </c>
      <c r="J1354" t="b">
        <f t="shared" si="259"/>
        <v>1</v>
      </c>
      <c r="K1354" t="str">
        <f t="shared" si="260"/>
        <v>Trichoptera</v>
      </c>
      <c r="L1354">
        <f>_xlfn.XLOOKUP(D1354,BugList!C:C,BugList!N:N)</f>
        <v>4</v>
      </c>
      <c r="M1354">
        <f t="shared" si="261"/>
        <v>160</v>
      </c>
      <c r="N1354" t="b">
        <f>_xlfn.XLOOKUP(D1354,BugList!C:C,BugList!L:L)</f>
        <v>1</v>
      </c>
      <c r="O1354" t="b">
        <f t="shared" si="262"/>
        <v>0</v>
      </c>
      <c r="P1354" s="18" t="b">
        <f>SUMPRODUCT(COUNTIF(_xlfn.XLOOKUP(D1354,BugList!C:C,BugList!P:P), "*SC*"))&gt;0</f>
        <v>0</v>
      </c>
    </row>
    <row r="1355" spans="1:16">
      <c r="A1355" s="86" t="s">
        <v>2865</v>
      </c>
      <c r="B1355" s="83">
        <v>253</v>
      </c>
      <c r="C1355" s="34" t="s">
        <v>2315</v>
      </c>
      <c r="D1355" s="34" t="s">
        <v>2315</v>
      </c>
      <c r="E1355" s="83">
        <v>1</v>
      </c>
      <c r="F1355" s="43">
        <f t="shared" si="263"/>
        <v>0.90090090090090091</v>
      </c>
      <c r="G1355" s="44">
        <f t="shared" si="257"/>
        <v>0</v>
      </c>
      <c r="H1355" s="44">
        <f t="shared" si="258"/>
        <v>0.90090090090090091</v>
      </c>
      <c r="I1355" cm="1">
        <f t="array" ref="I1355">INT(F1355)+IF(100-SUM(INT(F$1344:F$1357))&gt;=RANK(H1355,H$1344:H$1357)+COUNTIF(H$1344:H1355,H1355)-1,1,0)</f>
        <v>1</v>
      </c>
      <c r="J1355" t="b">
        <f t="shared" si="259"/>
        <v>0</v>
      </c>
      <c r="K1355" t="str">
        <f t="shared" si="260"/>
        <v/>
      </c>
      <c r="L1355">
        <f>_xlfn.XLOOKUP(D1355,BugList!C:C,BugList!N:N)</f>
        <v>7</v>
      </c>
      <c r="M1355">
        <f t="shared" si="261"/>
        <v>7</v>
      </c>
      <c r="N1355" t="b">
        <f>_xlfn.XLOOKUP(D1355,BugList!C:C,BugList!L:L)</f>
        <v>0</v>
      </c>
      <c r="O1355" t="b">
        <f t="shared" si="262"/>
        <v>0</v>
      </c>
      <c r="P1355" s="18" t="b">
        <f>SUMPRODUCT(COUNTIF(_xlfn.XLOOKUP(D1355,BugList!C:C,BugList!P:P), "*SC*"))&gt;0</f>
        <v>1</v>
      </c>
    </row>
    <row r="1356" spans="1:16">
      <c r="A1356" s="86" t="s">
        <v>2865</v>
      </c>
      <c r="B1356" s="83">
        <v>253</v>
      </c>
      <c r="C1356" s="34" t="s">
        <v>205</v>
      </c>
      <c r="D1356" s="34" t="s">
        <v>206</v>
      </c>
      <c r="E1356" s="83">
        <v>1</v>
      </c>
      <c r="F1356" s="43">
        <f t="shared" si="263"/>
        <v>0.90090090090090091</v>
      </c>
      <c r="G1356" s="44">
        <f t="shared" si="257"/>
        <v>0</v>
      </c>
      <c r="H1356" s="44">
        <f t="shared" si="258"/>
        <v>0.90090090090090091</v>
      </c>
      <c r="I1356" cm="1">
        <f t="array" ref="I1356">INT(F1356)+IF(100-SUM(INT(F$1344:F$1357))&gt;=RANK(H1356,H$1344:H$1357)+COUNTIF(H$1344:H1356,H1356)-1,1,0)</f>
        <v>1</v>
      </c>
      <c r="J1356" t="b">
        <f t="shared" si="259"/>
        <v>0</v>
      </c>
      <c r="K1356" t="str">
        <f t="shared" si="260"/>
        <v/>
      </c>
      <c r="L1356" s="71">
        <v>8</v>
      </c>
      <c r="M1356">
        <f t="shared" si="261"/>
        <v>8</v>
      </c>
      <c r="N1356" s="71" t="b">
        <v>0</v>
      </c>
      <c r="O1356" t="b">
        <f t="shared" si="262"/>
        <v>0</v>
      </c>
      <c r="P1356" s="72" t="b">
        <v>0</v>
      </c>
    </row>
    <row r="1357" spans="1:16">
      <c r="A1357" s="86" t="s">
        <v>2865</v>
      </c>
      <c r="B1357" s="83">
        <v>253</v>
      </c>
      <c r="C1357" s="34" t="s">
        <v>94</v>
      </c>
      <c r="D1357" s="34" t="s">
        <v>94</v>
      </c>
      <c r="E1357" s="83">
        <v>1</v>
      </c>
      <c r="F1357" s="43">
        <f t="shared" si="263"/>
        <v>0.90090090090090091</v>
      </c>
      <c r="G1357" s="44">
        <f t="shared" si="257"/>
        <v>0</v>
      </c>
      <c r="H1357" s="44">
        <f t="shared" si="258"/>
        <v>0.90090090090090091</v>
      </c>
      <c r="I1357" cm="1">
        <f t="array" ref="I1357">INT(F1357)+IF(100-SUM(INT(F$1344:F$1357))&gt;=RANK(H1357,H$1344:H$1357)+COUNTIF(H$1344:H1357,H1357)-1,1,0)</f>
        <v>1</v>
      </c>
      <c r="J1357" t="b">
        <f t="shared" si="259"/>
        <v>0</v>
      </c>
      <c r="K1357" t="str">
        <f t="shared" si="260"/>
        <v/>
      </c>
      <c r="L1357">
        <f>_xlfn.XLOOKUP(D1357,BugList!C:C,BugList!N:N)</f>
        <v>8</v>
      </c>
      <c r="M1357">
        <f t="shared" si="261"/>
        <v>8</v>
      </c>
      <c r="N1357" t="b">
        <f>_xlfn.XLOOKUP(D1357,BugList!C:C,BugList!L:L)</f>
        <v>0</v>
      </c>
      <c r="O1357" t="b">
        <f t="shared" si="262"/>
        <v>0</v>
      </c>
      <c r="P1357" s="18" t="b">
        <f>SUMPRODUCT(COUNTIF(_xlfn.XLOOKUP(D1357,BugList!C:C,BugList!P:P), "*SC*"))&gt;0</f>
        <v>0</v>
      </c>
    </row>
    <row r="1358" spans="1:16">
      <c r="A1358" s="86" t="s">
        <v>2866</v>
      </c>
      <c r="B1358" s="83">
        <v>262</v>
      </c>
      <c r="C1358" s="34" t="s">
        <v>200</v>
      </c>
      <c r="D1358" s="34" t="s">
        <v>98</v>
      </c>
      <c r="E1358" s="83">
        <v>2</v>
      </c>
      <c r="F1358" s="43">
        <f t="shared" si="263"/>
        <v>1.25</v>
      </c>
      <c r="G1358" s="44">
        <f t="shared" si="257"/>
        <v>1</v>
      </c>
      <c r="H1358" s="44">
        <f t="shared" si="258"/>
        <v>0.25</v>
      </c>
      <c r="I1358" cm="1">
        <f t="array" ref="I1358">INT(F1358)+IF(100-SUM(INT(F$1358:F$1365))&gt;=RANK(H1358,H$1358:H$1365)+COUNTIF(H$1358:H1358,H1358)-1,1,0)</f>
        <v>1</v>
      </c>
      <c r="J1358" t="b">
        <f t="shared" si="259"/>
        <v>0</v>
      </c>
      <c r="K1358" t="str">
        <f t="shared" si="260"/>
        <v/>
      </c>
      <c r="L1358">
        <f>_xlfn.XLOOKUP(D1358,BugList!C:C,BugList!N:N)</f>
        <v>4</v>
      </c>
      <c r="M1358">
        <f t="shared" si="261"/>
        <v>4</v>
      </c>
      <c r="N1358" t="b">
        <f>_xlfn.XLOOKUP(D1358,BugList!C:C,BugList!L:L)</f>
        <v>1</v>
      </c>
      <c r="O1358" t="b">
        <f t="shared" si="262"/>
        <v>0</v>
      </c>
      <c r="P1358" s="18" t="b">
        <f>SUMPRODUCT(COUNTIF(_xlfn.XLOOKUP(D1358,BugList!C:C,BugList!P:P), "*SC*"))&gt;0</f>
        <v>1</v>
      </c>
    </row>
    <row r="1359" spans="1:16">
      <c r="A1359" s="86" t="s">
        <v>2866</v>
      </c>
      <c r="B1359" s="83">
        <v>262</v>
      </c>
      <c r="C1359" s="34" t="s">
        <v>200</v>
      </c>
      <c r="D1359" s="34" t="s">
        <v>100</v>
      </c>
      <c r="E1359" s="83">
        <v>27</v>
      </c>
      <c r="F1359" s="43">
        <f t="shared" si="263"/>
        <v>16.875</v>
      </c>
      <c r="G1359" s="44">
        <f t="shared" si="257"/>
        <v>16</v>
      </c>
      <c r="H1359" s="44">
        <f t="shared" si="258"/>
        <v>0.875</v>
      </c>
      <c r="I1359" cm="1">
        <f t="array" ref="I1359">INT(F1359)+IF(100-SUM(INT(F$1358:F$1365))&gt;=RANK(H1359,H$1358:H$1365)+COUNTIF(H$1358:H1359,H1359)-1,1,0)</f>
        <v>17</v>
      </c>
      <c r="J1359" t="b">
        <f t="shared" si="259"/>
        <v>0</v>
      </c>
      <c r="K1359" t="str">
        <f t="shared" si="260"/>
        <v/>
      </c>
      <c r="L1359">
        <f>_xlfn.XLOOKUP(D1359,BugList!C:C,BugList!N:N)</f>
        <v>4</v>
      </c>
      <c r="M1359">
        <f t="shared" si="261"/>
        <v>68</v>
      </c>
      <c r="N1359" t="b">
        <f>_xlfn.XLOOKUP(D1359,BugList!C:C,BugList!L:L)</f>
        <v>1</v>
      </c>
      <c r="O1359" t="b">
        <f t="shared" si="262"/>
        <v>0</v>
      </c>
      <c r="P1359" s="18" t="b">
        <f>SUMPRODUCT(COUNTIF(_xlfn.XLOOKUP(D1359,BugList!C:C,BugList!P:P), "*SC*"))&gt;0</f>
        <v>1</v>
      </c>
    </row>
    <row r="1360" spans="1:16">
      <c r="A1360" s="86" t="s">
        <v>2866</v>
      </c>
      <c r="B1360" s="83">
        <v>262</v>
      </c>
      <c r="C1360" s="34" t="s">
        <v>199</v>
      </c>
      <c r="D1360" s="34" t="s">
        <v>111</v>
      </c>
      <c r="E1360" s="83">
        <v>3</v>
      </c>
      <c r="F1360" s="43">
        <f t="shared" si="263"/>
        <v>1.875</v>
      </c>
      <c r="G1360" s="44">
        <f t="shared" si="257"/>
        <v>1</v>
      </c>
      <c r="H1360" s="44">
        <f t="shared" si="258"/>
        <v>0.875</v>
      </c>
      <c r="I1360" cm="1">
        <f t="array" ref="I1360">INT(F1360)+IF(100-SUM(INT(F$1358:F$1365))&gt;=RANK(H1360,H$1358:H$1365)+COUNTIF(H$1358:H1360,H1360)-1,1,0)</f>
        <v>2</v>
      </c>
      <c r="J1360" t="b">
        <f t="shared" si="259"/>
        <v>1</v>
      </c>
      <c r="K1360" t="str">
        <f t="shared" si="260"/>
        <v>Ephemeroptera</v>
      </c>
      <c r="L1360">
        <f>_xlfn.XLOOKUP(D1360,BugList!C:C,BugList!N:N)</f>
        <v>4</v>
      </c>
      <c r="M1360">
        <f t="shared" si="261"/>
        <v>8</v>
      </c>
      <c r="N1360" t="b">
        <f>_xlfn.XLOOKUP(D1360,BugList!C:C,BugList!L:L)</f>
        <v>1</v>
      </c>
      <c r="O1360" t="b">
        <f t="shared" si="262"/>
        <v>1</v>
      </c>
      <c r="P1360" s="18" t="b">
        <f>SUMPRODUCT(COUNTIF(_xlfn.XLOOKUP(D1360,BugList!C:C,BugList!P:P), "*SC*"))&gt;0</f>
        <v>0</v>
      </c>
    </row>
    <row r="1361" spans="1:16">
      <c r="A1361" s="86" t="s">
        <v>2866</v>
      </c>
      <c r="B1361" s="83">
        <v>262</v>
      </c>
      <c r="C1361" s="34" t="s">
        <v>195</v>
      </c>
      <c r="D1361" s="34" t="s">
        <v>97</v>
      </c>
      <c r="E1361" s="83">
        <v>4</v>
      </c>
      <c r="F1361" s="43">
        <f t="shared" si="263"/>
        <v>2.5</v>
      </c>
      <c r="G1361" s="44">
        <f t="shared" si="257"/>
        <v>2</v>
      </c>
      <c r="H1361" s="44">
        <f t="shared" si="258"/>
        <v>0.5</v>
      </c>
      <c r="I1361" cm="1">
        <f t="array" ref="I1361">INT(F1361)+IF(100-SUM(INT(F$1358:F$1365))&gt;=RANK(H1361,H$1358:H$1365)+COUNTIF(H$1358:H1361,H1361)-1,1,0)</f>
        <v>2</v>
      </c>
      <c r="J1361" t="b">
        <f t="shared" si="259"/>
        <v>0</v>
      </c>
      <c r="K1361" t="str">
        <f t="shared" si="260"/>
        <v/>
      </c>
      <c r="L1361">
        <f>_xlfn.XLOOKUP(D1361,BugList!C:C,BugList!N:N)</f>
        <v>9</v>
      </c>
      <c r="M1361">
        <f t="shared" si="261"/>
        <v>18</v>
      </c>
      <c r="N1361" t="b">
        <f>_xlfn.XLOOKUP(D1361,BugList!C:C,BugList!L:L)</f>
        <v>1</v>
      </c>
      <c r="O1361" t="b">
        <f t="shared" si="262"/>
        <v>0</v>
      </c>
      <c r="P1361" s="18" t="b">
        <f>SUMPRODUCT(COUNTIF(_xlfn.XLOOKUP(D1361,BugList!C:C,BugList!P:P), "*SC*"))&gt;0</f>
        <v>0</v>
      </c>
    </row>
    <row r="1362" spans="1:16">
      <c r="A1362" s="86" t="s">
        <v>2866</v>
      </c>
      <c r="B1362" s="83">
        <v>262</v>
      </c>
      <c r="C1362" s="34" t="s">
        <v>198</v>
      </c>
      <c r="D1362" s="34" t="s">
        <v>89</v>
      </c>
      <c r="E1362" s="83">
        <v>115</v>
      </c>
      <c r="F1362" s="43">
        <f t="shared" si="263"/>
        <v>71.875</v>
      </c>
      <c r="G1362" s="44">
        <f t="shared" ref="G1362:G1425" si="264">INT(F1362)</f>
        <v>71</v>
      </c>
      <c r="H1362" s="44">
        <f t="shared" ref="H1362:H1425" si="265">F1362-G1362</f>
        <v>0.875</v>
      </c>
      <c r="I1362" cm="1">
        <f t="array" ref="I1362">INT(F1362)+IF(100-SUM(INT(F$1358:F$1365))&gt;=RANK(H1362,H$1358:H$1365)+COUNTIF(H$1358:H1362,H1362)-1,1,0)</f>
        <v>72</v>
      </c>
      <c r="J1362" t="b">
        <f t="shared" ref="J1362:J1425" si="266">IF(OR(C1362="Ephemeroptera", C1362 ="Plecoptera", C1362= "Trichoptera"), TRUE, FALSE)</f>
        <v>1</v>
      </c>
      <c r="K1362" t="str">
        <f t="shared" ref="K1362:K1425" si="267">IF(J1362=TRUE,C1362,"")</f>
        <v>Trichoptera</v>
      </c>
      <c r="L1362">
        <f>_xlfn.XLOOKUP(D1362,BugList!C:C,BugList!N:N)</f>
        <v>4</v>
      </c>
      <c r="M1362">
        <f t="shared" ref="M1362:M1425" si="268">L1362*I1362</f>
        <v>288</v>
      </c>
      <c r="N1362" t="b">
        <f>_xlfn.XLOOKUP(D1362,BugList!C:C,BugList!L:L)</f>
        <v>1</v>
      </c>
      <c r="O1362" t="b">
        <f t="shared" ref="O1362:O1425" si="269">IF(J1362=TRUE,IF(D1362="Hydropsychidae", FALSE, TRUE), FALSE)</f>
        <v>0</v>
      </c>
      <c r="P1362" s="18" t="b">
        <f>SUMPRODUCT(COUNTIF(_xlfn.XLOOKUP(D1362,BugList!C:C,BugList!P:P), "*SC*"))&gt;0</f>
        <v>0</v>
      </c>
    </row>
    <row r="1363" spans="1:16">
      <c r="A1363" s="86" t="s">
        <v>2866</v>
      </c>
      <c r="B1363" s="83">
        <v>262</v>
      </c>
      <c r="C1363" s="34" t="s">
        <v>198</v>
      </c>
      <c r="D1363" s="34" t="s">
        <v>107</v>
      </c>
      <c r="E1363" s="83">
        <v>6</v>
      </c>
      <c r="F1363" s="43">
        <f t="shared" si="263"/>
        <v>3.75</v>
      </c>
      <c r="G1363" s="44">
        <f t="shared" si="264"/>
        <v>3</v>
      </c>
      <c r="H1363" s="44">
        <f t="shared" si="265"/>
        <v>0.75</v>
      </c>
      <c r="I1363" cm="1">
        <f t="array" ref="I1363">INT(F1363)+IF(100-SUM(INT(F$1358:F$1365))&gt;=RANK(H1363,H$1358:H$1365)+COUNTIF(H$1358:H1363,H1363)-1,1,0)</f>
        <v>4</v>
      </c>
      <c r="J1363" t="b">
        <f t="shared" si="266"/>
        <v>1</v>
      </c>
      <c r="K1363" t="str">
        <f t="shared" si="267"/>
        <v>Trichoptera</v>
      </c>
      <c r="L1363">
        <f>_xlfn.XLOOKUP(D1363,BugList!C:C,BugList!N:N)</f>
        <v>3</v>
      </c>
      <c r="M1363">
        <f t="shared" si="268"/>
        <v>12</v>
      </c>
      <c r="N1363" t="b">
        <f>_xlfn.XLOOKUP(D1363,BugList!C:C,BugList!L:L)</f>
        <v>1</v>
      </c>
      <c r="O1363" t="b">
        <f t="shared" si="269"/>
        <v>1</v>
      </c>
      <c r="P1363" s="18" t="b">
        <f>SUMPRODUCT(COUNTIF(_xlfn.XLOOKUP(D1363,BugList!C:C,BugList!P:P), "*SC*"))&gt;0</f>
        <v>0</v>
      </c>
    </row>
    <row r="1364" spans="1:16">
      <c r="A1364" s="86" t="s">
        <v>2866</v>
      </c>
      <c r="B1364" s="83">
        <v>262</v>
      </c>
      <c r="C1364" s="34" t="s">
        <v>201</v>
      </c>
      <c r="D1364" s="34" t="s">
        <v>85</v>
      </c>
      <c r="E1364" s="83">
        <v>1</v>
      </c>
      <c r="F1364" s="43">
        <f t="shared" si="263"/>
        <v>0.625</v>
      </c>
      <c r="G1364" s="44">
        <f t="shared" si="264"/>
        <v>0</v>
      </c>
      <c r="H1364" s="44">
        <f t="shared" si="265"/>
        <v>0.625</v>
      </c>
      <c r="I1364" cm="1">
        <f t="array" ref="I1364">INT(F1364)+IF(100-SUM(INT(F$1358:F$1365))&gt;=RANK(H1364,H$1358:H$1365)+COUNTIF(H$1358:H1364,H1364)-1,1,0)</f>
        <v>1</v>
      </c>
      <c r="J1364" t="b">
        <f t="shared" si="266"/>
        <v>0</v>
      </c>
      <c r="K1364" t="str">
        <f t="shared" si="267"/>
        <v/>
      </c>
      <c r="L1364">
        <f>_xlfn.XLOOKUP(D1364,BugList!C:C,BugList!N:N)</f>
        <v>4</v>
      </c>
      <c r="M1364">
        <f t="shared" si="268"/>
        <v>4</v>
      </c>
      <c r="N1364" t="b">
        <f>_xlfn.XLOOKUP(D1364,BugList!C:C,BugList!L:L)</f>
        <v>0</v>
      </c>
      <c r="O1364" t="b">
        <f t="shared" si="269"/>
        <v>0</v>
      </c>
      <c r="P1364" s="18" t="b">
        <f>SUMPRODUCT(COUNTIF(_xlfn.XLOOKUP(D1364,BugList!C:C,BugList!P:P), "*SC*"))&gt;0</f>
        <v>0</v>
      </c>
    </row>
    <row r="1365" spans="1:16">
      <c r="A1365" s="86" t="s">
        <v>2866</v>
      </c>
      <c r="B1365" s="83">
        <v>262</v>
      </c>
      <c r="C1365" s="34" t="s">
        <v>94</v>
      </c>
      <c r="D1365" s="34" t="s">
        <v>94</v>
      </c>
      <c r="E1365" s="83">
        <v>2</v>
      </c>
      <c r="F1365" s="43">
        <f t="shared" si="263"/>
        <v>1.25</v>
      </c>
      <c r="G1365" s="44">
        <f t="shared" si="264"/>
        <v>1</v>
      </c>
      <c r="H1365" s="44">
        <f t="shared" si="265"/>
        <v>0.25</v>
      </c>
      <c r="I1365" cm="1">
        <f t="array" ref="I1365">INT(F1365)+IF(100-SUM(INT(F$1358:F$1365))&gt;=RANK(H1365,H$1358:H$1365)+COUNTIF(H$1358:H1365,H1365)-1,1,0)</f>
        <v>1</v>
      </c>
      <c r="J1365" t="b">
        <f t="shared" si="266"/>
        <v>0</v>
      </c>
      <c r="K1365" t="str">
        <f t="shared" si="267"/>
        <v/>
      </c>
      <c r="L1365">
        <f>_xlfn.XLOOKUP(D1365,BugList!C:C,BugList!N:N)</f>
        <v>8</v>
      </c>
      <c r="M1365">
        <f t="shared" si="268"/>
        <v>8</v>
      </c>
      <c r="N1365" t="b">
        <f>_xlfn.XLOOKUP(D1365,BugList!C:C,BugList!L:L)</f>
        <v>0</v>
      </c>
      <c r="O1365" t="b">
        <f t="shared" si="269"/>
        <v>0</v>
      </c>
      <c r="P1365" s="18" t="b">
        <f>SUMPRODUCT(COUNTIF(_xlfn.XLOOKUP(D1365,BugList!C:C,BugList!P:P), "*SC*"))&gt;0</f>
        <v>0</v>
      </c>
    </row>
    <row r="1366" spans="1:16">
      <c r="A1366" s="86" t="s">
        <v>2867</v>
      </c>
      <c r="B1366" s="83">
        <v>287</v>
      </c>
      <c r="C1366" s="34" t="s">
        <v>200</v>
      </c>
      <c r="D1366" s="34" t="s">
        <v>98</v>
      </c>
      <c r="E1366" s="83">
        <v>2</v>
      </c>
      <c r="F1366" s="43">
        <f t="shared" si="263"/>
        <v>1.3888888888888888</v>
      </c>
      <c r="G1366" s="44">
        <f t="shared" si="264"/>
        <v>1</v>
      </c>
      <c r="H1366" s="44">
        <f t="shared" si="265"/>
        <v>0.38888888888888884</v>
      </c>
      <c r="I1366" cm="1">
        <f t="array" ref="I1366">INT(F1366)+IF(100-SUM(INT(F$1366:F$1385))&gt;=RANK(H1366,H$1366:H$1385)+COUNTIF(H$1366:H1366,H1366)-1,1,0)</f>
        <v>1</v>
      </c>
      <c r="J1366" t="b">
        <f t="shared" si="266"/>
        <v>0</v>
      </c>
      <c r="K1366" t="str">
        <f t="shared" si="267"/>
        <v/>
      </c>
      <c r="L1366">
        <f>_xlfn.XLOOKUP(D1366,BugList!C:C,BugList!N:N)</f>
        <v>4</v>
      </c>
      <c r="M1366">
        <f t="shared" si="268"/>
        <v>4</v>
      </c>
      <c r="N1366" t="b">
        <f>_xlfn.XLOOKUP(D1366,BugList!C:C,BugList!L:L)</f>
        <v>1</v>
      </c>
      <c r="O1366" t="b">
        <f t="shared" si="269"/>
        <v>0</v>
      </c>
      <c r="P1366" s="18" t="b">
        <f>SUMPRODUCT(COUNTIF(_xlfn.XLOOKUP(D1366,BugList!C:C,BugList!P:P), "*SC*"))&gt;0</f>
        <v>1</v>
      </c>
    </row>
    <row r="1367" spans="1:16">
      <c r="A1367" s="86" t="s">
        <v>2867</v>
      </c>
      <c r="B1367" s="83">
        <v>287</v>
      </c>
      <c r="C1367" s="34" t="s">
        <v>200</v>
      </c>
      <c r="D1367" s="34" t="s">
        <v>100</v>
      </c>
      <c r="E1367" s="83">
        <v>7</v>
      </c>
      <c r="F1367" s="43">
        <f t="shared" si="263"/>
        <v>4.8611111111111116</v>
      </c>
      <c r="G1367" s="44">
        <f t="shared" si="264"/>
        <v>4</v>
      </c>
      <c r="H1367" s="44">
        <f t="shared" si="265"/>
        <v>0.8611111111111116</v>
      </c>
      <c r="I1367" cm="1">
        <f t="array" ref="I1367">INT(F1367)+IF(100-SUM(INT(F$1366:F$1385))&gt;=RANK(H1367,H$1366:H$1385)+COUNTIF(H$1366:H1367,H1367)-1,1,0)</f>
        <v>5</v>
      </c>
      <c r="J1367" t="b">
        <f t="shared" si="266"/>
        <v>0</v>
      </c>
      <c r="K1367" t="str">
        <f t="shared" si="267"/>
        <v/>
      </c>
      <c r="L1367">
        <f>_xlfn.XLOOKUP(D1367,BugList!C:C,BugList!N:N)</f>
        <v>4</v>
      </c>
      <c r="M1367">
        <f t="shared" si="268"/>
        <v>20</v>
      </c>
      <c r="N1367" t="b">
        <f>_xlfn.XLOOKUP(D1367,BugList!C:C,BugList!L:L)</f>
        <v>1</v>
      </c>
      <c r="O1367" t="b">
        <f t="shared" si="269"/>
        <v>0</v>
      </c>
      <c r="P1367" s="18" t="b">
        <f>SUMPRODUCT(COUNTIF(_xlfn.XLOOKUP(D1367,BugList!C:C,BugList!P:P), "*SC*"))&gt;0</f>
        <v>1</v>
      </c>
    </row>
    <row r="1368" spans="1:16">
      <c r="A1368" s="86" t="s">
        <v>2867</v>
      </c>
      <c r="B1368" s="83">
        <v>287</v>
      </c>
      <c r="C1368" s="34" t="s">
        <v>194</v>
      </c>
      <c r="D1368" s="34" t="s">
        <v>90</v>
      </c>
      <c r="E1368" s="83">
        <v>28</v>
      </c>
      <c r="F1368" s="43">
        <f t="shared" si="263"/>
        <v>19.444444444444446</v>
      </c>
      <c r="G1368" s="44">
        <f t="shared" si="264"/>
        <v>19</v>
      </c>
      <c r="H1368" s="44">
        <f t="shared" si="265"/>
        <v>0.44444444444444642</v>
      </c>
      <c r="I1368" cm="1">
        <f t="array" ref="I1368">INT(F1368)+IF(100-SUM(INT(F$1366:F$1385))&gt;=RANK(H1368,H$1366:H$1385)+COUNTIF(H$1366:H1368,H1368)-1,1,0)</f>
        <v>20</v>
      </c>
      <c r="J1368" t="b">
        <f t="shared" si="266"/>
        <v>0</v>
      </c>
      <c r="K1368" t="str">
        <f t="shared" si="267"/>
        <v/>
      </c>
      <c r="L1368">
        <f>_xlfn.XLOOKUP(D1368,BugList!C:C,BugList!N:N)</f>
        <v>6</v>
      </c>
      <c r="M1368">
        <f t="shared" si="268"/>
        <v>120</v>
      </c>
      <c r="N1368" t="b">
        <f>_xlfn.XLOOKUP(D1368,BugList!C:C,BugList!L:L)</f>
        <v>1</v>
      </c>
      <c r="O1368" t="b">
        <f t="shared" si="269"/>
        <v>0</v>
      </c>
      <c r="P1368" s="18" t="b">
        <f>SUMPRODUCT(COUNTIF(_xlfn.XLOOKUP(D1368,BugList!C:C,BugList!P:P), "*SC*"))&gt;0</f>
        <v>0</v>
      </c>
    </row>
    <row r="1369" spans="1:16">
      <c r="A1369" s="86" t="s">
        <v>2867</v>
      </c>
      <c r="B1369" s="83">
        <v>287</v>
      </c>
      <c r="C1369" s="34" t="s">
        <v>194</v>
      </c>
      <c r="D1369" s="34" t="s">
        <v>101</v>
      </c>
      <c r="E1369" s="83">
        <v>15</v>
      </c>
      <c r="F1369" s="43">
        <f t="shared" si="263"/>
        <v>10.416666666666668</v>
      </c>
      <c r="G1369" s="44">
        <f t="shared" si="264"/>
        <v>10</v>
      </c>
      <c r="H1369" s="44">
        <f t="shared" si="265"/>
        <v>0.41666666666666785</v>
      </c>
      <c r="I1369" cm="1">
        <f t="array" ref="I1369">INT(F1369)+IF(100-SUM(INT(F$1366:F$1385))&gt;=RANK(H1369,H$1366:H$1385)+COUNTIF(H$1366:H1369,H1369)-1,1,0)</f>
        <v>10</v>
      </c>
      <c r="J1369" t="b">
        <f t="shared" si="266"/>
        <v>0</v>
      </c>
      <c r="K1369" t="str">
        <f t="shared" si="267"/>
        <v/>
      </c>
      <c r="L1369">
        <f>_xlfn.XLOOKUP(D1369,BugList!C:C,BugList!N:N)</f>
        <v>6</v>
      </c>
      <c r="M1369">
        <f t="shared" si="268"/>
        <v>60</v>
      </c>
      <c r="N1369" t="b">
        <f>_xlfn.XLOOKUP(D1369,BugList!C:C,BugList!L:L)</f>
        <v>1</v>
      </c>
      <c r="O1369" t="b">
        <f t="shared" si="269"/>
        <v>0</v>
      </c>
      <c r="P1369" s="18" t="b">
        <f>SUMPRODUCT(COUNTIF(_xlfn.XLOOKUP(D1369,BugList!C:C,BugList!P:P), "*SC*"))&gt;0</f>
        <v>0</v>
      </c>
    </row>
    <row r="1370" spans="1:16">
      <c r="A1370" s="86" t="s">
        <v>2867</v>
      </c>
      <c r="B1370" s="83">
        <v>287</v>
      </c>
      <c r="C1370" s="34" t="s">
        <v>194</v>
      </c>
      <c r="D1370" s="34" t="s">
        <v>131</v>
      </c>
      <c r="E1370" s="83">
        <v>1</v>
      </c>
      <c r="F1370" s="43">
        <f t="shared" si="263"/>
        <v>0.69444444444444442</v>
      </c>
      <c r="G1370" s="44">
        <f t="shared" si="264"/>
        <v>0</v>
      </c>
      <c r="H1370" s="44">
        <f t="shared" si="265"/>
        <v>0.69444444444444442</v>
      </c>
      <c r="I1370" cm="1">
        <f t="array" ref="I1370">INT(F1370)+IF(100-SUM(INT(F$1366:F$1385))&gt;=RANK(H1370,H$1366:H$1385)+COUNTIF(H$1366:H1370,H1370)-1,1,0)</f>
        <v>1</v>
      </c>
      <c r="J1370" t="b">
        <f t="shared" si="266"/>
        <v>0</v>
      </c>
      <c r="K1370" t="str">
        <f t="shared" si="267"/>
        <v/>
      </c>
      <c r="L1370">
        <f>_xlfn.XLOOKUP(D1370,BugList!C:C,BugList!N:N)</f>
        <v>6</v>
      </c>
      <c r="M1370">
        <f t="shared" si="268"/>
        <v>6</v>
      </c>
      <c r="N1370" t="b">
        <f>_xlfn.XLOOKUP(D1370,BugList!C:C,BugList!L:L)</f>
        <v>1</v>
      </c>
      <c r="O1370" t="b">
        <f t="shared" si="269"/>
        <v>0</v>
      </c>
      <c r="P1370" s="18" t="b">
        <f>SUMPRODUCT(COUNTIF(_xlfn.XLOOKUP(D1370,BugList!C:C,BugList!P:P), "*SC*"))&gt;0</f>
        <v>0</v>
      </c>
    </row>
    <row r="1371" spans="1:16">
      <c r="A1371" s="86" t="s">
        <v>2867</v>
      </c>
      <c r="B1371" s="83">
        <v>287</v>
      </c>
      <c r="C1371" s="34" t="s">
        <v>194</v>
      </c>
      <c r="D1371" s="34" t="s">
        <v>108</v>
      </c>
      <c r="E1371" s="83">
        <v>2</v>
      </c>
      <c r="F1371" s="43">
        <f t="shared" si="263"/>
        <v>1.3888888888888888</v>
      </c>
      <c r="G1371" s="44">
        <f t="shared" si="264"/>
        <v>1</v>
      </c>
      <c r="H1371" s="44">
        <f t="shared" si="265"/>
        <v>0.38888888888888884</v>
      </c>
      <c r="I1371" cm="1">
        <f t="array" ref="I1371">INT(F1371)+IF(100-SUM(INT(F$1366:F$1385))&gt;=RANK(H1371,H$1366:H$1385)+COUNTIF(H$1366:H1371,H1371)-1,1,0)</f>
        <v>1</v>
      </c>
      <c r="J1371" t="b">
        <f t="shared" si="266"/>
        <v>0</v>
      </c>
      <c r="K1371" t="str">
        <f t="shared" si="267"/>
        <v/>
      </c>
      <c r="L1371">
        <f>_xlfn.XLOOKUP(D1371,BugList!C:C,BugList!N:N)</f>
        <v>3</v>
      </c>
      <c r="M1371">
        <f t="shared" si="268"/>
        <v>3</v>
      </c>
      <c r="N1371" t="b">
        <f>_xlfn.XLOOKUP(D1371,BugList!C:C,BugList!L:L)</f>
        <v>1</v>
      </c>
      <c r="O1371" t="b">
        <f t="shared" si="269"/>
        <v>0</v>
      </c>
      <c r="P1371" s="18" t="b">
        <f>SUMPRODUCT(COUNTIF(_xlfn.XLOOKUP(D1371,BugList!C:C,BugList!P:P), "*SC*"))&gt;0</f>
        <v>0</v>
      </c>
    </row>
    <row r="1372" spans="1:16">
      <c r="A1372" s="86" t="s">
        <v>2867</v>
      </c>
      <c r="B1372" s="83">
        <v>287</v>
      </c>
      <c r="C1372" s="34" t="s">
        <v>199</v>
      </c>
      <c r="D1372" s="34" t="s">
        <v>828</v>
      </c>
      <c r="E1372" s="83">
        <v>1</v>
      </c>
      <c r="F1372" s="43">
        <f t="shared" si="263"/>
        <v>0.69444444444444442</v>
      </c>
      <c r="G1372" s="44">
        <f t="shared" si="264"/>
        <v>0</v>
      </c>
      <c r="H1372" s="44">
        <f t="shared" si="265"/>
        <v>0.69444444444444442</v>
      </c>
      <c r="I1372" cm="1">
        <f t="array" ref="I1372">INT(F1372)+IF(100-SUM(INT(F$1366:F$1385))&gt;=RANK(H1372,H$1366:H$1385)+COUNTIF(H$1366:H1372,H1372)-1,1,0)</f>
        <v>1</v>
      </c>
      <c r="J1372" t="b">
        <f t="shared" si="266"/>
        <v>1</v>
      </c>
      <c r="K1372" t="str">
        <f t="shared" si="267"/>
        <v>Ephemeroptera</v>
      </c>
      <c r="L1372">
        <f>_xlfn.XLOOKUP(D1372,BugList!C:C,BugList!N:N)</f>
        <v>7</v>
      </c>
      <c r="M1372">
        <f t="shared" si="268"/>
        <v>7</v>
      </c>
      <c r="N1372" t="b">
        <f>_xlfn.XLOOKUP(D1372,BugList!C:C,BugList!L:L)</f>
        <v>1</v>
      </c>
      <c r="O1372" t="b">
        <f t="shared" si="269"/>
        <v>1</v>
      </c>
      <c r="P1372" s="18" t="b">
        <f>SUMPRODUCT(COUNTIF(_xlfn.XLOOKUP(D1372,BugList!C:C,BugList!P:P), "*SC*"))&gt;0</f>
        <v>0</v>
      </c>
    </row>
    <row r="1373" spans="1:16">
      <c r="A1373" s="86" t="s">
        <v>2867</v>
      </c>
      <c r="B1373" s="83">
        <v>287</v>
      </c>
      <c r="C1373" s="34" t="s">
        <v>199</v>
      </c>
      <c r="D1373" s="34" t="s">
        <v>111</v>
      </c>
      <c r="E1373" s="83">
        <v>3</v>
      </c>
      <c r="F1373" s="43">
        <f t="shared" si="263"/>
        <v>2.083333333333333</v>
      </c>
      <c r="G1373" s="44">
        <f t="shared" si="264"/>
        <v>2</v>
      </c>
      <c r="H1373" s="44">
        <f t="shared" si="265"/>
        <v>8.3333333333333037E-2</v>
      </c>
      <c r="I1373" cm="1">
        <f t="array" ref="I1373">INT(F1373)+IF(100-SUM(INT(F$1366:F$1385))&gt;=RANK(H1373,H$1366:H$1385)+COUNTIF(H$1366:H1373,H1373)-1,1,0)</f>
        <v>2</v>
      </c>
      <c r="J1373" t="b">
        <f t="shared" si="266"/>
        <v>1</v>
      </c>
      <c r="K1373" t="str">
        <f t="shared" si="267"/>
        <v>Ephemeroptera</v>
      </c>
      <c r="L1373">
        <f>_xlfn.XLOOKUP(D1373,BugList!C:C,BugList!N:N)</f>
        <v>4</v>
      </c>
      <c r="M1373">
        <f t="shared" si="268"/>
        <v>8</v>
      </c>
      <c r="N1373" t="b">
        <f>_xlfn.XLOOKUP(D1373,BugList!C:C,BugList!L:L)</f>
        <v>1</v>
      </c>
      <c r="O1373" t="b">
        <f t="shared" si="269"/>
        <v>1</v>
      </c>
      <c r="P1373" s="18" t="b">
        <f>SUMPRODUCT(COUNTIF(_xlfn.XLOOKUP(D1373,BugList!C:C,BugList!P:P), "*SC*"))&gt;0</f>
        <v>0</v>
      </c>
    </row>
    <row r="1374" spans="1:16">
      <c r="A1374" s="86" t="s">
        <v>2867</v>
      </c>
      <c r="B1374" s="83">
        <v>287</v>
      </c>
      <c r="C1374" s="34" t="s">
        <v>1225</v>
      </c>
      <c r="D1374" s="34" t="s">
        <v>1226</v>
      </c>
      <c r="E1374" s="83">
        <v>1</v>
      </c>
      <c r="F1374" s="43">
        <f t="shared" si="263"/>
        <v>0.69444444444444442</v>
      </c>
      <c r="G1374" s="44">
        <f t="shared" si="264"/>
        <v>0</v>
      </c>
      <c r="H1374" s="44">
        <f t="shared" si="265"/>
        <v>0.69444444444444442</v>
      </c>
      <c r="I1374" cm="1">
        <f t="array" ref="I1374">INT(F1374)+IF(100-SUM(INT(F$1366:F$1385))&gt;=RANK(H1374,H$1366:H$1385)+COUNTIF(H$1366:H1374,H1374)-1,1,0)</f>
        <v>1</v>
      </c>
      <c r="J1374" t="b">
        <f t="shared" si="266"/>
        <v>0</v>
      </c>
      <c r="K1374" t="str">
        <f t="shared" si="267"/>
        <v/>
      </c>
      <c r="L1374">
        <f>_xlfn.XLOOKUP(D1374,BugList!C:C,BugList!N:N)</f>
        <v>0</v>
      </c>
      <c r="M1374">
        <f t="shared" si="268"/>
        <v>0</v>
      </c>
      <c r="N1374" t="b">
        <f>_xlfn.XLOOKUP(D1374,BugList!C:C,BugList!L:L)</f>
        <v>1</v>
      </c>
      <c r="O1374" t="b">
        <f t="shared" si="269"/>
        <v>0</v>
      </c>
      <c r="P1374" s="18" t="b">
        <f>SUMPRODUCT(COUNTIF(_xlfn.XLOOKUP(D1374,BugList!C:C,BugList!P:P), "*SC*"))&gt;0</f>
        <v>0</v>
      </c>
    </row>
    <row r="1375" spans="1:16">
      <c r="A1375" s="86" t="s">
        <v>2867</v>
      </c>
      <c r="B1375" s="83">
        <v>287</v>
      </c>
      <c r="C1375" s="34" t="s">
        <v>195</v>
      </c>
      <c r="D1375" s="34" t="s">
        <v>97</v>
      </c>
      <c r="E1375" s="83">
        <v>3</v>
      </c>
      <c r="F1375" s="43">
        <f t="shared" si="263"/>
        <v>2.083333333333333</v>
      </c>
      <c r="G1375" s="44">
        <f t="shared" si="264"/>
        <v>2</v>
      </c>
      <c r="H1375" s="44">
        <f t="shared" si="265"/>
        <v>8.3333333333333037E-2</v>
      </c>
      <c r="I1375" cm="1">
        <f t="array" ref="I1375">INT(F1375)+IF(100-SUM(INT(F$1366:F$1385))&gt;=RANK(H1375,H$1366:H$1385)+COUNTIF(H$1366:H1375,H1375)-1,1,0)</f>
        <v>2</v>
      </c>
      <c r="J1375" t="b">
        <f t="shared" si="266"/>
        <v>0</v>
      </c>
      <c r="K1375" t="str">
        <f t="shared" si="267"/>
        <v/>
      </c>
      <c r="L1375">
        <f>_xlfn.XLOOKUP(D1375,BugList!C:C,BugList!N:N)</f>
        <v>9</v>
      </c>
      <c r="M1375">
        <f t="shared" si="268"/>
        <v>18</v>
      </c>
      <c r="N1375" t="b">
        <f>_xlfn.XLOOKUP(D1375,BugList!C:C,BugList!L:L)</f>
        <v>1</v>
      </c>
      <c r="O1375" t="b">
        <f t="shared" si="269"/>
        <v>0</v>
      </c>
      <c r="P1375" s="18" t="b">
        <f>SUMPRODUCT(COUNTIF(_xlfn.XLOOKUP(D1375,BugList!C:C,BugList!P:P), "*SC*"))&gt;0</f>
        <v>0</v>
      </c>
    </row>
    <row r="1376" spans="1:16">
      <c r="A1376" s="86" t="s">
        <v>2867</v>
      </c>
      <c r="B1376" s="83">
        <v>287</v>
      </c>
      <c r="C1376" s="34" t="s">
        <v>195</v>
      </c>
      <c r="D1376" s="34" t="s">
        <v>113</v>
      </c>
      <c r="E1376" s="83">
        <v>2</v>
      </c>
      <c r="F1376" s="43">
        <f t="shared" si="263"/>
        <v>1.3888888888888888</v>
      </c>
      <c r="G1376" s="44">
        <f t="shared" si="264"/>
        <v>1</v>
      </c>
      <c r="H1376" s="44">
        <f t="shared" si="265"/>
        <v>0.38888888888888884</v>
      </c>
      <c r="I1376" cm="1">
        <f t="array" ref="I1376">INT(F1376)+IF(100-SUM(INT(F$1366:F$1385))&gt;=RANK(H1376,H$1366:H$1385)+COUNTIF(H$1366:H1376,H1376)-1,1,0)</f>
        <v>1</v>
      </c>
      <c r="J1376" t="b">
        <f t="shared" si="266"/>
        <v>0</v>
      </c>
      <c r="K1376" t="str">
        <f t="shared" si="267"/>
        <v/>
      </c>
      <c r="L1376">
        <f>_xlfn.XLOOKUP(D1376,BugList!C:C,BugList!N:N)</f>
        <v>1</v>
      </c>
      <c r="M1376">
        <f t="shared" si="268"/>
        <v>1</v>
      </c>
      <c r="N1376" t="b">
        <f>_xlfn.XLOOKUP(D1376,BugList!C:C,BugList!L:L)</f>
        <v>1</v>
      </c>
      <c r="O1376" t="b">
        <f t="shared" si="269"/>
        <v>0</v>
      </c>
      <c r="P1376" s="18" t="b">
        <f>SUMPRODUCT(COUNTIF(_xlfn.XLOOKUP(D1376,BugList!C:C,BugList!P:P), "*SC*"))&gt;0</f>
        <v>0</v>
      </c>
    </row>
    <row r="1377" spans="1:16">
      <c r="A1377" s="86" t="s">
        <v>2867</v>
      </c>
      <c r="B1377" s="83">
        <v>287</v>
      </c>
      <c r="C1377" s="34" t="s">
        <v>197</v>
      </c>
      <c r="D1377" s="34" t="s">
        <v>104</v>
      </c>
      <c r="E1377" s="83">
        <v>1</v>
      </c>
      <c r="F1377" s="43">
        <f t="shared" si="263"/>
        <v>0.69444444444444442</v>
      </c>
      <c r="G1377" s="44">
        <f t="shared" si="264"/>
        <v>0</v>
      </c>
      <c r="H1377" s="44">
        <f t="shared" si="265"/>
        <v>0.69444444444444442</v>
      </c>
      <c r="I1377" cm="1">
        <f t="array" ref="I1377">INT(F1377)+IF(100-SUM(INT(F$1366:F$1385))&gt;=RANK(H1377,H$1366:H$1385)+COUNTIF(H$1366:H1377,H1377)-1,1,0)</f>
        <v>1</v>
      </c>
      <c r="J1377" t="b">
        <f t="shared" si="266"/>
        <v>1</v>
      </c>
      <c r="K1377" t="str">
        <f t="shared" si="267"/>
        <v>Plecoptera</v>
      </c>
      <c r="L1377">
        <f>_xlfn.XLOOKUP(D1377,BugList!C:C,BugList!N:N)</f>
        <v>2</v>
      </c>
      <c r="M1377">
        <f t="shared" si="268"/>
        <v>2</v>
      </c>
      <c r="N1377" t="b">
        <f>_xlfn.XLOOKUP(D1377,BugList!C:C,BugList!L:L)</f>
        <v>1</v>
      </c>
      <c r="O1377" t="b">
        <f t="shared" si="269"/>
        <v>1</v>
      </c>
      <c r="P1377" s="18" t="b">
        <f>SUMPRODUCT(COUNTIF(_xlfn.XLOOKUP(D1377,BugList!C:C,BugList!P:P), "*SC*"))&gt;0</f>
        <v>0</v>
      </c>
    </row>
    <row r="1378" spans="1:16">
      <c r="A1378" s="86" t="s">
        <v>2867</v>
      </c>
      <c r="B1378" s="83">
        <v>287</v>
      </c>
      <c r="C1378" s="34" t="s">
        <v>197</v>
      </c>
      <c r="D1378" s="34" t="s">
        <v>153</v>
      </c>
      <c r="E1378" s="83">
        <v>3</v>
      </c>
      <c r="F1378" s="43">
        <f t="shared" si="263"/>
        <v>2.083333333333333</v>
      </c>
      <c r="G1378" s="44">
        <f t="shared" si="264"/>
        <v>2</v>
      </c>
      <c r="H1378" s="44">
        <f t="shared" si="265"/>
        <v>8.3333333333333037E-2</v>
      </c>
      <c r="I1378" cm="1">
        <f t="array" ref="I1378">INT(F1378)+IF(100-SUM(INT(F$1366:F$1385))&gt;=RANK(H1378,H$1366:H$1385)+COUNTIF(H$1366:H1378,H1378)-1,1,0)</f>
        <v>2</v>
      </c>
      <c r="J1378" t="b">
        <f t="shared" si="266"/>
        <v>1</v>
      </c>
      <c r="K1378" t="str">
        <f t="shared" si="267"/>
        <v>Plecoptera</v>
      </c>
      <c r="L1378">
        <f>_xlfn.XLOOKUP(D1378,BugList!C:C,BugList!N:N)</f>
        <v>2</v>
      </c>
      <c r="M1378">
        <f t="shared" si="268"/>
        <v>4</v>
      </c>
      <c r="N1378" t="b">
        <f>_xlfn.XLOOKUP(D1378,BugList!C:C,BugList!L:L)</f>
        <v>1</v>
      </c>
      <c r="O1378" t="b">
        <f t="shared" si="269"/>
        <v>1</v>
      </c>
      <c r="P1378" s="18" t="b">
        <f>SUMPRODUCT(COUNTIF(_xlfn.XLOOKUP(D1378,BugList!C:C,BugList!P:P), "*SC*"))&gt;0</f>
        <v>0</v>
      </c>
    </row>
    <row r="1379" spans="1:16">
      <c r="A1379" s="86" t="s">
        <v>2867</v>
      </c>
      <c r="B1379" s="83">
        <v>287</v>
      </c>
      <c r="C1379" s="34" t="s">
        <v>197</v>
      </c>
      <c r="D1379" s="34" t="s">
        <v>106</v>
      </c>
      <c r="E1379" s="83">
        <v>3</v>
      </c>
      <c r="F1379" s="43">
        <f t="shared" si="263"/>
        <v>2.083333333333333</v>
      </c>
      <c r="G1379" s="44">
        <f t="shared" si="264"/>
        <v>2</v>
      </c>
      <c r="H1379" s="44">
        <f t="shared" si="265"/>
        <v>8.3333333333333037E-2</v>
      </c>
      <c r="I1379" cm="1">
        <f t="array" ref="I1379">INT(F1379)+IF(100-SUM(INT(F$1366:F$1385))&gt;=RANK(H1379,H$1366:H$1385)+COUNTIF(H$1366:H1379,H1379)-1,1,0)</f>
        <v>2</v>
      </c>
      <c r="J1379" t="b">
        <f t="shared" si="266"/>
        <v>1</v>
      </c>
      <c r="K1379" t="str">
        <f t="shared" si="267"/>
        <v>Plecoptera</v>
      </c>
      <c r="L1379">
        <f>_xlfn.XLOOKUP(D1379,BugList!C:C,BugList!N:N)</f>
        <v>2</v>
      </c>
      <c r="M1379">
        <f t="shared" si="268"/>
        <v>4</v>
      </c>
      <c r="N1379" t="b">
        <f>_xlfn.XLOOKUP(D1379,BugList!C:C,BugList!L:L)</f>
        <v>1</v>
      </c>
      <c r="O1379" t="b">
        <f t="shared" si="269"/>
        <v>1</v>
      </c>
      <c r="P1379" s="18" t="b">
        <f>SUMPRODUCT(COUNTIF(_xlfn.XLOOKUP(D1379,BugList!C:C,BugList!P:P), "*SC*"))&gt;0</f>
        <v>0</v>
      </c>
    </row>
    <row r="1380" spans="1:16">
      <c r="A1380" s="86" t="s">
        <v>2867</v>
      </c>
      <c r="B1380" s="83">
        <v>287</v>
      </c>
      <c r="C1380" s="34" t="s">
        <v>198</v>
      </c>
      <c r="D1380" s="34" t="s">
        <v>89</v>
      </c>
      <c r="E1380" s="83">
        <v>63</v>
      </c>
      <c r="F1380" s="43">
        <f t="shared" si="263"/>
        <v>43.75</v>
      </c>
      <c r="G1380" s="44">
        <f t="shared" si="264"/>
        <v>43</v>
      </c>
      <c r="H1380" s="44">
        <f t="shared" si="265"/>
        <v>0.75</v>
      </c>
      <c r="I1380" cm="1">
        <f t="array" ref="I1380">INT(F1380)+IF(100-SUM(INT(F$1366:F$1385))&gt;=RANK(H1380,H$1366:H$1385)+COUNTIF(H$1366:H1380,H1380)-1,1,0)</f>
        <v>44</v>
      </c>
      <c r="J1380" t="b">
        <f t="shared" si="266"/>
        <v>1</v>
      </c>
      <c r="K1380" t="str">
        <f t="shared" si="267"/>
        <v>Trichoptera</v>
      </c>
      <c r="L1380">
        <f>_xlfn.XLOOKUP(D1380,BugList!C:C,BugList!N:N)</f>
        <v>4</v>
      </c>
      <c r="M1380">
        <f t="shared" si="268"/>
        <v>176</v>
      </c>
      <c r="N1380" t="b">
        <f>_xlfn.XLOOKUP(D1380,BugList!C:C,BugList!L:L)</f>
        <v>1</v>
      </c>
      <c r="O1380" t="b">
        <f t="shared" si="269"/>
        <v>0</v>
      </c>
      <c r="P1380" s="18" t="b">
        <f>SUMPRODUCT(COUNTIF(_xlfn.XLOOKUP(D1380,BugList!C:C,BugList!P:P), "*SC*"))&gt;0</f>
        <v>0</v>
      </c>
    </row>
    <row r="1381" spans="1:16">
      <c r="A1381" s="86" t="s">
        <v>2867</v>
      </c>
      <c r="B1381" s="83">
        <v>287</v>
      </c>
      <c r="C1381" s="34" t="s">
        <v>198</v>
      </c>
      <c r="D1381" s="34" t="s">
        <v>107</v>
      </c>
      <c r="E1381" s="83">
        <v>3</v>
      </c>
      <c r="F1381" s="43">
        <f t="shared" si="263"/>
        <v>2.083333333333333</v>
      </c>
      <c r="G1381" s="44">
        <f t="shared" si="264"/>
        <v>2</v>
      </c>
      <c r="H1381" s="44">
        <f t="shared" si="265"/>
        <v>8.3333333333333037E-2</v>
      </c>
      <c r="I1381" cm="1">
        <f t="array" ref="I1381">INT(F1381)+IF(100-SUM(INT(F$1366:F$1385))&gt;=RANK(H1381,H$1366:H$1385)+COUNTIF(H$1366:H1381,H1381)-1,1,0)</f>
        <v>2</v>
      </c>
      <c r="J1381" t="b">
        <f t="shared" si="266"/>
        <v>1</v>
      </c>
      <c r="K1381" t="str">
        <f t="shared" si="267"/>
        <v>Trichoptera</v>
      </c>
      <c r="L1381">
        <f>_xlfn.XLOOKUP(D1381,BugList!C:C,BugList!N:N)</f>
        <v>3</v>
      </c>
      <c r="M1381">
        <f t="shared" si="268"/>
        <v>6</v>
      </c>
      <c r="N1381" t="b">
        <f>_xlfn.XLOOKUP(D1381,BugList!C:C,BugList!L:L)</f>
        <v>1</v>
      </c>
      <c r="O1381" t="b">
        <f t="shared" si="269"/>
        <v>1</v>
      </c>
      <c r="P1381" s="18" t="b">
        <f>SUMPRODUCT(COUNTIF(_xlfn.XLOOKUP(D1381,BugList!C:C,BugList!P:P), "*SC*"))&gt;0</f>
        <v>0</v>
      </c>
    </row>
    <row r="1382" spans="1:16">
      <c r="A1382" s="86" t="s">
        <v>2867</v>
      </c>
      <c r="B1382" s="83">
        <v>287</v>
      </c>
      <c r="C1382" s="34" t="s">
        <v>198</v>
      </c>
      <c r="D1382" s="34" t="s">
        <v>163</v>
      </c>
      <c r="E1382" s="83">
        <v>2</v>
      </c>
      <c r="F1382" s="43">
        <f t="shared" si="263"/>
        <v>1.3888888888888888</v>
      </c>
      <c r="G1382" s="44">
        <f t="shared" si="264"/>
        <v>1</v>
      </c>
      <c r="H1382" s="44">
        <f t="shared" si="265"/>
        <v>0.38888888888888884</v>
      </c>
      <c r="I1382" cm="1">
        <f t="array" ref="I1382">INT(F1382)+IF(100-SUM(INT(F$1366:F$1385))&gt;=RANK(H1382,H$1366:H$1385)+COUNTIF(H$1366:H1382,H1382)-1,1,0)</f>
        <v>1</v>
      </c>
      <c r="J1382" t="b">
        <f t="shared" si="266"/>
        <v>1</v>
      </c>
      <c r="K1382" t="str">
        <f t="shared" si="267"/>
        <v>Trichoptera</v>
      </c>
      <c r="L1382">
        <f>_xlfn.XLOOKUP(D1382,BugList!C:C,BugList!N:N)</f>
        <v>6</v>
      </c>
      <c r="M1382">
        <f t="shared" si="268"/>
        <v>6</v>
      </c>
      <c r="N1382" t="b">
        <f>_xlfn.XLOOKUP(D1382,BugList!C:C,BugList!L:L)</f>
        <v>1</v>
      </c>
      <c r="O1382" t="b">
        <f t="shared" si="269"/>
        <v>1</v>
      </c>
      <c r="P1382" s="18" t="b">
        <f>SUMPRODUCT(COUNTIF(_xlfn.XLOOKUP(D1382,BugList!C:C,BugList!P:P), "*SC*"))&gt;0</f>
        <v>0</v>
      </c>
    </row>
    <row r="1383" spans="1:16">
      <c r="A1383" s="86" t="s">
        <v>2867</v>
      </c>
      <c r="B1383" s="83">
        <v>287</v>
      </c>
      <c r="C1383" s="34" t="s">
        <v>204</v>
      </c>
      <c r="D1383" s="34" t="s">
        <v>84</v>
      </c>
      <c r="E1383" s="83">
        <v>1</v>
      </c>
      <c r="F1383" s="43">
        <f t="shared" si="263"/>
        <v>0.69444444444444442</v>
      </c>
      <c r="G1383" s="44">
        <f t="shared" si="264"/>
        <v>0</v>
      </c>
      <c r="H1383" s="44">
        <f t="shared" si="265"/>
        <v>0.69444444444444442</v>
      </c>
      <c r="I1383" cm="1">
        <f t="array" ref="I1383">INT(F1383)+IF(100-SUM(INT(F$1366:F$1385))&gt;=RANK(H1383,H$1366:H$1385)+COUNTIF(H$1366:H1383,H1383)-1,1,0)</f>
        <v>1</v>
      </c>
      <c r="J1383" t="b">
        <f t="shared" si="266"/>
        <v>0</v>
      </c>
      <c r="K1383" t="str">
        <f t="shared" si="267"/>
        <v/>
      </c>
      <c r="L1383">
        <f>_xlfn.XLOOKUP(D1383,BugList!C:C,BugList!N:N)</f>
        <v>8</v>
      </c>
      <c r="M1383">
        <f t="shared" si="268"/>
        <v>8</v>
      </c>
      <c r="N1383" t="b">
        <f>_xlfn.XLOOKUP(D1383,BugList!C:C,BugList!L:L)</f>
        <v>0</v>
      </c>
      <c r="O1383" t="b">
        <f t="shared" si="269"/>
        <v>0</v>
      </c>
      <c r="P1383" s="18" t="b">
        <f>SUMPRODUCT(COUNTIF(_xlfn.XLOOKUP(D1383,BugList!C:C,BugList!P:P), "*SC*"))&gt;0</f>
        <v>0</v>
      </c>
    </row>
    <row r="1384" spans="1:16">
      <c r="A1384" s="86" t="s">
        <v>2867</v>
      </c>
      <c r="B1384" s="83">
        <v>287</v>
      </c>
      <c r="C1384" s="34" t="s">
        <v>201</v>
      </c>
      <c r="D1384" s="34" t="s">
        <v>85</v>
      </c>
      <c r="E1384" s="83">
        <v>2</v>
      </c>
      <c r="F1384" s="43">
        <f t="shared" si="263"/>
        <v>1.3888888888888888</v>
      </c>
      <c r="G1384" s="44">
        <f t="shared" si="264"/>
        <v>1</v>
      </c>
      <c r="H1384" s="44">
        <f t="shared" si="265"/>
        <v>0.38888888888888884</v>
      </c>
      <c r="I1384" cm="1">
        <f t="array" ref="I1384">INT(F1384)+IF(100-SUM(INT(F$1366:F$1385))&gt;=RANK(H1384,H$1366:H$1385)+COUNTIF(H$1366:H1384,H1384)-1,1,0)</f>
        <v>1</v>
      </c>
      <c r="J1384" t="b">
        <f t="shared" si="266"/>
        <v>0</v>
      </c>
      <c r="K1384" t="str">
        <f t="shared" si="267"/>
        <v/>
      </c>
      <c r="L1384">
        <f>_xlfn.XLOOKUP(D1384,BugList!C:C,BugList!N:N)</f>
        <v>4</v>
      </c>
      <c r="M1384">
        <f t="shared" si="268"/>
        <v>4</v>
      </c>
      <c r="N1384" t="b">
        <f>_xlfn.XLOOKUP(D1384,BugList!C:C,BugList!L:L)</f>
        <v>0</v>
      </c>
      <c r="O1384" t="b">
        <f t="shared" si="269"/>
        <v>0</v>
      </c>
      <c r="P1384" s="18" t="b">
        <f>SUMPRODUCT(COUNTIF(_xlfn.XLOOKUP(D1384,BugList!C:C,BugList!P:P), "*SC*"))&gt;0</f>
        <v>0</v>
      </c>
    </row>
    <row r="1385" spans="1:16">
      <c r="A1385" s="86" t="s">
        <v>2867</v>
      </c>
      <c r="B1385" s="83">
        <v>287</v>
      </c>
      <c r="C1385" s="34" t="s">
        <v>94</v>
      </c>
      <c r="D1385" s="34" t="s">
        <v>94</v>
      </c>
      <c r="E1385" s="83">
        <v>1</v>
      </c>
      <c r="F1385" s="43">
        <f t="shared" si="263"/>
        <v>0.69444444444444442</v>
      </c>
      <c r="G1385" s="44">
        <f t="shared" si="264"/>
        <v>0</v>
      </c>
      <c r="H1385" s="44">
        <f t="shared" si="265"/>
        <v>0.69444444444444442</v>
      </c>
      <c r="I1385" cm="1">
        <f t="array" ref="I1385">INT(F1385)+IF(100-SUM(INT(F$1366:F$1385))&gt;=RANK(H1385,H$1366:H$1385)+COUNTIF(H$1366:H1385,H1385)-1,1,0)</f>
        <v>1</v>
      </c>
      <c r="J1385" t="b">
        <f t="shared" si="266"/>
        <v>0</v>
      </c>
      <c r="K1385" t="str">
        <f t="shared" si="267"/>
        <v/>
      </c>
      <c r="L1385">
        <f>_xlfn.XLOOKUP(D1385,BugList!C:C,BugList!N:N)</f>
        <v>8</v>
      </c>
      <c r="M1385">
        <f t="shared" si="268"/>
        <v>8</v>
      </c>
      <c r="N1385" t="b">
        <f>_xlfn.XLOOKUP(D1385,BugList!C:C,BugList!L:L)</f>
        <v>0</v>
      </c>
      <c r="O1385" t="b">
        <f t="shared" si="269"/>
        <v>0</v>
      </c>
      <c r="P1385" s="18" t="b">
        <f>SUMPRODUCT(COUNTIF(_xlfn.XLOOKUP(D1385,BugList!C:C,BugList!P:P), "*SC*"))&gt;0</f>
        <v>0</v>
      </c>
    </row>
    <row r="1386" spans="1:16">
      <c r="A1386" s="86" t="s">
        <v>2868</v>
      </c>
      <c r="B1386" s="83">
        <v>293</v>
      </c>
      <c r="C1386" s="34" t="s">
        <v>200</v>
      </c>
      <c r="D1386" s="34" t="s">
        <v>98</v>
      </c>
      <c r="E1386" s="83">
        <v>7</v>
      </c>
      <c r="F1386" s="43">
        <f t="shared" si="263"/>
        <v>4.6357615894039732</v>
      </c>
      <c r="G1386" s="44">
        <f t="shared" si="264"/>
        <v>4</v>
      </c>
      <c r="H1386" s="44">
        <f t="shared" si="265"/>
        <v>0.6357615894039732</v>
      </c>
      <c r="I1386" cm="1">
        <f t="array" ref="I1386">INT(F1386)+IF(100-SUM(INT(F$1386:F$1397))&gt;=RANK(H1386,H$1386:H$1397)+COUNTIF(H$1386:H1386,H1386)-1,1,0)</f>
        <v>4</v>
      </c>
      <c r="J1386" t="b">
        <f t="shared" si="266"/>
        <v>0</v>
      </c>
      <c r="K1386" t="str">
        <f t="shared" si="267"/>
        <v/>
      </c>
      <c r="L1386">
        <f>_xlfn.XLOOKUP(D1386,BugList!C:C,BugList!N:N)</f>
        <v>4</v>
      </c>
      <c r="M1386">
        <f t="shared" si="268"/>
        <v>16</v>
      </c>
      <c r="N1386" t="b">
        <f>_xlfn.XLOOKUP(D1386,BugList!C:C,BugList!L:L)</f>
        <v>1</v>
      </c>
      <c r="O1386" t="b">
        <f t="shared" si="269"/>
        <v>0</v>
      </c>
      <c r="P1386" s="18" t="b">
        <f>SUMPRODUCT(COUNTIF(_xlfn.XLOOKUP(D1386,BugList!C:C,BugList!P:P), "*SC*"))&gt;0</f>
        <v>1</v>
      </c>
    </row>
    <row r="1387" spans="1:16">
      <c r="A1387" s="86" t="s">
        <v>2868</v>
      </c>
      <c r="B1387" s="83">
        <v>293</v>
      </c>
      <c r="C1387" s="34" t="s">
        <v>200</v>
      </c>
      <c r="D1387" s="34" t="s">
        <v>100</v>
      </c>
      <c r="E1387" s="83">
        <v>52</v>
      </c>
      <c r="F1387" s="43">
        <f t="shared" si="263"/>
        <v>34.437086092715234</v>
      </c>
      <c r="G1387" s="44">
        <f t="shared" si="264"/>
        <v>34</v>
      </c>
      <c r="H1387" s="44">
        <f t="shared" si="265"/>
        <v>0.43708609271523358</v>
      </c>
      <c r="I1387" cm="1">
        <f t="array" ref="I1387">INT(F1387)+IF(100-SUM(INT(F$1386:F$1397))&gt;=RANK(H1387,H$1386:H$1397)+COUNTIF(H$1386:H1387,H1387)-1,1,0)</f>
        <v>34</v>
      </c>
      <c r="J1387" t="b">
        <f t="shared" si="266"/>
        <v>0</v>
      </c>
      <c r="K1387" t="str">
        <f t="shared" si="267"/>
        <v/>
      </c>
      <c r="L1387">
        <f>_xlfn.XLOOKUP(D1387,BugList!C:C,BugList!N:N)</f>
        <v>4</v>
      </c>
      <c r="M1387">
        <f t="shared" si="268"/>
        <v>136</v>
      </c>
      <c r="N1387" t="b">
        <f>_xlfn.XLOOKUP(D1387,BugList!C:C,BugList!L:L)</f>
        <v>1</v>
      </c>
      <c r="O1387" t="b">
        <f t="shared" si="269"/>
        <v>0</v>
      </c>
      <c r="P1387" s="18" t="b">
        <f>SUMPRODUCT(COUNTIF(_xlfn.XLOOKUP(D1387,BugList!C:C,BugList!P:P), "*SC*"))&gt;0</f>
        <v>1</v>
      </c>
    </row>
    <row r="1388" spans="1:16">
      <c r="A1388" s="86" t="s">
        <v>2868</v>
      </c>
      <c r="B1388" s="83">
        <v>293</v>
      </c>
      <c r="C1388" s="34" t="s">
        <v>194</v>
      </c>
      <c r="D1388" s="34" t="s">
        <v>101</v>
      </c>
      <c r="E1388" s="83">
        <v>1</v>
      </c>
      <c r="F1388" s="43">
        <f t="shared" si="263"/>
        <v>0.66225165562913912</v>
      </c>
      <c r="G1388" s="44">
        <f t="shared" si="264"/>
        <v>0</v>
      </c>
      <c r="H1388" s="44">
        <f t="shared" si="265"/>
        <v>0.66225165562913912</v>
      </c>
      <c r="I1388" cm="1">
        <f t="array" ref="I1388">INT(F1388)+IF(100-SUM(INT(F$1386:F$1397))&gt;=RANK(H1388,H$1386:H$1397)+COUNTIF(H$1386:H1388,H1388)-1,1,0)</f>
        <v>1</v>
      </c>
      <c r="J1388" t="b">
        <f t="shared" si="266"/>
        <v>0</v>
      </c>
      <c r="K1388" t="str">
        <f t="shared" si="267"/>
        <v/>
      </c>
      <c r="L1388">
        <f>_xlfn.XLOOKUP(D1388,BugList!C:C,BugList!N:N)</f>
        <v>6</v>
      </c>
      <c r="M1388">
        <f t="shared" si="268"/>
        <v>6</v>
      </c>
      <c r="N1388" t="b">
        <f>_xlfn.XLOOKUP(D1388,BugList!C:C,BugList!L:L)</f>
        <v>1</v>
      </c>
      <c r="O1388" t="b">
        <f t="shared" si="269"/>
        <v>0</v>
      </c>
      <c r="P1388" s="18" t="b">
        <f>SUMPRODUCT(COUNTIF(_xlfn.XLOOKUP(D1388,BugList!C:C,BugList!P:P), "*SC*"))&gt;0</f>
        <v>0</v>
      </c>
    </row>
    <row r="1389" spans="1:16">
      <c r="A1389" s="86" t="s">
        <v>2868</v>
      </c>
      <c r="B1389" s="83">
        <v>293</v>
      </c>
      <c r="C1389" s="34" t="s">
        <v>194</v>
      </c>
      <c r="D1389" s="34" t="s">
        <v>108</v>
      </c>
      <c r="E1389" s="83">
        <v>2</v>
      </c>
      <c r="F1389" s="43">
        <f t="shared" si="263"/>
        <v>1.3245033112582782</v>
      </c>
      <c r="G1389" s="44">
        <f t="shared" si="264"/>
        <v>1</v>
      </c>
      <c r="H1389" s="44">
        <f t="shared" si="265"/>
        <v>0.32450331125827825</v>
      </c>
      <c r="I1389" cm="1">
        <f t="array" ref="I1389">INT(F1389)+IF(100-SUM(INT(F$1386:F$1397))&gt;=RANK(H1389,H$1386:H$1397)+COUNTIF(H$1386:H1389,H1389)-1,1,0)</f>
        <v>1</v>
      </c>
      <c r="J1389" t="b">
        <f t="shared" si="266"/>
        <v>0</v>
      </c>
      <c r="K1389" t="str">
        <f t="shared" si="267"/>
        <v/>
      </c>
      <c r="L1389">
        <f>_xlfn.XLOOKUP(D1389,BugList!C:C,BugList!N:N)</f>
        <v>3</v>
      </c>
      <c r="M1389">
        <f t="shared" si="268"/>
        <v>3</v>
      </c>
      <c r="N1389" t="b">
        <f>_xlfn.XLOOKUP(D1389,BugList!C:C,BugList!L:L)</f>
        <v>1</v>
      </c>
      <c r="O1389" t="b">
        <f t="shared" si="269"/>
        <v>0</v>
      </c>
      <c r="P1389" s="18" t="b">
        <f>SUMPRODUCT(COUNTIF(_xlfn.XLOOKUP(D1389,BugList!C:C,BugList!P:P), "*SC*"))&gt;0</f>
        <v>0</v>
      </c>
    </row>
    <row r="1390" spans="1:16">
      <c r="A1390" s="86" t="s">
        <v>2868</v>
      </c>
      <c r="B1390" s="83">
        <v>293</v>
      </c>
      <c r="C1390" s="34" t="s">
        <v>199</v>
      </c>
      <c r="D1390" s="34" t="s">
        <v>96</v>
      </c>
      <c r="E1390" s="83">
        <v>4</v>
      </c>
      <c r="F1390" s="43">
        <f t="shared" si="263"/>
        <v>2.6490066225165565</v>
      </c>
      <c r="G1390" s="44">
        <f t="shared" si="264"/>
        <v>2</v>
      </c>
      <c r="H1390" s="44">
        <f t="shared" si="265"/>
        <v>0.6490066225165565</v>
      </c>
      <c r="I1390" cm="1">
        <f t="array" ref="I1390">INT(F1390)+IF(100-SUM(INT(F$1386:F$1397))&gt;=RANK(H1390,H$1386:H$1397)+COUNTIF(H$1386:H1390,H1390)-1,1,0)</f>
        <v>3</v>
      </c>
      <c r="J1390" t="b">
        <f t="shared" si="266"/>
        <v>1</v>
      </c>
      <c r="K1390" t="str">
        <f t="shared" si="267"/>
        <v>Ephemeroptera</v>
      </c>
      <c r="L1390">
        <f>_xlfn.XLOOKUP(D1390,BugList!C:C,BugList!N:N)</f>
        <v>4</v>
      </c>
      <c r="M1390">
        <f t="shared" si="268"/>
        <v>12</v>
      </c>
      <c r="N1390" t="b">
        <f>_xlfn.XLOOKUP(D1390,BugList!C:C,BugList!L:L)</f>
        <v>1</v>
      </c>
      <c r="O1390" t="b">
        <f t="shared" si="269"/>
        <v>1</v>
      </c>
      <c r="P1390" s="18" t="b">
        <f>SUMPRODUCT(COUNTIF(_xlfn.XLOOKUP(D1390,BugList!C:C,BugList!P:P), "*SC*"))&gt;0</f>
        <v>1</v>
      </c>
    </row>
    <row r="1391" spans="1:16">
      <c r="A1391" s="86" t="s">
        <v>2868</v>
      </c>
      <c r="B1391" s="83">
        <v>293</v>
      </c>
      <c r="C1391" s="34" t="s">
        <v>199</v>
      </c>
      <c r="D1391" s="34" t="s">
        <v>111</v>
      </c>
      <c r="E1391" s="83">
        <v>9</v>
      </c>
      <c r="F1391" s="43">
        <f t="shared" si="263"/>
        <v>5.9602649006622519</v>
      </c>
      <c r="G1391" s="44">
        <f t="shared" si="264"/>
        <v>5</v>
      </c>
      <c r="H1391" s="44">
        <f t="shared" si="265"/>
        <v>0.9602649006622519</v>
      </c>
      <c r="I1391" cm="1">
        <f t="array" ref="I1391">INT(F1391)+IF(100-SUM(INT(F$1386:F$1397))&gt;=RANK(H1391,H$1386:H$1397)+COUNTIF(H$1386:H1391,H1391)-1,1,0)</f>
        <v>6</v>
      </c>
      <c r="J1391" t="b">
        <f t="shared" si="266"/>
        <v>1</v>
      </c>
      <c r="K1391" t="str">
        <f t="shared" si="267"/>
        <v>Ephemeroptera</v>
      </c>
      <c r="L1391">
        <f>_xlfn.XLOOKUP(D1391,BugList!C:C,BugList!N:N)</f>
        <v>4</v>
      </c>
      <c r="M1391">
        <f t="shared" si="268"/>
        <v>24</v>
      </c>
      <c r="N1391" t="b">
        <f>_xlfn.XLOOKUP(D1391,BugList!C:C,BugList!L:L)</f>
        <v>1</v>
      </c>
      <c r="O1391" t="b">
        <f t="shared" si="269"/>
        <v>1</v>
      </c>
      <c r="P1391" s="18" t="b">
        <f>SUMPRODUCT(COUNTIF(_xlfn.XLOOKUP(D1391,BugList!C:C,BugList!P:P), "*SC*"))&gt;0</f>
        <v>0</v>
      </c>
    </row>
    <row r="1392" spans="1:16">
      <c r="A1392" s="86" t="s">
        <v>2868</v>
      </c>
      <c r="B1392" s="83">
        <v>293</v>
      </c>
      <c r="C1392" s="34" t="s">
        <v>197</v>
      </c>
      <c r="D1392" s="34" t="s">
        <v>105</v>
      </c>
      <c r="E1392" s="83">
        <v>1</v>
      </c>
      <c r="F1392" s="43">
        <f t="shared" si="263"/>
        <v>0.66225165562913912</v>
      </c>
      <c r="G1392" s="44">
        <f t="shared" si="264"/>
        <v>0</v>
      </c>
      <c r="H1392" s="44">
        <f t="shared" si="265"/>
        <v>0.66225165562913912</v>
      </c>
      <c r="I1392" cm="1">
        <f t="array" ref="I1392">INT(F1392)+IF(100-SUM(INT(F$1386:F$1397))&gt;=RANK(H1392,H$1386:H$1397)+COUNTIF(H$1386:H1392,H1392)-1,1,0)</f>
        <v>1</v>
      </c>
      <c r="J1392" t="b">
        <f t="shared" si="266"/>
        <v>1</v>
      </c>
      <c r="K1392" t="str">
        <f t="shared" si="267"/>
        <v>Plecoptera</v>
      </c>
      <c r="L1392">
        <f>_xlfn.XLOOKUP(D1392,BugList!C:C,BugList!N:N)</f>
        <v>1</v>
      </c>
      <c r="M1392">
        <f t="shared" si="268"/>
        <v>1</v>
      </c>
      <c r="N1392" t="b">
        <f>_xlfn.XLOOKUP(D1392,BugList!C:C,BugList!L:L)</f>
        <v>1</v>
      </c>
      <c r="O1392" t="b">
        <f t="shared" si="269"/>
        <v>1</v>
      </c>
      <c r="P1392" s="18" t="b">
        <f>SUMPRODUCT(COUNTIF(_xlfn.XLOOKUP(D1392,BugList!C:C,BugList!P:P), "*SC*"))&gt;0</f>
        <v>0</v>
      </c>
    </row>
    <row r="1393" spans="1:16">
      <c r="A1393" s="86" t="s">
        <v>2868</v>
      </c>
      <c r="B1393" s="83">
        <v>293</v>
      </c>
      <c r="C1393" s="34" t="s">
        <v>198</v>
      </c>
      <c r="D1393" s="34" t="s">
        <v>89</v>
      </c>
      <c r="E1393" s="83">
        <v>68</v>
      </c>
      <c r="F1393" s="43">
        <f t="shared" si="263"/>
        <v>45.033112582781456</v>
      </c>
      <c r="G1393" s="44">
        <f t="shared" si="264"/>
        <v>45</v>
      </c>
      <c r="H1393" s="44">
        <f t="shared" si="265"/>
        <v>3.3112582781456013E-2</v>
      </c>
      <c r="I1393" cm="1">
        <f t="array" ref="I1393">INT(F1393)+IF(100-SUM(INT(F$1386:F$1397))&gt;=RANK(H1393,H$1386:H$1397)+COUNTIF(H$1386:H1393,H1393)-1,1,0)</f>
        <v>45</v>
      </c>
      <c r="J1393" t="b">
        <f t="shared" si="266"/>
        <v>1</v>
      </c>
      <c r="K1393" t="str">
        <f t="shared" si="267"/>
        <v>Trichoptera</v>
      </c>
      <c r="L1393">
        <f>_xlfn.XLOOKUP(D1393,BugList!C:C,BugList!N:N)</f>
        <v>4</v>
      </c>
      <c r="M1393">
        <f t="shared" si="268"/>
        <v>180</v>
      </c>
      <c r="N1393" t="b">
        <f>_xlfn.XLOOKUP(D1393,BugList!C:C,BugList!L:L)</f>
        <v>1</v>
      </c>
      <c r="O1393" t="b">
        <f t="shared" si="269"/>
        <v>0</v>
      </c>
      <c r="P1393" s="18" t="b">
        <f>SUMPRODUCT(COUNTIF(_xlfn.XLOOKUP(D1393,BugList!C:C,BugList!P:P), "*SC*"))&gt;0</f>
        <v>0</v>
      </c>
    </row>
    <row r="1394" spans="1:16">
      <c r="A1394" s="86" t="s">
        <v>2868</v>
      </c>
      <c r="B1394" s="83">
        <v>293</v>
      </c>
      <c r="C1394" s="34" t="s">
        <v>198</v>
      </c>
      <c r="D1394" s="34" t="s">
        <v>107</v>
      </c>
      <c r="E1394" s="83">
        <v>3</v>
      </c>
      <c r="F1394" s="43">
        <f t="shared" si="263"/>
        <v>1.9867549668874174</v>
      </c>
      <c r="G1394" s="44">
        <f t="shared" si="264"/>
        <v>1</v>
      </c>
      <c r="H1394" s="44">
        <f t="shared" si="265"/>
        <v>0.98675496688741737</v>
      </c>
      <c r="I1394" cm="1">
        <f t="array" ref="I1394">INT(F1394)+IF(100-SUM(INT(F$1386:F$1397))&gt;=RANK(H1394,H$1386:H$1397)+COUNTIF(H$1386:H1394,H1394)-1,1,0)</f>
        <v>2</v>
      </c>
      <c r="J1394" t="b">
        <f t="shared" si="266"/>
        <v>1</v>
      </c>
      <c r="K1394" t="str">
        <f t="shared" si="267"/>
        <v>Trichoptera</v>
      </c>
      <c r="L1394">
        <f>_xlfn.XLOOKUP(D1394,BugList!C:C,BugList!N:N)</f>
        <v>3</v>
      </c>
      <c r="M1394">
        <f t="shared" si="268"/>
        <v>6</v>
      </c>
      <c r="N1394" t="b">
        <f>_xlfn.XLOOKUP(D1394,BugList!C:C,BugList!L:L)</f>
        <v>1</v>
      </c>
      <c r="O1394" t="b">
        <f t="shared" si="269"/>
        <v>1</v>
      </c>
      <c r="P1394" s="18" t="b">
        <f>SUMPRODUCT(COUNTIF(_xlfn.XLOOKUP(D1394,BugList!C:C,BugList!P:P), "*SC*"))&gt;0</f>
        <v>0</v>
      </c>
    </row>
    <row r="1395" spans="1:16">
      <c r="A1395" s="86" t="s">
        <v>2868</v>
      </c>
      <c r="B1395" s="83">
        <v>293</v>
      </c>
      <c r="C1395" s="34" t="s">
        <v>204</v>
      </c>
      <c r="D1395" s="34" t="s">
        <v>84</v>
      </c>
      <c r="E1395" s="83">
        <v>2</v>
      </c>
      <c r="F1395" s="43">
        <f t="shared" si="263"/>
        <v>1.3245033112582782</v>
      </c>
      <c r="G1395" s="44">
        <f t="shared" si="264"/>
        <v>1</v>
      </c>
      <c r="H1395" s="44">
        <f t="shared" si="265"/>
        <v>0.32450331125827825</v>
      </c>
      <c r="I1395" cm="1">
        <f t="array" ref="I1395">INT(F1395)+IF(100-SUM(INT(F$1386:F$1397))&gt;=RANK(H1395,H$1386:H$1397)+COUNTIF(H$1386:H1395,H1395)-1,1,0)</f>
        <v>1</v>
      </c>
      <c r="J1395" t="b">
        <f t="shared" si="266"/>
        <v>0</v>
      </c>
      <c r="K1395" t="str">
        <f t="shared" si="267"/>
        <v/>
      </c>
      <c r="L1395">
        <f>_xlfn.XLOOKUP(D1395,BugList!C:C,BugList!N:N)</f>
        <v>8</v>
      </c>
      <c r="M1395">
        <f t="shared" si="268"/>
        <v>8</v>
      </c>
      <c r="N1395" t="b">
        <f>_xlfn.XLOOKUP(D1395,BugList!C:C,BugList!L:L)</f>
        <v>0</v>
      </c>
      <c r="O1395" t="b">
        <f t="shared" si="269"/>
        <v>0</v>
      </c>
      <c r="P1395" s="18" t="b">
        <f>SUMPRODUCT(COUNTIF(_xlfn.XLOOKUP(D1395,BugList!C:C,BugList!P:P), "*SC*"))&gt;0</f>
        <v>0</v>
      </c>
    </row>
    <row r="1396" spans="1:16">
      <c r="A1396" s="86" t="s">
        <v>2868</v>
      </c>
      <c r="B1396" s="83">
        <v>293</v>
      </c>
      <c r="C1396" s="34" t="s">
        <v>205</v>
      </c>
      <c r="D1396" s="34" t="s">
        <v>206</v>
      </c>
      <c r="E1396" s="83">
        <v>1</v>
      </c>
      <c r="F1396" s="43">
        <f t="shared" si="263"/>
        <v>0.66225165562913912</v>
      </c>
      <c r="G1396" s="44">
        <f t="shared" si="264"/>
        <v>0</v>
      </c>
      <c r="H1396" s="44">
        <f t="shared" si="265"/>
        <v>0.66225165562913912</v>
      </c>
      <c r="I1396" cm="1">
        <f t="array" ref="I1396">INT(F1396)+IF(100-SUM(INT(F$1386:F$1397))&gt;=RANK(H1396,H$1386:H$1397)+COUNTIF(H$1386:H1396,H1396)-1,1,0)</f>
        <v>1</v>
      </c>
      <c r="J1396" t="b">
        <f t="shared" si="266"/>
        <v>0</v>
      </c>
      <c r="K1396" t="str">
        <f t="shared" si="267"/>
        <v/>
      </c>
      <c r="L1396" s="71">
        <v>8</v>
      </c>
      <c r="M1396">
        <f t="shared" si="268"/>
        <v>8</v>
      </c>
      <c r="N1396" s="71" t="b">
        <v>0</v>
      </c>
      <c r="O1396" t="b">
        <f t="shared" si="269"/>
        <v>0</v>
      </c>
      <c r="P1396" s="72" t="b">
        <v>0</v>
      </c>
    </row>
    <row r="1397" spans="1:16">
      <c r="A1397" s="86" t="s">
        <v>2868</v>
      </c>
      <c r="B1397" s="83">
        <v>293</v>
      </c>
      <c r="C1397" s="34" t="s">
        <v>94</v>
      </c>
      <c r="D1397" s="34" t="s">
        <v>94</v>
      </c>
      <c r="E1397" s="83">
        <v>1</v>
      </c>
      <c r="F1397" s="43">
        <f t="shared" si="263"/>
        <v>0.66225165562913912</v>
      </c>
      <c r="G1397" s="44">
        <f t="shared" si="264"/>
        <v>0</v>
      </c>
      <c r="H1397" s="44">
        <f t="shared" si="265"/>
        <v>0.66225165562913912</v>
      </c>
      <c r="I1397" cm="1">
        <f t="array" ref="I1397">INT(F1397)+IF(100-SUM(INT(F$1386:F$1397))&gt;=RANK(H1397,H$1386:H$1397)+COUNTIF(H$1386:H1397,H1397)-1,1,0)</f>
        <v>1</v>
      </c>
      <c r="J1397" t="b">
        <f t="shared" si="266"/>
        <v>0</v>
      </c>
      <c r="K1397" t="str">
        <f t="shared" si="267"/>
        <v/>
      </c>
      <c r="L1397">
        <f>_xlfn.XLOOKUP(D1397,BugList!C:C,BugList!N:N)</f>
        <v>8</v>
      </c>
      <c r="M1397">
        <f t="shared" si="268"/>
        <v>8</v>
      </c>
      <c r="N1397" t="b">
        <f>_xlfn.XLOOKUP(D1397,BugList!C:C,BugList!L:L)</f>
        <v>0</v>
      </c>
      <c r="O1397" t="b">
        <f t="shared" si="269"/>
        <v>0</v>
      </c>
      <c r="P1397" s="18" t="b">
        <f>SUMPRODUCT(COUNTIF(_xlfn.XLOOKUP(D1397,BugList!C:C,BugList!P:P), "*SC*"))&gt;0</f>
        <v>0</v>
      </c>
    </row>
    <row r="1398" spans="1:16">
      <c r="A1398" s="86" t="s">
        <v>2869</v>
      </c>
      <c r="B1398" s="83">
        <v>303</v>
      </c>
      <c r="C1398" s="34" t="s">
        <v>200</v>
      </c>
      <c r="D1398" s="34" t="s">
        <v>98</v>
      </c>
      <c r="E1398" s="83">
        <v>7</v>
      </c>
      <c r="F1398" s="43">
        <f t="shared" si="263"/>
        <v>5.1851851851851851</v>
      </c>
      <c r="G1398" s="44">
        <f t="shared" si="264"/>
        <v>5</v>
      </c>
      <c r="H1398" s="44">
        <f t="shared" si="265"/>
        <v>0.18518518518518512</v>
      </c>
      <c r="I1398" cm="1">
        <f t="array" ref="I1398">INT(F1398)+IF(100-SUM(INT(F$1398:F$1410))&gt;=RANK(H1398,H$1398:H$1410)+COUNTIF(H$1398:H1398,H1398)-1,1,0)</f>
        <v>5</v>
      </c>
      <c r="J1398" t="b">
        <f t="shared" si="266"/>
        <v>0</v>
      </c>
      <c r="K1398" t="str">
        <f t="shared" si="267"/>
        <v/>
      </c>
      <c r="L1398">
        <f>_xlfn.XLOOKUP(D1398,BugList!C:C,BugList!N:N)</f>
        <v>4</v>
      </c>
      <c r="M1398">
        <f t="shared" si="268"/>
        <v>20</v>
      </c>
      <c r="N1398" t="b">
        <f>_xlfn.XLOOKUP(D1398,BugList!C:C,BugList!L:L)</f>
        <v>1</v>
      </c>
      <c r="O1398" t="b">
        <f t="shared" si="269"/>
        <v>0</v>
      </c>
      <c r="P1398" s="18" t="b">
        <f>SUMPRODUCT(COUNTIF(_xlfn.XLOOKUP(D1398,BugList!C:C,BugList!P:P), "*SC*"))&gt;0</f>
        <v>1</v>
      </c>
    </row>
    <row r="1399" spans="1:16">
      <c r="A1399" s="86" t="s">
        <v>2869</v>
      </c>
      <c r="B1399" s="83">
        <v>303</v>
      </c>
      <c r="C1399" s="34" t="s">
        <v>200</v>
      </c>
      <c r="D1399" s="34" t="s">
        <v>99</v>
      </c>
      <c r="E1399" s="83">
        <v>1</v>
      </c>
      <c r="F1399" s="43">
        <f t="shared" si="263"/>
        <v>0.74074074074074081</v>
      </c>
      <c r="G1399" s="44">
        <f t="shared" si="264"/>
        <v>0</v>
      </c>
      <c r="H1399" s="44">
        <f t="shared" si="265"/>
        <v>0.74074074074074081</v>
      </c>
      <c r="I1399" cm="1">
        <f t="array" ref="I1399">INT(F1399)+IF(100-SUM(INT(F$1398:F$1410))&gt;=RANK(H1399,H$1398:H$1410)+COUNTIF(H$1398:H1399,H1399)-1,1,0)</f>
        <v>1</v>
      </c>
      <c r="J1399" t="b">
        <f t="shared" si="266"/>
        <v>0</v>
      </c>
      <c r="K1399" t="str">
        <f t="shared" si="267"/>
        <v/>
      </c>
      <c r="L1399">
        <f>_xlfn.XLOOKUP(D1399,BugList!C:C,BugList!N:N)</f>
        <v>5</v>
      </c>
      <c r="M1399">
        <f t="shared" si="268"/>
        <v>5</v>
      </c>
      <c r="N1399" t="b">
        <f>_xlfn.XLOOKUP(D1399,BugList!C:C,BugList!L:L)</f>
        <v>1</v>
      </c>
      <c r="O1399" t="b">
        <f t="shared" si="269"/>
        <v>0</v>
      </c>
      <c r="P1399" s="18" t="b">
        <f>SUMPRODUCT(COUNTIF(_xlfn.XLOOKUP(D1399,BugList!C:C,BugList!P:P), "*SC*"))&gt;0</f>
        <v>0</v>
      </c>
    </row>
    <row r="1400" spans="1:16">
      <c r="A1400" s="86" t="s">
        <v>2869</v>
      </c>
      <c r="B1400" s="83">
        <v>303</v>
      </c>
      <c r="C1400" s="34" t="s">
        <v>200</v>
      </c>
      <c r="D1400" s="34" t="s">
        <v>100</v>
      </c>
      <c r="E1400" s="83">
        <v>21</v>
      </c>
      <c r="F1400" s="43">
        <f t="shared" si="263"/>
        <v>15.555555555555555</v>
      </c>
      <c r="G1400" s="44">
        <f t="shared" si="264"/>
        <v>15</v>
      </c>
      <c r="H1400" s="44">
        <f t="shared" si="265"/>
        <v>0.55555555555555536</v>
      </c>
      <c r="I1400" cm="1">
        <f t="array" ref="I1400">INT(F1400)+IF(100-SUM(INT(F$1398:F$1410))&gt;=RANK(H1400,H$1398:H$1410)+COUNTIF(H$1398:H1400,H1400)-1,1,0)</f>
        <v>15</v>
      </c>
      <c r="J1400" t="b">
        <f t="shared" si="266"/>
        <v>0</v>
      </c>
      <c r="K1400" t="str">
        <f t="shared" si="267"/>
        <v/>
      </c>
      <c r="L1400">
        <f>_xlfn.XLOOKUP(D1400,BugList!C:C,BugList!N:N)</f>
        <v>4</v>
      </c>
      <c r="M1400">
        <f t="shared" si="268"/>
        <v>60</v>
      </c>
      <c r="N1400" t="b">
        <f>_xlfn.XLOOKUP(D1400,BugList!C:C,BugList!L:L)</f>
        <v>1</v>
      </c>
      <c r="O1400" t="b">
        <f t="shared" si="269"/>
        <v>0</v>
      </c>
      <c r="P1400" s="18" t="b">
        <f>SUMPRODUCT(COUNTIF(_xlfn.XLOOKUP(D1400,BugList!C:C,BugList!P:P), "*SC*"))&gt;0</f>
        <v>1</v>
      </c>
    </row>
    <row r="1401" spans="1:16">
      <c r="A1401" s="86" t="s">
        <v>2869</v>
      </c>
      <c r="B1401" s="83">
        <v>303</v>
      </c>
      <c r="C1401" s="34" t="s">
        <v>194</v>
      </c>
      <c r="D1401" s="34" t="s">
        <v>90</v>
      </c>
      <c r="E1401" s="83">
        <v>1</v>
      </c>
      <c r="F1401" s="43">
        <f t="shared" si="263"/>
        <v>0.74074074074074081</v>
      </c>
      <c r="G1401" s="44">
        <f t="shared" si="264"/>
        <v>0</v>
      </c>
      <c r="H1401" s="44">
        <f t="shared" si="265"/>
        <v>0.74074074074074081</v>
      </c>
      <c r="I1401" cm="1">
        <f t="array" ref="I1401">INT(F1401)+IF(100-SUM(INT(F$1398:F$1410))&gt;=RANK(H1401,H$1398:H$1410)+COUNTIF(H$1398:H1401,H1401)-1,1,0)</f>
        <v>1</v>
      </c>
      <c r="J1401" t="b">
        <f t="shared" si="266"/>
        <v>0</v>
      </c>
      <c r="K1401" t="str">
        <f t="shared" si="267"/>
        <v/>
      </c>
      <c r="L1401">
        <f>_xlfn.XLOOKUP(D1401,BugList!C:C,BugList!N:N)</f>
        <v>6</v>
      </c>
      <c r="M1401">
        <f t="shared" si="268"/>
        <v>6</v>
      </c>
      <c r="N1401" t="b">
        <f>_xlfn.XLOOKUP(D1401,BugList!C:C,BugList!L:L)</f>
        <v>1</v>
      </c>
      <c r="O1401" t="b">
        <f t="shared" si="269"/>
        <v>0</v>
      </c>
      <c r="P1401" s="18" t="b">
        <f>SUMPRODUCT(COUNTIF(_xlfn.XLOOKUP(D1401,BugList!C:C,BugList!P:P), "*SC*"))&gt;0</f>
        <v>0</v>
      </c>
    </row>
    <row r="1402" spans="1:16">
      <c r="A1402" s="86" t="s">
        <v>2869</v>
      </c>
      <c r="B1402" s="83">
        <v>303</v>
      </c>
      <c r="C1402" s="34" t="s">
        <v>194</v>
      </c>
      <c r="D1402" s="34" t="s">
        <v>108</v>
      </c>
      <c r="E1402" s="83">
        <v>3</v>
      </c>
      <c r="F1402" s="43">
        <f t="shared" si="263"/>
        <v>2.2222222222222223</v>
      </c>
      <c r="G1402" s="44">
        <f t="shared" si="264"/>
        <v>2</v>
      </c>
      <c r="H1402" s="44">
        <f t="shared" si="265"/>
        <v>0.22222222222222232</v>
      </c>
      <c r="I1402" cm="1">
        <f t="array" ref="I1402">INT(F1402)+IF(100-SUM(INT(F$1398:F$1410))&gt;=RANK(H1402,H$1398:H$1410)+COUNTIF(H$1398:H1402,H1402)-1,1,0)</f>
        <v>2</v>
      </c>
      <c r="J1402" t="b">
        <f t="shared" si="266"/>
        <v>0</v>
      </c>
      <c r="K1402" t="str">
        <f t="shared" si="267"/>
        <v/>
      </c>
      <c r="L1402">
        <f>_xlfn.XLOOKUP(D1402,BugList!C:C,BugList!N:N)</f>
        <v>3</v>
      </c>
      <c r="M1402">
        <f t="shared" si="268"/>
        <v>6</v>
      </c>
      <c r="N1402" t="b">
        <f>_xlfn.XLOOKUP(D1402,BugList!C:C,BugList!L:L)</f>
        <v>1</v>
      </c>
      <c r="O1402" t="b">
        <f t="shared" si="269"/>
        <v>0</v>
      </c>
      <c r="P1402" s="18" t="b">
        <f>SUMPRODUCT(COUNTIF(_xlfn.XLOOKUP(D1402,BugList!C:C,BugList!P:P), "*SC*"))&gt;0</f>
        <v>0</v>
      </c>
    </row>
    <row r="1403" spans="1:16">
      <c r="A1403" s="86" t="s">
        <v>2869</v>
      </c>
      <c r="B1403" s="83">
        <v>303</v>
      </c>
      <c r="C1403" s="34" t="s">
        <v>199</v>
      </c>
      <c r="D1403" s="34" t="s">
        <v>111</v>
      </c>
      <c r="E1403" s="83">
        <v>16</v>
      </c>
      <c r="F1403" s="43">
        <f t="shared" ref="F1403:F1466" si="270">(E1403/(SUMIFS(E:E,A:A,A1403))*100)</f>
        <v>11.851851851851853</v>
      </c>
      <c r="G1403" s="44">
        <f t="shared" si="264"/>
        <v>11</v>
      </c>
      <c r="H1403" s="44">
        <f t="shared" si="265"/>
        <v>0.85185185185185297</v>
      </c>
      <c r="I1403" cm="1">
        <f t="array" ref="I1403">INT(F1403)+IF(100-SUM(INT(F$1398:F$1410))&gt;=RANK(H1403,H$1398:H$1410)+COUNTIF(H$1398:H1403,H1403)-1,1,0)</f>
        <v>12</v>
      </c>
      <c r="J1403" t="b">
        <f t="shared" si="266"/>
        <v>1</v>
      </c>
      <c r="K1403" t="str">
        <f t="shared" si="267"/>
        <v>Ephemeroptera</v>
      </c>
      <c r="L1403">
        <f>_xlfn.XLOOKUP(D1403,BugList!C:C,BugList!N:N)</f>
        <v>4</v>
      </c>
      <c r="M1403">
        <f t="shared" si="268"/>
        <v>48</v>
      </c>
      <c r="N1403" t="b">
        <f>_xlfn.XLOOKUP(D1403,BugList!C:C,BugList!L:L)</f>
        <v>1</v>
      </c>
      <c r="O1403" t="b">
        <f t="shared" si="269"/>
        <v>1</v>
      </c>
      <c r="P1403" s="18" t="b">
        <f>SUMPRODUCT(COUNTIF(_xlfn.XLOOKUP(D1403,BugList!C:C,BugList!P:P), "*SC*"))&gt;0</f>
        <v>0</v>
      </c>
    </row>
    <row r="1404" spans="1:16">
      <c r="A1404" s="86" t="s">
        <v>2869</v>
      </c>
      <c r="B1404" s="83">
        <v>303</v>
      </c>
      <c r="C1404" s="34" t="s">
        <v>195</v>
      </c>
      <c r="D1404" s="34" t="s">
        <v>112</v>
      </c>
      <c r="E1404" s="83">
        <v>1</v>
      </c>
      <c r="F1404" s="43">
        <f t="shared" si="270"/>
        <v>0.74074074074074081</v>
      </c>
      <c r="G1404" s="44">
        <f t="shared" si="264"/>
        <v>0</v>
      </c>
      <c r="H1404" s="44">
        <f t="shared" si="265"/>
        <v>0.74074074074074081</v>
      </c>
      <c r="I1404" cm="1">
        <f t="array" ref="I1404">INT(F1404)+IF(100-SUM(INT(F$1398:F$1410))&gt;=RANK(H1404,H$1398:H$1410)+COUNTIF(H$1398:H1404,H1404)-1,1,0)</f>
        <v>1</v>
      </c>
      <c r="J1404" t="b">
        <f t="shared" si="266"/>
        <v>0</v>
      </c>
      <c r="K1404" t="str">
        <f t="shared" si="267"/>
        <v/>
      </c>
      <c r="L1404">
        <f>_xlfn.XLOOKUP(D1404,BugList!C:C,BugList!N:N)</f>
        <v>5</v>
      </c>
      <c r="M1404">
        <f t="shared" si="268"/>
        <v>5</v>
      </c>
      <c r="N1404" t="b">
        <f>_xlfn.XLOOKUP(D1404,BugList!C:C,BugList!L:L)</f>
        <v>1</v>
      </c>
      <c r="O1404" t="b">
        <f t="shared" si="269"/>
        <v>0</v>
      </c>
      <c r="P1404" s="18" t="b">
        <f>SUMPRODUCT(COUNTIF(_xlfn.XLOOKUP(D1404,BugList!C:C,BugList!P:P), "*SC*"))&gt;0</f>
        <v>0</v>
      </c>
    </row>
    <row r="1405" spans="1:16">
      <c r="A1405" s="86" t="s">
        <v>2869</v>
      </c>
      <c r="B1405" s="83">
        <v>303</v>
      </c>
      <c r="C1405" s="34" t="s">
        <v>195</v>
      </c>
      <c r="D1405" s="34" t="s">
        <v>97</v>
      </c>
      <c r="E1405" s="83">
        <v>5</v>
      </c>
      <c r="F1405" s="43">
        <f t="shared" si="270"/>
        <v>3.7037037037037033</v>
      </c>
      <c r="G1405" s="44">
        <f t="shared" si="264"/>
        <v>3</v>
      </c>
      <c r="H1405" s="44">
        <f t="shared" si="265"/>
        <v>0.70370370370370328</v>
      </c>
      <c r="I1405" cm="1">
        <f t="array" ref="I1405">INT(F1405)+IF(100-SUM(INT(F$1398:F$1410))&gt;=RANK(H1405,H$1398:H$1410)+COUNTIF(H$1398:H1405,H1405)-1,1,0)</f>
        <v>4</v>
      </c>
      <c r="J1405" t="b">
        <f t="shared" si="266"/>
        <v>0</v>
      </c>
      <c r="K1405" t="str">
        <f t="shared" si="267"/>
        <v/>
      </c>
      <c r="L1405">
        <f>_xlfn.XLOOKUP(D1405,BugList!C:C,BugList!N:N)</f>
        <v>9</v>
      </c>
      <c r="M1405">
        <f t="shared" si="268"/>
        <v>36</v>
      </c>
      <c r="N1405" t="b">
        <f>_xlfn.XLOOKUP(D1405,BugList!C:C,BugList!L:L)</f>
        <v>1</v>
      </c>
      <c r="O1405" t="b">
        <f t="shared" si="269"/>
        <v>0</v>
      </c>
      <c r="P1405" s="18" t="b">
        <f>SUMPRODUCT(COUNTIF(_xlfn.XLOOKUP(D1405,BugList!C:C,BugList!P:P), "*SC*"))&gt;0</f>
        <v>0</v>
      </c>
    </row>
    <row r="1406" spans="1:16">
      <c r="A1406" s="86" t="s">
        <v>2869</v>
      </c>
      <c r="B1406" s="83">
        <v>303</v>
      </c>
      <c r="C1406" s="34" t="s">
        <v>197</v>
      </c>
      <c r="D1406" s="34" t="s">
        <v>105</v>
      </c>
      <c r="E1406" s="83">
        <v>1</v>
      </c>
      <c r="F1406" s="43">
        <f t="shared" si="270"/>
        <v>0.74074074074074081</v>
      </c>
      <c r="G1406" s="44">
        <f t="shared" si="264"/>
        <v>0</v>
      </c>
      <c r="H1406" s="44">
        <f t="shared" si="265"/>
        <v>0.74074074074074081</v>
      </c>
      <c r="I1406" cm="1">
        <f t="array" ref="I1406">INT(F1406)+IF(100-SUM(INT(F$1398:F$1410))&gt;=RANK(H1406,H$1398:H$1410)+COUNTIF(H$1398:H1406,H1406)-1,1,0)</f>
        <v>1</v>
      </c>
      <c r="J1406" t="b">
        <f t="shared" si="266"/>
        <v>1</v>
      </c>
      <c r="K1406" t="str">
        <f t="shared" si="267"/>
        <v>Plecoptera</v>
      </c>
      <c r="L1406">
        <f>_xlfn.XLOOKUP(D1406,BugList!C:C,BugList!N:N)</f>
        <v>1</v>
      </c>
      <c r="M1406">
        <f t="shared" si="268"/>
        <v>1</v>
      </c>
      <c r="N1406" t="b">
        <f>_xlfn.XLOOKUP(D1406,BugList!C:C,BugList!L:L)</f>
        <v>1</v>
      </c>
      <c r="O1406" t="b">
        <f t="shared" si="269"/>
        <v>1</v>
      </c>
      <c r="P1406" s="18" t="b">
        <f>SUMPRODUCT(COUNTIF(_xlfn.XLOOKUP(D1406,BugList!C:C,BugList!P:P), "*SC*"))&gt;0</f>
        <v>0</v>
      </c>
    </row>
    <row r="1407" spans="1:16">
      <c r="A1407" s="86" t="s">
        <v>2869</v>
      </c>
      <c r="B1407" s="83">
        <v>303</v>
      </c>
      <c r="C1407" s="34" t="s">
        <v>198</v>
      </c>
      <c r="D1407" s="34" t="s">
        <v>89</v>
      </c>
      <c r="E1407" s="83">
        <v>49</v>
      </c>
      <c r="F1407" s="43">
        <f t="shared" si="270"/>
        <v>36.296296296296298</v>
      </c>
      <c r="G1407" s="44">
        <f t="shared" si="264"/>
        <v>36</v>
      </c>
      <c r="H1407" s="44">
        <f t="shared" si="265"/>
        <v>0.29629629629629761</v>
      </c>
      <c r="I1407" cm="1">
        <f t="array" ref="I1407">INT(F1407)+IF(100-SUM(INT(F$1398:F$1410))&gt;=RANK(H1407,H$1398:H$1410)+COUNTIF(H$1398:H1407,H1407)-1,1,0)</f>
        <v>36</v>
      </c>
      <c r="J1407" t="b">
        <f t="shared" si="266"/>
        <v>1</v>
      </c>
      <c r="K1407" t="str">
        <f t="shared" si="267"/>
        <v>Trichoptera</v>
      </c>
      <c r="L1407">
        <f>_xlfn.XLOOKUP(D1407,BugList!C:C,BugList!N:N)</f>
        <v>4</v>
      </c>
      <c r="M1407">
        <f t="shared" si="268"/>
        <v>144</v>
      </c>
      <c r="N1407" t="b">
        <f>_xlfn.XLOOKUP(D1407,BugList!C:C,BugList!L:L)</f>
        <v>1</v>
      </c>
      <c r="O1407" t="b">
        <f t="shared" si="269"/>
        <v>0</v>
      </c>
      <c r="P1407" s="18" t="b">
        <f>SUMPRODUCT(COUNTIF(_xlfn.XLOOKUP(D1407,BugList!C:C,BugList!P:P), "*SC*"))&gt;0</f>
        <v>0</v>
      </c>
    </row>
    <row r="1408" spans="1:16">
      <c r="A1408" s="86" t="s">
        <v>2869</v>
      </c>
      <c r="B1408" s="83">
        <v>303</v>
      </c>
      <c r="C1408" s="34" t="s">
        <v>198</v>
      </c>
      <c r="D1408" s="34" t="s">
        <v>107</v>
      </c>
      <c r="E1408" s="83">
        <v>13</v>
      </c>
      <c r="F1408" s="43">
        <f t="shared" si="270"/>
        <v>9.6296296296296298</v>
      </c>
      <c r="G1408" s="44">
        <f t="shared" si="264"/>
        <v>9</v>
      </c>
      <c r="H1408" s="44">
        <f t="shared" si="265"/>
        <v>0.62962962962962976</v>
      </c>
      <c r="I1408" cm="1">
        <f t="array" ref="I1408">INT(F1408)+IF(100-SUM(INT(F$1398:F$1410))&gt;=RANK(H1408,H$1398:H$1410)+COUNTIF(H$1398:H1408,H1408)-1,1,0)</f>
        <v>9</v>
      </c>
      <c r="J1408" t="b">
        <f t="shared" si="266"/>
        <v>1</v>
      </c>
      <c r="K1408" t="str">
        <f t="shared" si="267"/>
        <v>Trichoptera</v>
      </c>
      <c r="L1408">
        <f>_xlfn.XLOOKUP(D1408,BugList!C:C,BugList!N:N)</f>
        <v>3</v>
      </c>
      <c r="M1408">
        <f t="shared" si="268"/>
        <v>27</v>
      </c>
      <c r="N1408" t="b">
        <f>_xlfn.XLOOKUP(D1408,BugList!C:C,BugList!L:L)</f>
        <v>1</v>
      </c>
      <c r="O1408" t="b">
        <f t="shared" si="269"/>
        <v>1</v>
      </c>
      <c r="P1408" s="18" t="b">
        <f>SUMPRODUCT(COUNTIF(_xlfn.XLOOKUP(D1408,BugList!C:C,BugList!P:P), "*SC*"))&gt;0</f>
        <v>0</v>
      </c>
    </row>
    <row r="1409" spans="1:16">
      <c r="A1409" s="86" t="s">
        <v>2869</v>
      </c>
      <c r="B1409" s="83">
        <v>303</v>
      </c>
      <c r="C1409" s="34" t="s">
        <v>201</v>
      </c>
      <c r="D1409" s="34" t="s">
        <v>85</v>
      </c>
      <c r="E1409" s="83">
        <v>16</v>
      </c>
      <c r="F1409" s="43">
        <f t="shared" si="270"/>
        <v>11.851851851851853</v>
      </c>
      <c r="G1409" s="44">
        <f t="shared" si="264"/>
        <v>11</v>
      </c>
      <c r="H1409" s="44">
        <f t="shared" si="265"/>
        <v>0.85185185185185297</v>
      </c>
      <c r="I1409" cm="1">
        <f t="array" ref="I1409">INT(F1409)+IF(100-SUM(INT(F$1398:F$1410))&gt;=RANK(H1409,H$1398:H$1410)+COUNTIF(H$1398:H1409,H1409)-1,1,0)</f>
        <v>12</v>
      </c>
      <c r="J1409" t="b">
        <f t="shared" si="266"/>
        <v>0</v>
      </c>
      <c r="K1409" t="str">
        <f t="shared" si="267"/>
        <v/>
      </c>
      <c r="L1409">
        <f>_xlfn.XLOOKUP(D1409,BugList!C:C,BugList!N:N)</f>
        <v>4</v>
      </c>
      <c r="M1409">
        <f t="shared" si="268"/>
        <v>48</v>
      </c>
      <c r="N1409" t="b">
        <f>_xlfn.XLOOKUP(D1409,BugList!C:C,BugList!L:L)</f>
        <v>0</v>
      </c>
      <c r="O1409" t="b">
        <f t="shared" si="269"/>
        <v>0</v>
      </c>
      <c r="P1409" s="18" t="b">
        <f>SUMPRODUCT(COUNTIF(_xlfn.XLOOKUP(D1409,BugList!C:C,BugList!P:P), "*SC*"))&gt;0</f>
        <v>0</v>
      </c>
    </row>
    <row r="1410" spans="1:16">
      <c r="A1410" s="86" t="s">
        <v>2869</v>
      </c>
      <c r="B1410" s="83">
        <v>303</v>
      </c>
      <c r="C1410" s="34" t="s">
        <v>205</v>
      </c>
      <c r="D1410" s="34" t="s">
        <v>206</v>
      </c>
      <c r="E1410" s="83">
        <v>1</v>
      </c>
      <c r="F1410" s="43">
        <f t="shared" si="270"/>
        <v>0.74074074074074081</v>
      </c>
      <c r="G1410" s="44">
        <f t="shared" si="264"/>
        <v>0</v>
      </c>
      <c r="H1410" s="44">
        <f t="shared" si="265"/>
        <v>0.74074074074074081</v>
      </c>
      <c r="I1410" cm="1">
        <f t="array" ref="I1410">INT(F1410)+IF(100-SUM(INT(F$1398:F$1410))&gt;=RANK(H1410,H$1398:H$1410)+COUNTIF(H$1398:H1410,H1410)-1,1,0)</f>
        <v>1</v>
      </c>
      <c r="J1410" t="b">
        <f t="shared" si="266"/>
        <v>0</v>
      </c>
      <c r="K1410" t="str">
        <f t="shared" si="267"/>
        <v/>
      </c>
      <c r="L1410" s="71">
        <v>8</v>
      </c>
      <c r="M1410">
        <f t="shared" si="268"/>
        <v>8</v>
      </c>
      <c r="N1410" s="71" t="b">
        <v>0</v>
      </c>
      <c r="O1410" t="b">
        <f t="shared" si="269"/>
        <v>0</v>
      </c>
      <c r="P1410" s="72" t="b">
        <v>0</v>
      </c>
    </row>
    <row r="1411" spans="1:16">
      <c r="A1411" s="86" t="s">
        <v>2870</v>
      </c>
      <c r="B1411" s="83">
        <v>315</v>
      </c>
      <c r="C1411" s="34" t="s">
        <v>200</v>
      </c>
      <c r="D1411" s="34" t="s">
        <v>98</v>
      </c>
      <c r="E1411" s="83">
        <v>1</v>
      </c>
      <c r="F1411" s="43">
        <f t="shared" si="270"/>
        <v>0.81967213114754101</v>
      </c>
      <c r="G1411" s="44">
        <f t="shared" si="264"/>
        <v>0</v>
      </c>
      <c r="H1411" s="44">
        <f t="shared" si="265"/>
        <v>0.81967213114754101</v>
      </c>
      <c r="I1411" cm="1">
        <f t="array" ref="I1411">INT(F1411)+IF(100-SUM(INT(F$1411:F$1425))&gt;=RANK(H1411,H$1411:H$1425)+COUNTIF(H$1411:H1411,H1411)-1,1,0)</f>
        <v>1</v>
      </c>
      <c r="J1411" t="b">
        <f t="shared" si="266"/>
        <v>0</v>
      </c>
      <c r="K1411" t="str">
        <f t="shared" si="267"/>
        <v/>
      </c>
      <c r="L1411">
        <f>_xlfn.XLOOKUP(D1411,BugList!C:C,BugList!N:N)</f>
        <v>4</v>
      </c>
      <c r="M1411">
        <f t="shared" si="268"/>
        <v>4</v>
      </c>
      <c r="N1411" t="b">
        <f>_xlfn.XLOOKUP(D1411,BugList!C:C,BugList!L:L)</f>
        <v>1</v>
      </c>
      <c r="O1411" t="b">
        <f t="shared" si="269"/>
        <v>0</v>
      </c>
      <c r="P1411" s="18" t="b">
        <f>SUMPRODUCT(COUNTIF(_xlfn.XLOOKUP(D1411,BugList!C:C,BugList!P:P), "*SC*"))&gt;0</f>
        <v>1</v>
      </c>
    </row>
    <row r="1412" spans="1:16">
      <c r="A1412" s="86" t="s">
        <v>2870</v>
      </c>
      <c r="B1412" s="83">
        <v>315</v>
      </c>
      <c r="C1412" s="34" t="s">
        <v>200</v>
      </c>
      <c r="D1412" s="34" t="s">
        <v>100</v>
      </c>
      <c r="E1412" s="83">
        <v>44</v>
      </c>
      <c r="F1412" s="43">
        <f t="shared" si="270"/>
        <v>36.065573770491802</v>
      </c>
      <c r="G1412" s="44">
        <f t="shared" si="264"/>
        <v>36</v>
      </c>
      <c r="H1412" s="44">
        <f t="shared" si="265"/>
        <v>6.5573770491802463E-2</v>
      </c>
      <c r="I1412" cm="1">
        <f t="array" ref="I1412">INT(F1412)+IF(100-SUM(INT(F$1411:F$1425))&gt;=RANK(H1412,H$1411:H$1425)+COUNTIF(H$1411:H1412,H1412)-1,1,0)</f>
        <v>36</v>
      </c>
      <c r="J1412" t="b">
        <f t="shared" si="266"/>
        <v>0</v>
      </c>
      <c r="K1412" t="str">
        <f t="shared" si="267"/>
        <v/>
      </c>
      <c r="L1412">
        <f>_xlfn.XLOOKUP(D1412,BugList!C:C,BugList!N:N)</f>
        <v>4</v>
      </c>
      <c r="M1412">
        <f t="shared" si="268"/>
        <v>144</v>
      </c>
      <c r="N1412" t="b">
        <f>_xlfn.XLOOKUP(D1412,BugList!C:C,BugList!L:L)</f>
        <v>1</v>
      </c>
      <c r="O1412" t="b">
        <f t="shared" si="269"/>
        <v>0</v>
      </c>
      <c r="P1412" s="18" t="b">
        <f>SUMPRODUCT(COUNTIF(_xlfn.XLOOKUP(D1412,BugList!C:C,BugList!P:P), "*SC*"))&gt;0</f>
        <v>1</v>
      </c>
    </row>
    <row r="1413" spans="1:16">
      <c r="A1413" s="86" t="s">
        <v>2870</v>
      </c>
      <c r="B1413" s="83">
        <v>315</v>
      </c>
      <c r="C1413" s="34" t="s">
        <v>194</v>
      </c>
      <c r="D1413" s="34" t="s">
        <v>90</v>
      </c>
      <c r="E1413" s="83">
        <v>3</v>
      </c>
      <c r="F1413" s="43">
        <f t="shared" si="270"/>
        <v>2.459016393442623</v>
      </c>
      <c r="G1413" s="44">
        <f t="shared" si="264"/>
        <v>2</v>
      </c>
      <c r="H1413" s="44">
        <f t="shared" si="265"/>
        <v>0.45901639344262302</v>
      </c>
      <c r="I1413" cm="1">
        <f t="array" ref="I1413">INT(F1413)+IF(100-SUM(INT(F$1411:F$1425))&gt;=RANK(H1413,H$1411:H$1425)+COUNTIF(H$1411:H1413,H1413)-1,1,0)</f>
        <v>2</v>
      </c>
      <c r="J1413" t="b">
        <f t="shared" si="266"/>
        <v>0</v>
      </c>
      <c r="K1413" t="str">
        <f t="shared" si="267"/>
        <v/>
      </c>
      <c r="L1413">
        <f>_xlfn.XLOOKUP(D1413,BugList!C:C,BugList!N:N)</f>
        <v>6</v>
      </c>
      <c r="M1413">
        <f t="shared" si="268"/>
        <v>12</v>
      </c>
      <c r="N1413" t="b">
        <f>_xlfn.XLOOKUP(D1413,BugList!C:C,BugList!L:L)</f>
        <v>1</v>
      </c>
      <c r="O1413" t="b">
        <f t="shared" si="269"/>
        <v>0</v>
      </c>
      <c r="P1413" s="18" t="b">
        <f>SUMPRODUCT(COUNTIF(_xlfn.XLOOKUP(D1413,BugList!C:C,BugList!P:P), "*SC*"))&gt;0</f>
        <v>0</v>
      </c>
    </row>
    <row r="1414" spans="1:16">
      <c r="A1414" s="86" t="s">
        <v>2870</v>
      </c>
      <c r="B1414" s="83">
        <v>315</v>
      </c>
      <c r="C1414" s="34" t="s">
        <v>194</v>
      </c>
      <c r="D1414" s="34" t="s">
        <v>101</v>
      </c>
      <c r="E1414" s="83">
        <v>18</v>
      </c>
      <c r="F1414" s="43">
        <f t="shared" si="270"/>
        <v>14.754098360655737</v>
      </c>
      <c r="G1414" s="44">
        <f t="shared" si="264"/>
        <v>14</v>
      </c>
      <c r="H1414" s="44">
        <f t="shared" si="265"/>
        <v>0.75409836065573721</v>
      </c>
      <c r="I1414" cm="1">
        <f t="array" ref="I1414">INT(F1414)+IF(100-SUM(INT(F$1411:F$1425))&gt;=RANK(H1414,H$1411:H$1425)+COUNTIF(H$1411:H1414,H1414)-1,1,0)</f>
        <v>15</v>
      </c>
      <c r="J1414" t="b">
        <f t="shared" si="266"/>
        <v>0</v>
      </c>
      <c r="K1414" t="str">
        <f t="shared" si="267"/>
        <v/>
      </c>
      <c r="L1414">
        <f>_xlfn.XLOOKUP(D1414,BugList!C:C,BugList!N:N)</f>
        <v>6</v>
      </c>
      <c r="M1414">
        <f t="shared" si="268"/>
        <v>90</v>
      </c>
      <c r="N1414" t="b">
        <f>_xlfn.XLOOKUP(D1414,BugList!C:C,BugList!L:L)</f>
        <v>1</v>
      </c>
      <c r="O1414" t="b">
        <f t="shared" si="269"/>
        <v>0</v>
      </c>
      <c r="P1414" s="18" t="b">
        <f>SUMPRODUCT(COUNTIF(_xlfn.XLOOKUP(D1414,BugList!C:C,BugList!P:P), "*SC*"))&gt;0</f>
        <v>0</v>
      </c>
    </row>
    <row r="1415" spans="1:16">
      <c r="A1415" s="86" t="s">
        <v>2870</v>
      </c>
      <c r="B1415" s="83">
        <v>315</v>
      </c>
      <c r="C1415" s="34" t="s">
        <v>194</v>
      </c>
      <c r="D1415" s="34" t="s">
        <v>108</v>
      </c>
      <c r="E1415" s="83">
        <v>3</v>
      </c>
      <c r="F1415" s="43">
        <f t="shared" si="270"/>
        <v>2.459016393442623</v>
      </c>
      <c r="G1415" s="44">
        <f t="shared" si="264"/>
        <v>2</v>
      </c>
      <c r="H1415" s="44">
        <f t="shared" si="265"/>
        <v>0.45901639344262302</v>
      </c>
      <c r="I1415" cm="1">
        <f t="array" ref="I1415">INT(F1415)+IF(100-SUM(INT(F$1411:F$1425))&gt;=RANK(H1415,H$1411:H$1425)+COUNTIF(H$1411:H1415,H1415)-1,1,0)</f>
        <v>2</v>
      </c>
      <c r="J1415" t="b">
        <f t="shared" si="266"/>
        <v>0</v>
      </c>
      <c r="K1415" t="str">
        <f t="shared" si="267"/>
        <v/>
      </c>
      <c r="L1415">
        <f>_xlfn.XLOOKUP(D1415,BugList!C:C,BugList!N:N)</f>
        <v>3</v>
      </c>
      <c r="M1415">
        <f t="shared" si="268"/>
        <v>6</v>
      </c>
      <c r="N1415" t="b">
        <f>_xlfn.XLOOKUP(D1415,BugList!C:C,BugList!L:L)</f>
        <v>1</v>
      </c>
      <c r="O1415" t="b">
        <f t="shared" si="269"/>
        <v>0</v>
      </c>
      <c r="P1415" s="18" t="b">
        <f>SUMPRODUCT(COUNTIF(_xlfn.XLOOKUP(D1415,BugList!C:C,BugList!P:P), "*SC*"))&gt;0</f>
        <v>0</v>
      </c>
    </row>
    <row r="1416" spans="1:16">
      <c r="A1416" s="86" t="s">
        <v>2870</v>
      </c>
      <c r="B1416" s="83">
        <v>315</v>
      </c>
      <c r="C1416" s="34" t="s">
        <v>199</v>
      </c>
      <c r="D1416" s="34" t="s">
        <v>828</v>
      </c>
      <c r="E1416" s="83">
        <v>21</v>
      </c>
      <c r="F1416" s="43">
        <f t="shared" si="270"/>
        <v>17.21311475409836</v>
      </c>
      <c r="G1416" s="44">
        <f t="shared" si="264"/>
        <v>17</v>
      </c>
      <c r="H1416" s="44">
        <f t="shared" si="265"/>
        <v>0.21311475409835978</v>
      </c>
      <c r="I1416" cm="1">
        <f t="array" ref="I1416">INT(F1416)+IF(100-SUM(INT(F$1411:F$1425))&gt;=RANK(H1416,H$1411:H$1425)+COUNTIF(H$1411:H1416,H1416)-1,1,0)</f>
        <v>17</v>
      </c>
      <c r="J1416" t="b">
        <f t="shared" si="266"/>
        <v>1</v>
      </c>
      <c r="K1416" t="str">
        <f t="shared" si="267"/>
        <v>Ephemeroptera</v>
      </c>
      <c r="L1416">
        <f>_xlfn.XLOOKUP(D1416,BugList!C:C,BugList!N:N)</f>
        <v>7</v>
      </c>
      <c r="M1416">
        <f t="shared" si="268"/>
        <v>119</v>
      </c>
      <c r="N1416" t="b">
        <f>_xlfn.XLOOKUP(D1416,BugList!C:C,BugList!L:L)</f>
        <v>1</v>
      </c>
      <c r="O1416" t="b">
        <f t="shared" si="269"/>
        <v>1</v>
      </c>
      <c r="P1416" s="18" t="b">
        <f>SUMPRODUCT(COUNTIF(_xlfn.XLOOKUP(D1416,BugList!C:C,BugList!P:P), "*SC*"))&gt;0</f>
        <v>0</v>
      </c>
    </row>
    <row r="1417" spans="1:16">
      <c r="A1417" s="86" t="s">
        <v>2870</v>
      </c>
      <c r="B1417" s="83">
        <v>315</v>
      </c>
      <c r="C1417" s="34" t="s">
        <v>199</v>
      </c>
      <c r="D1417" s="34" t="s">
        <v>111</v>
      </c>
      <c r="E1417" s="83">
        <v>2</v>
      </c>
      <c r="F1417" s="43">
        <f t="shared" si="270"/>
        <v>1.639344262295082</v>
      </c>
      <c r="G1417" s="44">
        <f t="shared" si="264"/>
        <v>1</v>
      </c>
      <c r="H1417" s="44">
        <f t="shared" si="265"/>
        <v>0.63934426229508201</v>
      </c>
      <c r="I1417" cm="1">
        <f t="array" ref="I1417">INT(F1417)+IF(100-SUM(INT(F$1411:F$1425))&gt;=RANK(H1417,H$1411:H$1425)+COUNTIF(H$1411:H1417,H1417)-1,1,0)</f>
        <v>2</v>
      </c>
      <c r="J1417" t="b">
        <f t="shared" si="266"/>
        <v>1</v>
      </c>
      <c r="K1417" t="str">
        <f t="shared" si="267"/>
        <v>Ephemeroptera</v>
      </c>
      <c r="L1417">
        <f>_xlfn.XLOOKUP(D1417,BugList!C:C,BugList!N:N)</f>
        <v>4</v>
      </c>
      <c r="M1417">
        <f t="shared" si="268"/>
        <v>8</v>
      </c>
      <c r="N1417" t="b">
        <f>_xlfn.XLOOKUP(D1417,BugList!C:C,BugList!L:L)</f>
        <v>1</v>
      </c>
      <c r="O1417" t="b">
        <f t="shared" si="269"/>
        <v>1</v>
      </c>
      <c r="P1417" s="18" t="b">
        <f>SUMPRODUCT(COUNTIF(_xlfn.XLOOKUP(D1417,BugList!C:C,BugList!P:P), "*SC*"))&gt;0</f>
        <v>0</v>
      </c>
    </row>
    <row r="1418" spans="1:16">
      <c r="A1418" s="86" t="s">
        <v>2870</v>
      </c>
      <c r="B1418" s="83">
        <v>315</v>
      </c>
      <c r="C1418" s="34" t="s">
        <v>195</v>
      </c>
      <c r="D1418" s="34" t="s">
        <v>97</v>
      </c>
      <c r="E1418" s="83">
        <v>2</v>
      </c>
      <c r="F1418" s="43">
        <f t="shared" si="270"/>
        <v>1.639344262295082</v>
      </c>
      <c r="G1418" s="44">
        <f t="shared" si="264"/>
        <v>1</v>
      </c>
      <c r="H1418" s="44">
        <f t="shared" si="265"/>
        <v>0.63934426229508201</v>
      </c>
      <c r="I1418" cm="1">
        <f t="array" ref="I1418">INT(F1418)+IF(100-SUM(INT(F$1411:F$1425))&gt;=RANK(H1418,H$1411:H$1425)+COUNTIF(H$1411:H1418,H1418)-1,1,0)</f>
        <v>2</v>
      </c>
      <c r="J1418" t="b">
        <f t="shared" si="266"/>
        <v>0</v>
      </c>
      <c r="K1418" t="str">
        <f t="shared" si="267"/>
        <v/>
      </c>
      <c r="L1418">
        <f>_xlfn.XLOOKUP(D1418,BugList!C:C,BugList!N:N)</f>
        <v>9</v>
      </c>
      <c r="M1418">
        <f t="shared" si="268"/>
        <v>18</v>
      </c>
      <c r="N1418" t="b">
        <f>_xlfn.XLOOKUP(D1418,BugList!C:C,BugList!L:L)</f>
        <v>1</v>
      </c>
      <c r="O1418" t="b">
        <f t="shared" si="269"/>
        <v>0</v>
      </c>
      <c r="P1418" s="18" t="b">
        <f>SUMPRODUCT(COUNTIF(_xlfn.XLOOKUP(D1418,BugList!C:C,BugList!P:P), "*SC*"))&gt;0</f>
        <v>0</v>
      </c>
    </row>
    <row r="1419" spans="1:16">
      <c r="A1419" s="86" t="s">
        <v>2870</v>
      </c>
      <c r="B1419" s="83">
        <v>315</v>
      </c>
      <c r="C1419" s="34" t="s">
        <v>197</v>
      </c>
      <c r="D1419" s="34" t="s">
        <v>104</v>
      </c>
      <c r="E1419" s="83">
        <v>1</v>
      </c>
      <c r="F1419" s="43">
        <f t="shared" si="270"/>
        <v>0.81967213114754101</v>
      </c>
      <c r="G1419" s="44">
        <f t="shared" si="264"/>
        <v>0</v>
      </c>
      <c r="H1419" s="44">
        <f t="shared" si="265"/>
        <v>0.81967213114754101</v>
      </c>
      <c r="I1419" cm="1">
        <f t="array" ref="I1419">INT(F1419)+IF(100-SUM(INT(F$1411:F$1425))&gt;=RANK(H1419,H$1411:H$1425)+COUNTIF(H$1411:H1419,H1419)-1,1,0)</f>
        <v>1</v>
      </c>
      <c r="J1419" t="b">
        <f t="shared" si="266"/>
        <v>1</v>
      </c>
      <c r="K1419" t="str">
        <f t="shared" si="267"/>
        <v>Plecoptera</v>
      </c>
      <c r="L1419">
        <f>_xlfn.XLOOKUP(D1419,BugList!C:C,BugList!N:N)</f>
        <v>2</v>
      </c>
      <c r="M1419">
        <f t="shared" si="268"/>
        <v>2</v>
      </c>
      <c r="N1419" t="b">
        <f>_xlfn.XLOOKUP(D1419,BugList!C:C,BugList!L:L)</f>
        <v>1</v>
      </c>
      <c r="O1419" t="b">
        <f t="shared" si="269"/>
        <v>1</v>
      </c>
      <c r="P1419" s="18" t="b">
        <f>SUMPRODUCT(COUNTIF(_xlfn.XLOOKUP(D1419,BugList!C:C,BugList!P:P), "*SC*"))&gt;0</f>
        <v>0</v>
      </c>
    </row>
    <row r="1420" spans="1:16">
      <c r="A1420" s="86" t="s">
        <v>2870</v>
      </c>
      <c r="B1420" s="83">
        <v>315</v>
      </c>
      <c r="C1420" s="34" t="s">
        <v>197</v>
      </c>
      <c r="D1420" s="34" t="s">
        <v>106</v>
      </c>
      <c r="E1420" s="83">
        <v>1</v>
      </c>
      <c r="F1420" s="43">
        <f t="shared" si="270"/>
        <v>0.81967213114754101</v>
      </c>
      <c r="G1420" s="44">
        <f t="shared" si="264"/>
        <v>0</v>
      </c>
      <c r="H1420" s="44">
        <f t="shared" si="265"/>
        <v>0.81967213114754101</v>
      </c>
      <c r="I1420" cm="1">
        <f t="array" ref="I1420">INT(F1420)+IF(100-SUM(INT(F$1411:F$1425))&gt;=RANK(H1420,H$1411:H$1425)+COUNTIF(H$1411:H1420,H1420)-1,1,0)</f>
        <v>1</v>
      </c>
      <c r="J1420" t="b">
        <f t="shared" si="266"/>
        <v>1</v>
      </c>
      <c r="K1420" t="str">
        <f t="shared" si="267"/>
        <v>Plecoptera</v>
      </c>
      <c r="L1420">
        <f>_xlfn.XLOOKUP(D1420,BugList!C:C,BugList!N:N)</f>
        <v>2</v>
      </c>
      <c r="M1420">
        <f t="shared" si="268"/>
        <v>2</v>
      </c>
      <c r="N1420" t="b">
        <f>_xlfn.XLOOKUP(D1420,BugList!C:C,BugList!L:L)</f>
        <v>1</v>
      </c>
      <c r="O1420" t="b">
        <f t="shared" si="269"/>
        <v>1</v>
      </c>
      <c r="P1420" s="18" t="b">
        <f>SUMPRODUCT(COUNTIF(_xlfn.XLOOKUP(D1420,BugList!C:C,BugList!P:P), "*SC*"))&gt;0</f>
        <v>0</v>
      </c>
    </row>
    <row r="1421" spans="1:16">
      <c r="A1421" s="86" t="s">
        <v>2870</v>
      </c>
      <c r="B1421" s="83">
        <v>315</v>
      </c>
      <c r="C1421" s="34" t="s">
        <v>198</v>
      </c>
      <c r="D1421" s="34" t="s">
        <v>89</v>
      </c>
      <c r="E1421" s="83">
        <v>10</v>
      </c>
      <c r="F1421" s="43">
        <f t="shared" si="270"/>
        <v>8.1967213114754092</v>
      </c>
      <c r="G1421" s="44">
        <f t="shared" si="264"/>
        <v>8</v>
      </c>
      <c r="H1421" s="44">
        <f t="shared" si="265"/>
        <v>0.19672131147540917</v>
      </c>
      <c r="I1421" cm="1">
        <f t="array" ref="I1421">INT(F1421)+IF(100-SUM(INT(F$1411:F$1425))&gt;=RANK(H1421,H$1411:H$1425)+COUNTIF(H$1411:H1421,H1421)-1,1,0)</f>
        <v>8</v>
      </c>
      <c r="J1421" t="b">
        <f t="shared" si="266"/>
        <v>1</v>
      </c>
      <c r="K1421" t="str">
        <f t="shared" si="267"/>
        <v>Trichoptera</v>
      </c>
      <c r="L1421">
        <f>_xlfn.XLOOKUP(D1421,BugList!C:C,BugList!N:N)</f>
        <v>4</v>
      </c>
      <c r="M1421">
        <f t="shared" si="268"/>
        <v>32</v>
      </c>
      <c r="N1421" t="b">
        <f>_xlfn.XLOOKUP(D1421,BugList!C:C,BugList!L:L)</f>
        <v>1</v>
      </c>
      <c r="O1421" t="b">
        <f t="shared" si="269"/>
        <v>0</v>
      </c>
      <c r="P1421" s="18" t="b">
        <f>SUMPRODUCT(COUNTIF(_xlfn.XLOOKUP(D1421,BugList!C:C,BugList!P:P), "*SC*"))&gt;0</f>
        <v>0</v>
      </c>
    </row>
    <row r="1422" spans="1:16">
      <c r="A1422" s="86" t="s">
        <v>2870</v>
      </c>
      <c r="B1422" s="83">
        <v>315</v>
      </c>
      <c r="C1422" s="34" t="s">
        <v>198</v>
      </c>
      <c r="D1422" s="34" t="s">
        <v>1399</v>
      </c>
      <c r="E1422" s="83">
        <v>1</v>
      </c>
      <c r="F1422" s="43">
        <f t="shared" si="270"/>
        <v>0.81967213114754101</v>
      </c>
      <c r="G1422" s="44">
        <f t="shared" si="264"/>
        <v>0</v>
      </c>
      <c r="H1422" s="44">
        <f t="shared" si="265"/>
        <v>0.81967213114754101</v>
      </c>
      <c r="I1422" cm="1">
        <f t="array" ref="I1422">INT(F1422)+IF(100-SUM(INT(F$1411:F$1425))&gt;=RANK(H1422,H$1411:H$1425)+COUNTIF(H$1411:H1422,H1422)-1,1,0)</f>
        <v>1</v>
      </c>
      <c r="J1422" t="b">
        <f t="shared" si="266"/>
        <v>1</v>
      </c>
      <c r="K1422" t="str">
        <f t="shared" si="267"/>
        <v>Trichoptera</v>
      </c>
      <c r="L1422">
        <f>_xlfn.XLOOKUP(D1422,BugList!C:C,BugList!N:N)</f>
        <v>3</v>
      </c>
      <c r="M1422">
        <f t="shared" si="268"/>
        <v>3</v>
      </c>
      <c r="N1422" t="b">
        <f>_xlfn.XLOOKUP(D1422,BugList!C:C,BugList!L:L)</f>
        <v>1</v>
      </c>
      <c r="O1422" t="b">
        <f t="shared" si="269"/>
        <v>1</v>
      </c>
      <c r="P1422" s="18" t="b">
        <f>SUMPRODUCT(COUNTIF(_xlfn.XLOOKUP(D1422,BugList!C:C,BugList!P:P), "*SC*"))&gt;0</f>
        <v>1</v>
      </c>
    </row>
    <row r="1423" spans="1:16">
      <c r="A1423" s="86" t="s">
        <v>2870</v>
      </c>
      <c r="B1423" s="83">
        <v>315</v>
      </c>
      <c r="C1423" s="34" t="s">
        <v>201</v>
      </c>
      <c r="D1423" s="34" t="s">
        <v>109</v>
      </c>
      <c r="E1423" s="83">
        <v>2</v>
      </c>
      <c r="F1423" s="43">
        <f t="shared" si="270"/>
        <v>1.639344262295082</v>
      </c>
      <c r="G1423" s="44">
        <f t="shared" si="264"/>
        <v>1</v>
      </c>
      <c r="H1423" s="44">
        <f t="shared" si="265"/>
        <v>0.63934426229508201</v>
      </c>
      <c r="I1423" cm="1">
        <f t="array" ref="I1423">INT(F1423)+IF(100-SUM(INT(F$1411:F$1425))&gt;=RANK(H1423,H$1411:H$1425)+COUNTIF(H$1411:H1423,H1423)-1,1,0)</f>
        <v>1</v>
      </c>
      <c r="J1423" t="b">
        <f t="shared" si="266"/>
        <v>0</v>
      </c>
      <c r="K1423" t="str">
        <f t="shared" si="267"/>
        <v/>
      </c>
      <c r="L1423">
        <f>_xlfn.XLOOKUP(D1423,BugList!C:C,BugList!N:N)</f>
        <v>6</v>
      </c>
      <c r="M1423">
        <f t="shared" si="268"/>
        <v>6</v>
      </c>
      <c r="N1423" t="b">
        <f>_xlfn.XLOOKUP(D1423,BugList!C:C,BugList!L:L)</f>
        <v>0</v>
      </c>
      <c r="O1423" t="b">
        <f t="shared" si="269"/>
        <v>0</v>
      </c>
      <c r="P1423" s="18" t="b">
        <f>SUMPRODUCT(COUNTIF(_xlfn.XLOOKUP(D1423,BugList!C:C,BugList!P:P), "*SC*"))&gt;0</f>
        <v>0</v>
      </c>
    </row>
    <row r="1424" spans="1:16">
      <c r="A1424" s="86" t="s">
        <v>2870</v>
      </c>
      <c r="B1424" s="83">
        <v>315</v>
      </c>
      <c r="C1424" s="34" t="s">
        <v>205</v>
      </c>
      <c r="D1424" s="34" t="s">
        <v>206</v>
      </c>
      <c r="E1424" s="83">
        <v>1</v>
      </c>
      <c r="F1424" s="43">
        <f t="shared" si="270"/>
        <v>0.81967213114754101</v>
      </c>
      <c r="G1424" s="44">
        <f t="shared" si="264"/>
        <v>0</v>
      </c>
      <c r="H1424" s="44">
        <f t="shared" si="265"/>
        <v>0.81967213114754101</v>
      </c>
      <c r="I1424" cm="1">
        <f t="array" ref="I1424">INT(F1424)+IF(100-SUM(INT(F$1411:F$1425))&gt;=RANK(H1424,H$1411:H$1425)+COUNTIF(H$1411:H1424,H1424)-1,1,0)</f>
        <v>1</v>
      </c>
      <c r="J1424" t="b">
        <f t="shared" si="266"/>
        <v>0</v>
      </c>
      <c r="K1424" t="str">
        <f t="shared" si="267"/>
        <v/>
      </c>
      <c r="L1424" s="71">
        <v>8</v>
      </c>
      <c r="M1424">
        <f t="shared" si="268"/>
        <v>8</v>
      </c>
      <c r="N1424" s="71" t="b">
        <v>0</v>
      </c>
      <c r="O1424" t="b">
        <f t="shared" si="269"/>
        <v>0</v>
      </c>
      <c r="P1424" s="72" t="b">
        <v>0</v>
      </c>
    </row>
    <row r="1425" spans="1:16">
      <c r="A1425" s="86" t="s">
        <v>2870</v>
      </c>
      <c r="B1425" s="83">
        <v>315</v>
      </c>
      <c r="C1425" s="34" t="s">
        <v>198</v>
      </c>
      <c r="D1425" s="34" t="s">
        <v>107</v>
      </c>
      <c r="E1425" s="83">
        <v>12</v>
      </c>
      <c r="F1425" s="43">
        <f t="shared" si="270"/>
        <v>9.8360655737704921</v>
      </c>
      <c r="G1425" s="44">
        <f t="shared" si="264"/>
        <v>9</v>
      </c>
      <c r="H1425" s="44">
        <f t="shared" si="265"/>
        <v>0.83606557377049207</v>
      </c>
      <c r="I1425" cm="1">
        <f t="array" ref="I1425">INT(F1425)+IF(100-SUM(INT(F$1411:F$1425))&gt;=RANK(H1425,H$1411:H$1425)+COUNTIF(H$1411:H1425,H1425)-1,1,0)</f>
        <v>10</v>
      </c>
      <c r="J1425" t="b">
        <f t="shared" si="266"/>
        <v>1</v>
      </c>
      <c r="K1425" t="str">
        <f t="shared" si="267"/>
        <v>Trichoptera</v>
      </c>
      <c r="L1425">
        <f>_xlfn.XLOOKUP(D1425,BugList!C:C,BugList!N:N)</f>
        <v>3</v>
      </c>
      <c r="M1425">
        <f t="shared" si="268"/>
        <v>30</v>
      </c>
      <c r="N1425" t="b">
        <f>_xlfn.XLOOKUP(D1425,BugList!C:C,BugList!L:L)</f>
        <v>1</v>
      </c>
      <c r="O1425" t="b">
        <f t="shared" si="269"/>
        <v>1</v>
      </c>
      <c r="P1425" s="18" t="b">
        <f>SUMPRODUCT(COUNTIF(_xlfn.XLOOKUP(D1425,BugList!C:C,BugList!P:P), "*SC*"))&gt;0</f>
        <v>0</v>
      </c>
    </row>
    <row r="1426" spans="1:16">
      <c r="A1426" s="86" t="s">
        <v>2871</v>
      </c>
      <c r="B1426" s="83">
        <v>323</v>
      </c>
      <c r="C1426" s="34" t="s">
        <v>200</v>
      </c>
      <c r="D1426" s="34" t="s">
        <v>98</v>
      </c>
      <c r="E1426" s="83">
        <v>6</v>
      </c>
      <c r="F1426" s="43">
        <f t="shared" si="270"/>
        <v>4.3478260869565215</v>
      </c>
      <c r="G1426" s="44">
        <f t="shared" ref="G1426:G1489" si="271">INT(F1426)</f>
        <v>4</v>
      </c>
      <c r="H1426" s="44">
        <f t="shared" ref="H1426:H1489" si="272">F1426-G1426</f>
        <v>0.34782608695652151</v>
      </c>
      <c r="I1426" cm="1">
        <f t="array" ref="I1426">INT(F1426)+IF(100-SUM(INT(F$1426:F$1437))&gt;=RANK(H1426,H$1426:H$1437)+COUNTIF(H$1426:H1426,H1426)-1,1,0)</f>
        <v>4</v>
      </c>
      <c r="J1426" t="b">
        <f t="shared" ref="J1426:J1489" si="273">IF(OR(C1426="Ephemeroptera", C1426 ="Plecoptera", C1426= "Trichoptera"), TRUE, FALSE)</f>
        <v>0</v>
      </c>
      <c r="K1426" t="str">
        <f t="shared" ref="K1426:K1489" si="274">IF(J1426=TRUE,C1426,"")</f>
        <v/>
      </c>
      <c r="L1426">
        <f>_xlfn.XLOOKUP(D1426,BugList!C:C,BugList!N:N)</f>
        <v>4</v>
      </c>
      <c r="M1426">
        <f t="shared" ref="M1426:M1489" si="275">L1426*I1426</f>
        <v>16</v>
      </c>
      <c r="N1426" t="b">
        <f>_xlfn.XLOOKUP(D1426,BugList!C:C,BugList!L:L)</f>
        <v>1</v>
      </c>
      <c r="O1426" t="b">
        <f t="shared" ref="O1426:O1489" si="276">IF(J1426=TRUE,IF(D1426="Hydropsychidae", FALSE, TRUE), FALSE)</f>
        <v>0</v>
      </c>
      <c r="P1426" s="18" t="b">
        <f>SUMPRODUCT(COUNTIF(_xlfn.XLOOKUP(D1426,BugList!C:C,BugList!P:P), "*SC*"))&gt;0</f>
        <v>1</v>
      </c>
    </row>
    <row r="1427" spans="1:16">
      <c r="A1427" s="86" t="s">
        <v>2871</v>
      </c>
      <c r="B1427" s="83">
        <v>323</v>
      </c>
      <c r="C1427" s="34" t="s">
        <v>200</v>
      </c>
      <c r="D1427" s="34" t="s">
        <v>100</v>
      </c>
      <c r="E1427" s="83">
        <v>52</v>
      </c>
      <c r="F1427" s="43">
        <f t="shared" si="270"/>
        <v>37.681159420289859</v>
      </c>
      <c r="G1427" s="44">
        <f t="shared" si="271"/>
        <v>37</v>
      </c>
      <c r="H1427" s="44">
        <f t="shared" si="272"/>
        <v>0.68115942028985899</v>
      </c>
      <c r="I1427" cm="1">
        <f t="array" ref="I1427">INT(F1427)+IF(100-SUM(INT(F$1426:F$1437))&gt;=RANK(H1427,H$1426:H$1437)+COUNTIF(H$1426:H1427,H1427)-1,1,0)</f>
        <v>38</v>
      </c>
      <c r="J1427" t="b">
        <f t="shared" si="273"/>
        <v>0</v>
      </c>
      <c r="K1427" t="str">
        <f t="shared" si="274"/>
        <v/>
      </c>
      <c r="L1427">
        <f>_xlfn.XLOOKUP(D1427,BugList!C:C,BugList!N:N)</f>
        <v>4</v>
      </c>
      <c r="M1427">
        <f t="shared" si="275"/>
        <v>152</v>
      </c>
      <c r="N1427" t="b">
        <f>_xlfn.XLOOKUP(D1427,BugList!C:C,BugList!L:L)</f>
        <v>1</v>
      </c>
      <c r="O1427" t="b">
        <f t="shared" si="276"/>
        <v>0</v>
      </c>
      <c r="P1427" s="18" t="b">
        <f>SUMPRODUCT(COUNTIF(_xlfn.XLOOKUP(D1427,BugList!C:C,BugList!P:P), "*SC*"))&gt;0</f>
        <v>1</v>
      </c>
    </row>
    <row r="1428" spans="1:16">
      <c r="A1428" s="86" t="s">
        <v>2871</v>
      </c>
      <c r="B1428" s="83">
        <v>323</v>
      </c>
      <c r="C1428" s="34" t="s">
        <v>194</v>
      </c>
      <c r="D1428" s="34" t="s">
        <v>90</v>
      </c>
      <c r="E1428" s="83">
        <v>2</v>
      </c>
      <c r="F1428" s="43">
        <f t="shared" si="270"/>
        <v>1.4492753623188406</v>
      </c>
      <c r="G1428" s="44">
        <f t="shared" si="271"/>
        <v>1</v>
      </c>
      <c r="H1428" s="44">
        <f t="shared" si="272"/>
        <v>0.44927536231884058</v>
      </c>
      <c r="I1428" cm="1">
        <f t="array" ref="I1428">INT(F1428)+IF(100-SUM(INT(F$1426:F$1437))&gt;=RANK(H1428,H$1426:H$1437)+COUNTIF(H$1426:H1428,H1428)-1,1,0)</f>
        <v>1</v>
      </c>
      <c r="J1428" t="b">
        <f t="shared" si="273"/>
        <v>0</v>
      </c>
      <c r="K1428" t="str">
        <f t="shared" si="274"/>
        <v/>
      </c>
      <c r="L1428">
        <f>_xlfn.XLOOKUP(D1428,BugList!C:C,BugList!N:N)</f>
        <v>6</v>
      </c>
      <c r="M1428">
        <f t="shared" si="275"/>
        <v>6</v>
      </c>
      <c r="N1428" t="b">
        <f>_xlfn.XLOOKUP(D1428,BugList!C:C,BugList!L:L)</f>
        <v>1</v>
      </c>
      <c r="O1428" t="b">
        <f t="shared" si="276"/>
        <v>0</v>
      </c>
      <c r="P1428" s="18" t="b">
        <f>SUMPRODUCT(COUNTIF(_xlfn.XLOOKUP(D1428,BugList!C:C,BugList!P:P), "*SC*"))&gt;0</f>
        <v>0</v>
      </c>
    </row>
    <row r="1429" spans="1:16">
      <c r="A1429" s="86" t="s">
        <v>2871</v>
      </c>
      <c r="B1429" s="83">
        <v>323</v>
      </c>
      <c r="C1429" s="34" t="s">
        <v>199</v>
      </c>
      <c r="D1429" s="34" t="s">
        <v>96</v>
      </c>
      <c r="E1429" s="83">
        <v>1</v>
      </c>
      <c r="F1429" s="43">
        <f t="shared" si="270"/>
        <v>0.72463768115942029</v>
      </c>
      <c r="G1429" s="44">
        <f t="shared" si="271"/>
        <v>0</v>
      </c>
      <c r="H1429" s="44">
        <f t="shared" si="272"/>
        <v>0.72463768115942029</v>
      </c>
      <c r="I1429" cm="1">
        <f t="array" ref="I1429">INT(F1429)+IF(100-SUM(INT(F$1426:F$1437))&gt;=RANK(H1429,H$1426:H$1437)+COUNTIF(H$1426:H1429,H1429)-1,1,0)</f>
        <v>1</v>
      </c>
      <c r="J1429" t="b">
        <f t="shared" si="273"/>
        <v>1</v>
      </c>
      <c r="K1429" t="str">
        <f t="shared" si="274"/>
        <v>Ephemeroptera</v>
      </c>
      <c r="L1429">
        <f>_xlfn.XLOOKUP(D1429,BugList!C:C,BugList!N:N)</f>
        <v>4</v>
      </c>
      <c r="M1429">
        <f t="shared" si="275"/>
        <v>4</v>
      </c>
      <c r="N1429" t="b">
        <f>_xlfn.XLOOKUP(D1429,BugList!C:C,BugList!L:L)</f>
        <v>1</v>
      </c>
      <c r="O1429" t="b">
        <f t="shared" si="276"/>
        <v>1</v>
      </c>
      <c r="P1429" s="18" t="b">
        <f>SUMPRODUCT(COUNTIF(_xlfn.XLOOKUP(D1429,BugList!C:C,BugList!P:P), "*SC*"))&gt;0</f>
        <v>1</v>
      </c>
    </row>
    <row r="1430" spans="1:16">
      <c r="A1430" s="86" t="s">
        <v>2871</v>
      </c>
      <c r="B1430" s="83">
        <v>323</v>
      </c>
      <c r="C1430" s="34" t="s">
        <v>199</v>
      </c>
      <c r="D1430" s="34" t="s">
        <v>111</v>
      </c>
      <c r="E1430" s="83">
        <v>4</v>
      </c>
      <c r="F1430" s="43">
        <f t="shared" si="270"/>
        <v>2.8985507246376812</v>
      </c>
      <c r="G1430" s="44">
        <f t="shared" si="271"/>
        <v>2</v>
      </c>
      <c r="H1430" s="44">
        <f t="shared" si="272"/>
        <v>0.89855072463768115</v>
      </c>
      <c r="I1430" cm="1">
        <f t="array" ref="I1430">INT(F1430)+IF(100-SUM(INT(F$1426:F$1437))&gt;=RANK(H1430,H$1426:H$1437)+COUNTIF(H$1426:H1430,H1430)-1,1,0)</f>
        <v>3</v>
      </c>
      <c r="J1430" t="b">
        <f t="shared" si="273"/>
        <v>1</v>
      </c>
      <c r="K1430" t="str">
        <f t="shared" si="274"/>
        <v>Ephemeroptera</v>
      </c>
      <c r="L1430">
        <f>_xlfn.XLOOKUP(D1430,BugList!C:C,BugList!N:N)</f>
        <v>4</v>
      </c>
      <c r="M1430">
        <f t="shared" si="275"/>
        <v>12</v>
      </c>
      <c r="N1430" t="b">
        <f>_xlfn.XLOOKUP(D1430,BugList!C:C,BugList!L:L)</f>
        <v>1</v>
      </c>
      <c r="O1430" t="b">
        <f t="shared" si="276"/>
        <v>1</v>
      </c>
      <c r="P1430" s="18" t="b">
        <f>SUMPRODUCT(COUNTIF(_xlfn.XLOOKUP(D1430,BugList!C:C,BugList!P:P), "*SC*"))&gt;0</f>
        <v>0</v>
      </c>
    </row>
    <row r="1431" spans="1:16">
      <c r="A1431" s="86" t="s">
        <v>2871</v>
      </c>
      <c r="B1431" s="83">
        <v>323</v>
      </c>
      <c r="C1431" s="34" t="s">
        <v>195</v>
      </c>
      <c r="D1431" s="34" t="s">
        <v>113</v>
      </c>
      <c r="E1431" s="83">
        <v>1</v>
      </c>
      <c r="F1431" s="43">
        <f t="shared" si="270"/>
        <v>0.72463768115942029</v>
      </c>
      <c r="G1431" s="44">
        <f t="shared" si="271"/>
        <v>0</v>
      </c>
      <c r="H1431" s="44">
        <f t="shared" si="272"/>
        <v>0.72463768115942029</v>
      </c>
      <c r="I1431" cm="1">
        <f t="array" ref="I1431">INT(F1431)+IF(100-SUM(INT(F$1426:F$1437))&gt;=RANK(H1431,H$1426:H$1437)+COUNTIF(H$1426:H1431,H1431)-1,1,0)</f>
        <v>1</v>
      </c>
      <c r="J1431" t="b">
        <f t="shared" si="273"/>
        <v>0</v>
      </c>
      <c r="K1431" t="str">
        <f t="shared" si="274"/>
        <v/>
      </c>
      <c r="L1431">
        <f>_xlfn.XLOOKUP(D1431,BugList!C:C,BugList!N:N)</f>
        <v>1</v>
      </c>
      <c r="M1431">
        <f t="shared" si="275"/>
        <v>1</v>
      </c>
      <c r="N1431" t="b">
        <f>_xlfn.XLOOKUP(D1431,BugList!C:C,BugList!L:L)</f>
        <v>1</v>
      </c>
      <c r="O1431" t="b">
        <f t="shared" si="276"/>
        <v>0</v>
      </c>
      <c r="P1431" s="18" t="b">
        <f>SUMPRODUCT(COUNTIF(_xlfn.XLOOKUP(D1431,BugList!C:C,BugList!P:P), "*SC*"))&gt;0</f>
        <v>0</v>
      </c>
    </row>
    <row r="1432" spans="1:16">
      <c r="A1432" s="86" t="s">
        <v>2871</v>
      </c>
      <c r="B1432" s="83">
        <v>323</v>
      </c>
      <c r="C1432" s="34" t="s">
        <v>197</v>
      </c>
      <c r="D1432" s="34" t="s">
        <v>105</v>
      </c>
      <c r="E1432" s="83">
        <v>2</v>
      </c>
      <c r="F1432" s="43">
        <f t="shared" si="270"/>
        <v>1.4492753623188406</v>
      </c>
      <c r="G1432" s="44">
        <f t="shared" si="271"/>
        <v>1</v>
      </c>
      <c r="H1432" s="44">
        <f t="shared" si="272"/>
        <v>0.44927536231884058</v>
      </c>
      <c r="I1432" cm="1">
        <f t="array" ref="I1432">INT(F1432)+IF(100-SUM(INT(F$1426:F$1437))&gt;=RANK(H1432,H$1426:H$1437)+COUNTIF(H$1426:H1432,H1432)-1,1,0)</f>
        <v>1</v>
      </c>
      <c r="J1432" t="b">
        <f t="shared" si="273"/>
        <v>1</v>
      </c>
      <c r="K1432" t="str">
        <f t="shared" si="274"/>
        <v>Plecoptera</v>
      </c>
      <c r="L1432">
        <f>_xlfn.XLOOKUP(D1432,BugList!C:C,BugList!N:N)</f>
        <v>1</v>
      </c>
      <c r="M1432">
        <f t="shared" si="275"/>
        <v>1</v>
      </c>
      <c r="N1432" t="b">
        <f>_xlfn.XLOOKUP(D1432,BugList!C:C,BugList!L:L)</f>
        <v>1</v>
      </c>
      <c r="O1432" t="b">
        <f t="shared" si="276"/>
        <v>1</v>
      </c>
      <c r="P1432" s="18" t="b">
        <f>SUMPRODUCT(COUNTIF(_xlfn.XLOOKUP(D1432,BugList!C:C,BugList!P:P), "*SC*"))&gt;0</f>
        <v>0</v>
      </c>
    </row>
    <row r="1433" spans="1:16">
      <c r="A1433" s="86" t="s">
        <v>2871</v>
      </c>
      <c r="B1433" s="83">
        <v>323</v>
      </c>
      <c r="C1433" s="34" t="s">
        <v>198</v>
      </c>
      <c r="D1433" s="34" t="s">
        <v>89</v>
      </c>
      <c r="E1433" s="83">
        <v>59</v>
      </c>
      <c r="F1433" s="43">
        <f t="shared" si="270"/>
        <v>42.753623188405797</v>
      </c>
      <c r="G1433" s="44">
        <f t="shared" si="271"/>
        <v>42</v>
      </c>
      <c r="H1433" s="44">
        <f t="shared" si="272"/>
        <v>0.7536231884057969</v>
      </c>
      <c r="I1433" cm="1">
        <f t="array" ref="I1433">INT(F1433)+IF(100-SUM(INT(F$1426:F$1437))&gt;=RANK(H1433,H$1426:H$1437)+COUNTIF(H$1426:H1433,H1433)-1,1,0)</f>
        <v>43</v>
      </c>
      <c r="J1433" t="b">
        <f t="shared" si="273"/>
        <v>1</v>
      </c>
      <c r="K1433" t="str">
        <f t="shared" si="274"/>
        <v>Trichoptera</v>
      </c>
      <c r="L1433">
        <f>_xlfn.XLOOKUP(D1433,BugList!C:C,BugList!N:N)</f>
        <v>4</v>
      </c>
      <c r="M1433">
        <f t="shared" si="275"/>
        <v>172</v>
      </c>
      <c r="N1433" t="b">
        <f>_xlfn.XLOOKUP(D1433,BugList!C:C,BugList!L:L)</f>
        <v>1</v>
      </c>
      <c r="O1433" t="b">
        <f t="shared" si="276"/>
        <v>0</v>
      </c>
      <c r="P1433" s="18" t="b">
        <f>SUMPRODUCT(COUNTIF(_xlfn.XLOOKUP(D1433,BugList!C:C,BugList!P:P), "*SC*"))&gt;0</f>
        <v>0</v>
      </c>
    </row>
    <row r="1434" spans="1:16">
      <c r="A1434" s="86" t="s">
        <v>2871</v>
      </c>
      <c r="B1434" s="83">
        <v>323</v>
      </c>
      <c r="C1434" s="34" t="s">
        <v>198</v>
      </c>
      <c r="D1434" s="34" t="s">
        <v>107</v>
      </c>
      <c r="E1434" s="83">
        <v>6</v>
      </c>
      <c r="F1434" s="43">
        <f t="shared" si="270"/>
        <v>4.3478260869565215</v>
      </c>
      <c r="G1434" s="44">
        <f t="shared" si="271"/>
        <v>4</v>
      </c>
      <c r="H1434" s="44">
        <f t="shared" si="272"/>
        <v>0.34782608695652151</v>
      </c>
      <c r="I1434" cm="1">
        <f t="array" ref="I1434">INT(F1434)+IF(100-SUM(INT(F$1426:F$1437))&gt;=RANK(H1434,H$1426:H$1437)+COUNTIF(H$1426:H1434,H1434)-1,1,0)</f>
        <v>4</v>
      </c>
      <c r="J1434" t="b">
        <f t="shared" si="273"/>
        <v>1</v>
      </c>
      <c r="K1434" t="str">
        <f t="shared" si="274"/>
        <v>Trichoptera</v>
      </c>
      <c r="L1434">
        <f>_xlfn.XLOOKUP(D1434,BugList!C:C,BugList!N:N)</f>
        <v>3</v>
      </c>
      <c r="M1434">
        <f t="shared" si="275"/>
        <v>12</v>
      </c>
      <c r="N1434" t="b">
        <f>_xlfn.XLOOKUP(D1434,BugList!C:C,BugList!L:L)</f>
        <v>1</v>
      </c>
      <c r="O1434" t="b">
        <f t="shared" si="276"/>
        <v>1</v>
      </c>
      <c r="P1434" s="18" t="b">
        <f>SUMPRODUCT(COUNTIF(_xlfn.XLOOKUP(D1434,BugList!C:C,BugList!P:P), "*SC*"))&gt;0</f>
        <v>0</v>
      </c>
    </row>
    <row r="1435" spans="1:16">
      <c r="A1435" s="86" t="s">
        <v>2871</v>
      </c>
      <c r="B1435" s="83">
        <v>323</v>
      </c>
      <c r="C1435" s="34" t="s">
        <v>201</v>
      </c>
      <c r="D1435" s="34" t="s">
        <v>109</v>
      </c>
      <c r="E1435" s="83">
        <v>3</v>
      </c>
      <c r="F1435" s="43">
        <f t="shared" si="270"/>
        <v>2.1739130434782608</v>
      </c>
      <c r="G1435" s="44">
        <f t="shared" si="271"/>
        <v>2</v>
      </c>
      <c r="H1435" s="44">
        <f t="shared" si="272"/>
        <v>0.17391304347826075</v>
      </c>
      <c r="I1435" cm="1">
        <f t="array" ref="I1435">INT(F1435)+IF(100-SUM(INT(F$1426:F$1437))&gt;=RANK(H1435,H$1426:H$1437)+COUNTIF(H$1426:H1435,H1435)-1,1,0)</f>
        <v>2</v>
      </c>
      <c r="J1435" t="b">
        <f t="shared" si="273"/>
        <v>0</v>
      </c>
      <c r="K1435" t="str">
        <f t="shared" si="274"/>
        <v/>
      </c>
      <c r="L1435">
        <f>_xlfn.XLOOKUP(D1435,BugList!C:C,BugList!N:N)</f>
        <v>6</v>
      </c>
      <c r="M1435">
        <f t="shared" si="275"/>
        <v>12</v>
      </c>
      <c r="N1435" t="b">
        <f>_xlfn.XLOOKUP(D1435,BugList!C:C,BugList!L:L)</f>
        <v>0</v>
      </c>
      <c r="O1435" t="b">
        <f t="shared" si="276"/>
        <v>0</v>
      </c>
      <c r="P1435" s="18" t="b">
        <f>SUMPRODUCT(COUNTIF(_xlfn.XLOOKUP(D1435,BugList!C:C,BugList!P:P), "*SC*"))&gt;0</f>
        <v>0</v>
      </c>
    </row>
    <row r="1436" spans="1:16">
      <c r="A1436" s="86" t="s">
        <v>2871</v>
      </c>
      <c r="B1436" s="83">
        <v>323</v>
      </c>
      <c r="C1436" s="34" t="s">
        <v>201</v>
      </c>
      <c r="D1436" s="34" t="s">
        <v>85</v>
      </c>
      <c r="E1436" s="83">
        <v>1</v>
      </c>
      <c r="F1436" s="43">
        <f t="shared" si="270"/>
        <v>0.72463768115942029</v>
      </c>
      <c r="G1436" s="44">
        <f t="shared" si="271"/>
        <v>0</v>
      </c>
      <c r="H1436" s="44">
        <f t="shared" si="272"/>
        <v>0.72463768115942029</v>
      </c>
      <c r="I1436" cm="1">
        <f t="array" ref="I1436">INT(F1436)+IF(100-SUM(INT(F$1426:F$1437))&gt;=RANK(H1436,H$1426:H$1437)+COUNTIF(H$1426:H1436,H1436)-1,1,0)</f>
        <v>1</v>
      </c>
      <c r="J1436" t="b">
        <f t="shared" si="273"/>
        <v>0</v>
      </c>
      <c r="K1436" t="str">
        <f t="shared" si="274"/>
        <v/>
      </c>
      <c r="L1436">
        <f>_xlfn.XLOOKUP(D1436,BugList!C:C,BugList!N:N)</f>
        <v>4</v>
      </c>
      <c r="M1436">
        <f t="shared" si="275"/>
        <v>4</v>
      </c>
      <c r="N1436" t="b">
        <f>_xlfn.XLOOKUP(D1436,BugList!C:C,BugList!L:L)</f>
        <v>0</v>
      </c>
      <c r="O1436" t="b">
        <f t="shared" si="276"/>
        <v>0</v>
      </c>
      <c r="P1436" s="18" t="b">
        <f>SUMPRODUCT(COUNTIF(_xlfn.XLOOKUP(D1436,BugList!C:C,BugList!P:P), "*SC*"))&gt;0</f>
        <v>0</v>
      </c>
    </row>
    <row r="1437" spans="1:16">
      <c r="A1437" s="86" t="s">
        <v>2871</v>
      </c>
      <c r="B1437" s="83">
        <v>323</v>
      </c>
      <c r="C1437" s="34" t="s">
        <v>2315</v>
      </c>
      <c r="D1437" s="34" t="s">
        <v>102</v>
      </c>
      <c r="E1437" s="83">
        <v>1</v>
      </c>
      <c r="F1437" s="43">
        <f t="shared" si="270"/>
        <v>0.72463768115942029</v>
      </c>
      <c r="G1437" s="44">
        <f t="shared" si="271"/>
        <v>0</v>
      </c>
      <c r="H1437" s="44">
        <f t="shared" si="272"/>
        <v>0.72463768115942029</v>
      </c>
      <c r="I1437" cm="1">
        <f t="array" ref="I1437">INT(F1437)+IF(100-SUM(INT(F$1426:F$1437))&gt;=RANK(H1437,H$1426:H$1437)+COUNTIF(H$1426:H1437,H1437)-1,1,0)</f>
        <v>1</v>
      </c>
      <c r="J1437" t="b">
        <f t="shared" si="273"/>
        <v>0</v>
      </c>
      <c r="K1437" t="str">
        <f t="shared" si="274"/>
        <v/>
      </c>
      <c r="L1437">
        <f>_xlfn.XLOOKUP(D1437,BugList!C:C,BugList!N:N)</f>
        <v>7</v>
      </c>
      <c r="M1437">
        <f t="shared" si="275"/>
        <v>7</v>
      </c>
      <c r="N1437" t="b">
        <f>_xlfn.XLOOKUP(D1437,BugList!C:C,BugList!L:L)</f>
        <v>0</v>
      </c>
      <c r="O1437" t="b">
        <f t="shared" si="276"/>
        <v>0</v>
      </c>
      <c r="P1437" s="18" t="b">
        <f>SUMPRODUCT(COUNTIF(_xlfn.XLOOKUP(D1437,BugList!C:C,BugList!P:P), "*SC*"))&gt;0</f>
        <v>1</v>
      </c>
    </row>
    <row r="1438" spans="1:16">
      <c r="A1438" s="86" t="s">
        <v>2872</v>
      </c>
      <c r="B1438" s="83">
        <v>341</v>
      </c>
      <c r="C1438" s="34" t="s">
        <v>200</v>
      </c>
      <c r="D1438" s="34" t="s">
        <v>98</v>
      </c>
      <c r="E1438" s="83">
        <v>2</v>
      </c>
      <c r="F1438" s="43">
        <f t="shared" si="270"/>
        <v>1.4814814814814816</v>
      </c>
      <c r="G1438" s="44">
        <f t="shared" si="271"/>
        <v>1</v>
      </c>
      <c r="H1438" s="44">
        <f t="shared" si="272"/>
        <v>0.48148148148148162</v>
      </c>
      <c r="I1438" cm="1">
        <f t="array" ref="I1438">INT(F1438)+IF(100-SUM(INT(F$1438:F$1449))&gt;=RANK(H1438,H$1438:H$1449)+COUNTIF(H$1438:H1438,H1438)-1,1,0)</f>
        <v>1</v>
      </c>
      <c r="J1438" t="b">
        <f t="shared" si="273"/>
        <v>0</v>
      </c>
      <c r="K1438" t="str">
        <f t="shared" si="274"/>
        <v/>
      </c>
      <c r="L1438">
        <f>_xlfn.XLOOKUP(D1438,BugList!C:C,BugList!N:N)</f>
        <v>4</v>
      </c>
      <c r="M1438">
        <f t="shared" si="275"/>
        <v>4</v>
      </c>
      <c r="N1438" t="b">
        <f>_xlfn.XLOOKUP(D1438,BugList!C:C,BugList!L:L)</f>
        <v>1</v>
      </c>
      <c r="O1438" t="b">
        <f t="shared" si="276"/>
        <v>0</v>
      </c>
      <c r="P1438" s="18" t="b">
        <f>SUMPRODUCT(COUNTIF(_xlfn.XLOOKUP(D1438,BugList!C:C,BugList!P:P), "*SC*"))&gt;0</f>
        <v>1</v>
      </c>
    </row>
    <row r="1439" spans="1:16">
      <c r="A1439" s="86" t="s">
        <v>2872</v>
      </c>
      <c r="B1439" s="83">
        <v>341</v>
      </c>
      <c r="C1439" s="34" t="s">
        <v>200</v>
      </c>
      <c r="D1439" s="34" t="s">
        <v>100</v>
      </c>
      <c r="E1439" s="83">
        <v>30</v>
      </c>
      <c r="F1439" s="43">
        <f t="shared" si="270"/>
        <v>22.222222222222221</v>
      </c>
      <c r="G1439" s="44">
        <f t="shared" si="271"/>
        <v>22</v>
      </c>
      <c r="H1439" s="44">
        <f t="shared" si="272"/>
        <v>0.22222222222222143</v>
      </c>
      <c r="I1439" cm="1">
        <f t="array" ref="I1439">INT(F1439)+IF(100-SUM(INT(F$1438:F$1449))&gt;=RANK(H1439,H$1438:H$1449)+COUNTIF(H$1438:H1439,H1439)-1,1,0)</f>
        <v>22</v>
      </c>
      <c r="J1439" t="b">
        <f t="shared" si="273"/>
        <v>0</v>
      </c>
      <c r="K1439" t="str">
        <f t="shared" si="274"/>
        <v/>
      </c>
      <c r="L1439">
        <f>_xlfn.XLOOKUP(D1439,BugList!C:C,BugList!N:N)</f>
        <v>4</v>
      </c>
      <c r="M1439">
        <f t="shared" si="275"/>
        <v>88</v>
      </c>
      <c r="N1439" t="b">
        <f>_xlfn.XLOOKUP(D1439,BugList!C:C,BugList!L:L)</f>
        <v>1</v>
      </c>
      <c r="O1439" t="b">
        <f t="shared" si="276"/>
        <v>0</v>
      </c>
      <c r="P1439" s="18" t="b">
        <f>SUMPRODUCT(COUNTIF(_xlfn.XLOOKUP(D1439,BugList!C:C,BugList!P:P), "*SC*"))&gt;0</f>
        <v>1</v>
      </c>
    </row>
    <row r="1440" spans="1:16">
      <c r="A1440" s="86" t="s">
        <v>2872</v>
      </c>
      <c r="B1440" s="83">
        <v>341</v>
      </c>
      <c r="C1440" s="34" t="s">
        <v>194</v>
      </c>
      <c r="D1440" s="34" t="s">
        <v>101</v>
      </c>
      <c r="E1440" s="83">
        <v>1</v>
      </c>
      <c r="F1440" s="43">
        <f t="shared" si="270"/>
        <v>0.74074074074074081</v>
      </c>
      <c r="G1440" s="44">
        <f t="shared" si="271"/>
        <v>0</v>
      </c>
      <c r="H1440" s="44">
        <f t="shared" si="272"/>
        <v>0.74074074074074081</v>
      </c>
      <c r="I1440" cm="1">
        <f t="array" ref="I1440">INT(F1440)+IF(100-SUM(INT(F$1438:F$1449))&gt;=RANK(H1440,H$1438:H$1449)+COUNTIF(H$1438:H1440,H1440)-1,1,0)</f>
        <v>1</v>
      </c>
      <c r="J1440" t="b">
        <f t="shared" si="273"/>
        <v>0</v>
      </c>
      <c r="K1440" t="str">
        <f t="shared" si="274"/>
        <v/>
      </c>
      <c r="L1440">
        <f>_xlfn.XLOOKUP(D1440,BugList!C:C,BugList!N:N)</f>
        <v>6</v>
      </c>
      <c r="M1440">
        <f t="shared" si="275"/>
        <v>6</v>
      </c>
      <c r="N1440" t="b">
        <f>_xlfn.XLOOKUP(D1440,BugList!C:C,BugList!L:L)</f>
        <v>1</v>
      </c>
      <c r="O1440" t="b">
        <f t="shared" si="276"/>
        <v>0</v>
      </c>
      <c r="P1440" s="18" t="b">
        <f>SUMPRODUCT(COUNTIF(_xlfn.XLOOKUP(D1440,BugList!C:C,BugList!P:P), "*SC*"))&gt;0</f>
        <v>0</v>
      </c>
    </row>
    <row r="1441" spans="1:16">
      <c r="A1441" s="86" t="s">
        <v>2872</v>
      </c>
      <c r="B1441" s="83">
        <v>341</v>
      </c>
      <c r="C1441" s="34" t="s">
        <v>194</v>
      </c>
      <c r="D1441" s="34" t="s">
        <v>108</v>
      </c>
      <c r="E1441" s="83">
        <v>1</v>
      </c>
      <c r="F1441" s="43">
        <f t="shared" si="270"/>
        <v>0.74074074074074081</v>
      </c>
      <c r="G1441" s="44">
        <f t="shared" si="271"/>
        <v>0</v>
      </c>
      <c r="H1441" s="44">
        <f t="shared" si="272"/>
        <v>0.74074074074074081</v>
      </c>
      <c r="I1441" cm="1">
        <f t="array" ref="I1441">INT(F1441)+IF(100-SUM(INT(F$1438:F$1449))&gt;=RANK(H1441,H$1438:H$1449)+COUNTIF(H$1438:H1441,H1441)-1,1,0)</f>
        <v>1</v>
      </c>
      <c r="J1441" t="b">
        <f t="shared" si="273"/>
        <v>0</v>
      </c>
      <c r="K1441" t="str">
        <f t="shared" si="274"/>
        <v/>
      </c>
      <c r="L1441">
        <f>_xlfn.XLOOKUP(D1441,BugList!C:C,BugList!N:N)</f>
        <v>3</v>
      </c>
      <c r="M1441">
        <f t="shared" si="275"/>
        <v>3</v>
      </c>
      <c r="N1441" t="b">
        <f>_xlfn.XLOOKUP(D1441,BugList!C:C,BugList!L:L)</f>
        <v>1</v>
      </c>
      <c r="O1441" t="b">
        <f t="shared" si="276"/>
        <v>0</v>
      </c>
      <c r="P1441" s="18" t="b">
        <f>SUMPRODUCT(COUNTIF(_xlfn.XLOOKUP(D1441,BugList!C:C,BugList!P:P), "*SC*"))&gt;0</f>
        <v>0</v>
      </c>
    </row>
    <row r="1442" spans="1:16">
      <c r="A1442" s="86" t="s">
        <v>2872</v>
      </c>
      <c r="B1442" s="83">
        <v>341</v>
      </c>
      <c r="C1442" s="34" t="s">
        <v>199</v>
      </c>
      <c r="D1442" s="34" t="s">
        <v>111</v>
      </c>
      <c r="E1442" s="83">
        <v>2</v>
      </c>
      <c r="F1442" s="43">
        <f t="shared" si="270"/>
        <v>1.4814814814814816</v>
      </c>
      <c r="G1442" s="44">
        <f t="shared" si="271"/>
        <v>1</v>
      </c>
      <c r="H1442" s="44">
        <f t="shared" si="272"/>
        <v>0.48148148148148162</v>
      </c>
      <c r="I1442" cm="1">
        <f t="array" ref="I1442">INT(F1442)+IF(100-SUM(INT(F$1438:F$1449))&gt;=RANK(H1442,H$1438:H$1449)+COUNTIF(H$1438:H1442,H1442)-1,1,0)</f>
        <v>1</v>
      </c>
      <c r="J1442" t="b">
        <f t="shared" si="273"/>
        <v>1</v>
      </c>
      <c r="K1442" t="str">
        <f t="shared" si="274"/>
        <v>Ephemeroptera</v>
      </c>
      <c r="L1442">
        <f>_xlfn.XLOOKUP(D1442,BugList!C:C,BugList!N:N)</f>
        <v>4</v>
      </c>
      <c r="M1442">
        <f t="shared" si="275"/>
        <v>4</v>
      </c>
      <c r="N1442" t="b">
        <f>_xlfn.XLOOKUP(D1442,BugList!C:C,BugList!L:L)</f>
        <v>1</v>
      </c>
      <c r="O1442" t="b">
        <f t="shared" si="276"/>
        <v>1</v>
      </c>
      <c r="P1442" s="18" t="b">
        <f>SUMPRODUCT(COUNTIF(_xlfn.XLOOKUP(D1442,BugList!C:C,BugList!P:P), "*SC*"))&gt;0</f>
        <v>0</v>
      </c>
    </row>
    <row r="1443" spans="1:16">
      <c r="A1443" s="86" t="s">
        <v>2872</v>
      </c>
      <c r="B1443" s="83">
        <v>341</v>
      </c>
      <c r="C1443" s="34" t="s">
        <v>195</v>
      </c>
      <c r="D1443" s="34" t="s">
        <v>97</v>
      </c>
      <c r="E1443" s="83">
        <v>1</v>
      </c>
      <c r="F1443" s="43">
        <f t="shared" si="270"/>
        <v>0.74074074074074081</v>
      </c>
      <c r="G1443" s="44">
        <f t="shared" si="271"/>
        <v>0</v>
      </c>
      <c r="H1443" s="44">
        <f t="shared" si="272"/>
        <v>0.74074074074074081</v>
      </c>
      <c r="I1443" cm="1">
        <f t="array" ref="I1443">INT(F1443)+IF(100-SUM(INT(F$1438:F$1449))&gt;=RANK(H1443,H$1438:H$1449)+COUNTIF(H$1438:H1443,H1443)-1,1,0)</f>
        <v>1</v>
      </c>
      <c r="J1443" t="b">
        <f t="shared" si="273"/>
        <v>0</v>
      </c>
      <c r="K1443" t="str">
        <f t="shared" si="274"/>
        <v/>
      </c>
      <c r="L1443">
        <f>_xlfn.XLOOKUP(D1443,BugList!C:C,BugList!N:N)</f>
        <v>9</v>
      </c>
      <c r="M1443">
        <f t="shared" si="275"/>
        <v>9</v>
      </c>
      <c r="N1443" t="b">
        <f>_xlfn.XLOOKUP(D1443,BugList!C:C,BugList!L:L)</f>
        <v>1</v>
      </c>
      <c r="O1443" t="b">
        <f t="shared" si="276"/>
        <v>0</v>
      </c>
      <c r="P1443" s="18" t="b">
        <f>SUMPRODUCT(COUNTIF(_xlfn.XLOOKUP(D1443,BugList!C:C,BugList!P:P), "*SC*"))&gt;0</f>
        <v>0</v>
      </c>
    </row>
    <row r="1444" spans="1:16">
      <c r="A1444" s="86" t="s">
        <v>2872</v>
      </c>
      <c r="B1444" s="83">
        <v>341</v>
      </c>
      <c r="C1444" s="34" t="s">
        <v>211</v>
      </c>
      <c r="D1444" s="34" t="s">
        <v>87</v>
      </c>
      <c r="E1444" s="83">
        <v>3</v>
      </c>
      <c r="F1444" s="43">
        <f t="shared" si="270"/>
        <v>2.2222222222222223</v>
      </c>
      <c r="G1444" s="44">
        <f t="shared" si="271"/>
        <v>2</v>
      </c>
      <c r="H1444" s="44">
        <f t="shared" si="272"/>
        <v>0.22222222222222232</v>
      </c>
      <c r="I1444" cm="1">
        <f t="array" ref="I1444">INT(F1444)+IF(100-SUM(INT(F$1438:F$1449))&gt;=RANK(H1444,H$1438:H$1449)+COUNTIF(H$1438:H1444,H1444)-1,1,0)</f>
        <v>2</v>
      </c>
      <c r="J1444" t="b">
        <f t="shared" si="273"/>
        <v>0</v>
      </c>
      <c r="K1444" t="str">
        <f t="shared" si="274"/>
        <v/>
      </c>
      <c r="L1444">
        <f>_xlfn.XLOOKUP(D1444,BugList!C:C,BugList!N:N)</f>
        <v>4</v>
      </c>
      <c r="M1444">
        <f t="shared" si="275"/>
        <v>8</v>
      </c>
      <c r="N1444" t="b">
        <f>_xlfn.XLOOKUP(D1444,BugList!C:C,BugList!L:L)</f>
        <v>0</v>
      </c>
      <c r="O1444" t="b">
        <f t="shared" si="276"/>
        <v>0</v>
      </c>
      <c r="P1444" s="18" t="b">
        <f>SUMPRODUCT(COUNTIF(_xlfn.XLOOKUP(D1444,BugList!C:C,BugList!P:P), "*SC*"))&gt;0</f>
        <v>0</v>
      </c>
    </row>
    <row r="1445" spans="1:16">
      <c r="A1445" s="86" t="s">
        <v>2872</v>
      </c>
      <c r="B1445" s="83">
        <v>341</v>
      </c>
      <c r="C1445" s="34" t="s">
        <v>197</v>
      </c>
      <c r="D1445" s="34" t="s">
        <v>105</v>
      </c>
      <c r="E1445" s="83">
        <v>4</v>
      </c>
      <c r="F1445" s="43">
        <f t="shared" si="270"/>
        <v>2.9629629629629632</v>
      </c>
      <c r="G1445" s="44">
        <f t="shared" si="271"/>
        <v>2</v>
      </c>
      <c r="H1445" s="44">
        <f t="shared" si="272"/>
        <v>0.96296296296296324</v>
      </c>
      <c r="I1445" cm="1">
        <f t="array" ref="I1445">INT(F1445)+IF(100-SUM(INT(F$1438:F$1449))&gt;=RANK(H1445,H$1438:H$1449)+COUNTIF(H$1438:H1445,H1445)-1,1,0)</f>
        <v>3</v>
      </c>
      <c r="J1445" t="b">
        <f t="shared" si="273"/>
        <v>1</v>
      </c>
      <c r="K1445" t="str">
        <f t="shared" si="274"/>
        <v>Plecoptera</v>
      </c>
      <c r="L1445">
        <f>_xlfn.XLOOKUP(D1445,BugList!C:C,BugList!N:N)</f>
        <v>1</v>
      </c>
      <c r="M1445">
        <f t="shared" si="275"/>
        <v>3</v>
      </c>
      <c r="N1445" t="b">
        <f>_xlfn.XLOOKUP(D1445,BugList!C:C,BugList!L:L)</f>
        <v>1</v>
      </c>
      <c r="O1445" t="b">
        <f t="shared" si="276"/>
        <v>1</v>
      </c>
      <c r="P1445" s="18" t="b">
        <f>SUMPRODUCT(COUNTIF(_xlfn.XLOOKUP(D1445,BugList!C:C,BugList!P:P), "*SC*"))&gt;0</f>
        <v>0</v>
      </c>
    </row>
    <row r="1446" spans="1:16">
      <c r="A1446" s="86" t="s">
        <v>2872</v>
      </c>
      <c r="B1446" s="83">
        <v>341</v>
      </c>
      <c r="C1446" s="34" t="s">
        <v>198</v>
      </c>
      <c r="D1446" s="34" t="s">
        <v>89</v>
      </c>
      <c r="E1446" s="83">
        <v>25</v>
      </c>
      <c r="F1446" s="43">
        <f t="shared" si="270"/>
        <v>18.518518518518519</v>
      </c>
      <c r="G1446" s="44">
        <f t="shared" si="271"/>
        <v>18</v>
      </c>
      <c r="H1446" s="44">
        <f t="shared" si="272"/>
        <v>0.51851851851851904</v>
      </c>
      <c r="I1446" cm="1">
        <f t="array" ref="I1446">INT(F1446)+IF(100-SUM(INT(F$1438:F$1449))&gt;=RANK(H1446,H$1438:H$1449)+COUNTIF(H$1438:H1446,H1446)-1,1,0)</f>
        <v>19</v>
      </c>
      <c r="J1446" t="b">
        <f t="shared" si="273"/>
        <v>1</v>
      </c>
      <c r="K1446" t="str">
        <f t="shared" si="274"/>
        <v>Trichoptera</v>
      </c>
      <c r="L1446">
        <f>_xlfn.XLOOKUP(D1446,BugList!C:C,BugList!N:N)</f>
        <v>4</v>
      </c>
      <c r="M1446">
        <f t="shared" si="275"/>
        <v>76</v>
      </c>
      <c r="N1446" t="b">
        <f>_xlfn.XLOOKUP(D1446,BugList!C:C,BugList!L:L)</f>
        <v>1</v>
      </c>
      <c r="O1446" t="b">
        <f t="shared" si="276"/>
        <v>0</v>
      </c>
      <c r="P1446" s="18" t="b">
        <f>SUMPRODUCT(COUNTIF(_xlfn.XLOOKUP(D1446,BugList!C:C,BugList!P:P), "*SC*"))&gt;0</f>
        <v>0</v>
      </c>
    </row>
    <row r="1447" spans="1:16">
      <c r="A1447" s="86" t="s">
        <v>2872</v>
      </c>
      <c r="B1447" s="83">
        <v>341</v>
      </c>
      <c r="C1447" s="34" t="s">
        <v>198</v>
      </c>
      <c r="D1447" s="34" t="s">
        <v>107</v>
      </c>
      <c r="E1447" s="83">
        <v>64</v>
      </c>
      <c r="F1447" s="43">
        <f t="shared" si="270"/>
        <v>47.407407407407412</v>
      </c>
      <c r="G1447" s="44">
        <f t="shared" si="271"/>
        <v>47</v>
      </c>
      <c r="H1447" s="44">
        <f t="shared" si="272"/>
        <v>0.40740740740741188</v>
      </c>
      <c r="I1447" cm="1">
        <f t="array" ref="I1447">INT(F1447)+IF(100-SUM(INT(F$1438:F$1449))&gt;=RANK(H1447,H$1438:H$1449)+COUNTIF(H$1438:H1447,H1447)-1,1,0)</f>
        <v>47</v>
      </c>
      <c r="J1447" t="b">
        <f t="shared" si="273"/>
        <v>1</v>
      </c>
      <c r="K1447" t="str">
        <f t="shared" si="274"/>
        <v>Trichoptera</v>
      </c>
      <c r="L1447">
        <f>_xlfn.XLOOKUP(D1447,BugList!C:C,BugList!N:N)</f>
        <v>3</v>
      </c>
      <c r="M1447">
        <f t="shared" si="275"/>
        <v>141</v>
      </c>
      <c r="N1447" t="b">
        <f>_xlfn.XLOOKUP(D1447,BugList!C:C,BugList!L:L)</f>
        <v>1</v>
      </c>
      <c r="O1447" t="b">
        <f t="shared" si="276"/>
        <v>1</v>
      </c>
      <c r="P1447" s="18" t="b">
        <f>SUMPRODUCT(COUNTIF(_xlfn.XLOOKUP(D1447,BugList!C:C,BugList!P:P), "*SC*"))&gt;0</f>
        <v>0</v>
      </c>
    </row>
    <row r="1448" spans="1:16">
      <c r="A1448" s="86" t="s">
        <v>2872</v>
      </c>
      <c r="B1448" s="83">
        <v>341</v>
      </c>
      <c r="C1448" s="34" t="s">
        <v>201</v>
      </c>
      <c r="D1448" s="34" t="s">
        <v>85</v>
      </c>
      <c r="E1448" s="83">
        <v>1</v>
      </c>
      <c r="F1448" s="43">
        <f t="shared" si="270"/>
        <v>0.74074074074074081</v>
      </c>
      <c r="G1448" s="44">
        <f t="shared" si="271"/>
        <v>0</v>
      </c>
      <c r="H1448" s="44">
        <f t="shared" si="272"/>
        <v>0.74074074074074081</v>
      </c>
      <c r="I1448" cm="1">
        <f t="array" ref="I1448">INT(F1448)+IF(100-SUM(INT(F$1438:F$1449))&gt;=RANK(H1448,H$1438:H$1449)+COUNTIF(H$1438:H1448,H1448)-1,1,0)</f>
        <v>1</v>
      </c>
      <c r="J1448" t="b">
        <f t="shared" si="273"/>
        <v>0</v>
      </c>
      <c r="K1448" t="str">
        <f t="shared" si="274"/>
        <v/>
      </c>
      <c r="L1448">
        <f>_xlfn.XLOOKUP(D1448,BugList!C:C,BugList!N:N)</f>
        <v>4</v>
      </c>
      <c r="M1448">
        <f t="shared" si="275"/>
        <v>4</v>
      </c>
      <c r="N1448" t="b">
        <f>_xlfn.XLOOKUP(D1448,BugList!C:C,BugList!L:L)</f>
        <v>0</v>
      </c>
      <c r="O1448" t="b">
        <f t="shared" si="276"/>
        <v>0</v>
      </c>
      <c r="P1448" s="18" t="b">
        <f>SUMPRODUCT(COUNTIF(_xlfn.XLOOKUP(D1448,BugList!C:C,BugList!P:P), "*SC*"))&gt;0</f>
        <v>0</v>
      </c>
    </row>
    <row r="1449" spans="1:16">
      <c r="A1449" s="86" t="s">
        <v>2872</v>
      </c>
      <c r="B1449" s="83">
        <v>341</v>
      </c>
      <c r="C1449" s="34" t="s">
        <v>205</v>
      </c>
      <c r="D1449" s="34" t="s">
        <v>206</v>
      </c>
      <c r="E1449" s="83">
        <v>1</v>
      </c>
      <c r="F1449" s="43">
        <f t="shared" si="270"/>
        <v>0.74074074074074081</v>
      </c>
      <c r="G1449" s="44">
        <f t="shared" si="271"/>
        <v>0</v>
      </c>
      <c r="H1449" s="44">
        <f t="shared" si="272"/>
        <v>0.74074074074074081</v>
      </c>
      <c r="I1449" cm="1">
        <f t="array" ref="I1449">INT(F1449)+IF(100-SUM(INT(F$1438:F$1449))&gt;=RANK(H1449,H$1438:H$1449)+COUNTIF(H$1438:H1449,H1449)-1,1,0)</f>
        <v>1</v>
      </c>
      <c r="J1449" t="b">
        <f t="shared" si="273"/>
        <v>0</v>
      </c>
      <c r="K1449" t="str">
        <f t="shared" si="274"/>
        <v/>
      </c>
      <c r="L1449" s="71">
        <v>8</v>
      </c>
      <c r="M1449">
        <f t="shared" si="275"/>
        <v>8</v>
      </c>
      <c r="N1449" s="71" t="b">
        <v>0</v>
      </c>
      <c r="O1449" t="b">
        <f t="shared" si="276"/>
        <v>0</v>
      </c>
      <c r="P1449" s="72" t="b">
        <v>0</v>
      </c>
    </row>
    <row r="1450" spans="1:16">
      <c r="A1450" s="86" t="s">
        <v>2873</v>
      </c>
      <c r="B1450" s="83">
        <v>357</v>
      </c>
      <c r="C1450" s="34" t="s">
        <v>200</v>
      </c>
      <c r="D1450" s="34" t="s">
        <v>100</v>
      </c>
      <c r="E1450" s="83">
        <v>17</v>
      </c>
      <c r="F1450" s="43">
        <f t="shared" si="270"/>
        <v>8.7628865979381434</v>
      </c>
      <c r="G1450" s="44">
        <f t="shared" si="271"/>
        <v>8</v>
      </c>
      <c r="H1450" s="44">
        <f t="shared" si="272"/>
        <v>0.7628865979381434</v>
      </c>
      <c r="I1450" cm="1">
        <f t="array" ref="I1450">INT(F1450)+IF(100-SUM(INT(F$1450:F$1461))&gt;=RANK(H1450,H$1450:H$1461)+COUNTIF(H$1450:H1450,H1450)-1,1,0)</f>
        <v>9</v>
      </c>
      <c r="J1450" t="b">
        <f t="shared" si="273"/>
        <v>0</v>
      </c>
      <c r="K1450" t="str">
        <f t="shared" si="274"/>
        <v/>
      </c>
      <c r="L1450">
        <f>_xlfn.XLOOKUP(D1450,BugList!C:C,BugList!N:N)</f>
        <v>4</v>
      </c>
      <c r="M1450">
        <f t="shared" si="275"/>
        <v>36</v>
      </c>
      <c r="N1450" t="b">
        <f>_xlfn.XLOOKUP(D1450,BugList!C:C,BugList!L:L)</f>
        <v>1</v>
      </c>
      <c r="O1450" t="b">
        <f t="shared" si="276"/>
        <v>0</v>
      </c>
      <c r="P1450" s="18" t="b">
        <f>SUMPRODUCT(COUNTIF(_xlfn.XLOOKUP(D1450,BugList!C:C,BugList!P:P), "*SC*"))&gt;0</f>
        <v>1</v>
      </c>
    </row>
    <row r="1451" spans="1:16">
      <c r="A1451" s="86" t="s">
        <v>2873</v>
      </c>
      <c r="B1451" s="83">
        <v>357</v>
      </c>
      <c r="C1451" s="34" t="s">
        <v>194</v>
      </c>
      <c r="D1451" s="34" t="s">
        <v>90</v>
      </c>
      <c r="E1451" s="83">
        <v>71</v>
      </c>
      <c r="F1451" s="43">
        <f t="shared" si="270"/>
        <v>36.597938144329895</v>
      </c>
      <c r="G1451" s="44">
        <f t="shared" si="271"/>
        <v>36</v>
      </c>
      <c r="H1451" s="44">
        <f t="shared" si="272"/>
        <v>0.59793814432989478</v>
      </c>
      <c r="I1451" cm="1">
        <f t="array" ref="I1451">INT(F1451)+IF(100-SUM(INT(F$1450:F$1461))&gt;=RANK(H1451,H$1450:H$1461)+COUNTIF(H$1450:H1451,H1451)-1,1,0)</f>
        <v>36</v>
      </c>
      <c r="J1451" t="b">
        <f t="shared" si="273"/>
        <v>0</v>
      </c>
      <c r="K1451" t="str">
        <f t="shared" si="274"/>
        <v/>
      </c>
      <c r="L1451">
        <f>_xlfn.XLOOKUP(D1451,BugList!C:C,BugList!N:N)</f>
        <v>6</v>
      </c>
      <c r="M1451">
        <f t="shared" si="275"/>
        <v>216</v>
      </c>
      <c r="N1451" t="b">
        <f>_xlfn.XLOOKUP(D1451,BugList!C:C,BugList!L:L)</f>
        <v>1</v>
      </c>
      <c r="O1451" t="b">
        <f t="shared" si="276"/>
        <v>0</v>
      </c>
      <c r="P1451" s="18" t="b">
        <f>SUMPRODUCT(COUNTIF(_xlfn.XLOOKUP(D1451,BugList!C:C,BugList!P:P), "*SC*"))&gt;0</f>
        <v>0</v>
      </c>
    </row>
    <row r="1452" spans="1:16">
      <c r="A1452" s="86" t="s">
        <v>2873</v>
      </c>
      <c r="B1452" s="83">
        <v>357</v>
      </c>
      <c r="C1452" s="34" t="s">
        <v>194</v>
      </c>
      <c r="D1452" s="34" t="s">
        <v>101</v>
      </c>
      <c r="E1452" s="83">
        <v>58</v>
      </c>
      <c r="F1452" s="43">
        <f t="shared" si="270"/>
        <v>29.896907216494846</v>
      </c>
      <c r="G1452" s="44">
        <f t="shared" si="271"/>
        <v>29</v>
      </c>
      <c r="H1452" s="44">
        <f t="shared" si="272"/>
        <v>0.89690721649484573</v>
      </c>
      <c r="I1452" cm="1">
        <f t="array" ref="I1452">INT(F1452)+IF(100-SUM(INT(F$1450:F$1461))&gt;=RANK(H1452,H$1450:H$1461)+COUNTIF(H$1450:H1452,H1452)-1,1,0)</f>
        <v>30</v>
      </c>
      <c r="J1452" t="b">
        <f t="shared" si="273"/>
        <v>0</v>
      </c>
      <c r="K1452" t="str">
        <f t="shared" si="274"/>
        <v/>
      </c>
      <c r="L1452">
        <f>_xlfn.XLOOKUP(D1452,BugList!C:C,BugList!N:N)</f>
        <v>6</v>
      </c>
      <c r="M1452">
        <f t="shared" si="275"/>
        <v>180</v>
      </c>
      <c r="N1452" t="b">
        <f>_xlfn.XLOOKUP(D1452,BugList!C:C,BugList!L:L)</f>
        <v>1</v>
      </c>
      <c r="O1452" t="b">
        <f t="shared" si="276"/>
        <v>0</v>
      </c>
      <c r="P1452" s="18" t="b">
        <f>SUMPRODUCT(COUNTIF(_xlfn.XLOOKUP(D1452,BugList!C:C,BugList!P:P), "*SC*"))&gt;0</f>
        <v>0</v>
      </c>
    </row>
    <row r="1453" spans="1:16">
      <c r="A1453" s="86" t="s">
        <v>2873</v>
      </c>
      <c r="B1453" s="83">
        <v>357</v>
      </c>
      <c r="C1453" s="34" t="s">
        <v>194</v>
      </c>
      <c r="D1453" s="34" t="s">
        <v>108</v>
      </c>
      <c r="E1453" s="83">
        <v>2</v>
      </c>
      <c r="F1453" s="43">
        <f t="shared" si="270"/>
        <v>1.0309278350515463</v>
      </c>
      <c r="G1453" s="44">
        <f t="shared" si="271"/>
        <v>1</v>
      </c>
      <c r="H1453" s="44">
        <f t="shared" si="272"/>
        <v>3.0927835051546282E-2</v>
      </c>
      <c r="I1453" cm="1">
        <f t="array" ref="I1453">INT(F1453)+IF(100-SUM(INT(F$1450:F$1461))&gt;=RANK(H1453,H$1450:H$1461)+COUNTIF(H$1450:H1453,H1453)-1,1,0)</f>
        <v>1</v>
      </c>
      <c r="J1453" t="b">
        <f t="shared" si="273"/>
        <v>0</v>
      </c>
      <c r="K1453" t="str">
        <f t="shared" si="274"/>
        <v/>
      </c>
      <c r="L1453">
        <f>_xlfn.XLOOKUP(D1453,BugList!C:C,BugList!N:N)</f>
        <v>3</v>
      </c>
      <c r="M1453">
        <f t="shared" si="275"/>
        <v>3</v>
      </c>
      <c r="N1453" t="b">
        <f>_xlfn.XLOOKUP(D1453,BugList!C:C,BugList!L:L)</f>
        <v>1</v>
      </c>
      <c r="O1453" t="b">
        <f t="shared" si="276"/>
        <v>0</v>
      </c>
      <c r="P1453" s="18" t="b">
        <f>SUMPRODUCT(COUNTIF(_xlfn.XLOOKUP(D1453,BugList!C:C,BugList!P:P), "*SC*"))&gt;0</f>
        <v>0</v>
      </c>
    </row>
    <row r="1454" spans="1:16">
      <c r="A1454" s="86" t="s">
        <v>2873</v>
      </c>
      <c r="B1454" s="83">
        <v>357</v>
      </c>
      <c r="C1454" s="34" t="s">
        <v>199</v>
      </c>
      <c r="D1454" s="34" t="s">
        <v>828</v>
      </c>
      <c r="E1454" s="83">
        <v>9</v>
      </c>
      <c r="F1454" s="43">
        <f t="shared" si="270"/>
        <v>4.6391752577319592</v>
      </c>
      <c r="G1454" s="44">
        <f t="shared" si="271"/>
        <v>4</v>
      </c>
      <c r="H1454" s="44">
        <f t="shared" si="272"/>
        <v>0.63917525773195916</v>
      </c>
      <c r="I1454" cm="1">
        <f t="array" ref="I1454">INT(F1454)+IF(100-SUM(INT(F$1450:F$1461))&gt;=RANK(H1454,H$1450:H$1461)+COUNTIF(H$1450:H1454,H1454)-1,1,0)</f>
        <v>5</v>
      </c>
      <c r="J1454" t="b">
        <f t="shared" si="273"/>
        <v>1</v>
      </c>
      <c r="K1454" t="str">
        <f t="shared" si="274"/>
        <v>Ephemeroptera</v>
      </c>
      <c r="L1454">
        <f>_xlfn.XLOOKUP(D1454,BugList!C:C,BugList!N:N)</f>
        <v>7</v>
      </c>
      <c r="M1454">
        <f t="shared" si="275"/>
        <v>35</v>
      </c>
      <c r="N1454" t="b">
        <f>_xlfn.XLOOKUP(D1454,BugList!C:C,BugList!L:L)</f>
        <v>1</v>
      </c>
      <c r="O1454" t="b">
        <f t="shared" si="276"/>
        <v>1</v>
      </c>
      <c r="P1454" s="18" t="b">
        <f>SUMPRODUCT(COUNTIF(_xlfn.XLOOKUP(D1454,BugList!C:C,BugList!P:P), "*SC*"))&gt;0</f>
        <v>0</v>
      </c>
    </row>
    <row r="1455" spans="1:16">
      <c r="A1455" s="86" t="s">
        <v>2873</v>
      </c>
      <c r="B1455" s="83">
        <v>357</v>
      </c>
      <c r="C1455" s="34" t="s">
        <v>199</v>
      </c>
      <c r="D1455" s="34" t="s">
        <v>111</v>
      </c>
      <c r="E1455" s="83">
        <v>2</v>
      </c>
      <c r="F1455" s="43">
        <f t="shared" si="270"/>
        <v>1.0309278350515463</v>
      </c>
      <c r="G1455" s="44">
        <f t="shared" si="271"/>
        <v>1</v>
      </c>
      <c r="H1455" s="44">
        <f t="shared" si="272"/>
        <v>3.0927835051546282E-2</v>
      </c>
      <c r="I1455" cm="1">
        <f t="array" ref="I1455">INT(F1455)+IF(100-SUM(INT(F$1450:F$1461))&gt;=RANK(H1455,H$1450:H$1461)+COUNTIF(H$1450:H1455,H1455)-1,1,0)</f>
        <v>1</v>
      </c>
      <c r="J1455" t="b">
        <f t="shared" si="273"/>
        <v>1</v>
      </c>
      <c r="K1455" t="str">
        <f t="shared" si="274"/>
        <v>Ephemeroptera</v>
      </c>
      <c r="L1455">
        <f>_xlfn.XLOOKUP(D1455,BugList!C:C,BugList!N:N)</f>
        <v>4</v>
      </c>
      <c r="M1455">
        <f t="shared" si="275"/>
        <v>4</v>
      </c>
      <c r="N1455" t="b">
        <f>_xlfn.XLOOKUP(D1455,BugList!C:C,BugList!L:L)</f>
        <v>1</v>
      </c>
      <c r="O1455" t="b">
        <f t="shared" si="276"/>
        <v>1</v>
      </c>
      <c r="P1455" s="18" t="b">
        <f>SUMPRODUCT(COUNTIF(_xlfn.XLOOKUP(D1455,BugList!C:C,BugList!P:P), "*SC*"))&gt;0</f>
        <v>0</v>
      </c>
    </row>
    <row r="1456" spans="1:16">
      <c r="A1456" s="86" t="s">
        <v>2873</v>
      </c>
      <c r="B1456" s="83">
        <v>357</v>
      </c>
      <c r="C1456" s="34" t="s">
        <v>197</v>
      </c>
      <c r="D1456" s="34" t="s">
        <v>104</v>
      </c>
      <c r="E1456" s="83">
        <v>12</v>
      </c>
      <c r="F1456" s="43">
        <f t="shared" si="270"/>
        <v>6.1855670103092786</v>
      </c>
      <c r="G1456" s="44">
        <f t="shared" si="271"/>
        <v>6</v>
      </c>
      <c r="H1456" s="44">
        <f t="shared" si="272"/>
        <v>0.18556701030927858</v>
      </c>
      <c r="I1456" cm="1">
        <f t="array" ref="I1456">INT(F1456)+IF(100-SUM(INT(F$1450:F$1461))&gt;=RANK(H1456,H$1450:H$1461)+COUNTIF(H$1450:H1456,H1456)-1,1,0)</f>
        <v>6</v>
      </c>
      <c r="J1456" t="b">
        <f t="shared" si="273"/>
        <v>1</v>
      </c>
      <c r="K1456" t="str">
        <f t="shared" si="274"/>
        <v>Plecoptera</v>
      </c>
      <c r="L1456">
        <f>_xlfn.XLOOKUP(D1456,BugList!C:C,BugList!N:N)</f>
        <v>2</v>
      </c>
      <c r="M1456">
        <f t="shared" si="275"/>
        <v>12</v>
      </c>
      <c r="N1456" t="b">
        <f>_xlfn.XLOOKUP(D1456,BugList!C:C,BugList!L:L)</f>
        <v>1</v>
      </c>
      <c r="O1456" t="b">
        <f t="shared" si="276"/>
        <v>1</v>
      </c>
      <c r="P1456" s="18" t="b">
        <f>SUMPRODUCT(COUNTIF(_xlfn.XLOOKUP(D1456,BugList!C:C,BugList!P:P), "*SC*"))&gt;0</f>
        <v>0</v>
      </c>
    </row>
    <row r="1457" spans="1:16">
      <c r="A1457" s="86" t="s">
        <v>2873</v>
      </c>
      <c r="B1457" s="83">
        <v>357</v>
      </c>
      <c r="C1457" s="34" t="s">
        <v>197</v>
      </c>
      <c r="D1457" s="34" t="s">
        <v>106</v>
      </c>
      <c r="E1457" s="83">
        <v>11</v>
      </c>
      <c r="F1457" s="43">
        <f t="shared" si="270"/>
        <v>5.6701030927835054</v>
      </c>
      <c r="G1457" s="44">
        <f t="shared" si="271"/>
        <v>5</v>
      </c>
      <c r="H1457" s="44">
        <f t="shared" si="272"/>
        <v>0.67010309278350544</v>
      </c>
      <c r="I1457" cm="1">
        <f t="array" ref="I1457">INT(F1457)+IF(100-SUM(INT(F$1450:F$1461))&gt;=RANK(H1457,H$1450:H$1461)+COUNTIF(H$1450:H1457,H1457)-1,1,0)</f>
        <v>6</v>
      </c>
      <c r="J1457" t="b">
        <f t="shared" si="273"/>
        <v>1</v>
      </c>
      <c r="K1457" t="str">
        <f t="shared" si="274"/>
        <v>Plecoptera</v>
      </c>
      <c r="L1457">
        <f>_xlfn.XLOOKUP(D1457,BugList!C:C,BugList!N:N)</f>
        <v>2</v>
      </c>
      <c r="M1457">
        <f t="shared" si="275"/>
        <v>12</v>
      </c>
      <c r="N1457" t="b">
        <f>_xlfn.XLOOKUP(D1457,BugList!C:C,BugList!L:L)</f>
        <v>1</v>
      </c>
      <c r="O1457" t="b">
        <f t="shared" si="276"/>
        <v>1</v>
      </c>
      <c r="P1457" s="18" t="b">
        <f>SUMPRODUCT(COUNTIF(_xlfn.XLOOKUP(D1457,BugList!C:C,BugList!P:P), "*SC*"))&gt;0</f>
        <v>0</v>
      </c>
    </row>
    <row r="1458" spans="1:16">
      <c r="A1458" s="86" t="s">
        <v>2873</v>
      </c>
      <c r="B1458" s="83">
        <v>357</v>
      </c>
      <c r="C1458" s="34" t="s">
        <v>198</v>
      </c>
      <c r="D1458" s="34" t="s">
        <v>89</v>
      </c>
      <c r="E1458" s="83">
        <v>7</v>
      </c>
      <c r="F1458" s="43">
        <f t="shared" si="270"/>
        <v>3.608247422680412</v>
      </c>
      <c r="G1458" s="44">
        <f t="shared" si="271"/>
        <v>3</v>
      </c>
      <c r="H1458" s="44">
        <f t="shared" si="272"/>
        <v>0.60824742268041199</v>
      </c>
      <c r="I1458" cm="1">
        <f t="array" ref="I1458">INT(F1458)+IF(100-SUM(INT(F$1450:F$1461))&gt;=RANK(H1458,H$1450:H$1461)+COUNTIF(H$1450:H1458,H1458)-1,1,0)</f>
        <v>4</v>
      </c>
      <c r="J1458" t="b">
        <f t="shared" si="273"/>
        <v>1</v>
      </c>
      <c r="K1458" t="str">
        <f t="shared" si="274"/>
        <v>Trichoptera</v>
      </c>
      <c r="L1458">
        <f>_xlfn.XLOOKUP(D1458,BugList!C:C,BugList!N:N)</f>
        <v>4</v>
      </c>
      <c r="M1458">
        <f t="shared" si="275"/>
        <v>16</v>
      </c>
      <c r="N1458" t="b">
        <f>_xlfn.XLOOKUP(D1458,BugList!C:C,BugList!L:L)</f>
        <v>1</v>
      </c>
      <c r="O1458" t="b">
        <f t="shared" si="276"/>
        <v>0</v>
      </c>
      <c r="P1458" s="18" t="b">
        <f>SUMPRODUCT(COUNTIF(_xlfn.XLOOKUP(D1458,BugList!C:C,BugList!P:P), "*SC*"))&gt;0</f>
        <v>0</v>
      </c>
    </row>
    <row r="1459" spans="1:16">
      <c r="A1459" s="86" t="s">
        <v>2873</v>
      </c>
      <c r="B1459" s="83">
        <v>357</v>
      </c>
      <c r="C1459" s="34" t="s">
        <v>198</v>
      </c>
      <c r="D1459" s="34" t="s">
        <v>107</v>
      </c>
      <c r="E1459" s="83">
        <v>2</v>
      </c>
      <c r="F1459" s="43">
        <f t="shared" si="270"/>
        <v>1.0309278350515463</v>
      </c>
      <c r="G1459" s="44">
        <f t="shared" si="271"/>
        <v>1</v>
      </c>
      <c r="H1459" s="44">
        <f t="shared" si="272"/>
        <v>3.0927835051546282E-2</v>
      </c>
      <c r="I1459" cm="1">
        <f t="array" ref="I1459">INT(F1459)+IF(100-SUM(INT(F$1450:F$1461))&gt;=RANK(H1459,H$1450:H$1461)+COUNTIF(H$1450:H1459,H1459)-1,1,0)</f>
        <v>1</v>
      </c>
      <c r="J1459" t="b">
        <f t="shared" si="273"/>
        <v>1</v>
      </c>
      <c r="K1459" t="str">
        <f t="shared" si="274"/>
        <v>Trichoptera</v>
      </c>
      <c r="L1459">
        <f>_xlfn.XLOOKUP(D1459,BugList!C:C,BugList!N:N)</f>
        <v>3</v>
      </c>
      <c r="M1459">
        <f t="shared" si="275"/>
        <v>3</v>
      </c>
      <c r="N1459" t="b">
        <f>_xlfn.XLOOKUP(D1459,BugList!C:C,BugList!L:L)</f>
        <v>1</v>
      </c>
      <c r="O1459" t="b">
        <f t="shared" si="276"/>
        <v>1</v>
      </c>
      <c r="P1459" s="18" t="b">
        <f>SUMPRODUCT(COUNTIF(_xlfn.XLOOKUP(D1459,BugList!C:C,BugList!P:P), "*SC*"))&gt;0</f>
        <v>0</v>
      </c>
    </row>
    <row r="1460" spans="1:16">
      <c r="A1460" s="86" t="s">
        <v>2873</v>
      </c>
      <c r="B1460" s="83">
        <v>357</v>
      </c>
      <c r="C1460" s="34" t="s">
        <v>201</v>
      </c>
      <c r="D1460" s="34" t="s">
        <v>85</v>
      </c>
      <c r="E1460" s="83">
        <v>1</v>
      </c>
      <c r="F1460" s="43">
        <f t="shared" si="270"/>
        <v>0.51546391752577314</v>
      </c>
      <c r="G1460" s="44">
        <f t="shared" si="271"/>
        <v>0</v>
      </c>
      <c r="H1460" s="44">
        <f t="shared" si="272"/>
        <v>0.51546391752577314</v>
      </c>
      <c r="I1460" cm="1">
        <f t="array" ref="I1460">INT(F1460)+IF(100-SUM(INT(F$1450:F$1461))&gt;=RANK(H1460,H$1450:H$1461)+COUNTIF(H$1450:H1460,H1460)-1,1,0)</f>
        <v>0</v>
      </c>
      <c r="J1460" t="b">
        <f t="shared" si="273"/>
        <v>0</v>
      </c>
      <c r="K1460" t="str">
        <f t="shared" si="274"/>
        <v/>
      </c>
      <c r="L1460">
        <f>_xlfn.XLOOKUP(D1460,BugList!C:C,BugList!N:N)</f>
        <v>4</v>
      </c>
      <c r="M1460">
        <f t="shared" si="275"/>
        <v>0</v>
      </c>
      <c r="N1460" t="b">
        <f>_xlfn.XLOOKUP(D1460,BugList!C:C,BugList!L:L)</f>
        <v>0</v>
      </c>
      <c r="O1460" t="b">
        <f t="shared" si="276"/>
        <v>0</v>
      </c>
      <c r="P1460" s="18" t="b">
        <f>SUMPRODUCT(COUNTIF(_xlfn.XLOOKUP(D1460,BugList!C:C,BugList!P:P), "*SC*"))&gt;0</f>
        <v>0</v>
      </c>
    </row>
    <row r="1461" spans="1:16">
      <c r="A1461" s="86" t="s">
        <v>2873</v>
      </c>
      <c r="B1461" s="83">
        <v>357</v>
      </c>
      <c r="C1461" s="34" t="s">
        <v>94</v>
      </c>
      <c r="D1461" s="34" t="s">
        <v>94</v>
      </c>
      <c r="E1461" s="83">
        <v>2</v>
      </c>
      <c r="F1461" s="43">
        <f t="shared" si="270"/>
        <v>1.0309278350515463</v>
      </c>
      <c r="G1461" s="44">
        <f t="shared" si="271"/>
        <v>1</v>
      </c>
      <c r="H1461" s="44">
        <f t="shared" si="272"/>
        <v>3.0927835051546282E-2</v>
      </c>
      <c r="I1461" cm="1">
        <f t="array" ref="I1461">INT(F1461)+IF(100-SUM(INT(F$1450:F$1461))&gt;=RANK(H1461,H$1450:H$1461)+COUNTIF(H$1450:H1461,H1461)-1,1,0)</f>
        <v>1</v>
      </c>
      <c r="J1461" t="b">
        <f t="shared" si="273"/>
        <v>0</v>
      </c>
      <c r="K1461" t="str">
        <f t="shared" si="274"/>
        <v/>
      </c>
      <c r="L1461">
        <f>_xlfn.XLOOKUP(D1461,BugList!C:C,BugList!N:N)</f>
        <v>8</v>
      </c>
      <c r="M1461">
        <f t="shared" si="275"/>
        <v>8</v>
      </c>
      <c r="N1461" t="b">
        <f>_xlfn.XLOOKUP(D1461,BugList!C:C,BugList!L:L)</f>
        <v>0</v>
      </c>
      <c r="O1461" t="b">
        <f t="shared" si="276"/>
        <v>0</v>
      </c>
      <c r="P1461" s="18" t="b">
        <f>SUMPRODUCT(COUNTIF(_xlfn.XLOOKUP(D1461,BugList!C:C,BugList!P:P), "*SC*"))&gt;0</f>
        <v>0</v>
      </c>
    </row>
    <row r="1462" spans="1:16">
      <c r="A1462" s="86" t="s">
        <v>2874</v>
      </c>
      <c r="B1462" s="83">
        <v>372</v>
      </c>
      <c r="C1462" s="34" t="s">
        <v>200</v>
      </c>
      <c r="D1462" s="34" t="s">
        <v>98</v>
      </c>
      <c r="E1462" s="83">
        <v>7</v>
      </c>
      <c r="F1462" s="43">
        <f t="shared" si="270"/>
        <v>4.895104895104895</v>
      </c>
      <c r="G1462" s="44">
        <f t="shared" si="271"/>
        <v>4</v>
      </c>
      <c r="H1462" s="44">
        <f t="shared" si="272"/>
        <v>0.89510489510489499</v>
      </c>
      <c r="I1462" cm="1">
        <f t="array" ref="I1462">INT(F1462)+IF(100-SUM(INT(F$1462:F$1475))&gt;=RANK(H1462,H$1462:H$1475)+COUNTIF(H$1462:H1462,H1462)-1,1,0)</f>
        <v>5</v>
      </c>
      <c r="J1462" t="b">
        <f t="shared" si="273"/>
        <v>0</v>
      </c>
      <c r="K1462" t="str">
        <f t="shared" si="274"/>
        <v/>
      </c>
      <c r="L1462">
        <f>_xlfn.XLOOKUP(D1462,BugList!C:C,BugList!N:N)</f>
        <v>4</v>
      </c>
      <c r="M1462">
        <f t="shared" si="275"/>
        <v>20</v>
      </c>
      <c r="N1462" t="b">
        <f>_xlfn.XLOOKUP(D1462,BugList!C:C,BugList!L:L)</f>
        <v>1</v>
      </c>
      <c r="O1462" t="b">
        <f t="shared" si="276"/>
        <v>0</v>
      </c>
      <c r="P1462" s="18" t="b">
        <f>SUMPRODUCT(COUNTIF(_xlfn.XLOOKUP(D1462,BugList!C:C,BugList!P:P), "*SC*"))&gt;0</f>
        <v>1</v>
      </c>
    </row>
    <row r="1463" spans="1:16">
      <c r="A1463" s="86" t="s">
        <v>2874</v>
      </c>
      <c r="B1463" s="83">
        <v>372</v>
      </c>
      <c r="C1463" s="34" t="s">
        <v>200</v>
      </c>
      <c r="D1463" s="34" t="s">
        <v>100</v>
      </c>
      <c r="E1463" s="83">
        <v>54</v>
      </c>
      <c r="F1463" s="43">
        <f t="shared" si="270"/>
        <v>37.76223776223776</v>
      </c>
      <c r="G1463" s="44">
        <f t="shared" si="271"/>
        <v>37</v>
      </c>
      <c r="H1463" s="44">
        <f t="shared" si="272"/>
        <v>0.76223776223775985</v>
      </c>
      <c r="I1463" cm="1">
        <f t="array" ref="I1463">INT(F1463)+IF(100-SUM(INT(F$1462:F$1475))&gt;=RANK(H1463,H$1462:H$1475)+COUNTIF(H$1462:H1463,H1463)-1,1,0)</f>
        <v>38</v>
      </c>
      <c r="J1463" t="b">
        <f t="shared" si="273"/>
        <v>0</v>
      </c>
      <c r="K1463" t="str">
        <f t="shared" si="274"/>
        <v/>
      </c>
      <c r="L1463">
        <f>_xlfn.XLOOKUP(D1463,BugList!C:C,BugList!N:N)</f>
        <v>4</v>
      </c>
      <c r="M1463">
        <f t="shared" si="275"/>
        <v>152</v>
      </c>
      <c r="N1463" t="b">
        <f>_xlfn.XLOOKUP(D1463,BugList!C:C,BugList!L:L)</f>
        <v>1</v>
      </c>
      <c r="O1463" t="b">
        <f t="shared" si="276"/>
        <v>0</v>
      </c>
      <c r="P1463" s="18" t="b">
        <f>SUMPRODUCT(COUNTIF(_xlfn.XLOOKUP(D1463,BugList!C:C,BugList!P:P), "*SC*"))&gt;0</f>
        <v>1</v>
      </c>
    </row>
    <row r="1464" spans="1:16">
      <c r="A1464" s="86" t="s">
        <v>2874</v>
      </c>
      <c r="B1464" s="83">
        <v>372</v>
      </c>
      <c r="C1464" s="34" t="s">
        <v>194</v>
      </c>
      <c r="D1464" s="34" t="s">
        <v>90</v>
      </c>
      <c r="E1464" s="83">
        <v>6</v>
      </c>
      <c r="F1464" s="43">
        <f t="shared" si="270"/>
        <v>4.1958041958041958</v>
      </c>
      <c r="G1464" s="44">
        <f t="shared" si="271"/>
        <v>4</v>
      </c>
      <c r="H1464" s="44">
        <f t="shared" si="272"/>
        <v>0.19580419580419584</v>
      </c>
      <c r="I1464" cm="1">
        <f t="array" ref="I1464">INT(F1464)+IF(100-SUM(INT(F$1462:F$1475))&gt;=RANK(H1464,H$1462:H$1475)+COUNTIF(H$1462:H1464,H1464)-1,1,0)</f>
        <v>4</v>
      </c>
      <c r="J1464" t="b">
        <f t="shared" si="273"/>
        <v>0</v>
      </c>
      <c r="K1464" t="str">
        <f t="shared" si="274"/>
        <v/>
      </c>
      <c r="L1464">
        <f>_xlfn.XLOOKUP(D1464,BugList!C:C,BugList!N:N)</f>
        <v>6</v>
      </c>
      <c r="M1464">
        <f t="shared" si="275"/>
        <v>24</v>
      </c>
      <c r="N1464" t="b">
        <f>_xlfn.XLOOKUP(D1464,BugList!C:C,BugList!L:L)</f>
        <v>1</v>
      </c>
      <c r="O1464" t="b">
        <f t="shared" si="276"/>
        <v>0</v>
      </c>
      <c r="P1464" s="18" t="b">
        <f>SUMPRODUCT(COUNTIF(_xlfn.XLOOKUP(D1464,BugList!C:C,BugList!P:P), "*SC*"))&gt;0</f>
        <v>0</v>
      </c>
    </row>
    <row r="1465" spans="1:16">
      <c r="A1465" s="86" t="s">
        <v>2874</v>
      </c>
      <c r="B1465" s="83">
        <v>372</v>
      </c>
      <c r="C1465" s="34" t="s">
        <v>194</v>
      </c>
      <c r="D1465" s="34" t="s">
        <v>101</v>
      </c>
      <c r="E1465" s="83">
        <v>2</v>
      </c>
      <c r="F1465" s="43">
        <f t="shared" si="270"/>
        <v>1.3986013986013985</v>
      </c>
      <c r="G1465" s="44">
        <f t="shared" si="271"/>
        <v>1</v>
      </c>
      <c r="H1465" s="44">
        <f t="shared" si="272"/>
        <v>0.39860139860139854</v>
      </c>
      <c r="I1465" cm="1">
        <f t="array" ref="I1465">INT(F1465)+IF(100-SUM(INT(F$1462:F$1475))&gt;=RANK(H1465,H$1462:H$1475)+COUNTIF(H$1462:H1465,H1465)-1,1,0)</f>
        <v>1</v>
      </c>
      <c r="J1465" t="b">
        <f t="shared" si="273"/>
        <v>0</v>
      </c>
      <c r="K1465" t="str">
        <f t="shared" si="274"/>
        <v/>
      </c>
      <c r="L1465">
        <f>_xlfn.XLOOKUP(D1465,BugList!C:C,BugList!N:N)</f>
        <v>6</v>
      </c>
      <c r="M1465">
        <f t="shared" si="275"/>
        <v>6</v>
      </c>
      <c r="N1465" t="b">
        <f>_xlfn.XLOOKUP(D1465,BugList!C:C,BugList!L:L)</f>
        <v>1</v>
      </c>
      <c r="O1465" t="b">
        <f t="shared" si="276"/>
        <v>0</v>
      </c>
      <c r="P1465" s="18" t="b">
        <f>SUMPRODUCT(COUNTIF(_xlfn.XLOOKUP(D1465,BugList!C:C,BugList!P:P), "*SC*"))&gt;0</f>
        <v>0</v>
      </c>
    </row>
    <row r="1466" spans="1:16">
      <c r="A1466" s="86" t="s">
        <v>2874</v>
      </c>
      <c r="B1466" s="83">
        <v>372</v>
      </c>
      <c r="C1466" s="34" t="s">
        <v>194</v>
      </c>
      <c r="D1466" s="34" t="s">
        <v>108</v>
      </c>
      <c r="E1466" s="83">
        <v>2</v>
      </c>
      <c r="F1466" s="43">
        <f t="shared" si="270"/>
        <v>1.3986013986013985</v>
      </c>
      <c r="G1466" s="44">
        <f t="shared" si="271"/>
        <v>1</v>
      </c>
      <c r="H1466" s="44">
        <f t="shared" si="272"/>
        <v>0.39860139860139854</v>
      </c>
      <c r="I1466" cm="1">
        <f t="array" ref="I1466">INT(F1466)+IF(100-SUM(INT(F$1462:F$1475))&gt;=RANK(H1466,H$1462:H$1475)+COUNTIF(H$1462:H1466,H1466)-1,1,0)</f>
        <v>1</v>
      </c>
      <c r="J1466" t="b">
        <f t="shared" si="273"/>
        <v>0</v>
      </c>
      <c r="K1466" t="str">
        <f t="shared" si="274"/>
        <v/>
      </c>
      <c r="L1466">
        <f>_xlfn.XLOOKUP(D1466,BugList!C:C,BugList!N:N)</f>
        <v>3</v>
      </c>
      <c r="M1466">
        <f t="shared" si="275"/>
        <v>3</v>
      </c>
      <c r="N1466" t="b">
        <f>_xlfn.XLOOKUP(D1466,BugList!C:C,BugList!L:L)</f>
        <v>1</v>
      </c>
      <c r="O1466" t="b">
        <f t="shared" si="276"/>
        <v>0</v>
      </c>
      <c r="P1466" s="18" t="b">
        <f>SUMPRODUCT(COUNTIF(_xlfn.XLOOKUP(D1466,BugList!C:C,BugList!P:P), "*SC*"))&gt;0</f>
        <v>0</v>
      </c>
    </row>
    <row r="1467" spans="1:16">
      <c r="A1467" s="86" t="s">
        <v>2874</v>
      </c>
      <c r="B1467" s="83">
        <v>372</v>
      </c>
      <c r="C1467" s="34" t="s">
        <v>199</v>
      </c>
      <c r="D1467" s="34" t="s">
        <v>96</v>
      </c>
      <c r="E1467" s="83">
        <v>11</v>
      </c>
      <c r="F1467" s="43">
        <f t="shared" ref="F1467:F1530" si="277">(E1467/(SUMIFS(E:E,A:A,A1467))*100)</f>
        <v>7.6923076923076925</v>
      </c>
      <c r="G1467" s="44">
        <f t="shared" si="271"/>
        <v>7</v>
      </c>
      <c r="H1467" s="44">
        <f t="shared" si="272"/>
        <v>0.69230769230769251</v>
      </c>
      <c r="I1467" cm="1">
        <f t="array" ref="I1467">INT(F1467)+IF(100-SUM(INT(F$1462:F$1475))&gt;=RANK(H1467,H$1462:H$1475)+COUNTIF(H$1462:H1467,H1467)-1,1,0)</f>
        <v>8</v>
      </c>
      <c r="J1467" t="b">
        <f t="shared" si="273"/>
        <v>1</v>
      </c>
      <c r="K1467" t="str">
        <f t="shared" si="274"/>
        <v>Ephemeroptera</v>
      </c>
      <c r="L1467">
        <f>_xlfn.XLOOKUP(D1467,BugList!C:C,BugList!N:N)</f>
        <v>4</v>
      </c>
      <c r="M1467">
        <f t="shared" si="275"/>
        <v>32</v>
      </c>
      <c r="N1467" t="b">
        <f>_xlfn.XLOOKUP(D1467,BugList!C:C,BugList!L:L)</f>
        <v>1</v>
      </c>
      <c r="O1467" t="b">
        <f t="shared" si="276"/>
        <v>1</v>
      </c>
      <c r="P1467" s="18" t="b">
        <f>SUMPRODUCT(COUNTIF(_xlfn.XLOOKUP(D1467,BugList!C:C,BugList!P:P), "*SC*"))&gt;0</f>
        <v>1</v>
      </c>
    </row>
    <row r="1468" spans="1:16">
      <c r="A1468" s="86" t="s">
        <v>2874</v>
      </c>
      <c r="B1468" s="83">
        <v>372</v>
      </c>
      <c r="C1468" s="34" t="s">
        <v>199</v>
      </c>
      <c r="D1468" s="34" t="s">
        <v>111</v>
      </c>
      <c r="E1468" s="83">
        <v>1</v>
      </c>
      <c r="F1468" s="43">
        <f t="shared" si="277"/>
        <v>0.69930069930069927</v>
      </c>
      <c r="G1468" s="44">
        <f t="shared" si="271"/>
        <v>0</v>
      </c>
      <c r="H1468" s="44">
        <f t="shared" si="272"/>
        <v>0.69930069930069927</v>
      </c>
      <c r="I1468" cm="1">
        <f t="array" ref="I1468">INT(F1468)+IF(100-SUM(INT(F$1462:F$1475))&gt;=RANK(H1468,H$1462:H$1475)+COUNTIF(H$1462:H1468,H1468)-1,1,0)</f>
        <v>1</v>
      </c>
      <c r="J1468" t="b">
        <f t="shared" si="273"/>
        <v>1</v>
      </c>
      <c r="K1468" t="str">
        <f t="shared" si="274"/>
        <v>Ephemeroptera</v>
      </c>
      <c r="L1468">
        <f>_xlfn.XLOOKUP(D1468,BugList!C:C,BugList!N:N)</f>
        <v>4</v>
      </c>
      <c r="M1468">
        <f t="shared" si="275"/>
        <v>4</v>
      </c>
      <c r="N1468" t="b">
        <f>_xlfn.XLOOKUP(D1468,BugList!C:C,BugList!L:L)</f>
        <v>1</v>
      </c>
      <c r="O1468" t="b">
        <f t="shared" si="276"/>
        <v>1</v>
      </c>
      <c r="P1468" s="18" t="b">
        <f>SUMPRODUCT(COUNTIF(_xlfn.XLOOKUP(D1468,BugList!C:C,BugList!P:P), "*SC*"))&gt;0</f>
        <v>0</v>
      </c>
    </row>
    <row r="1469" spans="1:16">
      <c r="A1469" s="86" t="s">
        <v>2874</v>
      </c>
      <c r="B1469" s="83">
        <v>372</v>
      </c>
      <c r="C1469" s="34" t="s">
        <v>195</v>
      </c>
      <c r="D1469" s="34" t="s">
        <v>97</v>
      </c>
      <c r="E1469" s="83">
        <v>1</v>
      </c>
      <c r="F1469" s="43">
        <f t="shared" si="277"/>
        <v>0.69930069930069927</v>
      </c>
      <c r="G1469" s="44">
        <f t="shared" si="271"/>
        <v>0</v>
      </c>
      <c r="H1469" s="44">
        <f t="shared" si="272"/>
        <v>0.69930069930069927</v>
      </c>
      <c r="I1469" cm="1">
        <f t="array" ref="I1469">INT(F1469)+IF(100-SUM(INT(F$1462:F$1475))&gt;=RANK(H1469,H$1462:H$1475)+COUNTIF(H$1462:H1469,H1469)-1,1,0)</f>
        <v>1</v>
      </c>
      <c r="J1469" t="b">
        <f t="shared" si="273"/>
        <v>0</v>
      </c>
      <c r="K1469" t="str">
        <f t="shared" si="274"/>
        <v/>
      </c>
      <c r="L1469">
        <f>_xlfn.XLOOKUP(D1469,BugList!C:C,BugList!N:N)</f>
        <v>9</v>
      </c>
      <c r="M1469">
        <f t="shared" si="275"/>
        <v>9</v>
      </c>
      <c r="N1469" t="b">
        <f>_xlfn.XLOOKUP(D1469,BugList!C:C,BugList!L:L)</f>
        <v>1</v>
      </c>
      <c r="O1469" t="b">
        <f t="shared" si="276"/>
        <v>0</v>
      </c>
      <c r="P1469" s="18" t="b">
        <f>SUMPRODUCT(COUNTIF(_xlfn.XLOOKUP(D1469,BugList!C:C,BugList!P:P), "*SC*"))&gt;0</f>
        <v>0</v>
      </c>
    </row>
    <row r="1470" spans="1:16">
      <c r="A1470" s="86" t="s">
        <v>2874</v>
      </c>
      <c r="B1470" s="83">
        <v>372</v>
      </c>
      <c r="C1470" s="34" t="s">
        <v>195</v>
      </c>
      <c r="D1470" s="34" t="s">
        <v>113</v>
      </c>
      <c r="E1470" s="83">
        <v>2</v>
      </c>
      <c r="F1470" s="43">
        <f t="shared" si="277"/>
        <v>1.3986013986013985</v>
      </c>
      <c r="G1470" s="44">
        <f t="shared" si="271"/>
        <v>1</v>
      </c>
      <c r="H1470" s="44">
        <f t="shared" si="272"/>
        <v>0.39860139860139854</v>
      </c>
      <c r="I1470" cm="1">
        <f t="array" ref="I1470">INT(F1470)+IF(100-SUM(INT(F$1462:F$1475))&gt;=RANK(H1470,H$1462:H$1475)+COUNTIF(H$1462:H1470,H1470)-1,1,0)</f>
        <v>1</v>
      </c>
      <c r="J1470" t="b">
        <f t="shared" si="273"/>
        <v>0</v>
      </c>
      <c r="K1470" t="str">
        <f t="shared" si="274"/>
        <v/>
      </c>
      <c r="L1470">
        <f>_xlfn.XLOOKUP(D1470,BugList!C:C,BugList!N:N)</f>
        <v>1</v>
      </c>
      <c r="M1470">
        <f t="shared" si="275"/>
        <v>1</v>
      </c>
      <c r="N1470" t="b">
        <f>_xlfn.XLOOKUP(D1470,BugList!C:C,BugList!L:L)</f>
        <v>1</v>
      </c>
      <c r="O1470" t="b">
        <f t="shared" si="276"/>
        <v>0</v>
      </c>
      <c r="P1470" s="18" t="b">
        <f>SUMPRODUCT(COUNTIF(_xlfn.XLOOKUP(D1470,BugList!C:C,BugList!P:P), "*SC*"))&gt;0</f>
        <v>0</v>
      </c>
    </row>
    <row r="1471" spans="1:16">
      <c r="A1471" s="86" t="s">
        <v>2874</v>
      </c>
      <c r="B1471" s="83">
        <v>372</v>
      </c>
      <c r="C1471" s="34" t="s">
        <v>197</v>
      </c>
      <c r="D1471" s="34" t="s">
        <v>105</v>
      </c>
      <c r="E1471" s="83">
        <v>2</v>
      </c>
      <c r="F1471" s="43">
        <f t="shared" si="277"/>
        <v>1.3986013986013985</v>
      </c>
      <c r="G1471" s="44">
        <f t="shared" si="271"/>
        <v>1</v>
      </c>
      <c r="H1471" s="44">
        <f t="shared" si="272"/>
        <v>0.39860139860139854</v>
      </c>
      <c r="I1471" cm="1">
        <f t="array" ref="I1471">INT(F1471)+IF(100-SUM(INT(F$1462:F$1475))&gt;=RANK(H1471,H$1462:H$1475)+COUNTIF(H$1462:H1471,H1471)-1,1,0)</f>
        <v>1</v>
      </c>
      <c r="J1471" t="b">
        <f t="shared" si="273"/>
        <v>1</v>
      </c>
      <c r="K1471" t="str">
        <f t="shared" si="274"/>
        <v>Plecoptera</v>
      </c>
      <c r="L1471">
        <f>_xlfn.XLOOKUP(D1471,BugList!C:C,BugList!N:N)</f>
        <v>1</v>
      </c>
      <c r="M1471">
        <f t="shared" si="275"/>
        <v>1</v>
      </c>
      <c r="N1471" t="b">
        <f>_xlfn.XLOOKUP(D1471,BugList!C:C,BugList!L:L)</f>
        <v>1</v>
      </c>
      <c r="O1471" t="b">
        <f t="shared" si="276"/>
        <v>1</v>
      </c>
      <c r="P1471" s="18" t="b">
        <f>SUMPRODUCT(COUNTIF(_xlfn.XLOOKUP(D1471,BugList!C:C,BugList!P:P), "*SC*"))&gt;0</f>
        <v>0</v>
      </c>
    </row>
    <row r="1472" spans="1:16">
      <c r="A1472" s="86" t="s">
        <v>2874</v>
      </c>
      <c r="B1472" s="83">
        <v>372</v>
      </c>
      <c r="C1472" s="34" t="s">
        <v>198</v>
      </c>
      <c r="D1472" s="34" t="s">
        <v>89</v>
      </c>
      <c r="E1472" s="83">
        <v>42</v>
      </c>
      <c r="F1472" s="43">
        <f t="shared" si="277"/>
        <v>29.37062937062937</v>
      </c>
      <c r="G1472" s="44">
        <f t="shared" si="271"/>
        <v>29</v>
      </c>
      <c r="H1472" s="44">
        <f t="shared" si="272"/>
        <v>0.37062937062936996</v>
      </c>
      <c r="I1472" cm="1">
        <f t="array" ref="I1472">INT(F1472)+IF(100-SUM(INT(F$1462:F$1475))&gt;=RANK(H1472,H$1462:H$1475)+COUNTIF(H$1462:H1472,H1472)-1,1,0)</f>
        <v>29</v>
      </c>
      <c r="J1472" t="b">
        <f t="shared" si="273"/>
        <v>1</v>
      </c>
      <c r="K1472" t="str">
        <f t="shared" si="274"/>
        <v>Trichoptera</v>
      </c>
      <c r="L1472">
        <f>_xlfn.XLOOKUP(D1472,BugList!C:C,BugList!N:N)</f>
        <v>4</v>
      </c>
      <c r="M1472">
        <f t="shared" si="275"/>
        <v>116</v>
      </c>
      <c r="N1472" t="b">
        <f>_xlfn.XLOOKUP(D1472,BugList!C:C,BugList!L:L)</f>
        <v>1</v>
      </c>
      <c r="O1472" t="b">
        <f t="shared" si="276"/>
        <v>0</v>
      </c>
      <c r="P1472" s="18" t="b">
        <f>SUMPRODUCT(COUNTIF(_xlfn.XLOOKUP(D1472,BugList!C:C,BugList!P:P), "*SC*"))&gt;0</f>
        <v>0</v>
      </c>
    </row>
    <row r="1473" spans="1:16">
      <c r="A1473" s="86" t="s">
        <v>2874</v>
      </c>
      <c r="B1473" s="83">
        <v>372</v>
      </c>
      <c r="C1473" s="34" t="s">
        <v>198</v>
      </c>
      <c r="D1473" s="34" t="s">
        <v>107</v>
      </c>
      <c r="E1473" s="83">
        <v>11</v>
      </c>
      <c r="F1473" s="43">
        <f t="shared" si="277"/>
        <v>7.6923076923076925</v>
      </c>
      <c r="G1473" s="44">
        <f t="shared" si="271"/>
        <v>7</v>
      </c>
      <c r="H1473" s="44">
        <f t="shared" si="272"/>
        <v>0.69230769230769251</v>
      </c>
      <c r="I1473" cm="1">
        <f t="array" ref="I1473">INT(F1473)+IF(100-SUM(INT(F$1462:F$1475))&gt;=RANK(H1473,H$1462:H$1475)+COUNTIF(H$1462:H1473,H1473)-1,1,0)</f>
        <v>8</v>
      </c>
      <c r="J1473" t="b">
        <f t="shared" si="273"/>
        <v>1</v>
      </c>
      <c r="K1473" t="str">
        <f t="shared" si="274"/>
        <v>Trichoptera</v>
      </c>
      <c r="L1473">
        <f>_xlfn.XLOOKUP(D1473,BugList!C:C,BugList!N:N)</f>
        <v>3</v>
      </c>
      <c r="M1473">
        <f t="shared" si="275"/>
        <v>24</v>
      </c>
      <c r="N1473" t="b">
        <f>_xlfn.XLOOKUP(D1473,BugList!C:C,BugList!L:L)</f>
        <v>1</v>
      </c>
      <c r="O1473" t="b">
        <f t="shared" si="276"/>
        <v>1</v>
      </c>
      <c r="P1473" s="18" t="b">
        <f>SUMPRODUCT(COUNTIF(_xlfn.XLOOKUP(D1473,BugList!C:C,BugList!P:P), "*SC*"))&gt;0</f>
        <v>0</v>
      </c>
    </row>
    <row r="1474" spans="1:16">
      <c r="A1474" s="86" t="s">
        <v>2874</v>
      </c>
      <c r="B1474" s="83">
        <v>372</v>
      </c>
      <c r="C1474" s="34" t="s">
        <v>201</v>
      </c>
      <c r="D1474" s="34" t="s">
        <v>85</v>
      </c>
      <c r="E1474" s="83">
        <v>1</v>
      </c>
      <c r="F1474" s="43">
        <f t="shared" si="277"/>
        <v>0.69930069930069927</v>
      </c>
      <c r="G1474" s="44">
        <f t="shared" si="271"/>
        <v>0</v>
      </c>
      <c r="H1474" s="44">
        <f t="shared" si="272"/>
        <v>0.69930069930069927</v>
      </c>
      <c r="I1474" cm="1">
        <f t="array" ref="I1474">INT(F1474)+IF(100-SUM(INT(F$1462:F$1475))&gt;=RANK(H1474,H$1462:H$1475)+COUNTIF(H$1462:H1474,H1474)-1,1,0)</f>
        <v>1</v>
      </c>
      <c r="J1474" t="b">
        <f t="shared" si="273"/>
        <v>0</v>
      </c>
      <c r="K1474" t="str">
        <f t="shared" si="274"/>
        <v/>
      </c>
      <c r="L1474">
        <f>_xlfn.XLOOKUP(D1474,BugList!C:C,BugList!N:N)</f>
        <v>4</v>
      </c>
      <c r="M1474">
        <f t="shared" si="275"/>
        <v>4</v>
      </c>
      <c r="N1474" t="b">
        <f>_xlfn.XLOOKUP(D1474,BugList!C:C,BugList!L:L)</f>
        <v>0</v>
      </c>
      <c r="O1474" t="b">
        <f t="shared" si="276"/>
        <v>0</v>
      </c>
      <c r="P1474" s="18" t="b">
        <f>SUMPRODUCT(COUNTIF(_xlfn.XLOOKUP(D1474,BugList!C:C,BugList!P:P), "*SC*"))&gt;0</f>
        <v>0</v>
      </c>
    </row>
    <row r="1475" spans="1:16">
      <c r="A1475" s="86" t="s">
        <v>2874</v>
      </c>
      <c r="B1475" s="83">
        <v>372</v>
      </c>
      <c r="C1475" s="34" t="s">
        <v>94</v>
      </c>
      <c r="D1475" s="34" t="s">
        <v>94</v>
      </c>
      <c r="E1475" s="83">
        <v>1</v>
      </c>
      <c r="F1475" s="43">
        <f t="shared" si="277"/>
        <v>0.69930069930069927</v>
      </c>
      <c r="G1475" s="44">
        <f t="shared" si="271"/>
        <v>0</v>
      </c>
      <c r="H1475" s="44">
        <f t="shared" si="272"/>
        <v>0.69930069930069927</v>
      </c>
      <c r="I1475" cm="1">
        <f t="array" ref="I1475">INT(F1475)+IF(100-SUM(INT(F$1462:F$1475))&gt;=RANK(H1475,H$1462:H$1475)+COUNTIF(H$1462:H1475,H1475)-1,1,0)</f>
        <v>1</v>
      </c>
      <c r="J1475" t="b">
        <f t="shared" si="273"/>
        <v>0</v>
      </c>
      <c r="K1475" t="str">
        <f t="shared" si="274"/>
        <v/>
      </c>
      <c r="L1475">
        <f>_xlfn.XLOOKUP(D1475,BugList!C:C,BugList!N:N)</f>
        <v>8</v>
      </c>
      <c r="M1475">
        <f t="shared" si="275"/>
        <v>8</v>
      </c>
      <c r="N1475" t="b">
        <f>_xlfn.XLOOKUP(D1475,BugList!C:C,BugList!L:L)</f>
        <v>0</v>
      </c>
      <c r="O1475" t="b">
        <f t="shared" si="276"/>
        <v>0</v>
      </c>
      <c r="P1475" s="18" t="b">
        <f>SUMPRODUCT(COUNTIF(_xlfn.XLOOKUP(D1475,BugList!C:C,BugList!P:P), "*SC*"))&gt;0</f>
        <v>0</v>
      </c>
    </row>
    <row r="1476" spans="1:16">
      <c r="A1476" s="86" t="s">
        <v>2875</v>
      </c>
      <c r="B1476" s="83">
        <v>384</v>
      </c>
      <c r="C1476" s="34" t="s">
        <v>200</v>
      </c>
      <c r="D1476" s="34" t="s">
        <v>100</v>
      </c>
      <c r="E1476" s="83">
        <v>2</v>
      </c>
      <c r="F1476" s="43">
        <f t="shared" si="277"/>
        <v>1.6260162601626018</v>
      </c>
      <c r="G1476" s="44">
        <f t="shared" si="271"/>
        <v>1</v>
      </c>
      <c r="H1476" s="44">
        <f t="shared" si="272"/>
        <v>0.62601626016260181</v>
      </c>
      <c r="I1476" cm="1">
        <f t="array" ref="I1476">INT(F1476)+IF(100-SUM(INT(F$1476:F$1487))&gt;=RANK(H1476,H$1476:H$1487)+COUNTIF(H$1476:H1476,H1476)-1,1,0)</f>
        <v>2</v>
      </c>
      <c r="J1476" t="b">
        <f t="shared" si="273"/>
        <v>0</v>
      </c>
      <c r="K1476" t="str">
        <f t="shared" si="274"/>
        <v/>
      </c>
      <c r="L1476">
        <f>_xlfn.XLOOKUP(D1476,BugList!C:C,BugList!N:N)</f>
        <v>4</v>
      </c>
      <c r="M1476">
        <f t="shared" si="275"/>
        <v>8</v>
      </c>
      <c r="N1476" t="b">
        <f>_xlfn.XLOOKUP(D1476,BugList!C:C,BugList!L:L)</f>
        <v>1</v>
      </c>
      <c r="O1476" t="b">
        <f t="shared" si="276"/>
        <v>0</v>
      </c>
      <c r="P1476" s="18" t="b">
        <f>SUMPRODUCT(COUNTIF(_xlfn.XLOOKUP(D1476,BugList!C:C,BugList!P:P), "*SC*"))&gt;0</f>
        <v>1</v>
      </c>
    </row>
    <row r="1477" spans="1:16">
      <c r="A1477" s="86" t="s">
        <v>2875</v>
      </c>
      <c r="B1477" s="83">
        <v>384</v>
      </c>
      <c r="C1477" s="34" t="s">
        <v>194</v>
      </c>
      <c r="D1477" s="34" t="s">
        <v>101</v>
      </c>
      <c r="E1477" s="83">
        <v>1</v>
      </c>
      <c r="F1477" s="43">
        <f t="shared" si="277"/>
        <v>0.81300813008130091</v>
      </c>
      <c r="G1477" s="44">
        <f t="shared" si="271"/>
        <v>0</v>
      </c>
      <c r="H1477" s="44">
        <f t="shared" si="272"/>
        <v>0.81300813008130091</v>
      </c>
      <c r="I1477" cm="1">
        <f t="array" ref="I1477">INT(F1477)+IF(100-SUM(INT(F$1476:F$1487))&gt;=RANK(H1477,H$1476:H$1487)+COUNTIF(H$1476:H1477,H1477)-1,1,0)</f>
        <v>1</v>
      </c>
      <c r="J1477" t="b">
        <f t="shared" si="273"/>
        <v>0</v>
      </c>
      <c r="K1477" t="str">
        <f t="shared" si="274"/>
        <v/>
      </c>
      <c r="L1477">
        <f>_xlfn.XLOOKUP(D1477,BugList!C:C,BugList!N:N)</f>
        <v>6</v>
      </c>
      <c r="M1477">
        <f t="shared" si="275"/>
        <v>6</v>
      </c>
      <c r="N1477" t="b">
        <f>_xlfn.XLOOKUP(D1477,BugList!C:C,BugList!L:L)</f>
        <v>1</v>
      </c>
      <c r="O1477" t="b">
        <f t="shared" si="276"/>
        <v>0</v>
      </c>
      <c r="P1477" s="18" t="b">
        <f>SUMPRODUCT(COUNTIF(_xlfn.XLOOKUP(D1477,BugList!C:C,BugList!P:P), "*SC*"))&gt;0</f>
        <v>0</v>
      </c>
    </row>
    <row r="1478" spans="1:16">
      <c r="A1478" s="86" t="s">
        <v>2875</v>
      </c>
      <c r="B1478" s="83">
        <v>384</v>
      </c>
      <c r="C1478" s="34" t="s">
        <v>194</v>
      </c>
      <c r="D1478" s="34" t="s">
        <v>108</v>
      </c>
      <c r="E1478" s="83">
        <v>2</v>
      </c>
      <c r="F1478" s="43">
        <f t="shared" si="277"/>
        <v>1.6260162601626018</v>
      </c>
      <c r="G1478" s="44">
        <f t="shared" si="271"/>
        <v>1</v>
      </c>
      <c r="H1478" s="44">
        <f t="shared" si="272"/>
        <v>0.62601626016260181</v>
      </c>
      <c r="I1478" cm="1">
        <f t="array" ref="I1478">INT(F1478)+IF(100-SUM(INT(F$1476:F$1487))&gt;=RANK(H1478,H$1476:H$1487)+COUNTIF(H$1476:H1478,H1478)-1,1,0)</f>
        <v>2</v>
      </c>
      <c r="J1478" t="b">
        <f t="shared" si="273"/>
        <v>0</v>
      </c>
      <c r="K1478" t="str">
        <f t="shared" si="274"/>
        <v/>
      </c>
      <c r="L1478">
        <f>_xlfn.XLOOKUP(D1478,BugList!C:C,BugList!N:N)</f>
        <v>3</v>
      </c>
      <c r="M1478">
        <f t="shared" si="275"/>
        <v>6</v>
      </c>
      <c r="N1478" t="b">
        <f>_xlfn.XLOOKUP(D1478,BugList!C:C,BugList!L:L)</f>
        <v>1</v>
      </c>
      <c r="O1478" t="b">
        <f t="shared" si="276"/>
        <v>0</v>
      </c>
      <c r="P1478" s="18" t="b">
        <f>SUMPRODUCT(COUNTIF(_xlfn.XLOOKUP(D1478,BugList!C:C,BugList!P:P), "*SC*"))&gt;0</f>
        <v>0</v>
      </c>
    </row>
    <row r="1479" spans="1:16">
      <c r="A1479" s="86" t="s">
        <v>2875</v>
      </c>
      <c r="B1479" s="83">
        <v>384</v>
      </c>
      <c r="C1479" s="34" t="s">
        <v>199</v>
      </c>
      <c r="D1479" s="34" t="s">
        <v>96</v>
      </c>
      <c r="E1479" s="83">
        <v>9</v>
      </c>
      <c r="F1479" s="43">
        <f t="shared" si="277"/>
        <v>7.3170731707317067</v>
      </c>
      <c r="G1479" s="44">
        <f t="shared" si="271"/>
        <v>7</v>
      </c>
      <c r="H1479" s="44">
        <f t="shared" si="272"/>
        <v>0.31707317073170671</v>
      </c>
      <c r="I1479" cm="1">
        <f t="array" ref="I1479">INT(F1479)+IF(100-SUM(INT(F$1476:F$1487))&gt;=RANK(H1479,H$1476:H$1487)+COUNTIF(H$1476:H1479,H1479)-1,1,0)</f>
        <v>7</v>
      </c>
      <c r="J1479" t="b">
        <f t="shared" si="273"/>
        <v>1</v>
      </c>
      <c r="K1479" t="str">
        <f t="shared" si="274"/>
        <v>Ephemeroptera</v>
      </c>
      <c r="L1479">
        <f>_xlfn.XLOOKUP(D1479,BugList!C:C,BugList!N:N)</f>
        <v>4</v>
      </c>
      <c r="M1479">
        <f t="shared" si="275"/>
        <v>28</v>
      </c>
      <c r="N1479" t="b">
        <f>_xlfn.XLOOKUP(D1479,BugList!C:C,BugList!L:L)</f>
        <v>1</v>
      </c>
      <c r="O1479" t="b">
        <f t="shared" si="276"/>
        <v>1</v>
      </c>
      <c r="P1479" s="18" t="b">
        <f>SUMPRODUCT(COUNTIF(_xlfn.XLOOKUP(D1479,BugList!C:C,BugList!P:P), "*SC*"))&gt;0</f>
        <v>1</v>
      </c>
    </row>
    <row r="1480" spans="1:16">
      <c r="A1480" s="86" t="s">
        <v>2875</v>
      </c>
      <c r="B1480" s="83">
        <v>384</v>
      </c>
      <c r="C1480" s="34" t="s">
        <v>199</v>
      </c>
      <c r="D1480" s="34" t="s">
        <v>111</v>
      </c>
      <c r="E1480" s="83">
        <v>1</v>
      </c>
      <c r="F1480" s="43">
        <f t="shared" si="277"/>
        <v>0.81300813008130091</v>
      </c>
      <c r="G1480" s="44">
        <f t="shared" si="271"/>
        <v>0</v>
      </c>
      <c r="H1480" s="44">
        <f t="shared" si="272"/>
        <v>0.81300813008130091</v>
      </c>
      <c r="I1480" cm="1">
        <f t="array" ref="I1480">INT(F1480)+IF(100-SUM(INT(F$1476:F$1487))&gt;=RANK(H1480,H$1476:H$1487)+COUNTIF(H$1476:H1480,H1480)-1,1,0)</f>
        <v>1</v>
      </c>
      <c r="J1480" t="b">
        <f t="shared" si="273"/>
        <v>1</v>
      </c>
      <c r="K1480" t="str">
        <f t="shared" si="274"/>
        <v>Ephemeroptera</v>
      </c>
      <c r="L1480">
        <f>_xlfn.XLOOKUP(D1480,BugList!C:C,BugList!N:N)</f>
        <v>4</v>
      </c>
      <c r="M1480">
        <f t="shared" si="275"/>
        <v>4</v>
      </c>
      <c r="N1480" t="b">
        <f>_xlfn.XLOOKUP(D1480,BugList!C:C,BugList!L:L)</f>
        <v>1</v>
      </c>
      <c r="O1480" t="b">
        <f t="shared" si="276"/>
        <v>1</v>
      </c>
      <c r="P1480" s="18" t="b">
        <f>SUMPRODUCT(COUNTIF(_xlfn.XLOOKUP(D1480,BugList!C:C,BugList!P:P), "*SC*"))&gt;0</f>
        <v>0</v>
      </c>
    </row>
    <row r="1481" spans="1:16">
      <c r="A1481" s="86" t="s">
        <v>2875</v>
      </c>
      <c r="B1481" s="83">
        <v>384</v>
      </c>
      <c r="C1481" s="34" t="s">
        <v>195</v>
      </c>
      <c r="D1481" s="34" t="s">
        <v>113</v>
      </c>
      <c r="E1481" s="83">
        <v>2</v>
      </c>
      <c r="F1481" s="43">
        <f t="shared" si="277"/>
        <v>1.6260162601626018</v>
      </c>
      <c r="G1481" s="44">
        <f t="shared" si="271"/>
        <v>1</v>
      </c>
      <c r="H1481" s="44">
        <f t="shared" si="272"/>
        <v>0.62601626016260181</v>
      </c>
      <c r="I1481" cm="1">
        <f t="array" ref="I1481">INT(F1481)+IF(100-SUM(INT(F$1476:F$1487))&gt;=RANK(H1481,H$1476:H$1487)+COUNTIF(H$1476:H1481,H1481)-1,1,0)</f>
        <v>2</v>
      </c>
      <c r="J1481" t="b">
        <f t="shared" si="273"/>
        <v>0</v>
      </c>
      <c r="K1481" t="str">
        <f t="shared" si="274"/>
        <v/>
      </c>
      <c r="L1481">
        <f>_xlfn.XLOOKUP(D1481,BugList!C:C,BugList!N:N)</f>
        <v>1</v>
      </c>
      <c r="M1481">
        <f t="shared" si="275"/>
        <v>2</v>
      </c>
      <c r="N1481" t="b">
        <f>_xlfn.XLOOKUP(D1481,BugList!C:C,BugList!L:L)</f>
        <v>1</v>
      </c>
      <c r="O1481" t="b">
        <f t="shared" si="276"/>
        <v>0</v>
      </c>
      <c r="P1481" s="18" t="b">
        <f>SUMPRODUCT(COUNTIF(_xlfn.XLOOKUP(D1481,BugList!C:C,BugList!P:P), "*SC*"))&gt;0</f>
        <v>0</v>
      </c>
    </row>
    <row r="1482" spans="1:16">
      <c r="A1482" s="86" t="s">
        <v>2875</v>
      </c>
      <c r="B1482" s="83">
        <v>384</v>
      </c>
      <c r="C1482" s="34" t="s">
        <v>198</v>
      </c>
      <c r="D1482" s="34" t="s">
        <v>89</v>
      </c>
      <c r="E1482" s="83">
        <v>49</v>
      </c>
      <c r="F1482" s="43">
        <f t="shared" si="277"/>
        <v>39.837398373983739</v>
      </c>
      <c r="G1482" s="44">
        <f t="shared" si="271"/>
        <v>39</v>
      </c>
      <c r="H1482" s="44">
        <f t="shared" si="272"/>
        <v>0.83739837398373851</v>
      </c>
      <c r="I1482" cm="1">
        <f t="array" ref="I1482">INT(F1482)+IF(100-SUM(INT(F$1476:F$1487))&gt;=RANK(H1482,H$1476:H$1487)+COUNTIF(H$1476:H1482,H1482)-1,1,0)</f>
        <v>40</v>
      </c>
      <c r="J1482" t="b">
        <f t="shared" si="273"/>
        <v>1</v>
      </c>
      <c r="K1482" t="str">
        <f t="shared" si="274"/>
        <v>Trichoptera</v>
      </c>
      <c r="L1482">
        <f>_xlfn.XLOOKUP(D1482,BugList!C:C,BugList!N:N)</f>
        <v>4</v>
      </c>
      <c r="M1482">
        <f t="shared" si="275"/>
        <v>160</v>
      </c>
      <c r="N1482" t="b">
        <f>_xlfn.XLOOKUP(D1482,BugList!C:C,BugList!L:L)</f>
        <v>1</v>
      </c>
      <c r="O1482" t="b">
        <f t="shared" si="276"/>
        <v>0</v>
      </c>
      <c r="P1482" s="18" t="b">
        <f>SUMPRODUCT(COUNTIF(_xlfn.XLOOKUP(D1482,BugList!C:C,BugList!P:P), "*SC*"))&gt;0</f>
        <v>0</v>
      </c>
    </row>
    <row r="1483" spans="1:16">
      <c r="A1483" s="86" t="s">
        <v>2875</v>
      </c>
      <c r="B1483" s="83">
        <v>384</v>
      </c>
      <c r="C1483" s="34" t="s">
        <v>198</v>
      </c>
      <c r="D1483" s="34" t="s">
        <v>107</v>
      </c>
      <c r="E1483" s="83">
        <v>46</v>
      </c>
      <c r="F1483" s="43">
        <f t="shared" si="277"/>
        <v>37.398373983739837</v>
      </c>
      <c r="G1483" s="44">
        <f t="shared" si="271"/>
        <v>37</v>
      </c>
      <c r="H1483" s="44">
        <f t="shared" si="272"/>
        <v>0.39837398373983746</v>
      </c>
      <c r="I1483" cm="1">
        <f t="array" ref="I1483">INT(F1483)+IF(100-SUM(INT(F$1476:F$1487))&gt;=RANK(H1483,H$1476:H$1487)+COUNTIF(H$1476:H1483,H1483)-1,1,0)</f>
        <v>37</v>
      </c>
      <c r="J1483" t="b">
        <f t="shared" si="273"/>
        <v>1</v>
      </c>
      <c r="K1483" t="str">
        <f t="shared" si="274"/>
        <v>Trichoptera</v>
      </c>
      <c r="L1483">
        <f>_xlfn.XLOOKUP(D1483,BugList!C:C,BugList!N:N)</f>
        <v>3</v>
      </c>
      <c r="M1483">
        <f t="shared" si="275"/>
        <v>111</v>
      </c>
      <c r="N1483" t="b">
        <f>_xlfn.XLOOKUP(D1483,BugList!C:C,BugList!L:L)</f>
        <v>1</v>
      </c>
      <c r="O1483" t="b">
        <f t="shared" si="276"/>
        <v>1</v>
      </c>
      <c r="P1483" s="18" t="b">
        <f>SUMPRODUCT(COUNTIF(_xlfn.XLOOKUP(D1483,BugList!C:C,BugList!P:P), "*SC*"))&gt;0</f>
        <v>0</v>
      </c>
    </row>
    <row r="1484" spans="1:16">
      <c r="A1484" s="86" t="s">
        <v>2875</v>
      </c>
      <c r="B1484" s="83">
        <v>384</v>
      </c>
      <c r="C1484" s="34" t="s">
        <v>201</v>
      </c>
      <c r="D1484" s="34" t="s">
        <v>109</v>
      </c>
      <c r="E1484" s="83">
        <v>4</v>
      </c>
      <c r="F1484" s="43">
        <f t="shared" si="277"/>
        <v>3.2520325203252036</v>
      </c>
      <c r="G1484" s="44">
        <f t="shared" si="271"/>
        <v>3</v>
      </c>
      <c r="H1484" s="44">
        <f t="shared" si="272"/>
        <v>0.25203252032520362</v>
      </c>
      <c r="I1484" cm="1">
        <f t="array" ref="I1484">INT(F1484)+IF(100-SUM(INT(F$1476:F$1487))&gt;=RANK(H1484,H$1476:H$1487)+COUNTIF(H$1476:H1484,H1484)-1,1,0)</f>
        <v>3</v>
      </c>
      <c r="J1484" t="b">
        <f t="shared" si="273"/>
        <v>0</v>
      </c>
      <c r="K1484" t="str">
        <f t="shared" si="274"/>
        <v/>
      </c>
      <c r="L1484">
        <f>_xlfn.XLOOKUP(D1484,BugList!C:C,BugList!N:N)</f>
        <v>6</v>
      </c>
      <c r="M1484">
        <f t="shared" si="275"/>
        <v>18</v>
      </c>
      <c r="N1484" t="b">
        <f>_xlfn.XLOOKUP(D1484,BugList!C:C,BugList!L:L)</f>
        <v>0</v>
      </c>
      <c r="O1484" t="b">
        <f t="shared" si="276"/>
        <v>0</v>
      </c>
      <c r="P1484" s="18" t="b">
        <f>SUMPRODUCT(COUNTIF(_xlfn.XLOOKUP(D1484,BugList!C:C,BugList!P:P), "*SC*"))&gt;0</f>
        <v>0</v>
      </c>
    </row>
    <row r="1485" spans="1:16">
      <c r="A1485" s="86" t="s">
        <v>2875</v>
      </c>
      <c r="B1485" s="83">
        <v>384</v>
      </c>
      <c r="C1485" s="34" t="s">
        <v>201</v>
      </c>
      <c r="D1485" s="34" t="s">
        <v>85</v>
      </c>
      <c r="E1485" s="83">
        <v>4</v>
      </c>
      <c r="F1485" s="43">
        <f t="shared" si="277"/>
        <v>3.2520325203252036</v>
      </c>
      <c r="G1485" s="44">
        <f t="shared" si="271"/>
        <v>3</v>
      </c>
      <c r="H1485" s="44">
        <f t="shared" si="272"/>
        <v>0.25203252032520362</v>
      </c>
      <c r="I1485" cm="1">
        <f t="array" ref="I1485">INT(F1485)+IF(100-SUM(INT(F$1476:F$1487))&gt;=RANK(H1485,H$1476:H$1487)+COUNTIF(H$1476:H1485,H1485)-1,1,0)</f>
        <v>3</v>
      </c>
      <c r="J1485" t="b">
        <f t="shared" si="273"/>
        <v>0</v>
      </c>
      <c r="K1485" t="str">
        <f t="shared" si="274"/>
        <v/>
      </c>
      <c r="L1485">
        <f>_xlfn.XLOOKUP(D1485,BugList!C:C,BugList!N:N)</f>
        <v>4</v>
      </c>
      <c r="M1485">
        <f t="shared" si="275"/>
        <v>12</v>
      </c>
      <c r="N1485" t="b">
        <f>_xlfn.XLOOKUP(D1485,BugList!C:C,BugList!L:L)</f>
        <v>0</v>
      </c>
      <c r="O1485" t="b">
        <f t="shared" si="276"/>
        <v>0</v>
      </c>
      <c r="P1485" s="18" t="b">
        <f>SUMPRODUCT(COUNTIF(_xlfn.XLOOKUP(D1485,BugList!C:C,BugList!P:P), "*SC*"))&gt;0</f>
        <v>0</v>
      </c>
    </row>
    <row r="1486" spans="1:16">
      <c r="A1486" s="86" t="s">
        <v>2875</v>
      </c>
      <c r="B1486" s="83">
        <v>384</v>
      </c>
      <c r="C1486" s="34" t="s">
        <v>2315</v>
      </c>
      <c r="D1486" s="34" t="s">
        <v>102</v>
      </c>
      <c r="E1486" s="83">
        <v>1</v>
      </c>
      <c r="F1486" s="43">
        <f t="shared" si="277"/>
        <v>0.81300813008130091</v>
      </c>
      <c r="G1486" s="44">
        <f t="shared" si="271"/>
        <v>0</v>
      </c>
      <c r="H1486" s="44">
        <f t="shared" si="272"/>
        <v>0.81300813008130091</v>
      </c>
      <c r="I1486" cm="1">
        <f t="array" ref="I1486">INT(F1486)+IF(100-SUM(INT(F$1476:F$1487))&gt;=RANK(H1486,H$1476:H$1487)+COUNTIF(H$1476:H1486,H1486)-1,1,0)</f>
        <v>1</v>
      </c>
      <c r="J1486" t="b">
        <f t="shared" si="273"/>
        <v>0</v>
      </c>
      <c r="K1486" t="str">
        <f t="shared" si="274"/>
        <v/>
      </c>
      <c r="L1486">
        <f>_xlfn.XLOOKUP(D1486,BugList!C:C,BugList!N:N)</f>
        <v>7</v>
      </c>
      <c r="M1486">
        <f t="shared" si="275"/>
        <v>7</v>
      </c>
      <c r="N1486" t="b">
        <f>_xlfn.XLOOKUP(D1486,BugList!C:C,BugList!L:L)</f>
        <v>0</v>
      </c>
      <c r="O1486" t="b">
        <f t="shared" si="276"/>
        <v>0</v>
      </c>
      <c r="P1486" s="18" t="b">
        <f>SUMPRODUCT(COUNTIF(_xlfn.XLOOKUP(D1486,BugList!C:C,BugList!P:P), "*SC*"))&gt;0</f>
        <v>1</v>
      </c>
    </row>
    <row r="1487" spans="1:16">
      <c r="A1487" s="86" t="s">
        <v>2875</v>
      </c>
      <c r="B1487" s="83">
        <v>384</v>
      </c>
      <c r="C1487" s="34" t="s">
        <v>94</v>
      </c>
      <c r="D1487" s="34" t="s">
        <v>94</v>
      </c>
      <c r="E1487" s="83">
        <v>2</v>
      </c>
      <c r="F1487" s="43">
        <f t="shared" si="277"/>
        <v>1.6260162601626018</v>
      </c>
      <c r="G1487" s="44">
        <f t="shared" si="271"/>
        <v>1</v>
      </c>
      <c r="H1487" s="44">
        <f t="shared" si="272"/>
        <v>0.62601626016260181</v>
      </c>
      <c r="I1487" cm="1">
        <f t="array" ref="I1487">INT(F1487)+IF(100-SUM(INT(F$1476:F$1487))&gt;=RANK(H1487,H$1476:H$1487)+COUNTIF(H$1476:H1487,H1487)-1,1,0)</f>
        <v>1</v>
      </c>
      <c r="J1487" t="b">
        <f t="shared" si="273"/>
        <v>0</v>
      </c>
      <c r="K1487" t="str">
        <f t="shared" si="274"/>
        <v/>
      </c>
      <c r="L1487">
        <f>_xlfn.XLOOKUP(D1487,BugList!C:C,BugList!N:N)</f>
        <v>8</v>
      </c>
      <c r="M1487">
        <f t="shared" si="275"/>
        <v>8</v>
      </c>
      <c r="N1487" t="b">
        <f>_xlfn.XLOOKUP(D1487,BugList!C:C,BugList!L:L)</f>
        <v>0</v>
      </c>
      <c r="O1487" t="b">
        <f t="shared" si="276"/>
        <v>0</v>
      </c>
      <c r="P1487" s="18" t="b">
        <f>SUMPRODUCT(COUNTIF(_xlfn.XLOOKUP(D1487,BugList!C:C,BugList!P:P), "*SC*"))&gt;0</f>
        <v>0</v>
      </c>
    </row>
    <row r="1488" spans="1:16">
      <c r="A1488" s="86" t="s">
        <v>2876</v>
      </c>
      <c r="B1488" s="83">
        <v>394</v>
      </c>
      <c r="C1488" s="34" t="s">
        <v>194</v>
      </c>
      <c r="D1488" s="34" t="s">
        <v>126</v>
      </c>
      <c r="E1488" s="83">
        <v>7</v>
      </c>
      <c r="F1488" s="43">
        <f t="shared" si="277"/>
        <v>6.7961165048543686</v>
      </c>
      <c r="G1488" s="44">
        <f t="shared" si="271"/>
        <v>6</v>
      </c>
      <c r="H1488" s="44">
        <f t="shared" si="272"/>
        <v>0.79611650485436858</v>
      </c>
      <c r="I1488" cm="1">
        <f t="array" ref="I1488">INT(F1488)+IF(100-SUM(INT(F$1488:F$1500))&gt;=RANK(H1488,H$1488:H$1500)+COUNTIF(H$1488:H1488,H1488)-1,1,0)</f>
        <v>7</v>
      </c>
      <c r="J1488" t="b">
        <f t="shared" si="273"/>
        <v>0</v>
      </c>
      <c r="K1488" t="str">
        <f t="shared" si="274"/>
        <v/>
      </c>
      <c r="L1488">
        <f>_xlfn.XLOOKUP(D1488,BugList!C:C,BugList!N:N)</f>
        <v>8</v>
      </c>
      <c r="M1488">
        <f t="shared" si="275"/>
        <v>56</v>
      </c>
      <c r="N1488" t="b">
        <f>_xlfn.XLOOKUP(D1488,BugList!C:C,BugList!L:L)</f>
        <v>1</v>
      </c>
      <c r="O1488" t="b">
        <f t="shared" si="276"/>
        <v>0</v>
      </c>
      <c r="P1488" s="18" t="b">
        <f>SUMPRODUCT(COUNTIF(_xlfn.XLOOKUP(D1488,BugList!C:C,BugList!P:P), "*SC*"))&gt;0</f>
        <v>0</v>
      </c>
    </row>
    <row r="1489" spans="1:16">
      <c r="A1489" s="86" t="s">
        <v>2876</v>
      </c>
      <c r="B1489" s="83">
        <v>394</v>
      </c>
      <c r="C1489" s="34" t="s">
        <v>194</v>
      </c>
      <c r="D1489" s="34" t="s">
        <v>90</v>
      </c>
      <c r="E1489" s="83">
        <v>3</v>
      </c>
      <c r="F1489" s="43">
        <f t="shared" si="277"/>
        <v>2.912621359223301</v>
      </c>
      <c r="G1489" s="44">
        <f t="shared" si="271"/>
        <v>2</v>
      </c>
      <c r="H1489" s="44">
        <f t="shared" si="272"/>
        <v>0.91262135922330101</v>
      </c>
      <c r="I1489" cm="1">
        <f t="array" ref="I1489">INT(F1489)+IF(100-SUM(INT(F$1488:F$1500))&gt;=RANK(H1489,H$1488:H$1500)+COUNTIF(H$1488:H1489,H1489)-1,1,0)</f>
        <v>3</v>
      </c>
      <c r="J1489" t="b">
        <f t="shared" si="273"/>
        <v>0</v>
      </c>
      <c r="K1489" t="str">
        <f t="shared" si="274"/>
        <v/>
      </c>
      <c r="L1489">
        <f>_xlfn.XLOOKUP(D1489,BugList!C:C,BugList!N:N)</f>
        <v>6</v>
      </c>
      <c r="M1489">
        <f t="shared" si="275"/>
        <v>18</v>
      </c>
      <c r="N1489" t="b">
        <f>_xlfn.XLOOKUP(D1489,BugList!C:C,BugList!L:L)</f>
        <v>1</v>
      </c>
      <c r="O1489" t="b">
        <f t="shared" si="276"/>
        <v>0</v>
      </c>
      <c r="P1489" s="18" t="b">
        <f>SUMPRODUCT(COUNTIF(_xlfn.XLOOKUP(D1489,BugList!C:C,BugList!P:P), "*SC*"))&gt;0</f>
        <v>0</v>
      </c>
    </row>
    <row r="1490" spans="1:16">
      <c r="A1490" s="86" t="s">
        <v>2876</v>
      </c>
      <c r="B1490" s="83">
        <v>394</v>
      </c>
      <c r="C1490" s="34" t="s">
        <v>194</v>
      </c>
      <c r="D1490" s="34" t="s">
        <v>101</v>
      </c>
      <c r="E1490" s="83">
        <v>2</v>
      </c>
      <c r="F1490" s="43">
        <f t="shared" si="277"/>
        <v>1.9417475728155338</v>
      </c>
      <c r="G1490" s="44">
        <f t="shared" ref="G1490:G1553" si="278">INT(F1490)</f>
        <v>1</v>
      </c>
      <c r="H1490" s="44">
        <f t="shared" ref="H1490:H1553" si="279">F1490-G1490</f>
        <v>0.94174757281553378</v>
      </c>
      <c r="I1490" cm="1">
        <f t="array" ref="I1490">INT(F1490)+IF(100-SUM(INT(F$1488:F$1500))&gt;=RANK(H1490,H$1488:H$1500)+COUNTIF(H$1488:H1490,H1490)-1,1,0)</f>
        <v>2</v>
      </c>
      <c r="J1490" t="b">
        <f t="shared" ref="J1490:J1553" si="280">IF(OR(C1490="Ephemeroptera", C1490 ="Plecoptera", C1490= "Trichoptera"), TRUE, FALSE)</f>
        <v>0</v>
      </c>
      <c r="K1490" t="str">
        <f t="shared" ref="K1490:K1553" si="281">IF(J1490=TRUE,C1490,"")</f>
        <v/>
      </c>
      <c r="L1490">
        <f>_xlfn.XLOOKUP(D1490,BugList!C:C,BugList!N:N)</f>
        <v>6</v>
      </c>
      <c r="M1490">
        <f t="shared" ref="M1490:M1553" si="282">L1490*I1490</f>
        <v>12</v>
      </c>
      <c r="N1490" t="b">
        <f>_xlfn.XLOOKUP(D1490,BugList!C:C,BugList!L:L)</f>
        <v>1</v>
      </c>
      <c r="O1490" t="b">
        <f t="shared" ref="O1490:O1553" si="283">IF(J1490=TRUE,IF(D1490="Hydropsychidae", FALSE, TRUE), FALSE)</f>
        <v>0</v>
      </c>
      <c r="P1490" s="18" t="b">
        <f>SUMPRODUCT(COUNTIF(_xlfn.XLOOKUP(D1490,BugList!C:C,BugList!P:P), "*SC*"))&gt;0</f>
        <v>0</v>
      </c>
    </row>
    <row r="1491" spans="1:16">
      <c r="A1491" s="86" t="s">
        <v>2876</v>
      </c>
      <c r="B1491" s="83">
        <v>394</v>
      </c>
      <c r="C1491" s="34" t="s">
        <v>194</v>
      </c>
      <c r="D1491" s="34" t="s">
        <v>108</v>
      </c>
      <c r="E1491" s="83">
        <v>9</v>
      </c>
      <c r="F1491" s="43">
        <f t="shared" si="277"/>
        <v>8.7378640776699026</v>
      </c>
      <c r="G1491" s="44">
        <f t="shared" si="278"/>
        <v>8</v>
      </c>
      <c r="H1491" s="44">
        <f t="shared" si="279"/>
        <v>0.73786407766990258</v>
      </c>
      <c r="I1491" cm="1">
        <f t="array" ref="I1491">INT(F1491)+IF(100-SUM(INT(F$1488:F$1500))&gt;=RANK(H1491,H$1488:H$1500)+COUNTIF(H$1488:H1491,H1491)-1,1,0)</f>
        <v>9</v>
      </c>
      <c r="J1491" t="b">
        <f t="shared" si="280"/>
        <v>0</v>
      </c>
      <c r="K1491" t="str">
        <f t="shared" si="281"/>
        <v/>
      </c>
      <c r="L1491">
        <f>_xlfn.XLOOKUP(D1491,BugList!C:C,BugList!N:N)</f>
        <v>3</v>
      </c>
      <c r="M1491">
        <f t="shared" si="282"/>
        <v>27</v>
      </c>
      <c r="N1491" t="b">
        <f>_xlfn.XLOOKUP(D1491,BugList!C:C,BugList!L:L)</f>
        <v>1</v>
      </c>
      <c r="O1491" t="b">
        <f t="shared" si="283"/>
        <v>0</v>
      </c>
      <c r="P1491" s="18" t="b">
        <f>SUMPRODUCT(COUNTIF(_xlfn.XLOOKUP(D1491,BugList!C:C,BugList!P:P), "*SC*"))&gt;0</f>
        <v>0</v>
      </c>
    </row>
    <row r="1492" spans="1:16">
      <c r="A1492" s="86" t="s">
        <v>2876</v>
      </c>
      <c r="B1492" s="83">
        <v>394</v>
      </c>
      <c r="C1492" s="34" t="s">
        <v>199</v>
      </c>
      <c r="D1492" s="34" t="s">
        <v>969</v>
      </c>
      <c r="E1492" s="83">
        <v>12</v>
      </c>
      <c r="F1492" s="43">
        <f t="shared" si="277"/>
        <v>11.650485436893204</v>
      </c>
      <c r="G1492" s="44">
        <f t="shared" si="278"/>
        <v>11</v>
      </c>
      <c r="H1492" s="44">
        <f t="shared" si="279"/>
        <v>0.65048543689320404</v>
      </c>
      <c r="I1492" cm="1">
        <f t="array" ref="I1492">INT(F1492)+IF(100-SUM(INT(F$1488:F$1500))&gt;=RANK(H1492,H$1488:H$1500)+COUNTIF(H$1488:H1492,H1492)-1,1,0)</f>
        <v>12</v>
      </c>
      <c r="J1492" t="b">
        <f t="shared" si="280"/>
        <v>1</v>
      </c>
      <c r="K1492" t="str">
        <f t="shared" si="281"/>
        <v>Ephemeroptera</v>
      </c>
      <c r="L1492">
        <f>_xlfn.XLOOKUP(D1492,BugList!C:C,BugList!N:N)</f>
        <v>7</v>
      </c>
      <c r="M1492">
        <f t="shared" si="282"/>
        <v>84</v>
      </c>
      <c r="N1492" t="b">
        <f>_xlfn.XLOOKUP(D1492,BugList!C:C,BugList!L:L)</f>
        <v>1</v>
      </c>
      <c r="O1492" t="b">
        <f t="shared" si="283"/>
        <v>1</v>
      </c>
      <c r="P1492" s="18" t="b">
        <f>SUMPRODUCT(COUNTIF(_xlfn.XLOOKUP(D1492,BugList!C:C,BugList!P:P), "*SC*"))&gt;0</f>
        <v>0</v>
      </c>
    </row>
    <row r="1493" spans="1:16">
      <c r="A1493" s="86" t="s">
        <v>2876</v>
      </c>
      <c r="B1493" s="83">
        <v>394</v>
      </c>
      <c r="C1493" s="34" t="s">
        <v>195</v>
      </c>
      <c r="D1493" s="34" t="s">
        <v>113</v>
      </c>
      <c r="E1493" s="83">
        <v>1</v>
      </c>
      <c r="F1493" s="43">
        <f t="shared" si="277"/>
        <v>0.97087378640776689</v>
      </c>
      <c r="G1493" s="44">
        <f t="shared" si="278"/>
        <v>0</v>
      </c>
      <c r="H1493" s="44">
        <f t="shared" si="279"/>
        <v>0.97087378640776689</v>
      </c>
      <c r="I1493" cm="1">
        <f t="array" ref="I1493">INT(F1493)+IF(100-SUM(INT(F$1488:F$1500))&gt;=RANK(H1493,H$1488:H$1500)+COUNTIF(H$1488:H1493,H1493)-1,1,0)</f>
        <v>1</v>
      </c>
      <c r="J1493" t="b">
        <f t="shared" si="280"/>
        <v>0</v>
      </c>
      <c r="K1493" t="str">
        <f t="shared" si="281"/>
        <v/>
      </c>
      <c r="L1493">
        <f>_xlfn.XLOOKUP(D1493,BugList!C:C,BugList!N:N)</f>
        <v>1</v>
      </c>
      <c r="M1493">
        <f t="shared" si="282"/>
        <v>1</v>
      </c>
      <c r="N1493" t="b">
        <f>_xlfn.XLOOKUP(D1493,BugList!C:C,BugList!L:L)</f>
        <v>1</v>
      </c>
      <c r="O1493" t="b">
        <f t="shared" si="283"/>
        <v>0</v>
      </c>
      <c r="P1493" s="18" t="b">
        <f>SUMPRODUCT(COUNTIF(_xlfn.XLOOKUP(D1493,BugList!C:C,BugList!P:P), "*SC*"))&gt;0</f>
        <v>0</v>
      </c>
    </row>
    <row r="1494" spans="1:16">
      <c r="A1494" s="86" t="s">
        <v>2876</v>
      </c>
      <c r="B1494" s="83">
        <v>394</v>
      </c>
      <c r="C1494" s="34" t="s">
        <v>197</v>
      </c>
      <c r="D1494" s="34" t="s">
        <v>104</v>
      </c>
      <c r="E1494" s="83">
        <v>8</v>
      </c>
      <c r="F1494" s="43">
        <f t="shared" si="277"/>
        <v>7.7669902912621351</v>
      </c>
      <c r="G1494" s="44">
        <f t="shared" si="278"/>
        <v>7</v>
      </c>
      <c r="H1494" s="44">
        <f t="shared" si="279"/>
        <v>0.76699029126213514</v>
      </c>
      <c r="I1494" cm="1">
        <f t="array" ref="I1494">INT(F1494)+IF(100-SUM(INT(F$1488:F$1500))&gt;=RANK(H1494,H$1488:H$1500)+COUNTIF(H$1488:H1494,H1494)-1,1,0)</f>
        <v>8</v>
      </c>
      <c r="J1494" t="b">
        <f t="shared" si="280"/>
        <v>1</v>
      </c>
      <c r="K1494" t="str">
        <f t="shared" si="281"/>
        <v>Plecoptera</v>
      </c>
      <c r="L1494">
        <f>_xlfn.XLOOKUP(D1494,BugList!C:C,BugList!N:N)</f>
        <v>2</v>
      </c>
      <c r="M1494">
        <f t="shared" si="282"/>
        <v>16</v>
      </c>
      <c r="N1494" t="b">
        <f>_xlfn.XLOOKUP(D1494,BugList!C:C,BugList!L:L)</f>
        <v>1</v>
      </c>
      <c r="O1494" t="b">
        <f t="shared" si="283"/>
        <v>1</v>
      </c>
      <c r="P1494" s="18" t="b">
        <f>SUMPRODUCT(COUNTIF(_xlfn.XLOOKUP(D1494,BugList!C:C,BugList!P:P), "*SC*"))&gt;0</f>
        <v>0</v>
      </c>
    </row>
    <row r="1495" spans="1:16">
      <c r="A1495" s="86" t="s">
        <v>2876</v>
      </c>
      <c r="B1495" s="83">
        <v>394</v>
      </c>
      <c r="C1495" s="34" t="s">
        <v>197</v>
      </c>
      <c r="D1495" s="34" t="s">
        <v>106</v>
      </c>
      <c r="E1495" s="83">
        <v>16</v>
      </c>
      <c r="F1495" s="43">
        <f t="shared" si="277"/>
        <v>15.53398058252427</v>
      </c>
      <c r="G1495" s="44">
        <f t="shared" si="278"/>
        <v>15</v>
      </c>
      <c r="H1495" s="44">
        <f t="shared" si="279"/>
        <v>0.53398058252427028</v>
      </c>
      <c r="I1495" cm="1">
        <f t="array" ref="I1495">INT(F1495)+IF(100-SUM(INT(F$1488:F$1500))&gt;=RANK(H1495,H$1488:H$1500)+COUNTIF(H$1488:H1495,H1495)-1,1,0)</f>
        <v>15</v>
      </c>
      <c r="J1495" t="b">
        <f t="shared" si="280"/>
        <v>1</v>
      </c>
      <c r="K1495" t="str">
        <f t="shared" si="281"/>
        <v>Plecoptera</v>
      </c>
      <c r="L1495">
        <f>_xlfn.XLOOKUP(D1495,BugList!C:C,BugList!N:N)</f>
        <v>2</v>
      </c>
      <c r="M1495">
        <f t="shared" si="282"/>
        <v>30</v>
      </c>
      <c r="N1495" t="b">
        <f>_xlfn.XLOOKUP(D1495,BugList!C:C,BugList!L:L)</f>
        <v>1</v>
      </c>
      <c r="O1495" t="b">
        <f t="shared" si="283"/>
        <v>1</v>
      </c>
      <c r="P1495" s="18" t="b">
        <f>SUMPRODUCT(COUNTIF(_xlfn.XLOOKUP(D1495,BugList!C:C,BugList!P:P), "*SC*"))&gt;0</f>
        <v>0</v>
      </c>
    </row>
    <row r="1496" spans="1:16">
      <c r="A1496" s="86" t="s">
        <v>2876</v>
      </c>
      <c r="B1496" s="83">
        <v>394</v>
      </c>
      <c r="C1496" s="34" t="s">
        <v>198</v>
      </c>
      <c r="D1496" s="34" t="s">
        <v>177</v>
      </c>
      <c r="E1496" s="83">
        <v>1</v>
      </c>
      <c r="F1496" s="43">
        <f t="shared" si="277"/>
        <v>0.97087378640776689</v>
      </c>
      <c r="G1496" s="44">
        <f t="shared" si="278"/>
        <v>0</v>
      </c>
      <c r="H1496" s="44">
        <f t="shared" si="279"/>
        <v>0.97087378640776689</v>
      </c>
      <c r="I1496" cm="1">
        <f t="array" ref="I1496">INT(F1496)+IF(100-SUM(INT(F$1488:F$1500))&gt;=RANK(H1496,H$1488:H$1500)+COUNTIF(H$1488:H1496,H1496)-1,1,0)</f>
        <v>1</v>
      </c>
      <c r="J1496" t="b">
        <f t="shared" si="280"/>
        <v>1</v>
      </c>
      <c r="K1496" t="str">
        <f t="shared" si="281"/>
        <v>Trichoptera</v>
      </c>
      <c r="L1496">
        <f>_xlfn.XLOOKUP(D1496,BugList!C:C,BugList!N:N)</f>
        <v>0</v>
      </c>
      <c r="M1496">
        <f t="shared" si="282"/>
        <v>0</v>
      </c>
      <c r="N1496" t="b">
        <f>_xlfn.XLOOKUP(D1496,BugList!C:C,BugList!L:L)</f>
        <v>1</v>
      </c>
      <c r="O1496" t="b">
        <f t="shared" si="283"/>
        <v>1</v>
      </c>
      <c r="P1496" s="18" t="b">
        <f>SUMPRODUCT(COUNTIF(_xlfn.XLOOKUP(D1496,BugList!C:C,BugList!P:P), "*SC*"))&gt;0</f>
        <v>1</v>
      </c>
    </row>
    <row r="1497" spans="1:16">
      <c r="A1497" s="86" t="s">
        <v>2876</v>
      </c>
      <c r="B1497" s="83">
        <v>394</v>
      </c>
      <c r="C1497" s="34" t="s">
        <v>198</v>
      </c>
      <c r="D1497" s="34" t="s">
        <v>89</v>
      </c>
      <c r="E1497" s="83">
        <v>21</v>
      </c>
      <c r="F1497" s="43">
        <f t="shared" si="277"/>
        <v>20.388349514563107</v>
      </c>
      <c r="G1497" s="44">
        <f t="shared" si="278"/>
        <v>20</v>
      </c>
      <c r="H1497" s="44">
        <f t="shared" si="279"/>
        <v>0.38834951456310662</v>
      </c>
      <c r="I1497" cm="1">
        <f t="array" ref="I1497">INT(F1497)+IF(100-SUM(INT(F$1488:F$1500))&gt;=RANK(H1497,H$1488:H$1500)+COUNTIF(H$1488:H1497,H1497)-1,1,0)</f>
        <v>20</v>
      </c>
      <c r="J1497" t="b">
        <f t="shared" si="280"/>
        <v>1</v>
      </c>
      <c r="K1497" t="str">
        <f t="shared" si="281"/>
        <v>Trichoptera</v>
      </c>
      <c r="L1497">
        <f>_xlfn.XLOOKUP(D1497,BugList!C:C,BugList!N:N)</f>
        <v>4</v>
      </c>
      <c r="M1497">
        <f t="shared" si="282"/>
        <v>80</v>
      </c>
      <c r="N1497" t="b">
        <f>_xlfn.XLOOKUP(D1497,BugList!C:C,BugList!L:L)</f>
        <v>1</v>
      </c>
      <c r="O1497" t="b">
        <f t="shared" si="283"/>
        <v>0</v>
      </c>
      <c r="P1497" s="18" t="b">
        <f>SUMPRODUCT(COUNTIF(_xlfn.XLOOKUP(D1497,BugList!C:C,BugList!P:P), "*SC*"))&gt;0</f>
        <v>0</v>
      </c>
    </row>
    <row r="1498" spans="1:16">
      <c r="A1498" s="86" t="s">
        <v>2876</v>
      </c>
      <c r="B1498" s="83">
        <v>394</v>
      </c>
      <c r="C1498" s="34" t="s">
        <v>198</v>
      </c>
      <c r="D1498" s="34" t="s">
        <v>107</v>
      </c>
      <c r="E1498" s="83">
        <v>13</v>
      </c>
      <c r="F1498" s="43">
        <f t="shared" si="277"/>
        <v>12.621359223300971</v>
      </c>
      <c r="G1498" s="44">
        <f t="shared" si="278"/>
        <v>12</v>
      </c>
      <c r="H1498" s="44">
        <f t="shared" si="279"/>
        <v>0.6213592233009706</v>
      </c>
      <c r="I1498" cm="1">
        <f t="array" ref="I1498">INT(F1498)+IF(100-SUM(INT(F$1488:F$1500))&gt;=RANK(H1498,H$1488:H$1500)+COUNTIF(H$1488:H1498,H1498)-1,1,0)</f>
        <v>12</v>
      </c>
      <c r="J1498" t="b">
        <f t="shared" si="280"/>
        <v>1</v>
      </c>
      <c r="K1498" t="str">
        <f t="shared" si="281"/>
        <v>Trichoptera</v>
      </c>
      <c r="L1498">
        <f>_xlfn.XLOOKUP(D1498,BugList!C:C,BugList!N:N)</f>
        <v>3</v>
      </c>
      <c r="M1498">
        <f t="shared" si="282"/>
        <v>36</v>
      </c>
      <c r="N1498" t="b">
        <f>_xlfn.XLOOKUP(D1498,BugList!C:C,BugList!L:L)</f>
        <v>1</v>
      </c>
      <c r="O1498" t="b">
        <f t="shared" si="283"/>
        <v>1</v>
      </c>
      <c r="P1498" s="18" t="b">
        <f>SUMPRODUCT(COUNTIF(_xlfn.XLOOKUP(D1498,BugList!C:C,BugList!P:P), "*SC*"))&gt;0</f>
        <v>0</v>
      </c>
    </row>
    <row r="1499" spans="1:16">
      <c r="A1499" s="86" t="s">
        <v>2876</v>
      </c>
      <c r="B1499" s="83">
        <v>394</v>
      </c>
      <c r="C1499" s="34" t="s">
        <v>201</v>
      </c>
      <c r="D1499" s="34" t="s">
        <v>109</v>
      </c>
      <c r="E1499" s="83">
        <v>4</v>
      </c>
      <c r="F1499" s="43">
        <f t="shared" si="277"/>
        <v>3.8834951456310676</v>
      </c>
      <c r="G1499" s="44">
        <f t="shared" si="278"/>
        <v>3</v>
      </c>
      <c r="H1499" s="44">
        <f t="shared" si="279"/>
        <v>0.88349514563106757</v>
      </c>
      <c r="I1499" cm="1">
        <f t="array" ref="I1499">INT(F1499)+IF(100-SUM(INT(F$1488:F$1500))&gt;=RANK(H1499,H$1488:H$1500)+COUNTIF(H$1488:H1499,H1499)-1,1,0)</f>
        <v>4</v>
      </c>
      <c r="J1499" t="b">
        <f t="shared" si="280"/>
        <v>0</v>
      </c>
      <c r="K1499" t="str">
        <f t="shared" si="281"/>
        <v/>
      </c>
      <c r="L1499">
        <f>_xlfn.XLOOKUP(D1499,BugList!C:C,BugList!N:N)</f>
        <v>6</v>
      </c>
      <c r="M1499">
        <f t="shared" si="282"/>
        <v>24</v>
      </c>
      <c r="N1499" t="b">
        <f>_xlfn.XLOOKUP(D1499,BugList!C:C,BugList!L:L)</f>
        <v>0</v>
      </c>
      <c r="O1499" t="b">
        <f t="shared" si="283"/>
        <v>0</v>
      </c>
      <c r="P1499" s="18" t="b">
        <f>SUMPRODUCT(COUNTIF(_xlfn.XLOOKUP(D1499,BugList!C:C,BugList!P:P), "*SC*"))&gt;0</f>
        <v>0</v>
      </c>
    </row>
    <row r="1500" spans="1:16">
      <c r="A1500" s="86" t="s">
        <v>2876</v>
      </c>
      <c r="B1500" s="83">
        <v>394</v>
      </c>
      <c r="C1500" s="34" t="s">
        <v>94</v>
      </c>
      <c r="D1500" s="34" t="s">
        <v>94</v>
      </c>
      <c r="E1500" s="83">
        <v>6</v>
      </c>
      <c r="F1500" s="43">
        <f t="shared" si="277"/>
        <v>5.825242718446602</v>
      </c>
      <c r="G1500" s="44">
        <f t="shared" si="278"/>
        <v>5</v>
      </c>
      <c r="H1500" s="44">
        <f t="shared" si="279"/>
        <v>0.82524271844660202</v>
      </c>
      <c r="I1500" cm="1">
        <f t="array" ref="I1500">INT(F1500)+IF(100-SUM(INT(F$1488:F$1500))&gt;=RANK(H1500,H$1488:H$1500)+COUNTIF(H$1488:H1500,H1500)-1,1,0)</f>
        <v>6</v>
      </c>
      <c r="J1500" t="b">
        <f t="shared" si="280"/>
        <v>0</v>
      </c>
      <c r="K1500" t="str">
        <f t="shared" si="281"/>
        <v/>
      </c>
      <c r="L1500">
        <f>_xlfn.XLOOKUP(D1500,BugList!C:C,BugList!N:N)</f>
        <v>8</v>
      </c>
      <c r="M1500">
        <f t="shared" si="282"/>
        <v>48</v>
      </c>
      <c r="N1500" t="b">
        <f>_xlfn.XLOOKUP(D1500,BugList!C:C,BugList!L:L)</f>
        <v>0</v>
      </c>
      <c r="O1500" t="b">
        <f t="shared" si="283"/>
        <v>0</v>
      </c>
      <c r="P1500" s="18" t="b">
        <f>SUMPRODUCT(COUNTIF(_xlfn.XLOOKUP(D1500,BugList!C:C,BugList!P:P), "*SC*"))&gt;0</f>
        <v>0</v>
      </c>
    </row>
    <row r="1501" spans="1:16">
      <c r="A1501" s="86" t="s">
        <v>2877</v>
      </c>
      <c r="B1501" s="83">
        <v>403</v>
      </c>
      <c r="C1501" s="34" t="s">
        <v>200</v>
      </c>
      <c r="D1501" s="34" t="s">
        <v>98</v>
      </c>
      <c r="E1501" s="83">
        <v>1</v>
      </c>
      <c r="F1501" s="43">
        <f t="shared" si="277"/>
        <v>0.82644628099173556</v>
      </c>
      <c r="G1501" s="44">
        <f t="shared" si="278"/>
        <v>0</v>
      </c>
      <c r="H1501" s="44">
        <f t="shared" si="279"/>
        <v>0.82644628099173556</v>
      </c>
      <c r="I1501" cm="1">
        <f t="array" ref="I1501">INT(F1501)+IF(100-SUM(INT(F$1501:F$1511))&gt;=RANK(H1501,H$1501:H$1511)+COUNTIF(H$1501:H1501,H1501)-1,1,0)</f>
        <v>1</v>
      </c>
      <c r="J1501" t="b">
        <f t="shared" si="280"/>
        <v>0</v>
      </c>
      <c r="K1501" t="str">
        <f t="shared" si="281"/>
        <v/>
      </c>
      <c r="L1501">
        <f>_xlfn.XLOOKUP(D1501,BugList!C:C,BugList!N:N)</f>
        <v>4</v>
      </c>
      <c r="M1501">
        <f t="shared" si="282"/>
        <v>4</v>
      </c>
      <c r="N1501" t="b">
        <f>_xlfn.XLOOKUP(D1501,BugList!C:C,BugList!L:L)</f>
        <v>1</v>
      </c>
      <c r="O1501" t="b">
        <f t="shared" si="283"/>
        <v>0</v>
      </c>
      <c r="P1501" s="18" t="b">
        <f>SUMPRODUCT(COUNTIF(_xlfn.XLOOKUP(D1501,BugList!C:C,BugList!P:P), "*SC*"))&gt;0</f>
        <v>1</v>
      </c>
    </row>
    <row r="1502" spans="1:16">
      <c r="A1502" s="86" t="s">
        <v>2877</v>
      </c>
      <c r="B1502" s="83">
        <v>403</v>
      </c>
      <c r="C1502" s="34" t="s">
        <v>200</v>
      </c>
      <c r="D1502" s="34" t="s">
        <v>100</v>
      </c>
      <c r="E1502" s="83">
        <v>14</v>
      </c>
      <c r="F1502" s="43">
        <f t="shared" si="277"/>
        <v>11.570247933884298</v>
      </c>
      <c r="G1502" s="44">
        <f t="shared" si="278"/>
        <v>11</v>
      </c>
      <c r="H1502" s="44">
        <f t="shared" si="279"/>
        <v>0.57024793388429806</v>
      </c>
      <c r="I1502" cm="1">
        <f t="array" ref="I1502">INT(F1502)+IF(100-SUM(INT(F$1501:F$1511))&gt;=RANK(H1502,H$1501:H$1511)+COUNTIF(H$1501:H1502,H1502)-1,1,0)</f>
        <v>12</v>
      </c>
      <c r="J1502" t="b">
        <f t="shared" si="280"/>
        <v>0</v>
      </c>
      <c r="K1502" t="str">
        <f t="shared" si="281"/>
        <v/>
      </c>
      <c r="L1502">
        <f>_xlfn.XLOOKUP(D1502,BugList!C:C,BugList!N:N)</f>
        <v>4</v>
      </c>
      <c r="M1502">
        <f t="shared" si="282"/>
        <v>48</v>
      </c>
      <c r="N1502" t="b">
        <f>_xlfn.XLOOKUP(D1502,BugList!C:C,BugList!L:L)</f>
        <v>1</v>
      </c>
      <c r="O1502" t="b">
        <f t="shared" si="283"/>
        <v>0</v>
      </c>
      <c r="P1502" s="18" t="b">
        <f>SUMPRODUCT(COUNTIF(_xlfn.XLOOKUP(D1502,BugList!C:C,BugList!P:P), "*SC*"))&gt;0</f>
        <v>1</v>
      </c>
    </row>
    <row r="1503" spans="1:16">
      <c r="A1503" s="86" t="s">
        <v>2877</v>
      </c>
      <c r="B1503" s="83">
        <v>403</v>
      </c>
      <c r="C1503" s="34" t="s">
        <v>194</v>
      </c>
      <c r="D1503" s="34" t="s">
        <v>126</v>
      </c>
      <c r="E1503" s="83">
        <v>3</v>
      </c>
      <c r="F1503" s="43">
        <f t="shared" si="277"/>
        <v>2.4793388429752068</v>
      </c>
      <c r="G1503" s="44">
        <f t="shared" si="278"/>
        <v>2</v>
      </c>
      <c r="H1503" s="44">
        <f t="shared" si="279"/>
        <v>0.47933884297520679</v>
      </c>
      <c r="I1503" cm="1">
        <f t="array" ref="I1503">INT(F1503)+IF(100-SUM(INT(F$1501:F$1511))&gt;=RANK(H1503,H$1501:H$1511)+COUNTIF(H$1501:H1503,H1503)-1,1,0)</f>
        <v>2</v>
      </c>
      <c r="J1503" t="b">
        <f t="shared" si="280"/>
        <v>0</v>
      </c>
      <c r="K1503" t="str">
        <f t="shared" si="281"/>
        <v/>
      </c>
      <c r="L1503">
        <f>_xlfn.XLOOKUP(D1503,BugList!C:C,BugList!N:N)</f>
        <v>8</v>
      </c>
      <c r="M1503">
        <f t="shared" si="282"/>
        <v>16</v>
      </c>
      <c r="N1503" t="b">
        <f>_xlfn.XLOOKUP(D1503,BugList!C:C,BugList!L:L)</f>
        <v>1</v>
      </c>
      <c r="O1503" t="b">
        <f t="shared" si="283"/>
        <v>0</v>
      </c>
      <c r="P1503" s="18" t="b">
        <f>SUMPRODUCT(COUNTIF(_xlfn.XLOOKUP(D1503,BugList!C:C,BugList!P:P), "*SC*"))&gt;0</f>
        <v>0</v>
      </c>
    </row>
    <row r="1504" spans="1:16">
      <c r="A1504" s="86" t="s">
        <v>2877</v>
      </c>
      <c r="B1504" s="83">
        <v>403</v>
      </c>
      <c r="C1504" s="34" t="s">
        <v>194</v>
      </c>
      <c r="D1504" s="34" t="s">
        <v>108</v>
      </c>
      <c r="E1504" s="83">
        <v>3</v>
      </c>
      <c r="F1504" s="43">
        <f t="shared" si="277"/>
        <v>2.4793388429752068</v>
      </c>
      <c r="G1504" s="44">
        <f t="shared" si="278"/>
        <v>2</v>
      </c>
      <c r="H1504" s="44">
        <f t="shared" si="279"/>
        <v>0.47933884297520679</v>
      </c>
      <c r="I1504" cm="1">
        <f t="array" ref="I1504">INT(F1504)+IF(100-SUM(INT(F$1501:F$1511))&gt;=RANK(H1504,H$1501:H$1511)+COUNTIF(H$1501:H1504,H1504)-1,1,0)</f>
        <v>2</v>
      </c>
      <c r="J1504" t="b">
        <f t="shared" si="280"/>
        <v>0</v>
      </c>
      <c r="K1504" t="str">
        <f t="shared" si="281"/>
        <v/>
      </c>
      <c r="L1504">
        <f>_xlfn.XLOOKUP(D1504,BugList!C:C,BugList!N:N)</f>
        <v>3</v>
      </c>
      <c r="M1504">
        <f t="shared" si="282"/>
        <v>6</v>
      </c>
      <c r="N1504" t="b">
        <f>_xlfn.XLOOKUP(D1504,BugList!C:C,BugList!L:L)</f>
        <v>1</v>
      </c>
      <c r="O1504" t="b">
        <f t="shared" si="283"/>
        <v>0</v>
      </c>
      <c r="P1504" s="18" t="b">
        <f>SUMPRODUCT(COUNTIF(_xlfn.XLOOKUP(D1504,BugList!C:C,BugList!P:P), "*SC*"))&gt;0</f>
        <v>0</v>
      </c>
    </row>
    <row r="1505" spans="1:16">
      <c r="A1505" s="86" t="s">
        <v>2877</v>
      </c>
      <c r="B1505" s="83">
        <v>403</v>
      </c>
      <c r="C1505" s="34" t="s">
        <v>199</v>
      </c>
      <c r="D1505" s="34" t="s">
        <v>154</v>
      </c>
      <c r="E1505" s="83">
        <v>4</v>
      </c>
      <c r="F1505" s="43">
        <f t="shared" si="277"/>
        <v>3.3057851239669422</v>
      </c>
      <c r="G1505" s="44">
        <f t="shared" si="278"/>
        <v>3</v>
      </c>
      <c r="H1505" s="44">
        <f t="shared" si="279"/>
        <v>0.30578512396694224</v>
      </c>
      <c r="I1505" cm="1">
        <f t="array" ref="I1505">INT(F1505)+IF(100-SUM(INT(F$1501:F$1511))&gt;=RANK(H1505,H$1501:H$1511)+COUNTIF(H$1501:H1505,H1505)-1,1,0)</f>
        <v>3</v>
      </c>
      <c r="J1505" t="b">
        <f t="shared" si="280"/>
        <v>1</v>
      </c>
      <c r="K1505" t="str">
        <f t="shared" si="281"/>
        <v>Ephemeroptera</v>
      </c>
      <c r="L1505">
        <f>_xlfn.XLOOKUP(D1505,BugList!C:C,BugList!N:N)</f>
        <v>7</v>
      </c>
      <c r="M1505">
        <f t="shared" si="282"/>
        <v>21</v>
      </c>
      <c r="N1505" t="b">
        <f>_xlfn.XLOOKUP(D1505,BugList!C:C,BugList!L:L)</f>
        <v>1</v>
      </c>
      <c r="O1505" t="b">
        <f t="shared" si="283"/>
        <v>1</v>
      </c>
      <c r="P1505" s="18" t="b">
        <f>SUMPRODUCT(COUNTIF(_xlfn.XLOOKUP(D1505,BugList!C:C,BugList!P:P), "*SC*"))&gt;0</f>
        <v>0</v>
      </c>
    </row>
    <row r="1506" spans="1:16">
      <c r="A1506" s="86" t="s">
        <v>2877</v>
      </c>
      <c r="B1506" s="83">
        <v>403</v>
      </c>
      <c r="C1506" s="34" t="s">
        <v>199</v>
      </c>
      <c r="D1506" s="34" t="s">
        <v>111</v>
      </c>
      <c r="E1506" s="83">
        <v>1</v>
      </c>
      <c r="F1506" s="43">
        <f t="shared" si="277"/>
        <v>0.82644628099173556</v>
      </c>
      <c r="G1506" s="44">
        <f t="shared" si="278"/>
        <v>0</v>
      </c>
      <c r="H1506" s="44">
        <f t="shared" si="279"/>
        <v>0.82644628099173556</v>
      </c>
      <c r="I1506" cm="1">
        <f t="array" ref="I1506">INT(F1506)+IF(100-SUM(INT(F$1501:F$1511))&gt;=RANK(H1506,H$1501:H$1511)+COUNTIF(H$1501:H1506,H1506)-1,1,0)</f>
        <v>1</v>
      </c>
      <c r="J1506" t="b">
        <f t="shared" si="280"/>
        <v>1</v>
      </c>
      <c r="K1506" t="str">
        <f t="shared" si="281"/>
        <v>Ephemeroptera</v>
      </c>
      <c r="L1506">
        <f>_xlfn.XLOOKUP(D1506,BugList!C:C,BugList!N:N)</f>
        <v>4</v>
      </c>
      <c r="M1506">
        <f t="shared" si="282"/>
        <v>4</v>
      </c>
      <c r="N1506" t="b">
        <f>_xlfn.XLOOKUP(D1506,BugList!C:C,BugList!L:L)</f>
        <v>1</v>
      </c>
      <c r="O1506" t="b">
        <f t="shared" si="283"/>
        <v>1</v>
      </c>
      <c r="P1506" s="18" t="b">
        <f>SUMPRODUCT(COUNTIF(_xlfn.XLOOKUP(D1506,BugList!C:C,BugList!P:P), "*SC*"))&gt;0</f>
        <v>0</v>
      </c>
    </row>
    <row r="1507" spans="1:16">
      <c r="A1507" s="86" t="s">
        <v>2877</v>
      </c>
      <c r="B1507" s="83">
        <v>403</v>
      </c>
      <c r="C1507" s="34" t="s">
        <v>195</v>
      </c>
      <c r="D1507" s="34" t="s">
        <v>113</v>
      </c>
      <c r="E1507" s="83">
        <v>3</v>
      </c>
      <c r="F1507" s="43">
        <f t="shared" si="277"/>
        <v>2.4793388429752068</v>
      </c>
      <c r="G1507" s="44">
        <f t="shared" si="278"/>
        <v>2</v>
      </c>
      <c r="H1507" s="44">
        <f t="shared" si="279"/>
        <v>0.47933884297520679</v>
      </c>
      <c r="I1507" cm="1">
        <f t="array" ref="I1507">INT(F1507)+IF(100-SUM(INT(F$1501:F$1511))&gt;=RANK(H1507,H$1501:H$1511)+COUNTIF(H$1501:H1507,H1507)-1,1,0)</f>
        <v>2</v>
      </c>
      <c r="J1507" t="b">
        <f t="shared" si="280"/>
        <v>0</v>
      </c>
      <c r="K1507" t="str">
        <f t="shared" si="281"/>
        <v/>
      </c>
      <c r="L1507">
        <f>_xlfn.XLOOKUP(D1507,BugList!C:C,BugList!N:N)</f>
        <v>1</v>
      </c>
      <c r="M1507">
        <f t="shared" si="282"/>
        <v>2</v>
      </c>
      <c r="N1507" t="b">
        <f>_xlfn.XLOOKUP(D1507,BugList!C:C,BugList!L:L)</f>
        <v>1</v>
      </c>
      <c r="O1507" t="b">
        <f t="shared" si="283"/>
        <v>0</v>
      </c>
      <c r="P1507" s="18" t="b">
        <f>SUMPRODUCT(COUNTIF(_xlfn.XLOOKUP(D1507,BugList!C:C,BugList!P:P), "*SC*"))&gt;0</f>
        <v>0</v>
      </c>
    </row>
    <row r="1508" spans="1:16">
      <c r="A1508" s="86" t="s">
        <v>2877</v>
      </c>
      <c r="B1508" s="83">
        <v>403</v>
      </c>
      <c r="C1508" s="34" t="s">
        <v>198</v>
      </c>
      <c r="D1508" s="34" t="s">
        <v>177</v>
      </c>
      <c r="E1508" s="83">
        <v>2</v>
      </c>
      <c r="F1508" s="43">
        <f t="shared" si="277"/>
        <v>1.6528925619834711</v>
      </c>
      <c r="G1508" s="44">
        <f t="shared" si="278"/>
        <v>1</v>
      </c>
      <c r="H1508" s="44">
        <f t="shared" si="279"/>
        <v>0.65289256198347112</v>
      </c>
      <c r="I1508" cm="1">
        <f t="array" ref="I1508">INT(F1508)+IF(100-SUM(INT(F$1501:F$1511))&gt;=RANK(H1508,H$1501:H$1511)+COUNTIF(H$1501:H1508,H1508)-1,1,0)</f>
        <v>2</v>
      </c>
      <c r="J1508" t="b">
        <f t="shared" si="280"/>
        <v>1</v>
      </c>
      <c r="K1508" t="str">
        <f t="shared" si="281"/>
        <v>Trichoptera</v>
      </c>
      <c r="L1508">
        <f>_xlfn.XLOOKUP(D1508,BugList!C:C,BugList!N:N)</f>
        <v>0</v>
      </c>
      <c r="M1508">
        <f t="shared" si="282"/>
        <v>0</v>
      </c>
      <c r="N1508" t="b">
        <f>_xlfn.XLOOKUP(D1508,BugList!C:C,BugList!L:L)</f>
        <v>1</v>
      </c>
      <c r="O1508" t="b">
        <f t="shared" si="283"/>
        <v>1</v>
      </c>
      <c r="P1508" s="18" t="b">
        <f>SUMPRODUCT(COUNTIF(_xlfn.XLOOKUP(D1508,BugList!C:C,BugList!P:P), "*SC*"))&gt;0</f>
        <v>1</v>
      </c>
    </row>
    <row r="1509" spans="1:16">
      <c r="A1509" s="86" t="s">
        <v>2877</v>
      </c>
      <c r="B1509" s="83">
        <v>403</v>
      </c>
      <c r="C1509" s="34" t="s">
        <v>198</v>
      </c>
      <c r="D1509" s="34" t="s">
        <v>89</v>
      </c>
      <c r="E1509" s="83">
        <v>76</v>
      </c>
      <c r="F1509" s="43">
        <f t="shared" si="277"/>
        <v>62.809917355371901</v>
      </c>
      <c r="G1509" s="44">
        <f t="shared" si="278"/>
        <v>62</v>
      </c>
      <c r="H1509" s="44">
        <f t="shared" si="279"/>
        <v>0.80991735537190124</v>
      </c>
      <c r="I1509" cm="1">
        <f t="array" ref="I1509">INT(F1509)+IF(100-SUM(INT(F$1501:F$1511))&gt;=RANK(H1509,H$1501:H$1511)+COUNTIF(H$1501:H1509,H1509)-1,1,0)</f>
        <v>63</v>
      </c>
      <c r="J1509" t="b">
        <f t="shared" si="280"/>
        <v>1</v>
      </c>
      <c r="K1509" t="str">
        <f t="shared" si="281"/>
        <v>Trichoptera</v>
      </c>
      <c r="L1509">
        <f>_xlfn.XLOOKUP(D1509,BugList!C:C,BugList!N:N)</f>
        <v>4</v>
      </c>
      <c r="M1509">
        <f t="shared" si="282"/>
        <v>252</v>
      </c>
      <c r="N1509" t="b">
        <f>_xlfn.XLOOKUP(D1509,BugList!C:C,BugList!L:L)</f>
        <v>1</v>
      </c>
      <c r="O1509" t="b">
        <f t="shared" si="283"/>
        <v>0</v>
      </c>
      <c r="P1509" s="18" t="b">
        <f>SUMPRODUCT(COUNTIF(_xlfn.XLOOKUP(D1509,BugList!C:C,BugList!P:P), "*SC*"))&gt;0</f>
        <v>0</v>
      </c>
    </row>
    <row r="1510" spans="1:16">
      <c r="A1510" s="86" t="s">
        <v>2877</v>
      </c>
      <c r="B1510" s="83">
        <v>403</v>
      </c>
      <c r="C1510" s="34" t="s">
        <v>198</v>
      </c>
      <c r="D1510" s="34" t="s">
        <v>107</v>
      </c>
      <c r="E1510" s="83">
        <v>13</v>
      </c>
      <c r="F1510" s="43">
        <f t="shared" si="277"/>
        <v>10.743801652892563</v>
      </c>
      <c r="G1510" s="44">
        <f t="shared" si="278"/>
        <v>10</v>
      </c>
      <c r="H1510" s="44">
        <f t="shared" si="279"/>
        <v>0.74380165289256261</v>
      </c>
      <c r="I1510" cm="1">
        <f t="array" ref="I1510">INT(F1510)+IF(100-SUM(INT(F$1501:F$1511))&gt;=RANK(H1510,H$1501:H$1511)+COUNTIF(H$1501:H1510,H1510)-1,1,0)</f>
        <v>11</v>
      </c>
      <c r="J1510" t="b">
        <f t="shared" si="280"/>
        <v>1</v>
      </c>
      <c r="K1510" t="str">
        <f t="shared" si="281"/>
        <v>Trichoptera</v>
      </c>
      <c r="L1510">
        <f>_xlfn.XLOOKUP(D1510,BugList!C:C,BugList!N:N)</f>
        <v>3</v>
      </c>
      <c r="M1510">
        <f t="shared" si="282"/>
        <v>33</v>
      </c>
      <c r="N1510" t="b">
        <f>_xlfn.XLOOKUP(D1510,BugList!C:C,BugList!L:L)</f>
        <v>1</v>
      </c>
      <c r="O1510" t="b">
        <f t="shared" si="283"/>
        <v>1</v>
      </c>
      <c r="P1510" s="18" t="b">
        <f>SUMPRODUCT(COUNTIF(_xlfn.XLOOKUP(D1510,BugList!C:C,BugList!P:P), "*SC*"))&gt;0</f>
        <v>0</v>
      </c>
    </row>
    <row r="1511" spans="1:16">
      <c r="A1511" s="86" t="s">
        <v>2877</v>
      </c>
      <c r="B1511" s="83">
        <v>403</v>
      </c>
      <c r="C1511" s="34" t="s">
        <v>202</v>
      </c>
      <c r="D1511" s="34" t="s">
        <v>169</v>
      </c>
      <c r="E1511" s="83">
        <v>1</v>
      </c>
      <c r="F1511" s="43">
        <f t="shared" si="277"/>
        <v>0.82644628099173556</v>
      </c>
      <c r="G1511" s="44">
        <f t="shared" si="278"/>
        <v>0</v>
      </c>
      <c r="H1511" s="44">
        <f t="shared" si="279"/>
        <v>0.82644628099173556</v>
      </c>
      <c r="I1511" cm="1">
        <f t="array" ref="I1511">INT(F1511)+IF(100-SUM(INT(F$1501:F$1511))&gt;=RANK(H1511,H$1501:H$1511)+COUNTIF(H$1501:H1511,H1511)-1,1,0)</f>
        <v>1</v>
      </c>
      <c r="J1511" t="b">
        <f t="shared" si="280"/>
        <v>0</v>
      </c>
      <c r="K1511" t="str">
        <f t="shared" si="281"/>
        <v/>
      </c>
      <c r="L1511">
        <f>_xlfn.XLOOKUP(D1511,BugList!C:C,BugList!N:N)</f>
        <v>5</v>
      </c>
      <c r="M1511">
        <f t="shared" si="282"/>
        <v>5</v>
      </c>
      <c r="N1511" t="b">
        <f>_xlfn.XLOOKUP(D1511,BugList!C:C,BugList!L:L)</f>
        <v>0</v>
      </c>
      <c r="O1511" t="b">
        <f t="shared" si="283"/>
        <v>0</v>
      </c>
      <c r="P1511" s="18" t="b">
        <f>SUMPRODUCT(COUNTIF(_xlfn.XLOOKUP(D1511,BugList!C:C,BugList!P:P), "*SC*"))&gt;0</f>
        <v>0</v>
      </c>
    </row>
    <row r="1512" spans="1:16">
      <c r="A1512" s="86" t="s">
        <v>2878</v>
      </c>
      <c r="B1512" s="83">
        <v>413</v>
      </c>
      <c r="C1512" s="34" t="s">
        <v>200</v>
      </c>
      <c r="D1512" s="34" t="s">
        <v>98</v>
      </c>
      <c r="E1512" s="83">
        <v>6</v>
      </c>
      <c r="F1512" s="43">
        <f t="shared" si="277"/>
        <v>5.3097345132743365</v>
      </c>
      <c r="G1512" s="44">
        <f t="shared" si="278"/>
        <v>5</v>
      </c>
      <c r="H1512" s="44">
        <f t="shared" si="279"/>
        <v>0.30973451327433654</v>
      </c>
      <c r="I1512" cm="1">
        <f t="array" ref="I1512">INT(F1512)+IF(100-SUM(INT(F$1512:F$1527))&gt;=RANK(H1512,H$1512:H$1527)+COUNTIF(H$1512:H1512,H1512)-1,1,0)</f>
        <v>5</v>
      </c>
      <c r="J1512" t="b">
        <f t="shared" si="280"/>
        <v>0</v>
      </c>
      <c r="K1512" t="str">
        <f t="shared" si="281"/>
        <v/>
      </c>
      <c r="L1512">
        <f>_xlfn.XLOOKUP(D1512,BugList!C:C,BugList!N:N)</f>
        <v>4</v>
      </c>
      <c r="M1512">
        <f t="shared" si="282"/>
        <v>20</v>
      </c>
      <c r="N1512" t="b">
        <f>_xlfn.XLOOKUP(D1512,BugList!C:C,BugList!L:L)</f>
        <v>1</v>
      </c>
      <c r="O1512" t="b">
        <f t="shared" si="283"/>
        <v>0</v>
      </c>
      <c r="P1512" s="18" t="b">
        <f>SUMPRODUCT(COUNTIF(_xlfn.XLOOKUP(D1512,BugList!C:C,BugList!P:P), "*SC*"))&gt;0</f>
        <v>1</v>
      </c>
    </row>
    <row r="1513" spans="1:16">
      <c r="A1513" s="86" t="s">
        <v>2878</v>
      </c>
      <c r="B1513" s="83">
        <v>413</v>
      </c>
      <c r="C1513" s="34" t="s">
        <v>200</v>
      </c>
      <c r="D1513" s="34" t="s">
        <v>99</v>
      </c>
      <c r="E1513" s="83">
        <v>1</v>
      </c>
      <c r="F1513" s="43">
        <f t="shared" si="277"/>
        <v>0.88495575221238942</v>
      </c>
      <c r="G1513" s="44">
        <f t="shared" si="278"/>
        <v>0</v>
      </c>
      <c r="H1513" s="44">
        <f t="shared" si="279"/>
        <v>0.88495575221238942</v>
      </c>
      <c r="I1513" cm="1">
        <f t="array" ref="I1513">INT(F1513)+IF(100-SUM(INT(F$1512:F$1527))&gt;=RANK(H1513,H$1512:H$1527)+COUNTIF(H$1512:H1513,H1513)-1,1,0)</f>
        <v>1</v>
      </c>
      <c r="J1513" t="b">
        <f t="shared" si="280"/>
        <v>0</v>
      </c>
      <c r="K1513" t="str">
        <f t="shared" si="281"/>
        <v/>
      </c>
      <c r="L1513">
        <f>_xlfn.XLOOKUP(D1513,BugList!C:C,BugList!N:N)</f>
        <v>5</v>
      </c>
      <c r="M1513">
        <f t="shared" si="282"/>
        <v>5</v>
      </c>
      <c r="N1513" t="b">
        <f>_xlfn.XLOOKUP(D1513,BugList!C:C,BugList!L:L)</f>
        <v>1</v>
      </c>
      <c r="O1513" t="b">
        <f t="shared" si="283"/>
        <v>0</v>
      </c>
      <c r="P1513" s="18" t="b">
        <f>SUMPRODUCT(COUNTIF(_xlfn.XLOOKUP(D1513,BugList!C:C,BugList!P:P), "*SC*"))&gt;0</f>
        <v>0</v>
      </c>
    </row>
    <row r="1514" spans="1:16">
      <c r="A1514" s="86" t="s">
        <v>2878</v>
      </c>
      <c r="B1514" s="83">
        <v>413</v>
      </c>
      <c r="C1514" s="34" t="s">
        <v>200</v>
      </c>
      <c r="D1514" s="34" t="s">
        <v>100</v>
      </c>
      <c r="E1514" s="83">
        <v>35</v>
      </c>
      <c r="F1514" s="43">
        <f t="shared" si="277"/>
        <v>30.973451327433626</v>
      </c>
      <c r="G1514" s="44">
        <f t="shared" si="278"/>
        <v>30</v>
      </c>
      <c r="H1514" s="44">
        <f t="shared" si="279"/>
        <v>0.97345132743362583</v>
      </c>
      <c r="I1514" cm="1">
        <f t="array" ref="I1514">INT(F1514)+IF(100-SUM(INT(F$1512:F$1527))&gt;=RANK(H1514,H$1512:H$1527)+COUNTIF(H$1512:H1514,H1514)-1,1,0)</f>
        <v>31</v>
      </c>
      <c r="J1514" t="b">
        <f t="shared" si="280"/>
        <v>0</v>
      </c>
      <c r="K1514" t="str">
        <f t="shared" si="281"/>
        <v/>
      </c>
      <c r="L1514">
        <f>_xlfn.XLOOKUP(D1514,BugList!C:C,BugList!N:N)</f>
        <v>4</v>
      </c>
      <c r="M1514">
        <f t="shared" si="282"/>
        <v>124</v>
      </c>
      <c r="N1514" t="b">
        <f>_xlfn.XLOOKUP(D1514,BugList!C:C,BugList!L:L)</f>
        <v>1</v>
      </c>
      <c r="O1514" t="b">
        <f t="shared" si="283"/>
        <v>0</v>
      </c>
      <c r="P1514" s="18" t="b">
        <f>SUMPRODUCT(COUNTIF(_xlfn.XLOOKUP(D1514,BugList!C:C,BugList!P:P), "*SC*"))&gt;0</f>
        <v>1</v>
      </c>
    </row>
    <row r="1515" spans="1:16">
      <c r="A1515" s="86" t="s">
        <v>2878</v>
      </c>
      <c r="B1515" s="83">
        <v>413</v>
      </c>
      <c r="C1515" s="34" t="s">
        <v>194</v>
      </c>
      <c r="D1515" s="34" t="s">
        <v>126</v>
      </c>
      <c r="E1515" s="83">
        <v>2</v>
      </c>
      <c r="F1515" s="43">
        <f t="shared" si="277"/>
        <v>1.7699115044247788</v>
      </c>
      <c r="G1515" s="44">
        <f t="shared" si="278"/>
        <v>1</v>
      </c>
      <c r="H1515" s="44">
        <f t="shared" si="279"/>
        <v>0.76991150442477885</v>
      </c>
      <c r="I1515" cm="1">
        <f t="array" ref="I1515">INT(F1515)+IF(100-SUM(INT(F$1512:F$1527))&gt;=RANK(H1515,H$1512:H$1527)+COUNTIF(H$1512:H1515,H1515)-1,1,0)</f>
        <v>2</v>
      </c>
      <c r="J1515" t="b">
        <f t="shared" si="280"/>
        <v>0</v>
      </c>
      <c r="K1515" t="str">
        <f t="shared" si="281"/>
        <v/>
      </c>
      <c r="L1515">
        <f>_xlfn.XLOOKUP(D1515,BugList!C:C,BugList!N:N)</f>
        <v>8</v>
      </c>
      <c r="M1515">
        <f t="shared" si="282"/>
        <v>16</v>
      </c>
      <c r="N1515" t="b">
        <f>_xlfn.XLOOKUP(D1515,BugList!C:C,BugList!L:L)</f>
        <v>1</v>
      </c>
      <c r="O1515" t="b">
        <f t="shared" si="283"/>
        <v>0</v>
      </c>
      <c r="P1515" s="18" t="b">
        <f>SUMPRODUCT(COUNTIF(_xlfn.XLOOKUP(D1515,BugList!C:C,BugList!P:P), "*SC*"))&gt;0</f>
        <v>0</v>
      </c>
    </row>
    <row r="1516" spans="1:16">
      <c r="A1516" s="86" t="s">
        <v>2878</v>
      </c>
      <c r="B1516" s="83">
        <v>413</v>
      </c>
      <c r="C1516" s="34" t="s">
        <v>194</v>
      </c>
      <c r="D1516" s="34" t="s">
        <v>1758</v>
      </c>
      <c r="E1516" s="83">
        <v>1</v>
      </c>
      <c r="F1516" s="43">
        <f t="shared" si="277"/>
        <v>0.88495575221238942</v>
      </c>
      <c r="G1516" s="44">
        <f t="shared" si="278"/>
        <v>0</v>
      </c>
      <c r="H1516" s="44">
        <f t="shared" si="279"/>
        <v>0.88495575221238942</v>
      </c>
      <c r="I1516" cm="1">
        <f t="array" ref="I1516">INT(F1516)+IF(100-SUM(INT(F$1512:F$1527))&gt;=RANK(H1516,H$1512:H$1527)+COUNTIF(H$1512:H1516,H1516)-1,1,0)</f>
        <v>1</v>
      </c>
      <c r="J1516" t="b">
        <f t="shared" si="280"/>
        <v>0</v>
      </c>
      <c r="K1516" t="str">
        <f t="shared" si="281"/>
        <v/>
      </c>
      <c r="L1516">
        <f>_xlfn.XLOOKUP(D1516,BugList!C:C,BugList!N:N)</f>
        <v>6</v>
      </c>
      <c r="M1516">
        <f t="shared" si="282"/>
        <v>6</v>
      </c>
      <c r="N1516" t="b">
        <f>_xlfn.XLOOKUP(D1516,BugList!C:C,BugList!L:L)</f>
        <v>1</v>
      </c>
      <c r="O1516" t="b">
        <f t="shared" si="283"/>
        <v>0</v>
      </c>
      <c r="P1516" s="18" t="b">
        <f>SUMPRODUCT(COUNTIF(_xlfn.XLOOKUP(D1516,BugList!C:C,BugList!P:P), "*SC*"))&gt;0</f>
        <v>0</v>
      </c>
    </row>
    <row r="1517" spans="1:16">
      <c r="A1517" s="86" t="s">
        <v>2878</v>
      </c>
      <c r="B1517" s="83">
        <v>413</v>
      </c>
      <c r="C1517" s="34" t="s">
        <v>194</v>
      </c>
      <c r="D1517" s="34" t="s">
        <v>108</v>
      </c>
      <c r="E1517" s="83">
        <v>4</v>
      </c>
      <c r="F1517" s="43">
        <f t="shared" si="277"/>
        <v>3.5398230088495577</v>
      </c>
      <c r="G1517" s="44">
        <f t="shared" si="278"/>
        <v>3</v>
      </c>
      <c r="H1517" s="44">
        <f t="shared" si="279"/>
        <v>0.5398230088495577</v>
      </c>
      <c r="I1517" cm="1">
        <f t="array" ref="I1517">INT(F1517)+IF(100-SUM(INT(F$1512:F$1527))&gt;=RANK(H1517,H$1512:H$1527)+COUNTIF(H$1512:H1517,H1517)-1,1,0)</f>
        <v>3</v>
      </c>
      <c r="J1517" t="b">
        <f t="shared" si="280"/>
        <v>0</v>
      </c>
      <c r="K1517" t="str">
        <f t="shared" si="281"/>
        <v/>
      </c>
      <c r="L1517">
        <f>_xlfn.XLOOKUP(D1517,BugList!C:C,BugList!N:N)</f>
        <v>3</v>
      </c>
      <c r="M1517">
        <f t="shared" si="282"/>
        <v>9</v>
      </c>
      <c r="N1517" t="b">
        <f>_xlfn.XLOOKUP(D1517,BugList!C:C,BugList!L:L)</f>
        <v>1</v>
      </c>
      <c r="O1517" t="b">
        <f t="shared" si="283"/>
        <v>0</v>
      </c>
      <c r="P1517" s="18" t="b">
        <f>SUMPRODUCT(COUNTIF(_xlfn.XLOOKUP(D1517,BugList!C:C,BugList!P:P), "*SC*"))&gt;0</f>
        <v>0</v>
      </c>
    </row>
    <row r="1518" spans="1:16">
      <c r="A1518" s="86" t="s">
        <v>2878</v>
      </c>
      <c r="B1518" s="83">
        <v>413</v>
      </c>
      <c r="C1518" s="34" t="s">
        <v>197</v>
      </c>
      <c r="D1518" s="34" t="s">
        <v>105</v>
      </c>
      <c r="E1518" s="83">
        <v>1</v>
      </c>
      <c r="F1518" s="43">
        <f t="shared" si="277"/>
        <v>0.88495575221238942</v>
      </c>
      <c r="G1518" s="44">
        <f t="shared" si="278"/>
        <v>0</v>
      </c>
      <c r="H1518" s="44">
        <f t="shared" si="279"/>
        <v>0.88495575221238942</v>
      </c>
      <c r="I1518" cm="1">
        <f t="array" ref="I1518">INT(F1518)+IF(100-SUM(INT(F$1512:F$1527))&gt;=RANK(H1518,H$1512:H$1527)+COUNTIF(H$1512:H1518,H1518)-1,1,0)</f>
        <v>1</v>
      </c>
      <c r="J1518" t="b">
        <f t="shared" si="280"/>
        <v>1</v>
      </c>
      <c r="K1518" t="str">
        <f t="shared" si="281"/>
        <v>Plecoptera</v>
      </c>
      <c r="L1518">
        <f>_xlfn.XLOOKUP(D1518,BugList!C:C,BugList!N:N)</f>
        <v>1</v>
      </c>
      <c r="M1518">
        <f t="shared" si="282"/>
        <v>1</v>
      </c>
      <c r="N1518" t="b">
        <f>_xlfn.XLOOKUP(D1518,BugList!C:C,BugList!L:L)</f>
        <v>1</v>
      </c>
      <c r="O1518" t="b">
        <f t="shared" si="283"/>
        <v>1</v>
      </c>
      <c r="P1518" s="18" t="b">
        <f>SUMPRODUCT(COUNTIF(_xlfn.XLOOKUP(D1518,BugList!C:C,BugList!P:P), "*SC*"))&gt;0</f>
        <v>0</v>
      </c>
    </row>
    <row r="1519" spans="1:16">
      <c r="A1519" s="86" t="s">
        <v>2878</v>
      </c>
      <c r="B1519" s="83">
        <v>413</v>
      </c>
      <c r="C1519" s="34" t="s">
        <v>198</v>
      </c>
      <c r="D1519" s="34" t="s">
        <v>89</v>
      </c>
      <c r="E1519" s="83">
        <v>27</v>
      </c>
      <c r="F1519" s="43">
        <f t="shared" si="277"/>
        <v>23.893805309734514</v>
      </c>
      <c r="G1519" s="44">
        <f t="shared" si="278"/>
        <v>23</v>
      </c>
      <c r="H1519" s="44">
        <f t="shared" si="279"/>
        <v>0.893805309734514</v>
      </c>
      <c r="I1519" cm="1">
        <f t="array" ref="I1519">INT(F1519)+IF(100-SUM(INT(F$1512:F$1527))&gt;=RANK(H1519,H$1512:H$1527)+COUNTIF(H$1512:H1519,H1519)-1,1,0)</f>
        <v>24</v>
      </c>
      <c r="J1519" t="b">
        <f t="shared" si="280"/>
        <v>1</v>
      </c>
      <c r="K1519" t="str">
        <f t="shared" si="281"/>
        <v>Trichoptera</v>
      </c>
      <c r="L1519">
        <f>_xlfn.XLOOKUP(D1519,BugList!C:C,BugList!N:N)</f>
        <v>4</v>
      </c>
      <c r="M1519">
        <f t="shared" si="282"/>
        <v>96</v>
      </c>
      <c r="N1519" t="b">
        <f>_xlfn.XLOOKUP(D1519,BugList!C:C,BugList!L:L)</f>
        <v>1</v>
      </c>
      <c r="O1519" t="b">
        <f t="shared" si="283"/>
        <v>0</v>
      </c>
      <c r="P1519" s="18" t="b">
        <f>SUMPRODUCT(COUNTIF(_xlfn.XLOOKUP(D1519,BugList!C:C,BugList!P:P), "*SC*"))&gt;0</f>
        <v>0</v>
      </c>
    </row>
    <row r="1520" spans="1:16">
      <c r="A1520" s="86" t="s">
        <v>2878</v>
      </c>
      <c r="B1520" s="83">
        <v>413</v>
      </c>
      <c r="C1520" s="34" t="s">
        <v>198</v>
      </c>
      <c r="D1520" s="34" t="s">
        <v>107</v>
      </c>
      <c r="E1520" s="83">
        <v>1</v>
      </c>
      <c r="F1520" s="43">
        <f t="shared" si="277"/>
        <v>0.88495575221238942</v>
      </c>
      <c r="G1520" s="44">
        <f t="shared" si="278"/>
        <v>0</v>
      </c>
      <c r="H1520" s="44">
        <f t="shared" si="279"/>
        <v>0.88495575221238942</v>
      </c>
      <c r="I1520" cm="1">
        <f t="array" ref="I1520">INT(F1520)+IF(100-SUM(INT(F$1512:F$1527))&gt;=RANK(H1520,H$1512:H$1527)+COUNTIF(H$1512:H1520,H1520)-1,1,0)</f>
        <v>1</v>
      </c>
      <c r="J1520" t="b">
        <f t="shared" si="280"/>
        <v>1</v>
      </c>
      <c r="K1520" t="str">
        <f t="shared" si="281"/>
        <v>Trichoptera</v>
      </c>
      <c r="L1520">
        <f>_xlfn.XLOOKUP(D1520,BugList!C:C,BugList!N:N)</f>
        <v>3</v>
      </c>
      <c r="M1520">
        <f t="shared" si="282"/>
        <v>3</v>
      </c>
      <c r="N1520" t="b">
        <f>_xlfn.XLOOKUP(D1520,BugList!C:C,BugList!L:L)</f>
        <v>1</v>
      </c>
      <c r="O1520" t="b">
        <f t="shared" si="283"/>
        <v>1</v>
      </c>
      <c r="P1520" s="18" t="b">
        <f>SUMPRODUCT(COUNTIF(_xlfn.XLOOKUP(D1520,BugList!C:C,BugList!P:P), "*SC*"))&gt;0</f>
        <v>0</v>
      </c>
    </row>
    <row r="1521" spans="1:16">
      <c r="A1521" s="86" t="s">
        <v>2878</v>
      </c>
      <c r="B1521" s="83">
        <v>413</v>
      </c>
      <c r="C1521" s="34" t="s">
        <v>201</v>
      </c>
      <c r="D1521" s="34" t="s">
        <v>109</v>
      </c>
      <c r="E1521" s="83">
        <v>4</v>
      </c>
      <c r="F1521" s="43">
        <f t="shared" si="277"/>
        <v>3.5398230088495577</v>
      </c>
      <c r="G1521" s="44">
        <f t="shared" si="278"/>
        <v>3</v>
      </c>
      <c r="H1521" s="44">
        <f t="shared" si="279"/>
        <v>0.5398230088495577</v>
      </c>
      <c r="I1521" cm="1">
        <f t="array" ref="I1521">INT(F1521)+IF(100-SUM(INT(F$1512:F$1527))&gt;=RANK(H1521,H$1512:H$1527)+COUNTIF(H$1512:H1521,H1521)-1,1,0)</f>
        <v>3</v>
      </c>
      <c r="J1521" t="b">
        <f t="shared" si="280"/>
        <v>0</v>
      </c>
      <c r="K1521" t="str">
        <f t="shared" si="281"/>
        <v/>
      </c>
      <c r="L1521">
        <f>_xlfn.XLOOKUP(D1521,BugList!C:C,BugList!N:N)</f>
        <v>6</v>
      </c>
      <c r="M1521">
        <f t="shared" si="282"/>
        <v>18</v>
      </c>
      <c r="N1521" t="b">
        <f>_xlfn.XLOOKUP(D1521,BugList!C:C,BugList!L:L)</f>
        <v>0</v>
      </c>
      <c r="O1521" t="b">
        <f t="shared" si="283"/>
        <v>0</v>
      </c>
      <c r="P1521" s="18" t="b">
        <f>SUMPRODUCT(COUNTIF(_xlfn.XLOOKUP(D1521,BugList!C:C,BugList!P:P), "*SC*"))&gt;0</f>
        <v>0</v>
      </c>
    </row>
    <row r="1522" spans="1:16">
      <c r="A1522" s="86" t="s">
        <v>2878</v>
      </c>
      <c r="B1522" s="83">
        <v>413</v>
      </c>
      <c r="C1522" s="34" t="s">
        <v>201</v>
      </c>
      <c r="D1522" s="34" t="s">
        <v>85</v>
      </c>
      <c r="E1522" s="83">
        <v>1</v>
      </c>
      <c r="F1522" s="43">
        <f t="shared" si="277"/>
        <v>0.88495575221238942</v>
      </c>
      <c r="G1522" s="44">
        <f t="shared" si="278"/>
        <v>0</v>
      </c>
      <c r="H1522" s="44">
        <f t="shared" si="279"/>
        <v>0.88495575221238942</v>
      </c>
      <c r="I1522" cm="1">
        <f t="array" ref="I1522">INT(F1522)+IF(100-SUM(INT(F$1512:F$1527))&gt;=RANK(H1522,H$1512:H$1527)+COUNTIF(H$1512:H1522,H1522)-1,1,0)</f>
        <v>1</v>
      </c>
      <c r="J1522" t="b">
        <f t="shared" si="280"/>
        <v>0</v>
      </c>
      <c r="K1522" t="str">
        <f t="shared" si="281"/>
        <v/>
      </c>
      <c r="L1522">
        <f>_xlfn.XLOOKUP(D1522,BugList!C:C,BugList!N:N)</f>
        <v>4</v>
      </c>
      <c r="M1522">
        <f t="shared" si="282"/>
        <v>4</v>
      </c>
      <c r="N1522" t="b">
        <f>_xlfn.XLOOKUP(D1522,BugList!C:C,BugList!L:L)</f>
        <v>0</v>
      </c>
      <c r="O1522" t="b">
        <f t="shared" si="283"/>
        <v>0</v>
      </c>
      <c r="P1522" s="18" t="b">
        <f>SUMPRODUCT(COUNTIF(_xlfn.XLOOKUP(D1522,BugList!C:C,BugList!P:P), "*SC*"))&gt;0</f>
        <v>0</v>
      </c>
    </row>
    <row r="1523" spans="1:16">
      <c r="A1523" s="86" t="s">
        <v>2878</v>
      </c>
      <c r="B1523" s="83">
        <v>413</v>
      </c>
      <c r="C1523" s="34" t="s">
        <v>2315</v>
      </c>
      <c r="D1523" s="34" t="s">
        <v>120</v>
      </c>
      <c r="E1523" s="83">
        <v>2</v>
      </c>
      <c r="F1523" s="43">
        <f t="shared" si="277"/>
        <v>1.7699115044247788</v>
      </c>
      <c r="G1523" s="44">
        <f t="shared" si="278"/>
        <v>1</v>
      </c>
      <c r="H1523" s="44">
        <f t="shared" si="279"/>
        <v>0.76991150442477885</v>
      </c>
      <c r="I1523" cm="1">
        <f t="array" ref="I1523">INT(F1523)+IF(100-SUM(INT(F$1512:F$1527))&gt;=RANK(H1523,H$1512:H$1527)+COUNTIF(H$1512:H1523,H1523)-1,1,0)</f>
        <v>2</v>
      </c>
      <c r="J1523" t="b">
        <f t="shared" si="280"/>
        <v>0</v>
      </c>
      <c r="K1523" t="str">
        <f t="shared" si="281"/>
        <v/>
      </c>
      <c r="L1523">
        <f>_xlfn.XLOOKUP(D1523,BugList!C:C,BugList!N:N)</f>
        <v>8</v>
      </c>
      <c r="M1523">
        <f t="shared" si="282"/>
        <v>16</v>
      </c>
      <c r="N1523" t="b">
        <f>_xlfn.XLOOKUP(D1523,BugList!C:C,BugList!L:L)</f>
        <v>0</v>
      </c>
      <c r="O1523" t="b">
        <f t="shared" si="283"/>
        <v>0</v>
      </c>
      <c r="P1523" s="18" t="b">
        <f>SUMPRODUCT(COUNTIF(_xlfn.XLOOKUP(D1523,BugList!C:C,BugList!P:P), "*SC*"))&gt;0</f>
        <v>1</v>
      </c>
    </row>
    <row r="1524" spans="1:16">
      <c r="A1524" s="86" t="s">
        <v>2878</v>
      </c>
      <c r="B1524" s="83">
        <v>413</v>
      </c>
      <c r="C1524" s="34" t="s">
        <v>2315</v>
      </c>
      <c r="D1524" s="34" t="s">
        <v>102</v>
      </c>
      <c r="E1524" s="83">
        <v>5</v>
      </c>
      <c r="F1524" s="43">
        <f t="shared" si="277"/>
        <v>4.4247787610619467</v>
      </c>
      <c r="G1524" s="44">
        <f t="shared" si="278"/>
        <v>4</v>
      </c>
      <c r="H1524" s="44">
        <f t="shared" si="279"/>
        <v>0.42477876106194667</v>
      </c>
      <c r="I1524" cm="1">
        <f t="array" ref="I1524">INT(F1524)+IF(100-SUM(INT(F$1512:F$1527))&gt;=RANK(H1524,H$1512:H$1527)+COUNTIF(H$1512:H1524,H1524)-1,1,0)</f>
        <v>4</v>
      </c>
      <c r="J1524" t="b">
        <f t="shared" si="280"/>
        <v>0</v>
      </c>
      <c r="K1524" t="str">
        <f t="shared" si="281"/>
        <v/>
      </c>
      <c r="L1524">
        <f>_xlfn.XLOOKUP(D1524,BugList!C:C,BugList!N:N)</f>
        <v>7</v>
      </c>
      <c r="M1524">
        <f t="shared" si="282"/>
        <v>28</v>
      </c>
      <c r="N1524" t="b">
        <f>_xlfn.XLOOKUP(D1524,BugList!C:C,BugList!L:L)</f>
        <v>0</v>
      </c>
      <c r="O1524" t="b">
        <f t="shared" si="283"/>
        <v>0</v>
      </c>
      <c r="P1524" s="18" t="b">
        <f>SUMPRODUCT(COUNTIF(_xlfn.XLOOKUP(D1524,BugList!C:C,BugList!P:P), "*SC*"))&gt;0</f>
        <v>1</v>
      </c>
    </row>
    <row r="1525" spans="1:16">
      <c r="A1525" s="86" t="s">
        <v>2878</v>
      </c>
      <c r="B1525" s="83">
        <v>413</v>
      </c>
      <c r="C1525" s="34" t="s">
        <v>2315</v>
      </c>
      <c r="D1525" s="34" t="s">
        <v>121</v>
      </c>
      <c r="E1525" s="83">
        <v>1</v>
      </c>
      <c r="F1525" s="43">
        <f t="shared" si="277"/>
        <v>0.88495575221238942</v>
      </c>
      <c r="G1525" s="44">
        <f t="shared" si="278"/>
        <v>0</v>
      </c>
      <c r="H1525" s="44">
        <f t="shared" si="279"/>
        <v>0.88495575221238942</v>
      </c>
      <c r="I1525" cm="1">
        <f t="array" ref="I1525">INT(F1525)+IF(100-SUM(INT(F$1512:F$1527))&gt;=RANK(H1525,H$1512:H$1527)+COUNTIF(H$1512:H1525,H1525)-1,1,0)</f>
        <v>1</v>
      </c>
      <c r="J1525" t="b">
        <f t="shared" si="280"/>
        <v>0</v>
      </c>
      <c r="K1525" t="str">
        <f t="shared" si="281"/>
        <v/>
      </c>
      <c r="L1525">
        <f>_xlfn.XLOOKUP(D1525,BugList!C:C,BugList!N:N)</f>
        <v>6</v>
      </c>
      <c r="M1525">
        <f t="shared" si="282"/>
        <v>6</v>
      </c>
      <c r="N1525" t="b">
        <f>_xlfn.XLOOKUP(D1525,BugList!C:C,BugList!L:L)</f>
        <v>0</v>
      </c>
      <c r="O1525" t="b">
        <f t="shared" si="283"/>
        <v>0</v>
      </c>
      <c r="P1525" s="18" t="b">
        <f>SUMPRODUCT(COUNTIF(_xlfn.XLOOKUP(D1525,BugList!C:C,BugList!P:P), "*SC*"))&gt;0</f>
        <v>0</v>
      </c>
    </row>
    <row r="1526" spans="1:16">
      <c r="A1526" s="86" t="s">
        <v>2878</v>
      </c>
      <c r="B1526" s="83">
        <v>413</v>
      </c>
      <c r="C1526" s="34" t="s">
        <v>205</v>
      </c>
      <c r="D1526" s="34" t="s">
        <v>206</v>
      </c>
      <c r="E1526" s="83">
        <v>3</v>
      </c>
      <c r="F1526" s="43">
        <f t="shared" si="277"/>
        <v>2.6548672566371683</v>
      </c>
      <c r="G1526" s="44">
        <f t="shared" si="278"/>
        <v>2</v>
      </c>
      <c r="H1526" s="44">
        <f t="shared" si="279"/>
        <v>0.65486725663716827</v>
      </c>
      <c r="I1526" cm="1">
        <f t="array" ref="I1526">INT(F1526)+IF(100-SUM(INT(F$1512:F$1527))&gt;=RANK(H1526,H$1512:H$1527)+COUNTIF(H$1512:H1526,H1526)-1,1,0)</f>
        <v>3</v>
      </c>
      <c r="J1526" t="b">
        <f t="shared" si="280"/>
        <v>0</v>
      </c>
      <c r="K1526" t="str">
        <f t="shared" si="281"/>
        <v/>
      </c>
      <c r="L1526" s="71">
        <v>8</v>
      </c>
      <c r="M1526">
        <f t="shared" si="282"/>
        <v>24</v>
      </c>
      <c r="N1526" s="71" t="b">
        <v>0</v>
      </c>
      <c r="O1526" t="b">
        <f t="shared" si="283"/>
        <v>0</v>
      </c>
      <c r="P1526" s="72" t="b">
        <v>0</v>
      </c>
    </row>
    <row r="1527" spans="1:16">
      <c r="A1527" s="86" t="s">
        <v>2878</v>
      </c>
      <c r="B1527" s="83">
        <v>413</v>
      </c>
      <c r="C1527" s="34" t="s">
        <v>94</v>
      </c>
      <c r="D1527" s="34" t="s">
        <v>94</v>
      </c>
      <c r="E1527" s="83">
        <v>19</v>
      </c>
      <c r="F1527" s="43">
        <f t="shared" si="277"/>
        <v>16.814159292035399</v>
      </c>
      <c r="G1527" s="44">
        <f t="shared" si="278"/>
        <v>16</v>
      </c>
      <c r="H1527" s="44">
        <f t="shared" si="279"/>
        <v>0.81415929203539861</v>
      </c>
      <c r="I1527" cm="1">
        <f t="array" ref="I1527">INT(F1527)+IF(100-SUM(INT(F$1512:F$1527))&gt;=RANK(H1527,H$1512:H$1527)+COUNTIF(H$1512:H1527,H1527)-1,1,0)</f>
        <v>17</v>
      </c>
      <c r="J1527" t="b">
        <f t="shared" si="280"/>
        <v>0</v>
      </c>
      <c r="K1527" t="str">
        <f t="shared" si="281"/>
        <v/>
      </c>
      <c r="L1527">
        <f>_xlfn.XLOOKUP(D1527,BugList!C:C,BugList!N:N)</f>
        <v>8</v>
      </c>
      <c r="M1527">
        <f t="shared" si="282"/>
        <v>136</v>
      </c>
      <c r="N1527" t="b">
        <f>_xlfn.XLOOKUP(D1527,BugList!C:C,BugList!L:L)</f>
        <v>0</v>
      </c>
      <c r="O1527" t="b">
        <f t="shared" si="283"/>
        <v>0</v>
      </c>
      <c r="P1527" s="18" t="b">
        <f>SUMPRODUCT(COUNTIF(_xlfn.XLOOKUP(D1527,BugList!C:C,BugList!P:P), "*SC*"))&gt;0</f>
        <v>0</v>
      </c>
    </row>
    <row r="1528" spans="1:16">
      <c r="A1528" s="86" t="s">
        <v>2879</v>
      </c>
      <c r="B1528" s="83">
        <v>427</v>
      </c>
      <c r="C1528" s="34" t="s">
        <v>200</v>
      </c>
      <c r="D1528" s="34" t="s">
        <v>100</v>
      </c>
      <c r="E1528" s="83">
        <v>17</v>
      </c>
      <c r="F1528" s="43">
        <f t="shared" si="277"/>
        <v>15.74074074074074</v>
      </c>
      <c r="G1528" s="44">
        <f t="shared" si="278"/>
        <v>15</v>
      </c>
      <c r="H1528" s="44">
        <f t="shared" si="279"/>
        <v>0.74074074074074048</v>
      </c>
      <c r="I1528" cm="1">
        <f t="array" ref="I1528">INT(F1528)+IF(100-SUM(INT(F$1528:F$1543))&gt;=RANK(H1528,H$1528:H$1543)+COUNTIF(H$1528:H1528,H1528)-1,1,0)</f>
        <v>16</v>
      </c>
      <c r="J1528" t="b">
        <f t="shared" si="280"/>
        <v>0</v>
      </c>
      <c r="K1528" t="str">
        <f t="shared" si="281"/>
        <v/>
      </c>
      <c r="L1528">
        <f>_xlfn.XLOOKUP(D1528,BugList!C:C,BugList!N:N)</f>
        <v>4</v>
      </c>
      <c r="M1528">
        <f t="shared" si="282"/>
        <v>64</v>
      </c>
      <c r="N1528" t="b">
        <f>_xlfn.XLOOKUP(D1528,BugList!C:C,BugList!L:L)</f>
        <v>1</v>
      </c>
      <c r="O1528" t="b">
        <f t="shared" si="283"/>
        <v>0</v>
      </c>
      <c r="P1528" s="18" t="b">
        <f>SUMPRODUCT(COUNTIF(_xlfn.XLOOKUP(D1528,BugList!C:C,BugList!P:P), "*SC*"))&gt;0</f>
        <v>1</v>
      </c>
    </row>
    <row r="1529" spans="1:16">
      <c r="A1529" s="86" t="s">
        <v>2879</v>
      </c>
      <c r="B1529" s="83">
        <v>427</v>
      </c>
      <c r="C1529" s="34" t="s">
        <v>194</v>
      </c>
      <c r="D1529" s="34" t="s">
        <v>126</v>
      </c>
      <c r="E1529" s="83">
        <v>5</v>
      </c>
      <c r="F1529" s="43">
        <f t="shared" si="277"/>
        <v>4.6296296296296298</v>
      </c>
      <c r="G1529" s="44">
        <f t="shared" si="278"/>
        <v>4</v>
      </c>
      <c r="H1529" s="44">
        <f t="shared" si="279"/>
        <v>0.62962962962962976</v>
      </c>
      <c r="I1529" cm="1">
        <f t="array" ref="I1529">INT(F1529)+IF(100-SUM(INT(F$1528:F$1543))&gt;=RANK(H1529,H$1528:H$1543)+COUNTIF(H$1528:H1529,H1529)-1,1,0)</f>
        <v>4</v>
      </c>
      <c r="J1529" t="b">
        <f t="shared" si="280"/>
        <v>0</v>
      </c>
      <c r="K1529" t="str">
        <f t="shared" si="281"/>
        <v/>
      </c>
      <c r="L1529">
        <f>_xlfn.XLOOKUP(D1529,BugList!C:C,BugList!N:N)</f>
        <v>8</v>
      </c>
      <c r="M1529">
        <f t="shared" si="282"/>
        <v>32</v>
      </c>
      <c r="N1529" t="b">
        <f>_xlfn.XLOOKUP(D1529,BugList!C:C,BugList!L:L)</f>
        <v>1</v>
      </c>
      <c r="O1529" t="b">
        <f t="shared" si="283"/>
        <v>0</v>
      </c>
      <c r="P1529" s="18" t="b">
        <f>SUMPRODUCT(COUNTIF(_xlfn.XLOOKUP(D1529,BugList!C:C,BugList!P:P), "*SC*"))&gt;0</f>
        <v>0</v>
      </c>
    </row>
    <row r="1530" spans="1:16">
      <c r="A1530" s="86" t="s">
        <v>2879</v>
      </c>
      <c r="B1530" s="83">
        <v>427</v>
      </c>
      <c r="C1530" s="34" t="s">
        <v>194</v>
      </c>
      <c r="D1530" s="34" t="s">
        <v>90</v>
      </c>
      <c r="E1530" s="83">
        <v>4</v>
      </c>
      <c r="F1530" s="43">
        <f t="shared" si="277"/>
        <v>3.7037037037037033</v>
      </c>
      <c r="G1530" s="44">
        <f t="shared" si="278"/>
        <v>3</v>
      </c>
      <c r="H1530" s="44">
        <f t="shared" si="279"/>
        <v>0.70370370370370328</v>
      </c>
      <c r="I1530" cm="1">
        <f t="array" ref="I1530">INT(F1530)+IF(100-SUM(INT(F$1528:F$1543))&gt;=RANK(H1530,H$1528:H$1543)+COUNTIF(H$1528:H1530,H1530)-1,1,0)</f>
        <v>4</v>
      </c>
      <c r="J1530" t="b">
        <f t="shared" si="280"/>
        <v>0</v>
      </c>
      <c r="K1530" t="str">
        <f t="shared" si="281"/>
        <v/>
      </c>
      <c r="L1530">
        <f>_xlfn.XLOOKUP(D1530,BugList!C:C,BugList!N:N)</f>
        <v>6</v>
      </c>
      <c r="M1530">
        <f t="shared" si="282"/>
        <v>24</v>
      </c>
      <c r="N1530" t="b">
        <f>_xlfn.XLOOKUP(D1530,BugList!C:C,BugList!L:L)</f>
        <v>1</v>
      </c>
      <c r="O1530" t="b">
        <f t="shared" si="283"/>
        <v>0</v>
      </c>
      <c r="P1530" s="18" t="b">
        <f>SUMPRODUCT(COUNTIF(_xlfn.XLOOKUP(D1530,BugList!C:C,BugList!P:P), "*SC*"))&gt;0</f>
        <v>0</v>
      </c>
    </row>
    <row r="1531" spans="1:16">
      <c r="A1531" s="86" t="s">
        <v>2879</v>
      </c>
      <c r="B1531" s="83">
        <v>427</v>
      </c>
      <c r="C1531" s="34" t="s">
        <v>194</v>
      </c>
      <c r="D1531" s="34" t="s">
        <v>101</v>
      </c>
      <c r="E1531" s="83">
        <v>1</v>
      </c>
      <c r="F1531" s="43">
        <f t="shared" ref="F1531:F1594" si="284">(E1531/(SUMIFS(E:E,A:A,A1531))*100)</f>
        <v>0.92592592592592582</v>
      </c>
      <c r="G1531" s="44">
        <f t="shared" si="278"/>
        <v>0</v>
      </c>
      <c r="H1531" s="44">
        <f t="shared" si="279"/>
        <v>0.92592592592592582</v>
      </c>
      <c r="I1531" cm="1">
        <f t="array" ref="I1531">INT(F1531)+IF(100-SUM(INT(F$1528:F$1543))&gt;=RANK(H1531,H$1528:H$1543)+COUNTIF(H$1528:H1531,H1531)-1,1,0)</f>
        <v>1</v>
      </c>
      <c r="J1531" t="b">
        <f t="shared" si="280"/>
        <v>0</v>
      </c>
      <c r="K1531" t="str">
        <f t="shared" si="281"/>
        <v/>
      </c>
      <c r="L1531">
        <f>_xlfn.XLOOKUP(D1531,BugList!C:C,BugList!N:N)</f>
        <v>6</v>
      </c>
      <c r="M1531">
        <f t="shared" si="282"/>
        <v>6</v>
      </c>
      <c r="N1531" t="b">
        <f>_xlfn.XLOOKUP(D1531,BugList!C:C,BugList!L:L)</f>
        <v>1</v>
      </c>
      <c r="O1531" t="b">
        <f t="shared" si="283"/>
        <v>0</v>
      </c>
      <c r="P1531" s="18" t="b">
        <f>SUMPRODUCT(COUNTIF(_xlfn.XLOOKUP(D1531,BugList!C:C,BugList!P:P), "*SC*"))&gt;0</f>
        <v>0</v>
      </c>
    </row>
    <row r="1532" spans="1:16">
      <c r="A1532" s="86" t="s">
        <v>2879</v>
      </c>
      <c r="B1532" s="83">
        <v>427</v>
      </c>
      <c r="C1532" s="34" t="s">
        <v>194</v>
      </c>
      <c r="D1532" s="34" t="s">
        <v>108</v>
      </c>
      <c r="E1532" s="83">
        <v>2</v>
      </c>
      <c r="F1532" s="43">
        <f t="shared" si="284"/>
        <v>1.8518518518518516</v>
      </c>
      <c r="G1532" s="44">
        <f t="shared" si="278"/>
        <v>1</v>
      </c>
      <c r="H1532" s="44">
        <f t="shared" si="279"/>
        <v>0.85185185185185164</v>
      </c>
      <c r="I1532" cm="1">
        <f t="array" ref="I1532">INT(F1532)+IF(100-SUM(INT(F$1528:F$1543))&gt;=RANK(H1532,H$1528:H$1543)+COUNTIF(H$1528:H1532,H1532)-1,1,0)</f>
        <v>2</v>
      </c>
      <c r="J1532" t="b">
        <f t="shared" si="280"/>
        <v>0</v>
      </c>
      <c r="K1532" t="str">
        <f t="shared" si="281"/>
        <v/>
      </c>
      <c r="L1532">
        <f>_xlfn.XLOOKUP(D1532,BugList!C:C,BugList!N:N)</f>
        <v>3</v>
      </c>
      <c r="M1532">
        <f t="shared" si="282"/>
        <v>6</v>
      </c>
      <c r="N1532" t="b">
        <f>_xlfn.XLOOKUP(D1532,BugList!C:C,BugList!L:L)</f>
        <v>1</v>
      </c>
      <c r="O1532" t="b">
        <f t="shared" si="283"/>
        <v>0</v>
      </c>
      <c r="P1532" s="18" t="b">
        <f>SUMPRODUCT(COUNTIF(_xlfn.XLOOKUP(D1532,BugList!C:C,BugList!P:P), "*SC*"))&gt;0</f>
        <v>0</v>
      </c>
    </row>
    <row r="1533" spans="1:16">
      <c r="A1533" s="86" t="s">
        <v>2879</v>
      </c>
      <c r="B1533" s="83">
        <v>427</v>
      </c>
      <c r="C1533" s="34" t="s">
        <v>199</v>
      </c>
      <c r="D1533" s="34" t="s">
        <v>2768</v>
      </c>
      <c r="E1533" s="83">
        <v>18</v>
      </c>
      <c r="F1533" s="43">
        <f t="shared" si="284"/>
        <v>16.666666666666664</v>
      </c>
      <c r="G1533" s="44">
        <f t="shared" si="278"/>
        <v>16</v>
      </c>
      <c r="H1533" s="44">
        <f t="shared" si="279"/>
        <v>0.6666666666666643</v>
      </c>
      <c r="I1533" cm="1">
        <f t="array" ref="I1533">INT(F1533)+IF(100-SUM(INT(F$1528:F$1543))&gt;=RANK(H1533,H$1528:H$1543)+COUNTIF(H$1528:H1533,H1533)-1,1,0)</f>
        <v>16</v>
      </c>
      <c r="J1533" t="b">
        <f t="shared" si="280"/>
        <v>1</v>
      </c>
      <c r="K1533" t="str">
        <f t="shared" si="281"/>
        <v>Ephemeroptera</v>
      </c>
      <c r="L1533">
        <f>_xlfn.XLOOKUP(D1533,BugList!C:C,BugList!N:N)</f>
        <v>7</v>
      </c>
      <c r="M1533">
        <f t="shared" si="282"/>
        <v>112</v>
      </c>
      <c r="N1533" t="b">
        <f>_xlfn.XLOOKUP(D1533,BugList!C:C,BugList!L:L)</f>
        <v>1</v>
      </c>
      <c r="O1533" t="b">
        <f t="shared" si="283"/>
        <v>1</v>
      </c>
      <c r="P1533" s="18" t="b">
        <f>SUMPRODUCT(COUNTIF(_xlfn.XLOOKUP(D1533,BugList!C:C,BugList!P:P), "*SC*"))&gt;0</f>
        <v>0</v>
      </c>
    </row>
    <row r="1534" spans="1:16">
      <c r="A1534" s="86" t="s">
        <v>2879</v>
      </c>
      <c r="B1534" s="83">
        <v>427</v>
      </c>
      <c r="C1534" s="34" t="s">
        <v>199</v>
      </c>
      <c r="D1534" s="34" t="s">
        <v>111</v>
      </c>
      <c r="E1534" s="83">
        <v>4</v>
      </c>
      <c r="F1534" s="43">
        <f t="shared" si="284"/>
        <v>3.7037037037037033</v>
      </c>
      <c r="G1534" s="44">
        <f t="shared" si="278"/>
        <v>3</v>
      </c>
      <c r="H1534" s="44">
        <f t="shared" si="279"/>
        <v>0.70370370370370328</v>
      </c>
      <c r="I1534" cm="1">
        <f t="array" ref="I1534">INT(F1534)+IF(100-SUM(INT(F$1528:F$1543))&gt;=RANK(H1534,H$1528:H$1543)+COUNTIF(H$1528:H1534,H1534)-1,1,0)</f>
        <v>4</v>
      </c>
      <c r="J1534" t="b">
        <f t="shared" si="280"/>
        <v>1</v>
      </c>
      <c r="K1534" t="str">
        <f t="shared" si="281"/>
        <v>Ephemeroptera</v>
      </c>
      <c r="L1534">
        <f>_xlfn.XLOOKUP(D1534,BugList!C:C,BugList!N:N)</f>
        <v>4</v>
      </c>
      <c r="M1534">
        <f t="shared" si="282"/>
        <v>16</v>
      </c>
      <c r="N1534" t="b">
        <f>_xlfn.XLOOKUP(D1534,BugList!C:C,BugList!L:L)</f>
        <v>1</v>
      </c>
      <c r="O1534" t="b">
        <f t="shared" si="283"/>
        <v>1</v>
      </c>
      <c r="P1534" s="18" t="b">
        <f>SUMPRODUCT(COUNTIF(_xlfn.XLOOKUP(D1534,BugList!C:C,BugList!P:P), "*SC*"))&gt;0</f>
        <v>0</v>
      </c>
    </row>
    <row r="1535" spans="1:16">
      <c r="A1535" s="86" t="s">
        <v>2879</v>
      </c>
      <c r="B1535" s="83">
        <v>427</v>
      </c>
      <c r="C1535" s="34" t="s">
        <v>195</v>
      </c>
      <c r="D1535" s="34" t="s">
        <v>113</v>
      </c>
      <c r="E1535" s="83">
        <v>1</v>
      </c>
      <c r="F1535" s="43">
        <f t="shared" si="284"/>
        <v>0.92592592592592582</v>
      </c>
      <c r="G1535" s="44">
        <f t="shared" si="278"/>
        <v>0</v>
      </c>
      <c r="H1535" s="44">
        <f t="shared" si="279"/>
        <v>0.92592592592592582</v>
      </c>
      <c r="I1535" cm="1">
        <f t="array" ref="I1535">INT(F1535)+IF(100-SUM(INT(F$1528:F$1543))&gt;=RANK(H1535,H$1528:H$1543)+COUNTIF(H$1528:H1535,H1535)-1,1,0)</f>
        <v>1</v>
      </c>
      <c r="J1535" t="b">
        <f t="shared" si="280"/>
        <v>0</v>
      </c>
      <c r="K1535" t="str">
        <f t="shared" si="281"/>
        <v/>
      </c>
      <c r="L1535">
        <f>_xlfn.XLOOKUP(D1535,BugList!C:C,BugList!N:N)</f>
        <v>1</v>
      </c>
      <c r="M1535">
        <f t="shared" si="282"/>
        <v>1</v>
      </c>
      <c r="N1535" t="b">
        <f>_xlfn.XLOOKUP(D1535,BugList!C:C,BugList!L:L)</f>
        <v>1</v>
      </c>
      <c r="O1535" t="b">
        <f t="shared" si="283"/>
        <v>0</v>
      </c>
      <c r="P1535" s="18" t="b">
        <f>SUMPRODUCT(COUNTIF(_xlfn.XLOOKUP(D1535,BugList!C:C,BugList!P:P), "*SC*"))&gt;0</f>
        <v>0</v>
      </c>
    </row>
    <row r="1536" spans="1:16">
      <c r="A1536" s="86" t="s">
        <v>2879</v>
      </c>
      <c r="B1536" s="83">
        <v>427</v>
      </c>
      <c r="C1536" s="34" t="s">
        <v>197</v>
      </c>
      <c r="D1536" s="34" t="s">
        <v>104</v>
      </c>
      <c r="E1536" s="83">
        <v>3</v>
      </c>
      <c r="F1536" s="43">
        <f t="shared" si="284"/>
        <v>2.7777777777777777</v>
      </c>
      <c r="G1536" s="44">
        <f t="shared" si="278"/>
        <v>2</v>
      </c>
      <c r="H1536" s="44">
        <f t="shared" si="279"/>
        <v>0.77777777777777768</v>
      </c>
      <c r="I1536" cm="1">
        <f t="array" ref="I1536">INT(F1536)+IF(100-SUM(INT(F$1528:F$1543))&gt;=RANK(H1536,H$1528:H$1543)+COUNTIF(H$1528:H1536,H1536)-1,1,0)</f>
        <v>3</v>
      </c>
      <c r="J1536" t="b">
        <f t="shared" si="280"/>
        <v>1</v>
      </c>
      <c r="K1536" t="str">
        <f t="shared" si="281"/>
        <v>Plecoptera</v>
      </c>
      <c r="L1536">
        <f>_xlfn.XLOOKUP(D1536,BugList!C:C,BugList!N:N)</f>
        <v>2</v>
      </c>
      <c r="M1536">
        <f t="shared" si="282"/>
        <v>6</v>
      </c>
      <c r="N1536" t="b">
        <f>_xlfn.XLOOKUP(D1536,BugList!C:C,BugList!L:L)</f>
        <v>1</v>
      </c>
      <c r="O1536" t="b">
        <f t="shared" si="283"/>
        <v>1</v>
      </c>
      <c r="P1536" s="18" t="b">
        <f>SUMPRODUCT(COUNTIF(_xlfn.XLOOKUP(D1536,BugList!C:C,BugList!P:P), "*SC*"))&gt;0</f>
        <v>0</v>
      </c>
    </row>
    <row r="1537" spans="1:16">
      <c r="A1537" s="86" t="s">
        <v>2879</v>
      </c>
      <c r="B1537" s="83">
        <v>427</v>
      </c>
      <c r="C1537" s="34" t="s">
        <v>197</v>
      </c>
      <c r="D1537" s="34" t="s">
        <v>106</v>
      </c>
      <c r="E1537" s="83">
        <v>4</v>
      </c>
      <c r="F1537" s="43">
        <f t="shared" si="284"/>
        <v>3.7037037037037033</v>
      </c>
      <c r="G1537" s="44">
        <f t="shared" si="278"/>
        <v>3</v>
      </c>
      <c r="H1537" s="44">
        <f t="shared" si="279"/>
        <v>0.70370370370370328</v>
      </c>
      <c r="I1537" cm="1">
        <f t="array" ref="I1537">INT(F1537)+IF(100-SUM(INT(F$1528:F$1543))&gt;=RANK(H1537,H$1528:H$1543)+COUNTIF(H$1528:H1537,H1537)-1,1,0)</f>
        <v>4</v>
      </c>
      <c r="J1537" t="b">
        <f t="shared" si="280"/>
        <v>1</v>
      </c>
      <c r="K1537" t="str">
        <f t="shared" si="281"/>
        <v>Plecoptera</v>
      </c>
      <c r="L1537">
        <f>_xlfn.XLOOKUP(D1537,BugList!C:C,BugList!N:N)</f>
        <v>2</v>
      </c>
      <c r="M1537">
        <f t="shared" si="282"/>
        <v>8</v>
      </c>
      <c r="N1537" t="b">
        <f>_xlfn.XLOOKUP(D1537,BugList!C:C,BugList!L:L)</f>
        <v>1</v>
      </c>
      <c r="O1537" t="b">
        <f t="shared" si="283"/>
        <v>1</v>
      </c>
      <c r="P1537" s="18" t="b">
        <f>SUMPRODUCT(COUNTIF(_xlfn.XLOOKUP(D1537,BugList!C:C,BugList!P:P), "*SC*"))&gt;0</f>
        <v>0</v>
      </c>
    </row>
    <row r="1538" spans="1:16">
      <c r="A1538" s="86" t="s">
        <v>2879</v>
      </c>
      <c r="B1538" s="83">
        <v>427</v>
      </c>
      <c r="C1538" s="34" t="s">
        <v>198</v>
      </c>
      <c r="D1538" s="34" t="s">
        <v>89</v>
      </c>
      <c r="E1538" s="83">
        <v>24</v>
      </c>
      <c r="F1538" s="43">
        <f t="shared" si="284"/>
        <v>22.222222222222221</v>
      </c>
      <c r="G1538" s="44">
        <f t="shared" si="278"/>
        <v>22</v>
      </c>
      <c r="H1538" s="44">
        <f t="shared" si="279"/>
        <v>0.22222222222222143</v>
      </c>
      <c r="I1538" cm="1">
        <f t="array" ref="I1538">INT(F1538)+IF(100-SUM(INT(F$1528:F$1543))&gt;=RANK(H1538,H$1528:H$1543)+COUNTIF(H$1528:H1538,H1538)-1,1,0)</f>
        <v>22</v>
      </c>
      <c r="J1538" t="b">
        <f t="shared" si="280"/>
        <v>1</v>
      </c>
      <c r="K1538" t="str">
        <f t="shared" si="281"/>
        <v>Trichoptera</v>
      </c>
      <c r="L1538">
        <f>_xlfn.XLOOKUP(D1538,BugList!C:C,BugList!N:N)</f>
        <v>4</v>
      </c>
      <c r="M1538">
        <f t="shared" si="282"/>
        <v>88</v>
      </c>
      <c r="N1538" t="b">
        <f>_xlfn.XLOOKUP(D1538,BugList!C:C,BugList!L:L)</f>
        <v>1</v>
      </c>
      <c r="O1538" t="b">
        <f t="shared" si="283"/>
        <v>0</v>
      </c>
      <c r="P1538" s="18" t="b">
        <f>SUMPRODUCT(COUNTIF(_xlfn.XLOOKUP(D1538,BugList!C:C,BugList!P:P), "*SC*"))&gt;0</f>
        <v>0</v>
      </c>
    </row>
    <row r="1539" spans="1:16">
      <c r="A1539" s="86" t="s">
        <v>2879</v>
      </c>
      <c r="B1539" s="83">
        <v>427</v>
      </c>
      <c r="C1539" s="34" t="s">
        <v>198</v>
      </c>
      <c r="D1539" s="34" t="s">
        <v>107</v>
      </c>
      <c r="E1539" s="83">
        <v>4</v>
      </c>
      <c r="F1539" s="43">
        <f t="shared" si="284"/>
        <v>3.7037037037037033</v>
      </c>
      <c r="G1539" s="44">
        <f t="shared" si="278"/>
        <v>3</v>
      </c>
      <c r="H1539" s="44">
        <f t="shared" si="279"/>
        <v>0.70370370370370328</v>
      </c>
      <c r="I1539" cm="1">
        <f t="array" ref="I1539">INT(F1539)+IF(100-SUM(INT(F$1528:F$1543))&gt;=RANK(H1539,H$1528:H$1543)+COUNTIF(H$1528:H1539,H1539)-1,1,0)</f>
        <v>4</v>
      </c>
      <c r="J1539" t="b">
        <f t="shared" si="280"/>
        <v>1</v>
      </c>
      <c r="K1539" t="str">
        <f t="shared" si="281"/>
        <v>Trichoptera</v>
      </c>
      <c r="L1539">
        <f>_xlfn.XLOOKUP(D1539,BugList!C:C,BugList!N:N)</f>
        <v>3</v>
      </c>
      <c r="M1539">
        <f t="shared" si="282"/>
        <v>12</v>
      </c>
      <c r="N1539" t="b">
        <f>_xlfn.XLOOKUP(D1539,BugList!C:C,BugList!L:L)</f>
        <v>1</v>
      </c>
      <c r="O1539" t="b">
        <f t="shared" si="283"/>
        <v>1</v>
      </c>
      <c r="P1539" s="18" t="b">
        <f>SUMPRODUCT(COUNTIF(_xlfn.XLOOKUP(D1539,BugList!C:C,BugList!P:P), "*SC*"))&gt;0</f>
        <v>0</v>
      </c>
    </row>
    <row r="1540" spans="1:16">
      <c r="A1540" s="86" t="s">
        <v>2879</v>
      </c>
      <c r="B1540" s="83">
        <v>427</v>
      </c>
      <c r="C1540" s="34" t="s">
        <v>204</v>
      </c>
      <c r="D1540" s="34" t="s">
        <v>84</v>
      </c>
      <c r="E1540" s="83">
        <v>1</v>
      </c>
      <c r="F1540" s="43">
        <f t="shared" si="284"/>
        <v>0.92592592592592582</v>
      </c>
      <c r="G1540" s="44">
        <f t="shared" si="278"/>
        <v>0</v>
      </c>
      <c r="H1540" s="44">
        <f t="shared" si="279"/>
        <v>0.92592592592592582</v>
      </c>
      <c r="I1540" cm="1">
        <f t="array" ref="I1540">INT(F1540)+IF(100-SUM(INT(F$1528:F$1543))&gt;=RANK(H1540,H$1528:H$1543)+COUNTIF(H$1528:H1540,H1540)-1,1,0)</f>
        <v>1</v>
      </c>
      <c r="J1540" t="b">
        <f t="shared" si="280"/>
        <v>0</v>
      </c>
      <c r="K1540" t="str">
        <f t="shared" si="281"/>
        <v/>
      </c>
      <c r="L1540">
        <f>_xlfn.XLOOKUP(D1540,BugList!C:C,BugList!N:N)</f>
        <v>8</v>
      </c>
      <c r="M1540">
        <f t="shared" si="282"/>
        <v>8</v>
      </c>
      <c r="N1540" t="b">
        <f>_xlfn.XLOOKUP(D1540,BugList!C:C,BugList!L:L)</f>
        <v>0</v>
      </c>
      <c r="O1540" t="b">
        <f t="shared" si="283"/>
        <v>0</v>
      </c>
      <c r="P1540" s="18" t="b">
        <f>SUMPRODUCT(COUNTIF(_xlfn.XLOOKUP(D1540,BugList!C:C,BugList!P:P), "*SC*"))&gt;0</f>
        <v>0</v>
      </c>
    </row>
    <row r="1541" spans="1:16">
      <c r="A1541" s="86" t="s">
        <v>2879</v>
      </c>
      <c r="B1541" s="83">
        <v>427</v>
      </c>
      <c r="C1541" s="34" t="s">
        <v>201</v>
      </c>
      <c r="D1541" s="34" t="s">
        <v>2839</v>
      </c>
      <c r="E1541" s="83">
        <v>1</v>
      </c>
      <c r="F1541" s="43">
        <f t="shared" si="284"/>
        <v>0.92592592592592582</v>
      </c>
      <c r="G1541" s="44">
        <f t="shared" si="278"/>
        <v>0</v>
      </c>
      <c r="H1541" s="44">
        <f t="shared" si="279"/>
        <v>0.92592592592592582</v>
      </c>
      <c r="I1541" cm="1">
        <f t="array" ref="I1541">INT(F1541)+IF(100-SUM(INT(F$1528:F$1543))&gt;=RANK(H1541,H$1528:H$1543)+COUNTIF(H$1528:H1541,H1541)-1,1,0)</f>
        <v>1</v>
      </c>
      <c r="J1541" t="b">
        <f t="shared" si="280"/>
        <v>0</v>
      </c>
      <c r="K1541" t="str">
        <f t="shared" si="281"/>
        <v/>
      </c>
      <c r="L1541">
        <f>_xlfn.XLOOKUP(D1541,BugList!C:C,BugList!N:N)</f>
        <v>6</v>
      </c>
      <c r="M1541">
        <f t="shared" si="282"/>
        <v>6</v>
      </c>
      <c r="N1541" t="b">
        <f>_xlfn.XLOOKUP(D1541,BugList!C:C,BugList!L:L)</f>
        <v>0</v>
      </c>
      <c r="O1541" t="b">
        <f t="shared" si="283"/>
        <v>0</v>
      </c>
      <c r="P1541" s="18" t="b">
        <f>SUMPRODUCT(COUNTIF(_xlfn.XLOOKUP(D1541,BugList!C:C,BugList!P:P), "*SC*"))&gt;0</f>
        <v>0</v>
      </c>
    </row>
    <row r="1542" spans="1:16">
      <c r="A1542" s="86" t="s">
        <v>2879</v>
      </c>
      <c r="B1542" s="83">
        <v>427</v>
      </c>
      <c r="C1542" s="34" t="s">
        <v>2315</v>
      </c>
      <c r="D1542" s="34" t="s">
        <v>102</v>
      </c>
      <c r="E1542" s="83">
        <v>1</v>
      </c>
      <c r="F1542" s="43">
        <f t="shared" si="284"/>
        <v>0.92592592592592582</v>
      </c>
      <c r="G1542" s="44">
        <f t="shared" si="278"/>
        <v>0</v>
      </c>
      <c r="H1542" s="44">
        <f t="shared" si="279"/>
        <v>0.92592592592592582</v>
      </c>
      <c r="I1542" cm="1">
        <f t="array" ref="I1542">INT(F1542)+IF(100-SUM(INT(F$1528:F$1543))&gt;=RANK(H1542,H$1528:H$1543)+COUNTIF(H$1528:H1542,H1542)-1,1,0)</f>
        <v>1</v>
      </c>
      <c r="J1542" t="b">
        <f t="shared" si="280"/>
        <v>0</v>
      </c>
      <c r="K1542" t="str">
        <f t="shared" si="281"/>
        <v/>
      </c>
      <c r="L1542">
        <f>_xlfn.XLOOKUP(D1542,BugList!C:C,BugList!N:N)</f>
        <v>7</v>
      </c>
      <c r="M1542">
        <f t="shared" si="282"/>
        <v>7</v>
      </c>
      <c r="N1542" t="b">
        <f>_xlfn.XLOOKUP(D1542,BugList!C:C,BugList!L:L)</f>
        <v>0</v>
      </c>
      <c r="O1542" t="b">
        <f t="shared" si="283"/>
        <v>0</v>
      </c>
      <c r="P1542" s="18" t="b">
        <f>SUMPRODUCT(COUNTIF(_xlfn.XLOOKUP(D1542,BugList!C:C,BugList!P:P), "*SC*"))&gt;0</f>
        <v>1</v>
      </c>
    </row>
    <row r="1543" spans="1:16">
      <c r="A1543" s="86" t="s">
        <v>2879</v>
      </c>
      <c r="B1543" s="83">
        <v>427</v>
      </c>
      <c r="C1543" s="34" t="s">
        <v>94</v>
      </c>
      <c r="D1543" s="34" t="s">
        <v>94</v>
      </c>
      <c r="E1543" s="83">
        <v>18</v>
      </c>
      <c r="F1543" s="43">
        <f t="shared" si="284"/>
        <v>16.666666666666664</v>
      </c>
      <c r="G1543" s="44">
        <f t="shared" si="278"/>
        <v>16</v>
      </c>
      <c r="H1543" s="44">
        <f t="shared" si="279"/>
        <v>0.6666666666666643</v>
      </c>
      <c r="I1543" cm="1">
        <f t="array" ref="I1543">INT(F1543)+IF(100-SUM(INT(F$1528:F$1543))&gt;=RANK(H1543,H$1528:H$1543)+COUNTIF(H$1528:H1543,H1543)-1,1,0)</f>
        <v>16</v>
      </c>
      <c r="J1543" t="b">
        <f t="shared" si="280"/>
        <v>0</v>
      </c>
      <c r="K1543" t="str">
        <f t="shared" si="281"/>
        <v/>
      </c>
      <c r="L1543">
        <f>_xlfn.XLOOKUP(D1543,BugList!C:C,BugList!N:N)</f>
        <v>8</v>
      </c>
      <c r="M1543">
        <f t="shared" si="282"/>
        <v>128</v>
      </c>
      <c r="N1543" t="b">
        <f>_xlfn.XLOOKUP(D1543,BugList!C:C,BugList!L:L)</f>
        <v>0</v>
      </c>
      <c r="O1543" t="b">
        <f t="shared" si="283"/>
        <v>0</v>
      </c>
      <c r="P1543" s="18" t="b">
        <f>SUMPRODUCT(COUNTIF(_xlfn.XLOOKUP(D1543,BugList!C:C,BugList!P:P), "*SC*"))&gt;0</f>
        <v>0</v>
      </c>
    </row>
    <row r="1544" spans="1:16">
      <c r="A1544" s="86" t="s">
        <v>2880</v>
      </c>
      <c r="B1544" s="83">
        <v>447</v>
      </c>
      <c r="C1544" s="34" t="s">
        <v>200</v>
      </c>
      <c r="D1544" s="34" t="s">
        <v>98</v>
      </c>
      <c r="E1544" s="83">
        <v>2</v>
      </c>
      <c r="F1544" s="43">
        <f t="shared" si="284"/>
        <v>1.5748031496062991</v>
      </c>
      <c r="G1544" s="44">
        <f t="shared" si="278"/>
        <v>1</v>
      </c>
      <c r="H1544" s="44">
        <f t="shared" si="279"/>
        <v>0.57480314960629908</v>
      </c>
      <c r="I1544" cm="1">
        <f t="array" ref="I1544">INT(F1544)+IF(100-SUM(INT(F$1544:F$1556))&gt;=RANK(H1544,H$1544:H$1556)+COUNTIF(H$1544:H1544,H1544)-1,1,0)</f>
        <v>2</v>
      </c>
      <c r="J1544" t="b">
        <f t="shared" si="280"/>
        <v>0</v>
      </c>
      <c r="K1544" t="str">
        <f t="shared" si="281"/>
        <v/>
      </c>
      <c r="L1544">
        <f>_xlfn.XLOOKUP(D1544,BugList!C:C,BugList!N:N)</f>
        <v>4</v>
      </c>
      <c r="M1544">
        <f t="shared" si="282"/>
        <v>8</v>
      </c>
      <c r="N1544" t="b">
        <f>_xlfn.XLOOKUP(D1544,BugList!C:C,BugList!L:L)</f>
        <v>1</v>
      </c>
      <c r="O1544" t="b">
        <f t="shared" si="283"/>
        <v>0</v>
      </c>
      <c r="P1544" s="18" t="b">
        <f>SUMPRODUCT(COUNTIF(_xlfn.XLOOKUP(D1544,BugList!C:C,BugList!P:P), "*SC*"))&gt;0</f>
        <v>1</v>
      </c>
    </row>
    <row r="1545" spans="1:16">
      <c r="A1545" s="86" t="s">
        <v>2880</v>
      </c>
      <c r="B1545" s="83">
        <v>447</v>
      </c>
      <c r="C1545" s="34" t="s">
        <v>200</v>
      </c>
      <c r="D1545" s="34" t="s">
        <v>100</v>
      </c>
      <c r="E1545" s="83">
        <v>13</v>
      </c>
      <c r="F1545" s="43">
        <f t="shared" si="284"/>
        <v>10.236220472440944</v>
      </c>
      <c r="G1545" s="44">
        <f t="shared" si="278"/>
        <v>10</v>
      </c>
      <c r="H1545" s="44">
        <f t="shared" si="279"/>
        <v>0.23622047244094446</v>
      </c>
      <c r="I1545" cm="1">
        <f t="array" ref="I1545">INT(F1545)+IF(100-SUM(INT(F$1544:F$1556))&gt;=RANK(H1545,H$1544:H$1556)+COUNTIF(H$1544:H1545,H1545)-1,1,0)</f>
        <v>10</v>
      </c>
      <c r="J1545" t="b">
        <f t="shared" si="280"/>
        <v>0</v>
      </c>
      <c r="K1545" t="str">
        <f t="shared" si="281"/>
        <v/>
      </c>
      <c r="L1545">
        <f>_xlfn.XLOOKUP(D1545,BugList!C:C,BugList!N:N)</f>
        <v>4</v>
      </c>
      <c r="M1545">
        <f t="shared" si="282"/>
        <v>40</v>
      </c>
      <c r="N1545" t="b">
        <f>_xlfn.XLOOKUP(D1545,BugList!C:C,BugList!L:L)</f>
        <v>1</v>
      </c>
      <c r="O1545" t="b">
        <f t="shared" si="283"/>
        <v>0</v>
      </c>
      <c r="P1545" s="18" t="b">
        <f>SUMPRODUCT(COUNTIF(_xlfn.XLOOKUP(D1545,BugList!C:C,BugList!P:P), "*SC*"))&gt;0</f>
        <v>1</v>
      </c>
    </row>
    <row r="1546" spans="1:16">
      <c r="A1546" s="86" t="s">
        <v>2880</v>
      </c>
      <c r="B1546" s="83">
        <v>447</v>
      </c>
      <c r="C1546" s="34" t="s">
        <v>194</v>
      </c>
      <c r="D1546" s="34" t="s">
        <v>126</v>
      </c>
      <c r="E1546" s="83">
        <v>3</v>
      </c>
      <c r="F1546" s="43">
        <f t="shared" si="284"/>
        <v>2.3622047244094486</v>
      </c>
      <c r="G1546" s="44">
        <f t="shared" si="278"/>
        <v>2</v>
      </c>
      <c r="H1546" s="44">
        <f t="shared" si="279"/>
        <v>0.36220472440944862</v>
      </c>
      <c r="I1546" cm="1">
        <f t="array" ref="I1546">INT(F1546)+IF(100-SUM(INT(F$1544:F$1556))&gt;=RANK(H1546,H$1544:H$1556)+COUNTIF(H$1544:H1546,H1546)-1,1,0)</f>
        <v>2</v>
      </c>
      <c r="J1546" t="b">
        <f t="shared" si="280"/>
        <v>0</v>
      </c>
      <c r="K1546" t="str">
        <f t="shared" si="281"/>
        <v/>
      </c>
      <c r="L1546">
        <f>_xlfn.XLOOKUP(D1546,BugList!C:C,BugList!N:N)</f>
        <v>8</v>
      </c>
      <c r="M1546">
        <f t="shared" si="282"/>
        <v>16</v>
      </c>
      <c r="N1546" t="b">
        <f>_xlfn.XLOOKUP(D1546,BugList!C:C,BugList!L:L)</f>
        <v>1</v>
      </c>
      <c r="O1546" t="b">
        <f t="shared" si="283"/>
        <v>0</v>
      </c>
      <c r="P1546" s="18" t="b">
        <f>SUMPRODUCT(COUNTIF(_xlfn.XLOOKUP(D1546,BugList!C:C,BugList!P:P), "*SC*"))&gt;0</f>
        <v>0</v>
      </c>
    </row>
    <row r="1547" spans="1:16">
      <c r="A1547" s="86" t="s">
        <v>2880</v>
      </c>
      <c r="B1547" s="83">
        <v>447</v>
      </c>
      <c r="C1547" s="34" t="s">
        <v>194</v>
      </c>
      <c r="D1547" s="34" t="s">
        <v>108</v>
      </c>
      <c r="E1547" s="83">
        <v>1</v>
      </c>
      <c r="F1547" s="43">
        <f t="shared" si="284"/>
        <v>0.78740157480314954</v>
      </c>
      <c r="G1547" s="44">
        <f t="shared" si="278"/>
        <v>0</v>
      </c>
      <c r="H1547" s="44">
        <f t="shared" si="279"/>
        <v>0.78740157480314954</v>
      </c>
      <c r="I1547" cm="1">
        <f t="array" ref="I1547">INT(F1547)+IF(100-SUM(INT(F$1544:F$1556))&gt;=RANK(H1547,H$1544:H$1556)+COUNTIF(H$1544:H1547,H1547)-1,1,0)</f>
        <v>1</v>
      </c>
      <c r="J1547" t="b">
        <f t="shared" si="280"/>
        <v>0</v>
      </c>
      <c r="K1547" t="str">
        <f t="shared" si="281"/>
        <v/>
      </c>
      <c r="L1547">
        <f>_xlfn.XLOOKUP(D1547,BugList!C:C,BugList!N:N)</f>
        <v>3</v>
      </c>
      <c r="M1547">
        <f t="shared" si="282"/>
        <v>3</v>
      </c>
      <c r="N1547" t="b">
        <f>_xlfn.XLOOKUP(D1547,BugList!C:C,BugList!L:L)</f>
        <v>1</v>
      </c>
      <c r="O1547" t="b">
        <f t="shared" si="283"/>
        <v>0</v>
      </c>
      <c r="P1547" s="18" t="b">
        <f>SUMPRODUCT(COUNTIF(_xlfn.XLOOKUP(D1547,BugList!C:C,BugList!P:P), "*SC*"))&gt;0</f>
        <v>0</v>
      </c>
    </row>
    <row r="1548" spans="1:16">
      <c r="A1548" s="86" t="s">
        <v>2880</v>
      </c>
      <c r="B1548" s="83">
        <v>447</v>
      </c>
      <c r="C1548" s="34" t="s">
        <v>199</v>
      </c>
      <c r="D1548" s="34" t="s">
        <v>111</v>
      </c>
      <c r="E1548" s="83">
        <v>3</v>
      </c>
      <c r="F1548" s="43">
        <f t="shared" si="284"/>
        <v>2.3622047244094486</v>
      </c>
      <c r="G1548" s="44">
        <f t="shared" si="278"/>
        <v>2</v>
      </c>
      <c r="H1548" s="44">
        <f t="shared" si="279"/>
        <v>0.36220472440944862</v>
      </c>
      <c r="I1548" cm="1">
        <f t="array" ref="I1548">INT(F1548)+IF(100-SUM(INT(F$1544:F$1556))&gt;=RANK(H1548,H$1544:H$1556)+COUNTIF(H$1544:H1548,H1548)-1,1,0)</f>
        <v>2</v>
      </c>
      <c r="J1548" t="b">
        <f t="shared" si="280"/>
        <v>1</v>
      </c>
      <c r="K1548" t="str">
        <f t="shared" si="281"/>
        <v>Ephemeroptera</v>
      </c>
      <c r="L1548">
        <f>_xlfn.XLOOKUP(D1548,BugList!C:C,BugList!N:N)</f>
        <v>4</v>
      </c>
      <c r="M1548">
        <f t="shared" si="282"/>
        <v>8</v>
      </c>
      <c r="N1548" t="b">
        <f>_xlfn.XLOOKUP(D1548,BugList!C:C,BugList!L:L)</f>
        <v>1</v>
      </c>
      <c r="O1548" t="b">
        <f t="shared" si="283"/>
        <v>1</v>
      </c>
      <c r="P1548" s="18" t="b">
        <f>SUMPRODUCT(COUNTIF(_xlfn.XLOOKUP(D1548,BugList!C:C,BugList!P:P), "*SC*"))&gt;0</f>
        <v>0</v>
      </c>
    </row>
    <row r="1549" spans="1:16">
      <c r="A1549" s="86" t="s">
        <v>2880</v>
      </c>
      <c r="B1549" s="83">
        <v>447</v>
      </c>
      <c r="C1549" s="34" t="s">
        <v>195</v>
      </c>
      <c r="D1549" s="34" t="s">
        <v>113</v>
      </c>
      <c r="E1549" s="83">
        <v>8</v>
      </c>
      <c r="F1549" s="43">
        <f t="shared" si="284"/>
        <v>6.2992125984251963</v>
      </c>
      <c r="G1549" s="44">
        <f t="shared" si="278"/>
        <v>6</v>
      </c>
      <c r="H1549" s="44">
        <f t="shared" si="279"/>
        <v>0.29921259842519632</v>
      </c>
      <c r="I1549" cm="1">
        <f t="array" ref="I1549">INT(F1549)+IF(100-SUM(INT(F$1544:F$1556))&gt;=RANK(H1549,H$1544:H$1556)+COUNTIF(H$1544:H1549,H1549)-1,1,0)</f>
        <v>6</v>
      </c>
      <c r="J1549" t="b">
        <f t="shared" si="280"/>
        <v>0</v>
      </c>
      <c r="K1549" t="str">
        <f t="shared" si="281"/>
        <v/>
      </c>
      <c r="L1549">
        <f>_xlfn.XLOOKUP(D1549,BugList!C:C,BugList!N:N)</f>
        <v>1</v>
      </c>
      <c r="M1549">
        <f t="shared" si="282"/>
        <v>6</v>
      </c>
      <c r="N1549" t="b">
        <f>_xlfn.XLOOKUP(D1549,BugList!C:C,BugList!L:L)</f>
        <v>1</v>
      </c>
      <c r="O1549" t="b">
        <f t="shared" si="283"/>
        <v>0</v>
      </c>
      <c r="P1549" s="18" t="b">
        <f>SUMPRODUCT(COUNTIF(_xlfn.XLOOKUP(D1549,BugList!C:C,BugList!P:P), "*SC*"))&gt;0</f>
        <v>0</v>
      </c>
    </row>
    <row r="1550" spans="1:16">
      <c r="A1550" s="86" t="s">
        <v>2880</v>
      </c>
      <c r="B1550" s="83">
        <v>447</v>
      </c>
      <c r="C1550" s="34" t="s">
        <v>197</v>
      </c>
      <c r="D1550" s="34" t="s">
        <v>153</v>
      </c>
      <c r="E1550" s="83">
        <v>2</v>
      </c>
      <c r="F1550" s="43">
        <f t="shared" si="284"/>
        <v>1.5748031496062991</v>
      </c>
      <c r="G1550" s="44">
        <f t="shared" si="278"/>
        <v>1</v>
      </c>
      <c r="H1550" s="44">
        <f t="shared" si="279"/>
        <v>0.57480314960629908</v>
      </c>
      <c r="I1550" cm="1">
        <f t="array" ref="I1550">INT(F1550)+IF(100-SUM(INT(F$1544:F$1556))&gt;=RANK(H1550,H$1544:H$1556)+COUNTIF(H$1544:H1550,H1550)-1,1,0)</f>
        <v>2</v>
      </c>
      <c r="J1550" t="b">
        <f t="shared" si="280"/>
        <v>1</v>
      </c>
      <c r="K1550" t="str">
        <f t="shared" si="281"/>
        <v>Plecoptera</v>
      </c>
      <c r="L1550">
        <f>_xlfn.XLOOKUP(D1550,BugList!C:C,BugList!N:N)</f>
        <v>2</v>
      </c>
      <c r="M1550">
        <f t="shared" si="282"/>
        <v>4</v>
      </c>
      <c r="N1550" t="b">
        <f>_xlfn.XLOOKUP(D1550,BugList!C:C,BugList!L:L)</f>
        <v>1</v>
      </c>
      <c r="O1550" t="b">
        <f t="shared" si="283"/>
        <v>1</v>
      </c>
      <c r="P1550" s="18" t="b">
        <f>SUMPRODUCT(COUNTIF(_xlfn.XLOOKUP(D1550,BugList!C:C,BugList!P:P), "*SC*"))&gt;0</f>
        <v>0</v>
      </c>
    </row>
    <row r="1551" spans="1:16">
      <c r="A1551" s="86" t="s">
        <v>2880</v>
      </c>
      <c r="B1551" s="83">
        <v>447</v>
      </c>
      <c r="C1551" s="34" t="s">
        <v>198</v>
      </c>
      <c r="D1551" s="34" t="s">
        <v>89</v>
      </c>
      <c r="E1551" s="83">
        <v>61</v>
      </c>
      <c r="F1551" s="43">
        <f t="shared" si="284"/>
        <v>48.031496062992126</v>
      </c>
      <c r="G1551" s="44">
        <f t="shared" si="278"/>
        <v>48</v>
      </c>
      <c r="H1551" s="44">
        <f t="shared" si="279"/>
        <v>3.1496062992125928E-2</v>
      </c>
      <c r="I1551" cm="1">
        <f t="array" ref="I1551">INT(F1551)+IF(100-SUM(INT(F$1544:F$1556))&gt;=RANK(H1551,H$1544:H$1556)+COUNTIF(H$1544:H1551,H1551)-1,1,0)</f>
        <v>48</v>
      </c>
      <c r="J1551" t="b">
        <f t="shared" si="280"/>
        <v>1</v>
      </c>
      <c r="K1551" t="str">
        <f t="shared" si="281"/>
        <v>Trichoptera</v>
      </c>
      <c r="L1551">
        <f>_xlfn.XLOOKUP(D1551,BugList!C:C,BugList!N:N)</f>
        <v>4</v>
      </c>
      <c r="M1551">
        <f t="shared" si="282"/>
        <v>192</v>
      </c>
      <c r="N1551" t="b">
        <f>_xlfn.XLOOKUP(D1551,BugList!C:C,BugList!L:L)</f>
        <v>1</v>
      </c>
      <c r="O1551" t="b">
        <f t="shared" si="283"/>
        <v>0</v>
      </c>
      <c r="P1551" s="18" t="b">
        <f>SUMPRODUCT(COUNTIF(_xlfn.XLOOKUP(D1551,BugList!C:C,BugList!P:P), "*SC*"))&gt;0</f>
        <v>0</v>
      </c>
    </row>
    <row r="1552" spans="1:16">
      <c r="A1552" s="86" t="s">
        <v>2880</v>
      </c>
      <c r="B1552" s="83">
        <v>447</v>
      </c>
      <c r="C1552" s="34" t="s">
        <v>198</v>
      </c>
      <c r="D1552" s="34" t="s">
        <v>107</v>
      </c>
      <c r="E1552" s="83">
        <v>19</v>
      </c>
      <c r="F1552" s="43">
        <f t="shared" si="284"/>
        <v>14.960629921259844</v>
      </c>
      <c r="G1552" s="44">
        <f t="shared" si="278"/>
        <v>14</v>
      </c>
      <c r="H1552" s="44">
        <f t="shared" si="279"/>
        <v>0.96062992125984437</v>
      </c>
      <c r="I1552" cm="1">
        <f t="array" ref="I1552">INT(F1552)+IF(100-SUM(INT(F$1544:F$1556))&gt;=RANK(H1552,H$1544:H$1556)+COUNTIF(H$1544:H1552,H1552)-1,1,0)</f>
        <v>15</v>
      </c>
      <c r="J1552" t="b">
        <f t="shared" si="280"/>
        <v>1</v>
      </c>
      <c r="K1552" t="str">
        <f t="shared" si="281"/>
        <v>Trichoptera</v>
      </c>
      <c r="L1552">
        <f>_xlfn.XLOOKUP(D1552,BugList!C:C,BugList!N:N)</f>
        <v>3</v>
      </c>
      <c r="M1552">
        <f t="shared" si="282"/>
        <v>45</v>
      </c>
      <c r="N1552" t="b">
        <f>_xlfn.XLOOKUP(D1552,BugList!C:C,BugList!L:L)</f>
        <v>1</v>
      </c>
      <c r="O1552" t="b">
        <f t="shared" si="283"/>
        <v>1</v>
      </c>
      <c r="P1552" s="18" t="b">
        <f>SUMPRODUCT(COUNTIF(_xlfn.XLOOKUP(D1552,BugList!C:C,BugList!P:P), "*SC*"))&gt;0</f>
        <v>0</v>
      </c>
    </row>
    <row r="1553" spans="1:16">
      <c r="A1553" s="86" t="s">
        <v>2880</v>
      </c>
      <c r="B1553" s="83">
        <v>447</v>
      </c>
      <c r="C1553" s="34" t="s">
        <v>201</v>
      </c>
      <c r="D1553" s="34" t="s">
        <v>2839</v>
      </c>
      <c r="E1553" s="83">
        <v>2</v>
      </c>
      <c r="F1553" s="43">
        <f t="shared" si="284"/>
        <v>1.5748031496062991</v>
      </c>
      <c r="G1553" s="44">
        <f t="shared" si="278"/>
        <v>1</v>
      </c>
      <c r="H1553" s="44">
        <f t="shared" si="279"/>
        <v>0.57480314960629908</v>
      </c>
      <c r="I1553" cm="1">
        <f t="array" ref="I1553">INT(F1553)+IF(100-SUM(INT(F$1544:F$1556))&gt;=RANK(H1553,H$1544:H$1556)+COUNTIF(H$1544:H1553,H1553)-1,1,0)</f>
        <v>2</v>
      </c>
      <c r="J1553" t="b">
        <f t="shared" si="280"/>
        <v>0</v>
      </c>
      <c r="K1553" t="str">
        <f t="shared" si="281"/>
        <v/>
      </c>
      <c r="L1553">
        <f>_xlfn.XLOOKUP(D1553,BugList!C:C,BugList!N:N)</f>
        <v>6</v>
      </c>
      <c r="M1553">
        <f t="shared" si="282"/>
        <v>12</v>
      </c>
      <c r="N1553" t="b">
        <f>_xlfn.XLOOKUP(D1553,BugList!C:C,BugList!L:L)</f>
        <v>0</v>
      </c>
      <c r="O1553" t="b">
        <f t="shared" si="283"/>
        <v>0</v>
      </c>
      <c r="P1553" s="18" t="b">
        <f>SUMPRODUCT(COUNTIF(_xlfn.XLOOKUP(D1553,BugList!C:C,BugList!P:P), "*SC*"))&gt;0</f>
        <v>0</v>
      </c>
    </row>
    <row r="1554" spans="1:16">
      <c r="A1554" s="86" t="s">
        <v>2880</v>
      </c>
      <c r="B1554" s="83">
        <v>447</v>
      </c>
      <c r="C1554" s="34" t="s">
        <v>201</v>
      </c>
      <c r="D1554" s="34" t="s">
        <v>85</v>
      </c>
      <c r="E1554" s="83">
        <v>2</v>
      </c>
      <c r="F1554" s="43">
        <f t="shared" si="284"/>
        <v>1.5748031496062991</v>
      </c>
      <c r="G1554" s="44">
        <f t="shared" ref="G1554:G1617" si="285">INT(F1554)</f>
        <v>1</v>
      </c>
      <c r="H1554" s="44">
        <f t="shared" ref="H1554:H1617" si="286">F1554-G1554</f>
        <v>0.57480314960629908</v>
      </c>
      <c r="I1554" cm="1">
        <f t="array" ref="I1554">INT(F1554)+IF(100-SUM(INT(F$1544:F$1556))&gt;=RANK(H1554,H$1544:H$1556)+COUNTIF(H$1544:H1554,H1554)-1,1,0)</f>
        <v>2</v>
      </c>
      <c r="J1554" t="b">
        <f t="shared" ref="J1554:J1617" si="287">IF(OR(C1554="Ephemeroptera", C1554 ="Plecoptera", C1554= "Trichoptera"), TRUE, FALSE)</f>
        <v>0</v>
      </c>
      <c r="K1554" t="str">
        <f t="shared" ref="K1554:K1617" si="288">IF(J1554=TRUE,C1554,"")</f>
        <v/>
      </c>
      <c r="L1554">
        <f>_xlfn.XLOOKUP(D1554,BugList!C:C,BugList!N:N)</f>
        <v>4</v>
      </c>
      <c r="M1554">
        <f t="shared" ref="M1554:M1617" si="289">L1554*I1554</f>
        <v>8</v>
      </c>
      <c r="N1554" t="b">
        <f>_xlfn.XLOOKUP(D1554,BugList!C:C,BugList!L:L)</f>
        <v>0</v>
      </c>
      <c r="O1554" t="b">
        <f t="shared" ref="O1554:O1617" si="290">IF(J1554=TRUE,IF(D1554="Hydropsychidae", FALSE, TRUE), FALSE)</f>
        <v>0</v>
      </c>
      <c r="P1554" s="18" t="b">
        <f>SUMPRODUCT(COUNTIF(_xlfn.XLOOKUP(D1554,BugList!C:C,BugList!P:P), "*SC*"))&gt;0</f>
        <v>0</v>
      </c>
    </row>
    <row r="1555" spans="1:16">
      <c r="A1555" s="86" t="s">
        <v>2880</v>
      </c>
      <c r="B1555" s="83">
        <v>447</v>
      </c>
      <c r="C1555" s="34" t="s">
        <v>2315</v>
      </c>
      <c r="D1555" s="34" t="s">
        <v>102</v>
      </c>
      <c r="E1555" s="83">
        <v>9</v>
      </c>
      <c r="F1555" s="43">
        <f t="shared" si="284"/>
        <v>7.0866141732283463</v>
      </c>
      <c r="G1555" s="44">
        <f t="shared" si="285"/>
        <v>7</v>
      </c>
      <c r="H1555" s="44">
        <f t="shared" si="286"/>
        <v>8.6614173228346303E-2</v>
      </c>
      <c r="I1555" cm="1">
        <f t="array" ref="I1555">INT(F1555)+IF(100-SUM(INT(F$1544:F$1556))&gt;=RANK(H1555,H$1544:H$1556)+COUNTIF(H$1544:H1555,H1555)-1,1,0)</f>
        <v>7</v>
      </c>
      <c r="J1555" t="b">
        <f t="shared" si="287"/>
        <v>0</v>
      </c>
      <c r="K1555" t="str">
        <f t="shared" si="288"/>
        <v/>
      </c>
      <c r="L1555">
        <f>_xlfn.XLOOKUP(D1555,BugList!C:C,BugList!N:N)</f>
        <v>7</v>
      </c>
      <c r="M1555">
        <f t="shared" si="289"/>
        <v>49</v>
      </c>
      <c r="N1555" t="b">
        <f>_xlfn.XLOOKUP(D1555,BugList!C:C,BugList!L:L)</f>
        <v>0</v>
      </c>
      <c r="O1555" t="b">
        <f t="shared" si="290"/>
        <v>0</v>
      </c>
      <c r="P1555" s="18" t="b">
        <f>SUMPRODUCT(COUNTIF(_xlfn.XLOOKUP(D1555,BugList!C:C,BugList!P:P), "*SC*"))&gt;0</f>
        <v>1</v>
      </c>
    </row>
    <row r="1556" spans="1:16">
      <c r="A1556" s="86" t="s">
        <v>2880</v>
      </c>
      <c r="B1556" s="83">
        <v>447</v>
      </c>
      <c r="C1556" s="34" t="s">
        <v>205</v>
      </c>
      <c r="D1556" s="34" t="s">
        <v>206</v>
      </c>
      <c r="E1556" s="83">
        <v>2</v>
      </c>
      <c r="F1556" s="43">
        <f t="shared" si="284"/>
        <v>1.5748031496062991</v>
      </c>
      <c r="G1556" s="44">
        <f t="shared" si="285"/>
        <v>1</v>
      </c>
      <c r="H1556" s="44">
        <f t="shared" si="286"/>
        <v>0.57480314960629908</v>
      </c>
      <c r="I1556" cm="1">
        <f t="array" ref="I1556">INT(F1556)+IF(100-SUM(INT(F$1544:F$1556))&gt;=RANK(H1556,H$1544:H$1556)+COUNTIF(H$1544:H1556,H1556)-1,1,0)</f>
        <v>1</v>
      </c>
      <c r="J1556" t="b">
        <f t="shared" si="287"/>
        <v>0</v>
      </c>
      <c r="K1556" t="str">
        <f t="shared" si="288"/>
        <v/>
      </c>
      <c r="L1556" s="71">
        <v>8</v>
      </c>
      <c r="M1556">
        <f t="shared" si="289"/>
        <v>8</v>
      </c>
      <c r="N1556" s="71" t="b">
        <v>0</v>
      </c>
      <c r="O1556" t="b">
        <f t="shared" si="290"/>
        <v>0</v>
      </c>
      <c r="P1556" s="72" t="b">
        <v>0</v>
      </c>
    </row>
    <row r="1557" spans="1:16">
      <c r="A1557" s="86" t="s">
        <v>2881</v>
      </c>
      <c r="B1557" s="83">
        <v>457</v>
      </c>
      <c r="C1557" s="34" t="s">
        <v>200</v>
      </c>
      <c r="D1557" s="34" t="s">
        <v>98</v>
      </c>
      <c r="E1557" s="83">
        <v>2</v>
      </c>
      <c r="F1557" s="43">
        <f t="shared" si="284"/>
        <v>1.7857142857142856</v>
      </c>
      <c r="G1557" s="44">
        <f t="shared" si="285"/>
        <v>1</v>
      </c>
      <c r="H1557" s="44">
        <f t="shared" si="286"/>
        <v>0.78571428571428559</v>
      </c>
      <c r="I1557" cm="1">
        <f t="array" ref="I1557">INT(F1557)+IF(100-SUM(INT(F$1557:F$1569))&gt;=RANK(H1557,H$1557:H$1569)+COUNTIF(H$1557:H1557,H1557)-1,1,0)</f>
        <v>2</v>
      </c>
      <c r="J1557" t="b">
        <f t="shared" si="287"/>
        <v>0</v>
      </c>
      <c r="K1557" t="str">
        <f t="shared" si="288"/>
        <v/>
      </c>
      <c r="L1557">
        <f>_xlfn.XLOOKUP(D1557,BugList!C:C,BugList!N:N)</f>
        <v>4</v>
      </c>
      <c r="M1557">
        <f t="shared" si="289"/>
        <v>8</v>
      </c>
      <c r="N1557" t="b">
        <f>_xlfn.XLOOKUP(D1557,BugList!C:C,BugList!L:L)</f>
        <v>1</v>
      </c>
      <c r="O1557" t="b">
        <f t="shared" si="290"/>
        <v>0</v>
      </c>
      <c r="P1557" s="18" t="b">
        <f>SUMPRODUCT(COUNTIF(_xlfn.XLOOKUP(D1557,BugList!C:C,BugList!P:P), "*SC*"))&gt;0</f>
        <v>1</v>
      </c>
    </row>
    <row r="1558" spans="1:16">
      <c r="A1558" s="86" t="s">
        <v>2881</v>
      </c>
      <c r="B1558" s="83">
        <v>457</v>
      </c>
      <c r="C1558" s="34" t="s">
        <v>200</v>
      </c>
      <c r="D1558" s="34" t="s">
        <v>100</v>
      </c>
      <c r="E1558" s="83">
        <v>19</v>
      </c>
      <c r="F1558" s="43">
        <f t="shared" si="284"/>
        <v>16.964285714285715</v>
      </c>
      <c r="G1558" s="44">
        <f t="shared" si="285"/>
        <v>16</v>
      </c>
      <c r="H1558" s="44">
        <f t="shared" si="286"/>
        <v>0.9642857142857153</v>
      </c>
      <c r="I1558" cm="1">
        <f t="array" ref="I1558">INT(F1558)+IF(100-SUM(INT(F$1557:F$1569))&gt;=RANK(H1558,H$1557:H$1569)+COUNTIF(H$1557:H1558,H1558)-1,1,0)</f>
        <v>17</v>
      </c>
      <c r="J1558" t="b">
        <f t="shared" si="287"/>
        <v>0</v>
      </c>
      <c r="K1558" t="str">
        <f t="shared" si="288"/>
        <v/>
      </c>
      <c r="L1558">
        <f>_xlfn.XLOOKUP(D1558,BugList!C:C,BugList!N:N)</f>
        <v>4</v>
      </c>
      <c r="M1558">
        <f t="shared" si="289"/>
        <v>68</v>
      </c>
      <c r="N1558" t="b">
        <f>_xlfn.XLOOKUP(D1558,BugList!C:C,BugList!L:L)</f>
        <v>1</v>
      </c>
      <c r="O1558" t="b">
        <f t="shared" si="290"/>
        <v>0</v>
      </c>
      <c r="P1558" s="18" t="b">
        <f>SUMPRODUCT(COUNTIF(_xlfn.XLOOKUP(D1558,BugList!C:C,BugList!P:P), "*SC*"))&gt;0</f>
        <v>1</v>
      </c>
    </row>
    <row r="1559" spans="1:16">
      <c r="A1559" s="86" t="s">
        <v>2881</v>
      </c>
      <c r="B1559" s="83">
        <v>457</v>
      </c>
      <c r="C1559" s="34" t="s">
        <v>194</v>
      </c>
      <c r="D1559" s="34" t="s">
        <v>90</v>
      </c>
      <c r="E1559" s="83">
        <v>3</v>
      </c>
      <c r="F1559" s="43">
        <f t="shared" si="284"/>
        <v>2.6785714285714284</v>
      </c>
      <c r="G1559" s="44">
        <f t="shared" si="285"/>
        <v>2</v>
      </c>
      <c r="H1559" s="44">
        <f t="shared" si="286"/>
        <v>0.67857142857142838</v>
      </c>
      <c r="I1559" cm="1">
        <f t="array" ref="I1559">INT(F1559)+IF(100-SUM(INT(F$1557:F$1569))&gt;=RANK(H1559,H$1557:H$1569)+COUNTIF(H$1557:H1559,H1559)-1,1,0)</f>
        <v>3</v>
      </c>
      <c r="J1559" t="b">
        <f t="shared" si="287"/>
        <v>0</v>
      </c>
      <c r="K1559" t="str">
        <f t="shared" si="288"/>
        <v/>
      </c>
      <c r="L1559">
        <f>_xlfn.XLOOKUP(D1559,BugList!C:C,BugList!N:N)</f>
        <v>6</v>
      </c>
      <c r="M1559">
        <f t="shared" si="289"/>
        <v>18</v>
      </c>
      <c r="N1559" t="b">
        <f>_xlfn.XLOOKUP(D1559,BugList!C:C,BugList!L:L)</f>
        <v>1</v>
      </c>
      <c r="O1559" t="b">
        <f t="shared" si="290"/>
        <v>0</v>
      </c>
      <c r="P1559" s="18" t="b">
        <f>SUMPRODUCT(COUNTIF(_xlfn.XLOOKUP(D1559,BugList!C:C,BugList!P:P), "*SC*"))&gt;0</f>
        <v>0</v>
      </c>
    </row>
    <row r="1560" spans="1:16">
      <c r="A1560" s="86" t="s">
        <v>2881</v>
      </c>
      <c r="B1560" s="83">
        <v>457</v>
      </c>
      <c r="C1560" s="34" t="s">
        <v>194</v>
      </c>
      <c r="D1560" s="34" t="s">
        <v>101</v>
      </c>
      <c r="E1560" s="83">
        <v>3</v>
      </c>
      <c r="F1560" s="43">
        <f t="shared" si="284"/>
        <v>2.6785714285714284</v>
      </c>
      <c r="G1560" s="44">
        <f t="shared" si="285"/>
        <v>2</v>
      </c>
      <c r="H1560" s="44">
        <f t="shared" si="286"/>
        <v>0.67857142857142838</v>
      </c>
      <c r="I1560" cm="1">
        <f t="array" ref="I1560">INT(F1560)+IF(100-SUM(INT(F$1557:F$1569))&gt;=RANK(H1560,H$1557:H$1569)+COUNTIF(H$1557:H1560,H1560)-1,1,0)</f>
        <v>3</v>
      </c>
      <c r="J1560" t="b">
        <f t="shared" si="287"/>
        <v>0</v>
      </c>
      <c r="K1560" t="str">
        <f t="shared" si="288"/>
        <v/>
      </c>
      <c r="L1560">
        <f>_xlfn.XLOOKUP(D1560,BugList!C:C,BugList!N:N)</f>
        <v>6</v>
      </c>
      <c r="M1560">
        <f t="shared" si="289"/>
        <v>18</v>
      </c>
      <c r="N1560" t="b">
        <f>_xlfn.XLOOKUP(D1560,BugList!C:C,BugList!L:L)</f>
        <v>1</v>
      </c>
      <c r="O1560" t="b">
        <f t="shared" si="290"/>
        <v>0</v>
      </c>
      <c r="P1560" s="18" t="b">
        <f>SUMPRODUCT(COUNTIF(_xlfn.XLOOKUP(D1560,BugList!C:C,BugList!P:P), "*SC*"))&gt;0</f>
        <v>0</v>
      </c>
    </row>
    <row r="1561" spans="1:16">
      <c r="A1561" s="86" t="s">
        <v>2881</v>
      </c>
      <c r="B1561" s="83">
        <v>457</v>
      </c>
      <c r="C1561" s="34" t="s">
        <v>194</v>
      </c>
      <c r="D1561" s="34" t="s">
        <v>108</v>
      </c>
      <c r="E1561" s="83">
        <v>1</v>
      </c>
      <c r="F1561" s="43">
        <f t="shared" si="284"/>
        <v>0.89285714285714279</v>
      </c>
      <c r="G1561" s="44">
        <f t="shared" si="285"/>
        <v>0</v>
      </c>
      <c r="H1561" s="44">
        <f t="shared" si="286"/>
        <v>0.89285714285714279</v>
      </c>
      <c r="I1561" cm="1">
        <f t="array" ref="I1561">INT(F1561)+IF(100-SUM(INT(F$1557:F$1569))&gt;=RANK(H1561,H$1557:H$1569)+COUNTIF(H$1557:H1561,H1561)-1,1,0)</f>
        <v>1</v>
      </c>
      <c r="J1561" t="b">
        <f t="shared" si="287"/>
        <v>0</v>
      </c>
      <c r="K1561" t="str">
        <f t="shared" si="288"/>
        <v/>
      </c>
      <c r="L1561">
        <f>_xlfn.XLOOKUP(D1561,BugList!C:C,BugList!N:N)</f>
        <v>3</v>
      </c>
      <c r="M1561">
        <f t="shared" si="289"/>
        <v>3</v>
      </c>
      <c r="N1561" t="b">
        <f>_xlfn.XLOOKUP(D1561,BugList!C:C,BugList!L:L)</f>
        <v>1</v>
      </c>
      <c r="O1561" t="b">
        <f t="shared" si="290"/>
        <v>0</v>
      </c>
      <c r="P1561" s="18" t="b">
        <f>SUMPRODUCT(COUNTIF(_xlfn.XLOOKUP(D1561,BugList!C:C,BugList!P:P), "*SC*"))&gt;0</f>
        <v>0</v>
      </c>
    </row>
    <row r="1562" spans="1:16">
      <c r="A1562" s="86" t="s">
        <v>2881</v>
      </c>
      <c r="B1562" s="83">
        <v>457</v>
      </c>
      <c r="C1562" s="34" t="s">
        <v>199</v>
      </c>
      <c r="D1562" s="34" t="s">
        <v>96</v>
      </c>
      <c r="E1562" s="83">
        <v>1</v>
      </c>
      <c r="F1562" s="43">
        <f t="shared" si="284"/>
        <v>0.89285714285714279</v>
      </c>
      <c r="G1562" s="44">
        <f t="shared" si="285"/>
        <v>0</v>
      </c>
      <c r="H1562" s="44">
        <f t="shared" si="286"/>
        <v>0.89285714285714279</v>
      </c>
      <c r="I1562" cm="1">
        <f t="array" ref="I1562">INT(F1562)+IF(100-SUM(INT(F$1557:F$1569))&gt;=RANK(H1562,H$1557:H$1569)+COUNTIF(H$1557:H1562,H1562)-1,1,0)</f>
        <v>1</v>
      </c>
      <c r="J1562" t="b">
        <f t="shared" si="287"/>
        <v>1</v>
      </c>
      <c r="K1562" t="str">
        <f t="shared" si="288"/>
        <v>Ephemeroptera</v>
      </c>
      <c r="L1562">
        <f>_xlfn.XLOOKUP(D1562,BugList!C:C,BugList!N:N)</f>
        <v>4</v>
      </c>
      <c r="M1562">
        <f t="shared" si="289"/>
        <v>4</v>
      </c>
      <c r="N1562" t="b">
        <f>_xlfn.XLOOKUP(D1562,BugList!C:C,BugList!L:L)</f>
        <v>1</v>
      </c>
      <c r="O1562" t="b">
        <f t="shared" si="290"/>
        <v>1</v>
      </c>
      <c r="P1562" s="18" t="b">
        <f>SUMPRODUCT(COUNTIF(_xlfn.XLOOKUP(D1562,BugList!C:C,BugList!P:P), "*SC*"))&gt;0</f>
        <v>1</v>
      </c>
    </row>
    <row r="1563" spans="1:16">
      <c r="A1563" s="86" t="s">
        <v>2881</v>
      </c>
      <c r="B1563" s="83">
        <v>457</v>
      </c>
      <c r="C1563" s="34" t="s">
        <v>199</v>
      </c>
      <c r="D1563" s="34" t="s">
        <v>969</v>
      </c>
      <c r="E1563" s="83">
        <v>3</v>
      </c>
      <c r="F1563" s="43">
        <f t="shared" si="284"/>
        <v>2.6785714285714284</v>
      </c>
      <c r="G1563" s="44">
        <f t="shared" si="285"/>
        <v>2</v>
      </c>
      <c r="H1563" s="44">
        <f t="shared" si="286"/>
        <v>0.67857142857142838</v>
      </c>
      <c r="I1563" cm="1">
        <f t="array" ref="I1563">INT(F1563)+IF(100-SUM(INT(F$1557:F$1569))&gt;=RANK(H1563,H$1557:H$1569)+COUNTIF(H$1557:H1563,H1563)-1,1,0)</f>
        <v>2</v>
      </c>
      <c r="J1563" t="b">
        <f t="shared" si="287"/>
        <v>1</v>
      </c>
      <c r="K1563" t="str">
        <f t="shared" si="288"/>
        <v>Ephemeroptera</v>
      </c>
      <c r="L1563">
        <f>_xlfn.XLOOKUP(D1563,BugList!C:C,BugList!N:N)</f>
        <v>7</v>
      </c>
      <c r="M1563">
        <f t="shared" si="289"/>
        <v>14</v>
      </c>
      <c r="N1563" t="b">
        <f>_xlfn.XLOOKUP(D1563,BugList!C:C,BugList!L:L)</f>
        <v>1</v>
      </c>
      <c r="O1563" t="b">
        <f t="shared" si="290"/>
        <v>1</v>
      </c>
      <c r="P1563" s="18" t="b">
        <f>SUMPRODUCT(COUNTIF(_xlfn.XLOOKUP(D1563,BugList!C:C,BugList!P:P), "*SC*"))&gt;0</f>
        <v>0</v>
      </c>
    </row>
    <row r="1564" spans="1:16">
      <c r="A1564" s="86" t="s">
        <v>2881</v>
      </c>
      <c r="B1564" s="83">
        <v>457</v>
      </c>
      <c r="C1564" s="34" t="s">
        <v>195</v>
      </c>
      <c r="D1564" s="34" t="s">
        <v>97</v>
      </c>
      <c r="E1564" s="83">
        <v>1</v>
      </c>
      <c r="F1564" s="43">
        <f t="shared" si="284"/>
        <v>0.89285714285714279</v>
      </c>
      <c r="G1564" s="44">
        <f t="shared" si="285"/>
        <v>0</v>
      </c>
      <c r="H1564" s="44">
        <f t="shared" si="286"/>
        <v>0.89285714285714279</v>
      </c>
      <c r="I1564" cm="1">
        <f t="array" ref="I1564">INT(F1564)+IF(100-SUM(INT(F$1557:F$1569))&gt;=RANK(H1564,H$1557:H$1569)+COUNTIF(H$1557:H1564,H1564)-1,1,0)</f>
        <v>1</v>
      </c>
      <c r="J1564" t="b">
        <f t="shared" si="287"/>
        <v>0</v>
      </c>
      <c r="K1564" t="str">
        <f t="shared" si="288"/>
        <v/>
      </c>
      <c r="L1564">
        <f>_xlfn.XLOOKUP(D1564,BugList!C:C,BugList!N:N)</f>
        <v>9</v>
      </c>
      <c r="M1564">
        <f t="shared" si="289"/>
        <v>9</v>
      </c>
      <c r="N1564" t="b">
        <f>_xlfn.XLOOKUP(D1564,BugList!C:C,BugList!L:L)</f>
        <v>1</v>
      </c>
      <c r="O1564" t="b">
        <f t="shared" si="290"/>
        <v>0</v>
      </c>
      <c r="P1564" s="18" t="b">
        <f>SUMPRODUCT(COUNTIF(_xlfn.XLOOKUP(D1564,BugList!C:C,BugList!P:P), "*SC*"))&gt;0</f>
        <v>0</v>
      </c>
    </row>
    <row r="1565" spans="1:16">
      <c r="A1565" s="86" t="s">
        <v>2881</v>
      </c>
      <c r="B1565" s="83">
        <v>457</v>
      </c>
      <c r="C1565" s="34" t="s">
        <v>197</v>
      </c>
      <c r="D1565" s="34" t="s">
        <v>105</v>
      </c>
      <c r="E1565" s="83">
        <v>12</v>
      </c>
      <c r="F1565" s="43">
        <f t="shared" si="284"/>
        <v>10.714285714285714</v>
      </c>
      <c r="G1565" s="44">
        <f t="shared" si="285"/>
        <v>10</v>
      </c>
      <c r="H1565" s="44">
        <f t="shared" si="286"/>
        <v>0.71428571428571352</v>
      </c>
      <c r="I1565" cm="1">
        <f t="array" ref="I1565">INT(F1565)+IF(100-SUM(INT(F$1557:F$1569))&gt;=RANK(H1565,H$1557:H$1569)+COUNTIF(H$1557:H1565,H1565)-1,1,0)</f>
        <v>11</v>
      </c>
      <c r="J1565" t="b">
        <f t="shared" si="287"/>
        <v>1</v>
      </c>
      <c r="K1565" t="str">
        <f t="shared" si="288"/>
        <v>Plecoptera</v>
      </c>
      <c r="L1565">
        <f>_xlfn.XLOOKUP(D1565,BugList!C:C,BugList!N:N)</f>
        <v>1</v>
      </c>
      <c r="M1565">
        <f t="shared" si="289"/>
        <v>11</v>
      </c>
      <c r="N1565" t="b">
        <f>_xlfn.XLOOKUP(D1565,BugList!C:C,BugList!L:L)</f>
        <v>1</v>
      </c>
      <c r="O1565" t="b">
        <f t="shared" si="290"/>
        <v>1</v>
      </c>
      <c r="P1565" s="18" t="b">
        <f>SUMPRODUCT(COUNTIF(_xlfn.XLOOKUP(D1565,BugList!C:C,BugList!P:P), "*SC*"))&gt;0</f>
        <v>0</v>
      </c>
    </row>
    <row r="1566" spans="1:16">
      <c r="A1566" s="86" t="s">
        <v>2881</v>
      </c>
      <c r="B1566" s="83">
        <v>457</v>
      </c>
      <c r="C1566" s="34" t="s">
        <v>198</v>
      </c>
      <c r="D1566" s="34" t="s">
        <v>89</v>
      </c>
      <c r="E1566" s="83">
        <v>32</v>
      </c>
      <c r="F1566" s="43">
        <f t="shared" si="284"/>
        <v>28.571428571428569</v>
      </c>
      <c r="G1566" s="44">
        <f t="shared" si="285"/>
        <v>28</v>
      </c>
      <c r="H1566" s="44">
        <f t="shared" si="286"/>
        <v>0.5714285714285694</v>
      </c>
      <c r="I1566" cm="1">
        <f t="array" ref="I1566">INT(F1566)+IF(100-SUM(INT(F$1557:F$1569))&gt;=RANK(H1566,H$1557:H$1569)+COUNTIF(H$1557:H1566,H1566)-1,1,0)</f>
        <v>28</v>
      </c>
      <c r="J1566" t="b">
        <f t="shared" si="287"/>
        <v>1</v>
      </c>
      <c r="K1566" t="str">
        <f t="shared" si="288"/>
        <v>Trichoptera</v>
      </c>
      <c r="L1566">
        <f>_xlfn.XLOOKUP(D1566,BugList!C:C,BugList!N:N)</f>
        <v>4</v>
      </c>
      <c r="M1566">
        <f t="shared" si="289"/>
        <v>112</v>
      </c>
      <c r="N1566" t="b">
        <f>_xlfn.XLOOKUP(D1566,BugList!C:C,BugList!L:L)</f>
        <v>1</v>
      </c>
      <c r="O1566" t="b">
        <f t="shared" si="290"/>
        <v>0</v>
      </c>
      <c r="P1566" s="18" t="b">
        <f>SUMPRODUCT(COUNTIF(_xlfn.XLOOKUP(D1566,BugList!C:C,BugList!P:P), "*SC*"))&gt;0</f>
        <v>0</v>
      </c>
    </row>
    <row r="1567" spans="1:16">
      <c r="A1567" s="86" t="s">
        <v>2881</v>
      </c>
      <c r="B1567" s="83">
        <v>457</v>
      </c>
      <c r="C1567" s="34" t="s">
        <v>198</v>
      </c>
      <c r="D1567" s="34" t="s">
        <v>107</v>
      </c>
      <c r="E1567" s="83">
        <v>32</v>
      </c>
      <c r="F1567" s="43">
        <f t="shared" si="284"/>
        <v>28.571428571428569</v>
      </c>
      <c r="G1567" s="44">
        <f t="shared" si="285"/>
        <v>28</v>
      </c>
      <c r="H1567" s="44">
        <f t="shared" si="286"/>
        <v>0.5714285714285694</v>
      </c>
      <c r="I1567" cm="1">
        <f t="array" ref="I1567">INT(F1567)+IF(100-SUM(INT(F$1557:F$1569))&gt;=RANK(H1567,H$1557:H$1569)+COUNTIF(H$1557:H1567,H1567)-1,1,0)</f>
        <v>28</v>
      </c>
      <c r="J1567" t="b">
        <f t="shared" si="287"/>
        <v>1</v>
      </c>
      <c r="K1567" t="str">
        <f t="shared" si="288"/>
        <v>Trichoptera</v>
      </c>
      <c r="L1567">
        <f>_xlfn.XLOOKUP(D1567,BugList!C:C,BugList!N:N)</f>
        <v>3</v>
      </c>
      <c r="M1567">
        <f t="shared" si="289"/>
        <v>84</v>
      </c>
      <c r="N1567" t="b">
        <f>_xlfn.XLOOKUP(D1567,BugList!C:C,BugList!L:L)</f>
        <v>1</v>
      </c>
      <c r="O1567" t="b">
        <f t="shared" si="290"/>
        <v>1</v>
      </c>
      <c r="P1567" s="18" t="b">
        <f>SUMPRODUCT(COUNTIF(_xlfn.XLOOKUP(D1567,BugList!C:C,BugList!P:P), "*SC*"))&gt;0</f>
        <v>0</v>
      </c>
    </row>
    <row r="1568" spans="1:16">
      <c r="A1568" s="86" t="s">
        <v>2881</v>
      </c>
      <c r="B1568" s="83">
        <v>457</v>
      </c>
      <c r="C1568" s="34" t="s">
        <v>201</v>
      </c>
      <c r="D1568" s="34" t="s">
        <v>109</v>
      </c>
      <c r="E1568" s="83">
        <v>2</v>
      </c>
      <c r="F1568" s="43">
        <f t="shared" si="284"/>
        <v>1.7857142857142856</v>
      </c>
      <c r="G1568" s="44">
        <f t="shared" si="285"/>
        <v>1</v>
      </c>
      <c r="H1568" s="44">
        <f t="shared" si="286"/>
        <v>0.78571428571428559</v>
      </c>
      <c r="I1568" cm="1">
        <f t="array" ref="I1568">INT(F1568)+IF(100-SUM(INT(F$1557:F$1569))&gt;=RANK(H1568,H$1557:H$1569)+COUNTIF(H$1557:H1568,H1568)-1,1,0)</f>
        <v>2</v>
      </c>
      <c r="J1568" t="b">
        <f t="shared" si="287"/>
        <v>0</v>
      </c>
      <c r="K1568" t="str">
        <f t="shared" si="288"/>
        <v/>
      </c>
      <c r="L1568">
        <f>_xlfn.XLOOKUP(D1568,BugList!C:C,BugList!N:N)</f>
        <v>6</v>
      </c>
      <c r="M1568">
        <f t="shared" si="289"/>
        <v>12</v>
      </c>
      <c r="N1568" t="b">
        <f>_xlfn.XLOOKUP(D1568,BugList!C:C,BugList!L:L)</f>
        <v>0</v>
      </c>
      <c r="O1568" t="b">
        <f t="shared" si="290"/>
        <v>0</v>
      </c>
      <c r="P1568" s="18" t="b">
        <f>SUMPRODUCT(COUNTIF(_xlfn.XLOOKUP(D1568,BugList!C:C,BugList!P:P), "*SC*"))&gt;0</f>
        <v>0</v>
      </c>
    </row>
    <row r="1569" spans="1:16">
      <c r="A1569" s="86" t="s">
        <v>2881</v>
      </c>
      <c r="B1569" s="83">
        <v>457</v>
      </c>
      <c r="C1569" s="34" t="s">
        <v>94</v>
      </c>
      <c r="D1569" s="34" t="s">
        <v>94</v>
      </c>
      <c r="E1569" s="83">
        <v>1</v>
      </c>
      <c r="F1569" s="43">
        <f t="shared" si="284"/>
        <v>0.89285714285714279</v>
      </c>
      <c r="G1569" s="44">
        <f t="shared" si="285"/>
        <v>0</v>
      </c>
      <c r="H1569" s="44">
        <f t="shared" si="286"/>
        <v>0.89285714285714279</v>
      </c>
      <c r="I1569" cm="1">
        <f t="array" ref="I1569">INT(F1569)+IF(100-SUM(INT(F$1557:F$1569))&gt;=RANK(H1569,H$1557:H$1569)+COUNTIF(H$1557:H1569,H1569)-1,1,0)</f>
        <v>1</v>
      </c>
      <c r="J1569" t="b">
        <f t="shared" si="287"/>
        <v>0</v>
      </c>
      <c r="K1569" t="str">
        <f t="shared" si="288"/>
        <v/>
      </c>
      <c r="L1569">
        <f>_xlfn.XLOOKUP(D1569,BugList!C:C,BugList!N:N)</f>
        <v>8</v>
      </c>
      <c r="M1569">
        <f t="shared" si="289"/>
        <v>8</v>
      </c>
      <c r="N1569" t="b">
        <f>_xlfn.XLOOKUP(D1569,BugList!C:C,BugList!L:L)</f>
        <v>0</v>
      </c>
      <c r="O1569" t="b">
        <f t="shared" si="290"/>
        <v>0</v>
      </c>
      <c r="P1569" s="18" t="b">
        <f>SUMPRODUCT(COUNTIF(_xlfn.XLOOKUP(D1569,BugList!C:C,BugList!P:P), "*SC*"))&gt;0</f>
        <v>0</v>
      </c>
    </row>
    <row r="1570" spans="1:16">
      <c r="A1570" s="86" t="s">
        <v>2882</v>
      </c>
      <c r="B1570" s="83">
        <v>462</v>
      </c>
      <c r="C1570" s="34" t="s">
        <v>200</v>
      </c>
      <c r="D1570" s="34" t="s">
        <v>100</v>
      </c>
      <c r="E1570" s="83">
        <v>2</v>
      </c>
      <c r="F1570" s="43">
        <f t="shared" si="284"/>
        <v>1.5625</v>
      </c>
      <c r="G1570" s="44">
        <f t="shared" si="285"/>
        <v>1</v>
      </c>
      <c r="H1570" s="44">
        <f t="shared" si="286"/>
        <v>0.5625</v>
      </c>
      <c r="I1570" cm="1">
        <f t="array" ref="I1570">INT(F1570)+IF(100-SUM(INT(F$1570:F$1582))&gt;=RANK(H1570,H$1570:H$1582)+COUNTIF(H$1570:H1570,H1570)-1,1,0)</f>
        <v>2</v>
      </c>
      <c r="J1570" t="b">
        <f t="shared" si="287"/>
        <v>0</v>
      </c>
      <c r="K1570" t="str">
        <f t="shared" si="288"/>
        <v/>
      </c>
      <c r="L1570">
        <f>_xlfn.XLOOKUP(D1570,BugList!C:C,BugList!N:N)</f>
        <v>4</v>
      </c>
      <c r="M1570">
        <f t="shared" si="289"/>
        <v>8</v>
      </c>
      <c r="N1570" t="b">
        <f>_xlfn.XLOOKUP(D1570,BugList!C:C,BugList!L:L)</f>
        <v>1</v>
      </c>
      <c r="O1570" t="b">
        <f t="shared" si="290"/>
        <v>0</v>
      </c>
      <c r="P1570" s="18" t="b">
        <f>SUMPRODUCT(COUNTIF(_xlfn.XLOOKUP(D1570,BugList!C:C,BugList!P:P), "*SC*"))&gt;0</f>
        <v>1</v>
      </c>
    </row>
    <row r="1571" spans="1:16">
      <c r="A1571" s="86" t="s">
        <v>2882</v>
      </c>
      <c r="B1571" s="83">
        <v>462</v>
      </c>
      <c r="C1571" s="34" t="s">
        <v>194</v>
      </c>
      <c r="D1571" s="34" t="s">
        <v>126</v>
      </c>
      <c r="E1571" s="83">
        <v>28</v>
      </c>
      <c r="F1571" s="43">
        <f t="shared" si="284"/>
        <v>21.875</v>
      </c>
      <c r="G1571" s="44">
        <f t="shared" si="285"/>
        <v>21</v>
      </c>
      <c r="H1571" s="44">
        <f t="shared" si="286"/>
        <v>0.875</v>
      </c>
      <c r="I1571" cm="1">
        <f t="array" ref="I1571">INT(F1571)+IF(100-SUM(INT(F$1570:F$1582))&gt;=RANK(H1571,H$1570:H$1582)+COUNTIF(H$1570:H1571,H1571)-1,1,0)</f>
        <v>22</v>
      </c>
      <c r="J1571" t="b">
        <f t="shared" si="287"/>
        <v>0</v>
      </c>
      <c r="K1571" t="str">
        <f t="shared" si="288"/>
        <v/>
      </c>
      <c r="L1571">
        <f>_xlfn.XLOOKUP(D1571,BugList!C:C,BugList!N:N)</f>
        <v>8</v>
      </c>
      <c r="M1571">
        <f t="shared" si="289"/>
        <v>176</v>
      </c>
      <c r="N1571" t="b">
        <f>_xlfn.XLOOKUP(D1571,BugList!C:C,BugList!L:L)</f>
        <v>1</v>
      </c>
      <c r="O1571" t="b">
        <f t="shared" si="290"/>
        <v>0</v>
      </c>
      <c r="P1571" s="18" t="b">
        <f>SUMPRODUCT(COUNTIF(_xlfn.XLOOKUP(D1571,BugList!C:C,BugList!P:P), "*SC*"))&gt;0</f>
        <v>0</v>
      </c>
    </row>
    <row r="1572" spans="1:16">
      <c r="A1572" s="86" t="s">
        <v>2882</v>
      </c>
      <c r="B1572" s="83">
        <v>462</v>
      </c>
      <c r="C1572" s="34" t="s">
        <v>194</v>
      </c>
      <c r="D1572" s="34" t="s">
        <v>131</v>
      </c>
      <c r="E1572" s="83">
        <v>6</v>
      </c>
      <c r="F1572" s="43">
        <f t="shared" si="284"/>
        <v>4.6875</v>
      </c>
      <c r="G1572" s="44">
        <f t="shared" si="285"/>
        <v>4</v>
      </c>
      <c r="H1572" s="44">
        <f t="shared" si="286"/>
        <v>0.6875</v>
      </c>
      <c r="I1572" cm="1">
        <f t="array" ref="I1572">INT(F1572)+IF(100-SUM(INT(F$1570:F$1582))&gt;=RANK(H1572,H$1570:H$1582)+COUNTIF(H$1570:H1572,H1572)-1,1,0)</f>
        <v>5</v>
      </c>
      <c r="J1572" t="b">
        <f t="shared" si="287"/>
        <v>0</v>
      </c>
      <c r="K1572" t="str">
        <f t="shared" si="288"/>
        <v/>
      </c>
      <c r="L1572">
        <f>_xlfn.XLOOKUP(D1572,BugList!C:C,BugList!N:N)</f>
        <v>6</v>
      </c>
      <c r="M1572">
        <f t="shared" si="289"/>
        <v>30</v>
      </c>
      <c r="N1572" t="b">
        <f>_xlfn.XLOOKUP(D1572,BugList!C:C,BugList!L:L)</f>
        <v>1</v>
      </c>
      <c r="O1572" t="b">
        <f t="shared" si="290"/>
        <v>0</v>
      </c>
      <c r="P1572" s="18" t="b">
        <f>SUMPRODUCT(COUNTIF(_xlfn.XLOOKUP(D1572,BugList!C:C,BugList!P:P), "*SC*"))&gt;0</f>
        <v>0</v>
      </c>
    </row>
    <row r="1573" spans="1:16">
      <c r="A1573" s="86" t="s">
        <v>2882</v>
      </c>
      <c r="B1573" s="83">
        <v>462</v>
      </c>
      <c r="C1573" s="34" t="s">
        <v>194</v>
      </c>
      <c r="D1573" s="34" t="s">
        <v>101</v>
      </c>
      <c r="E1573" s="83">
        <v>46</v>
      </c>
      <c r="F1573" s="43">
        <f t="shared" si="284"/>
        <v>35.9375</v>
      </c>
      <c r="G1573" s="44">
        <f t="shared" si="285"/>
        <v>35</v>
      </c>
      <c r="H1573" s="44">
        <f t="shared" si="286"/>
        <v>0.9375</v>
      </c>
      <c r="I1573" cm="1">
        <f t="array" ref="I1573">INT(F1573)+IF(100-SUM(INT(F$1570:F$1582))&gt;=RANK(H1573,H$1570:H$1582)+COUNTIF(H$1570:H1573,H1573)-1,1,0)</f>
        <v>36</v>
      </c>
      <c r="J1573" t="b">
        <f t="shared" si="287"/>
        <v>0</v>
      </c>
      <c r="K1573" t="str">
        <f t="shared" si="288"/>
        <v/>
      </c>
      <c r="L1573">
        <f>_xlfn.XLOOKUP(D1573,BugList!C:C,BugList!N:N)</f>
        <v>6</v>
      </c>
      <c r="M1573">
        <f t="shared" si="289"/>
        <v>216</v>
      </c>
      <c r="N1573" t="b">
        <f>_xlfn.XLOOKUP(D1573,BugList!C:C,BugList!L:L)</f>
        <v>1</v>
      </c>
      <c r="O1573" t="b">
        <f t="shared" si="290"/>
        <v>0</v>
      </c>
      <c r="P1573" s="18" t="b">
        <f>SUMPRODUCT(COUNTIF(_xlfn.XLOOKUP(D1573,BugList!C:C,BugList!P:P), "*SC*"))&gt;0</f>
        <v>0</v>
      </c>
    </row>
    <row r="1574" spans="1:16">
      <c r="A1574" s="86" t="s">
        <v>2882</v>
      </c>
      <c r="B1574" s="83">
        <v>462</v>
      </c>
      <c r="C1574" s="34" t="s">
        <v>199</v>
      </c>
      <c r="D1574" s="34" t="s">
        <v>2768</v>
      </c>
      <c r="E1574" s="83">
        <v>16</v>
      </c>
      <c r="F1574" s="43">
        <f t="shared" si="284"/>
        <v>12.5</v>
      </c>
      <c r="G1574" s="44">
        <f t="shared" si="285"/>
        <v>12</v>
      </c>
      <c r="H1574" s="44">
        <f t="shared" si="286"/>
        <v>0.5</v>
      </c>
      <c r="I1574" cm="1">
        <f t="array" ref="I1574">INT(F1574)+IF(100-SUM(INT(F$1570:F$1582))&gt;=RANK(H1574,H$1570:H$1582)+COUNTIF(H$1570:H1574,H1574)-1,1,0)</f>
        <v>12</v>
      </c>
      <c r="J1574" t="b">
        <f t="shared" si="287"/>
        <v>1</v>
      </c>
      <c r="K1574" t="str">
        <f t="shared" si="288"/>
        <v>Ephemeroptera</v>
      </c>
      <c r="L1574">
        <f>_xlfn.XLOOKUP(D1574,BugList!C:C,BugList!N:N)</f>
        <v>7</v>
      </c>
      <c r="M1574">
        <f t="shared" si="289"/>
        <v>84</v>
      </c>
      <c r="N1574" t="b">
        <f>_xlfn.XLOOKUP(D1574,BugList!C:C,BugList!L:L)</f>
        <v>1</v>
      </c>
      <c r="O1574" t="b">
        <f t="shared" si="290"/>
        <v>1</v>
      </c>
      <c r="P1574" s="18" t="b">
        <f>SUMPRODUCT(COUNTIF(_xlfn.XLOOKUP(D1574,BugList!C:C,BugList!P:P), "*SC*"))&gt;0</f>
        <v>0</v>
      </c>
    </row>
    <row r="1575" spans="1:16">
      <c r="A1575" s="86" t="s">
        <v>2882</v>
      </c>
      <c r="B1575" s="83">
        <v>462</v>
      </c>
      <c r="C1575" s="34" t="s">
        <v>199</v>
      </c>
      <c r="D1575" s="34" t="s">
        <v>111</v>
      </c>
      <c r="E1575" s="83">
        <v>1</v>
      </c>
      <c r="F1575" s="43">
        <f t="shared" si="284"/>
        <v>0.78125</v>
      </c>
      <c r="G1575" s="44">
        <f t="shared" si="285"/>
        <v>0</v>
      </c>
      <c r="H1575" s="44">
        <f t="shared" si="286"/>
        <v>0.78125</v>
      </c>
      <c r="I1575" cm="1">
        <f t="array" ref="I1575">INT(F1575)+IF(100-SUM(INT(F$1570:F$1582))&gt;=RANK(H1575,H$1570:H$1582)+COUNTIF(H$1570:H1575,H1575)-1,1,0)</f>
        <v>1</v>
      </c>
      <c r="J1575" t="b">
        <f t="shared" si="287"/>
        <v>1</v>
      </c>
      <c r="K1575" t="str">
        <f t="shared" si="288"/>
        <v>Ephemeroptera</v>
      </c>
      <c r="L1575">
        <f>_xlfn.XLOOKUP(D1575,BugList!C:C,BugList!N:N)</f>
        <v>4</v>
      </c>
      <c r="M1575">
        <f t="shared" si="289"/>
        <v>4</v>
      </c>
      <c r="N1575" t="b">
        <f>_xlfn.XLOOKUP(D1575,BugList!C:C,BugList!L:L)</f>
        <v>1</v>
      </c>
      <c r="O1575" t="b">
        <f t="shared" si="290"/>
        <v>1</v>
      </c>
      <c r="P1575" s="18" t="b">
        <f>SUMPRODUCT(COUNTIF(_xlfn.XLOOKUP(D1575,BugList!C:C,BugList!P:P), "*SC*"))&gt;0</f>
        <v>0</v>
      </c>
    </row>
    <row r="1576" spans="1:16">
      <c r="A1576" s="86" t="s">
        <v>2882</v>
      </c>
      <c r="B1576" s="83">
        <v>462</v>
      </c>
      <c r="C1576" s="34" t="s">
        <v>195</v>
      </c>
      <c r="D1576" s="34" t="s">
        <v>113</v>
      </c>
      <c r="E1576" s="83">
        <v>2</v>
      </c>
      <c r="F1576" s="43">
        <f t="shared" si="284"/>
        <v>1.5625</v>
      </c>
      <c r="G1576" s="44">
        <f t="shared" si="285"/>
        <v>1</v>
      </c>
      <c r="H1576" s="44">
        <f t="shared" si="286"/>
        <v>0.5625</v>
      </c>
      <c r="I1576" cm="1">
        <f t="array" ref="I1576">INT(F1576)+IF(100-SUM(INT(F$1570:F$1582))&gt;=RANK(H1576,H$1570:H$1582)+COUNTIF(H$1570:H1576,H1576)-1,1,0)</f>
        <v>2</v>
      </c>
      <c r="J1576" t="b">
        <f t="shared" si="287"/>
        <v>0</v>
      </c>
      <c r="K1576" t="str">
        <f t="shared" si="288"/>
        <v/>
      </c>
      <c r="L1576">
        <f>_xlfn.XLOOKUP(D1576,BugList!C:C,BugList!N:N)</f>
        <v>1</v>
      </c>
      <c r="M1576">
        <f t="shared" si="289"/>
        <v>2</v>
      </c>
      <c r="N1576" t="b">
        <f>_xlfn.XLOOKUP(D1576,BugList!C:C,BugList!L:L)</f>
        <v>1</v>
      </c>
      <c r="O1576" t="b">
        <f t="shared" si="290"/>
        <v>0</v>
      </c>
      <c r="P1576" s="18" t="b">
        <f>SUMPRODUCT(COUNTIF(_xlfn.XLOOKUP(D1576,BugList!C:C,BugList!P:P), "*SC*"))&gt;0</f>
        <v>0</v>
      </c>
    </row>
    <row r="1577" spans="1:16">
      <c r="A1577" s="86" t="s">
        <v>2882</v>
      </c>
      <c r="B1577" s="83">
        <v>462</v>
      </c>
      <c r="C1577" s="34" t="s">
        <v>197</v>
      </c>
      <c r="D1577" s="34" t="s">
        <v>104</v>
      </c>
      <c r="E1577" s="83">
        <v>5</v>
      </c>
      <c r="F1577" s="43">
        <f t="shared" si="284"/>
        <v>3.90625</v>
      </c>
      <c r="G1577" s="44">
        <f t="shared" si="285"/>
        <v>3</v>
      </c>
      <c r="H1577" s="44">
        <f t="shared" si="286"/>
        <v>0.90625</v>
      </c>
      <c r="I1577" cm="1">
        <f t="array" ref="I1577">INT(F1577)+IF(100-SUM(INT(F$1570:F$1582))&gt;=RANK(H1577,H$1570:H$1582)+COUNTIF(H$1570:H1577,H1577)-1,1,0)</f>
        <v>4</v>
      </c>
      <c r="J1577" t="b">
        <f t="shared" si="287"/>
        <v>1</v>
      </c>
      <c r="K1577" t="str">
        <f t="shared" si="288"/>
        <v>Plecoptera</v>
      </c>
      <c r="L1577">
        <f>_xlfn.XLOOKUP(D1577,BugList!C:C,BugList!N:N)</f>
        <v>2</v>
      </c>
      <c r="M1577">
        <f t="shared" si="289"/>
        <v>8</v>
      </c>
      <c r="N1577" t="b">
        <f>_xlfn.XLOOKUP(D1577,BugList!C:C,BugList!L:L)</f>
        <v>1</v>
      </c>
      <c r="O1577" t="b">
        <f t="shared" si="290"/>
        <v>1</v>
      </c>
      <c r="P1577" s="18" t="b">
        <f>SUMPRODUCT(COUNTIF(_xlfn.XLOOKUP(D1577,BugList!C:C,BugList!P:P), "*SC*"))&gt;0</f>
        <v>0</v>
      </c>
    </row>
    <row r="1578" spans="1:16">
      <c r="A1578" s="86" t="s">
        <v>2882</v>
      </c>
      <c r="B1578" s="83">
        <v>462</v>
      </c>
      <c r="C1578" s="34" t="s">
        <v>197</v>
      </c>
      <c r="D1578" s="34" t="s">
        <v>105</v>
      </c>
      <c r="E1578" s="83">
        <v>2</v>
      </c>
      <c r="F1578" s="43">
        <f t="shared" si="284"/>
        <v>1.5625</v>
      </c>
      <c r="G1578" s="44">
        <f t="shared" si="285"/>
        <v>1</v>
      </c>
      <c r="H1578" s="44">
        <f t="shared" si="286"/>
        <v>0.5625</v>
      </c>
      <c r="I1578" cm="1">
        <f t="array" ref="I1578">INT(F1578)+IF(100-SUM(INT(F$1570:F$1582))&gt;=RANK(H1578,H$1570:H$1582)+COUNTIF(H$1570:H1578,H1578)-1,1,0)</f>
        <v>1</v>
      </c>
      <c r="J1578" t="b">
        <f t="shared" si="287"/>
        <v>1</v>
      </c>
      <c r="K1578" t="str">
        <f t="shared" si="288"/>
        <v>Plecoptera</v>
      </c>
      <c r="L1578">
        <f>_xlfn.XLOOKUP(D1578,BugList!C:C,BugList!N:N)</f>
        <v>1</v>
      </c>
      <c r="M1578">
        <f t="shared" si="289"/>
        <v>1</v>
      </c>
      <c r="N1578" t="b">
        <f>_xlfn.XLOOKUP(D1578,BugList!C:C,BugList!L:L)</f>
        <v>1</v>
      </c>
      <c r="O1578" t="b">
        <f t="shared" si="290"/>
        <v>1</v>
      </c>
      <c r="P1578" s="18" t="b">
        <f>SUMPRODUCT(COUNTIF(_xlfn.XLOOKUP(D1578,BugList!C:C,BugList!P:P), "*SC*"))&gt;0</f>
        <v>0</v>
      </c>
    </row>
    <row r="1579" spans="1:16">
      <c r="A1579" s="86" t="s">
        <v>2882</v>
      </c>
      <c r="B1579" s="83">
        <v>462</v>
      </c>
      <c r="C1579" s="34" t="s">
        <v>197</v>
      </c>
      <c r="D1579" s="34" t="s">
        <v>106</v>
      </c>
      <c r="E1579" s="83">
        <v>3</v>
      </c>
      <c r="F1579" s="43">
        <f t="shared" si="284"/>
        <v>2.34375</v>
      </c>
      <c r="G1579" s="44">
        <f t="shared" si="285"/>
        <v>2</v>
      </c>
      <c r="H1579" s="44">
        <f t="shared" si="286"/>
        <v>0.34375</v>
      </c>
      <c r="I1579" cm="1">
        <f t="array" ref="I1579">INT(F1579)+IF(100-SUM(INT(F$1570:F$1582))&gt;=RANK(H1579,H$1570:H$1582)+COUNTIF(H$1570:H1579,H1579)-1,1,0)</f>
        <v>2</v>
      </c>
      <c r="J1579" t="b">
        <f t="shared" si="287"/>
        <v>1</v>
      </c>
      <c r="K1579" t="str">
        <f t="shared" si="288"/>
        <v>Plecoptera</v>
      </c>
      <c r="L1579">
        <f>_xlfn.XLOOKUP(D1579,BugList!C:C,BugList!N:N)</f>
        <v>2</v>
      </c>
      <c r="M1579">
        <f t="shared" si="289"/>
        <v>4</v>
      </c>
      <c r="N1579" t="b">
        <f>_xlfn.XLOOKUP(D1579,BugList!C:C,BugList!L:L)</f>
        <v>1</v>
      </c>
      <c r="O1579" t="b">
        <f t="shared" si="290"/>
        <v>1</v>
      </c>
      <c r="P1579" s="18" t="b">
        <f>SUMPRODUCT(COUNTIF(_xlfn.XLOOKUP(D1579,BugList!C:C,BugList!P:P), "*SC*"))&gt;0</f>
        <v>0</v>
      </c>
    </row>
    <row r="1580" spans="1:16">
      <c r="A1580" s="86" t="s">
        <v>2882</v>
      </c>
      <c r="B1580" s="83">
        <v>462</v>
      </c>
      <c r="C1580" s="34" t="s">
        <v>198</v>
      </c>
      <c r="D1580" s="34" t="s">
        <v>89</v>
      </c>
      <c r="E1580" s="83">
        <v>12</v>
      </c>
      <c r="F1580" s="43">
        <f t="shared" si="284"/>
        <v>9.375</v>
      </c>
      <c r="G1580" s="44">
        <f t="shared" si="285"/>
        <v>9</v>
      </c>
      <c r="H1580" s="44">
        <f t="shared" si="286"/>
        <v>0.375</v>
      </c>
      <c r="I1580" cm="1">
        <f t="array" ref="I1580">INT(F1580)+IF(100-SUM(INT(F$1570:F$1582))&gt;=RANK(H1580,H$1570:H$1582)+COUNTIF(H$1570:H1580,H1580)-1,1,0)</f>
        <v>9</v>
      </c>
      <c r="J1580" t="b">
        <f t="shared" si="287"/>
        <v>1</v>
      </c>
      <c r="K1580" t="str">
        <f t="shared" si="288"/>
        <v>Trichoptera</v>
      </c>
      <c r="L1580">
        <f>_xlfn.XLOOKUP(D1580,BugList!C:C,BugList!N:N)</f>
        <v>4</v>
      </c>
      <c r="M1580">
        <f t="shared" si="289"/>
        <v>36</v>
      </c>
      <c r="N1580" t="b">
        <f>_xlfn.XLOOKUP(D1580,BugList!C:C,BugList!L:L)</f>
        <v>1</v>
      </c>
      <c r="O1580" t="b">
        <f t="shared" si="290"/>
        <v>0</v>
      </c>
      <c r="P1580" s="18" t="b">
        <f>SUMPRODUCT(COUNTIF(_xlfn.XLOOKUP(D1580,BugList!C:C,BugList!P:P), "*SC*"))&gt;0</f>
        <v>0</v>
      </c>
    </row>
    <row r="1581" spans="1:16">
      <c r="A1581" s="86" t="s">
        <v>2882</v>
      </c>
      <c r="B1581" s="83">
        <v>462</v>
      </c>
      <c r="C1581" s="34" t="s">
        <v>198</v>
      </c>
      <c r="D1581" s="34" t="s">
        <v>107</v>
      </c>
      <c r="E1581" s="83">
        <v>4</v>
      </c>
      <c r="F1581" s="43">
        <f t="shared" si="284"/>
        <v>3.125</v>
      </c>
      <c r="G1581" s="44">
        <f t="shared" si="285"/>
        <v>3</v>
      </c>
      <c r="H1581" s="44">
        <f t="shared" si="286"/>
        <v>0.125</v>
      </c>
      <c r="I1581" cm="1">
        <f t="array" ref="I1581">INT(F1581)+IF(100-SUM(INT(F$1570:F$1582))&gt;=RANK(H1581,H$1570:H$1582)+COUNTIF(H$1570:H1581,H1581)-1,1,0)</f>
        <v>3</v>
      </c>
      <c r="J1581" t="b">
        <f t="shared" si="287"/>
        <v>1</v>
      </c>
      <c r="K1581" t="str">
        <f t="shared" si="288"/>
        <v>Trichoptera</v>
      </c>
      <c r="L1581">
        <f>_xlfn.XLOOKUP(D1581,BugList!C:C,BugList!N:N)</f>
        <v>3</v>
      </c>
      <c r="M1581">
        <f t="shared" si="289"/>
        <v>9</v>
      </c>
      <c r="N1581" t="b">
        <f>_xlfn.XLOOKUP(D1581,BugList!C:C,BugList!L:L)</f>
        <v>1</v>
      </c>
      <c r="O1581" t="b">
        <f t="shared" si="290"/>
        <v>1</v>
      </c>
      <c r="P1581" s="18" t="b">
        <f>SUMPRODUCT(COUNTIF(_xlfn.XLOOKUP(D1581,BugList!C:C,BugList!P:P), "*SC*"))&gt;0</f>
        <v>0</v>
      </c>
    </row>
    <row r="1582" spans="1:16">
      <c r="A1582" s="86" t="s">
        <v>2882</v>
      </c>
      <c r="B1582" s="83">
        <v>462</v>
      </c>
      <c r="C1582" s="34" t="s">
        <v>201</v>
      </c>
      <c r="D1582" s="34" t="s">
        <v>109</v>
      </c>
      <c r="E1582" s="83">
        <v>1</v>
      </c>
      <c r="F1582" s="43">
        <f t="shared" si="284"/>
        <v>0.78125</v>
      </c>
      <c r="G1582" s="44">
        <f t="shared" si="285"/>
        <v>0</v>
      </c>
      <c r="H1582" s="44">
        <f t="shared" si="286"/>
        <v>0.78125</v>
      </c>
      <c r="I1582" cm="1">
        <f t="array" ref="I1582">INT(F1582)+IF(100-SUM(INT(F$1570:F$1582))&gt;=RANK(H1582,H$1570:H$1582)+COUNTIF(H$1570:H1582,H1582)-1,1,0)</f>
        <v>1</v>
      </c>
      <c r="J1582" t="b">
        <f t="shared" si="287"/>
        <v>0</v>
      </c>
      <c r="K1582" t="str">
        <f t="shared" si="288"/>
        <v/>
      </c>
      <c r="L1582">
        <f>_xlfn.XLOOKUP(D1582,BugList!C:C,BugList!N:N)</f>
        <v>6</v>
      </c>
      <c r="M1582">
        <f t="shared" si="289"/>
        <v>6</v>
      </c>
      <c r="N1582" t="b">
        <f>_xlfn.XLOOKUP(D1582,BugList!C:C,BugList!L:L)</f>
        <v>0</v>
      </c>
      <c r="O1582" t="b">
        <f t="shared" si="290"/>
        <v>0</v>
      </c>
      <c r="P1582" s="18" t="b">
        <f>SUMPRODUCT(COUNTIF(_xlfn.XLOOKUP(D1582,BugList!C:C,BugList!P:P), "*SC*"))&gt;0</f>
        <v>0</v>
      </c>
    </row>
    <row r="1583" spans="1:16">
      <c r="A1583" s="86" t="s">
        <v>2883</v>
      </c>
      <c r="B1583" s="83">
        <v>476</v>
      </c>
      <c r="C1583" s="34" t="s">
        <v>200</v>
      </c>
      <c r="D1583" s="34" t="s">
        <v>98</v>
      </c>
      <c r="E1583" s="83">
        <v>2</v>
      </c>
      <c r="F1583" s="43">
        <f t="shared" si="284"/>
        <v>1.4598540145985401</v>
      </c>
      <c r="G1583" s="44">
        <f t="shared" si="285"/>
        <v>1</v>
      </c>
      <c r="H1583" s="44">
        <f t="shared" si="286"/>
        <v>0.45985401459854014</v>
      </c>
      <c r="I1583" cm="1">
        <f t="array" ref="I1583">INT(F1583)+IF(100-SUM(INT(F$1583:F$1595))&gt;=RANK(H1583,H$1583:H$1595)+COUNTIF(H$1583:H1583,H1583)-1,1,0)</f>
        <v>2</v>
      </c>
      <c r="J1583" t="b">
        <f t="shared" si="287"/>
        <v>0</v>
      </c>
      <c r="K1583" t="str">
        <f t="shared" si="288"/>
        <v/>
      </c>
      <c r="L1583">
        <f>_xlfn.XLOOKUP(D1583,BugList!C:C,BugList!N:N)</f>
        <v>4</v>
      </c>
      <c r="M1583">
        <f t="shared" si="289"/>
        <v>8</v>
      </c>
      <c r="N1583" t="b">
        <f>_xlfn.XLOOKUP(D1583,BugList!C:C,BugList!L:L)</f>
        <v>1</v>
      </c>
      <c r="O1583" t="b">
        <f t="shared" si="290"/>
        <v>0</v>
      </c>
      <c r="P1583" s="18" t="b">
        <f>SUMPRODUCT(COUNTIF(_xlfn.XLOOKUP(D1583,BugList!C:C,BugList!P:P), "*SC*"))&gt;0</f>
        <v>1</v>
      </c>
    </row>
    <row r="1584" spans="1:16">
      <c r="A1584" s="86" t="s">
        <v>2883</v>
      </c>
      <c r="B1584" s="83">
        <v>476</v>
      </c>
      <c r="C1584" s="34" t="s">
        <v>200</v>
      </c>
      <c r="D1584" s="34" t="s">
        <v>100</v>
      </c>
      <c r="E1584" s="83">
        <v>4</v>
      </c>
      <c r="F1584" s="43">
        <f t="shared" si="284"/>
        <v>2.9197080291970803</v>
      </c>
      <c r="G1584" s="44">
        <f t="shared" si="285"/>
        <v>2</v>
      </c>
      <c r="H1584" s="44">
        <f t="shared" si="286"/>
        <v>0.91970802919708028</v>
      </c>
      <c r="I1584" cm="1">
        <f t="array" ref="I1584">INT(F1584)+IF(100-SUM(INT(F$1583:F$1595))&gt;=RANK(H1584,H$1583:H$1595)+COUNTIF(H$1583:H1584,H1584)-1,1,0)</f>
        <v>3</v>
      </c>
      <c r="J1584" t="b">
        <f t="shared" si="287"/>
        <v>0</v>
      </c>
      <c r="K1584" t="str">
        <f t="shared" si="288"/>
        <v/>
      </c>
      <c r="L1584">
        <f>_xlfn.XLOOKUP(D1584,BugList!C:C,BugList!N:N)</f>
        <v>4</v>
      </c>
      <c r="M1584">
        <f t="shared" si="289"/>
        <v>12</v>
      </c>
      <c r="N1584" t="b">
        <f>_xlfn.XLOOKUP(D1584,BugList!C:C,BugList!L:L)</f>
        <v>1</v>
      </c>
      <c r="O1584" t="b">
        <f t="shared" si="290"/>
        <v>0</v>
      </c>
      <c r="P1584" s="18" t="b">
        <f>SUMPRODUCT(COUNTIF(_xlfn.XLOOKUP(D1584,BugList!C:C,BugList!P:P), "*SC*"))&gt;0</f>
        <v>1</v>
      </c>
    </row>
    <row r="1585" spans="1:16">
      <c r="A1585" s="86" t="s">
        <v>2883</v>
      </c>
      <c r="B1585" s="83">
        <v>476</v>
      </c>
      <c r="C1585" s="34" t="s">
        <v>194</v>
      </c>
      <c r="D1585" s="34" t="s">
        <v>90</v>
      </c>
      <c r="E1585" s="83">
        <v>2</v>
      </c>
      <c r="F1585" s="43">
        <f t="shared" si="284"/>
        <v>1.4598540145985401</v>
      </c>
      <c r="G1585" s="44">
        <f t="shared" si="285"/>
        <v>1</v>
      </c>
      <c r="H1585" s="44">
        <f t="shared" si="286"/>
        <v>0.45985401459854014</v>
      </c>
      <c r="I1585" cm="1">
        <f t="array" ref="I1585">INT(F1585)+IF(100-SUM(INT(F$1583:F$1595))&gt;=RANK(H1585,H$1583:H$1595)+COUNTIF(H$1583:H1585,H1585)-1,1,0)</f>
        <v>2</v>
      </c>
      <c r="J1585" t="b">
        <f t="shared" si="287"/>
        <v>0</v>
      </c>
      <c r="K1585" t="str">
        <f t="shared" si="288"/>
        <v/>
      </c>
      <c r="L1585">
        <f>_xlfn.XLOOKUP(D1585,BugList!C:C,BugList!N:N)</f>
        <v>6</v>
      </c>
      <c r="M1585">
        <f t="shared" si="289"/>
        <v>12</v>
      </c>
      <c r="N1585" t="b">
        <f>_xlfn.XLOOKUP(D1585,BugList!C:C,BugList!L:L)</f>
        <v>1</v>
      </c>
      <c r="O1585" t="b">
        <f t="shared" si="290"/>
        <v>0</v>
      </c>
      <c r="P1585" s="18" t="b">
        <f>SUMPRODUCT(COUNTIF(_xlfn.XLOOKUP(D1585,BugList!C:C,BugList!P:P), "*SC*"))&gt;0</f>
        <v>0</v>
      </c>
    </row>
    <row r="1586" spans="1:16">
      <c r="A1586" s="86" t="s">
        <v>2883</v>
      </c>
      <c r="B1586" s="83">
        <v>476</v>
      </c>
      <c r="C1586" s="34" t="s">
        <v>194</v>
      </c>
      <c r="D1586" s="34" t="s">
        <v>108</v>
      </c>
      <c r="E1586" s="83">
        <v>1</v>
      </c>
      <c r="F1586" s="43">
        <f t="shared" si="284"/>
        <v>0.72992700729927007</v>
      </c>
      <c r="G1586" s="44">
        <f t="shared" si="285"/>
        <v>0</v>
      </c>
      <c r="H1586" s="44">
        <f t="shared" si="286"/>
        <v>0.72992700729927007</v>
      </c>
      <c r="I1586" cm="1">
        <f t="array" ref="I1586">INT(F1586)+IF(100-SUM(INT(F$1583:F$1595))&gt;=RANK(H1586,H$1583:H$1595)+COUNTIF(H$1583:H1586,H1586)-1,1,0)</f>
        <v>1</v>
      </c>
      <c r="J1586" t="b">
        <f t="shared" si="287"/>
        <v>0</v>
      </c>
      <c r="K1586" t="str">
        <f t="shared" si="288"/>
        <v/>
      </c>
      <c r="L1586">
        <f>_xlfn.XLOOKUP(D1586,BugList!C:C,BugList!N:N)</f>
        <v>3</v>
      </c>
      <c r="M1586">
        <f t="shared" si="289"/>
        <v>3</v>
      </c>
      <c r="N1586" t="b">
        <f>_xlfn.XLOOKUP(D1586,BugList!C:C,BugList!L:L)</f>
        <v>1</v>
      </c>
      <c r="O1586" t="b">
        <f t="shared" si="290"/>
        <v>0</v>
      </c>
      <c r="P1586" s="18" t="b">
        <f>SUMPRODUCT(COUNTIF(_xlfn.XLOOKUP(D1586,BugList!C:C,BugList!P:P), "*SC*"))&gt;0</f>
        <v>0</v>
      </c>
    </row>
    <row r="1587" spans="1:16">
      <c r="A1587" s="86" t="s">
        <v>2883</v>
      </c>
      <c r="B1587" s="83">
        <v>476</v>
      </c>
      <c r="C1587" s="34" t="s">
        <v>199</v>
      </c>
      <c r="D1587" s="34" t="s">
        <v>154</v>
      </c>
      <c r="E1587" s="83">
        <v>2</v>
      </c>
      <c r="F1587" s="43">
        <f t="shared" si="284"/>
        <v>1.4598540145985401</v>
      </c>
      <c r="G1587" s="44">
        <f t="shared" si="285"/>
        <v>1</v>
      </c>
      <c r="H1587" s="44">
        <f t="shared" si="286"/>
        <v>0.45985401459854014</v>
      </c>
      <c r="I1587" cm="1">
        <f t="array" ref="I1587">INT(F1587)+IF(100-SUM(INT(F$1583:F$1595))&gt;=RANK(H1587,H$1583:H$1595)+COUNTIF(H$1583:H1587,H1587)-1,1,0)</f>
        <v>1</v>
      </c>
      <c r="J1587" t="b">
        <f t="shared" si="287"/>
        <v>1</v>
      </c>
      <c r="K1587" t="str">
        <f t="shared" si="288"/>
        <v>Ephemeroptera</v>
      </c>
      <c r="L1587">
        <f>_xlfn.XLOOKUP(D1587,BugList!C:C,BugList!N:N)</f>
        <v>7</v>
      </c>
      <c r="M1587">
        <f t="shared" si="289"/>
        <v>7</v>
      </c>
      <c r="N1587" t="b">
        <f>_xlfn.XLOOKUP(D1587,BugList!C:C,BugList!L:L)</f>
        <v>1</v>
      </c>
      <c r="O1587" t="b">
        <f t="shared" si="290"/>
        <v>1</v>
      </c>
      <c r="P1587" s="18" t="b">
        <f>SUMPRODUCT(COUNTIF(_xlfn.XLOOKUP(D1587,BugList!C:C,BugList!P:P), "*SC*"))&gt;0</f>
        <v>0</v>
      </c>
    </row>
    <row r="1588" spans="1:16">
      <c r="A1588" s="86" t="s">
        <v>2883</v>
      </c>
      <c r="B1588" s="83">
        <v>476</v>
      </c>
      <c r="C1588" s="34" t="s">
        <v>199</v>
      </c>
      <c r="D1588" s="34" t="s">
        <v>111</v>
      </c>
      <c r="E1588" s="83">
        <v>5</v>
      </c>
      <c r="F1588" s="43">
        <f t="shared" si="284"/>
        <v>3.6496350364963499</v>
      </c>
      <c r="G1588" s="44">
        <f t="shared" si="285"/>
        <v>3</v>
      </c>
      <c r="H1588" s="44">
        <f t="shared" si="286"/>
        <v>0.6496350364963499</v>
      </c>
      <c r="I1588" cm="1">
        <f t="array" ref="I1588">INT(F1588)+IF(100-SUM(INT(F$1583:F$1595))&gt;=RANK(H1588,H$1583:H$1595)+COUNTIF(H$1583:H1588,H1588)-1,1,0)</f>
        <v>4</v>
      </c>
      <c r="J1588" t="b">
        <f t="shared" si="287"/>
        <v>1</v>
      </c>
      <c r="K1588" t="str">
        <f t="shared" si="288"/>
        <v>Ephemeroptera</v>
      </c>
      <c r="L1588">
        <f>_xlfn.XLOOKUP(D1588,BugList!C:C,BugList!N:N)</f>
        <v>4</v>
      </c>
      <c r="M1588">
        <f t="shared" si="289"/>
        <v>16</v>
      </c>
      <c r="N1588" t="b">
        <f>_xlfn.XLOOKUP(D1588,BugList!C:C,BugList!L:L)</f>
        <v>1</v>
      </c>
      <c r="O1588" t="b">
        <f t="shared" si="290"/>
        <v>1</v>
      </c>
      <c r="P1588" s="18" t="b">
        <f>SUMPRODUCT(COUNTIF(_xlfn.XLOOKUP(D1588,BugList!C:C,BugList!P:P), "*SC*"))&gt;0</f>
        <v>0</v>
      </c>
    </row>
    <row r="1589" spans="1:16">
      <c r="A1589" s="86" t="s">
        <v>2883</v>
      </c>
      <c r="B1589" s="83">
        <v>476</v>
      </c>
      <c r="C1589" s="34" t="s">
        <v>199</v>
      </c>
      <c r="D1589" s="34" t="s">
        <v>969</v>
      </c>
      <c r="E1589" s="83">
        <v>1</v>
      </c>
      <c r="F1589" s="43">
        <f t="shared" si="284"/>
        <v>0.72992700729927007</v>
      </c>
      <c r="G1589" s="44">
        <f t="shared" si="285"/>
        <v>0</v>
      </c>
      <c r="H1589" s="44">
        <f t="shared" si="286"/>
        <v>0.72992700729927007</v>
      </c>
      <c r="I1589" cm="1">
        <f t="array" ref="I1589">INT(F1589)+IF(100-SUM(INT(F$1583:F$1595))&gt;=RANK(H1589,H$1583:H$1595)+COUNTIF(H$1583:H1589,H1589)-1,1,0)</f>
        <v>1</v>
      </c>
      <c r="J1589" t="b">
        <f t="shared" si="287"/>
        <v>1</v>
      </c>
      <c r="K1589" t="str">
        <f t="shared" si="288"/>
        <v>Ephemeroptera</v>
      </c>
      <c r="L1589">
        <f>_xlfn.XLOOKUP(D1589,BugList!C:C,BugList!N:N)</f>
        <v>7</v>
      </c>
      <c r="M1589">
        <f t="shared" si="289"/>
        <v>7</v>
      </c>
      <c r="N1589" t="b">
        <f>_xlfn.XLOOKUP(D1589,BugList!C:C,BugList!L:L)</f>
        <v>1</v>
      </c>
      <c r="O1589" t="b">
        <f t="shared" si="290"/>
        <v>1</v>
      </c>
      <c r="P1589" s="18" t="b">
        <f>SUMPRODUCT(COUNTIF(_xlfn.XLOOKUP(D1589,BugList!C:C,BugList!P:P), "*SC*"))&gt;0</f>
        <v>0</v>
      </c>
    </row>
    <row r="1590" spans="1:16">
      <c r="A1590" s="86" t="s">
        <v>2883</v>
      </c>
      <c r="B1590" s="83">
        <v>476</v>
      </c>
      <c r="C1590" s="34" t="s">
        <v>195</v>
      </c>
      <c r="D1590" s="34" t="s">
        <v>113</v>
      </c>
      <c r="E1590" s="83">
        <v>1</v>
      </c>
      <c r="F1590" s="43">
        <f t="shared" si="284"/>
        <v>0.72992700729927007</v>
      </c>
      <c r="G1590" s="44">
        <f t="shared" si="285"/>
        <v>0</v>
      </c>
      <c r="H1590" s="44">
        <f t="shared" si="286"/>
        <v>0.72992700729927007</v>
      </c>
      <c r="I1590" cm="1">
        <f t="array" ref="I1590">INT(F1590)+IF(100-SUM(INT(F$1583:F$1595))&gt;=RANK(H1590,H$1583:H$1595)+COUNTIF(H$1583:H1590,H1590)-1,1,0)</f>
        <v>1</v>
      </c>
      <c r="J1590" t="b">
        <f t="shared" si="287"/>
        <v>0</v>
      </c>
      <c r="K1590" t="str">
        <f t="shared" si="288"/>
        <v/>
      </c>
      <c r="L1590">
        <f>_xlfn.XLOOKUP(D1590,BugList!C:C,BugList!N:N)</f>
        <v>1</v>
      </c>
      <c r="M1590">
        <f t="shared" si="289"/>
        <v>1</v>
      </c>
      <c r="N1590" t="b">
        <f>_xlfn.XLOOKUP(D1590,BugList!C:C,BugList!L:L)</f>
        <v>1</v>
      </c>
      <c r="O1590" t="b">
        <f t="shared" si="290"/>
        <v>0</v>
      </c>
      <c r="P1590" s="18" t="b">
        <f>SUMPRODUCT(COUNTIF(_xlfn.XLOOKUP(D1590,BugList!C:C,BugList!P:P), "*SC*"))&gt;0</f>
        <v>0</v>
      </c>
    </row>
    <row r="1591" spans="1:16">
      <c r="A1591" s="86" t="s">
        <v>2883</v>
      </c>
      <c r="B1591" s="83">
        <v>476</v>
      </c>
      <c r="C1591" s="34" t="s">
        <v>211</v>
      </c>
      <c r="D1591" s="34" t="s">
        <v>87</v>
      </c>
      <c r="E1591" s="83">
        <v>2</v>
      </c>
      <c r="F1591" s="43">
        <f t="shared" si="284"/>
        <v>1.4598540145985401</v>
      </c>
      <c r="G1591" s="44">
        <f t="shared" si="285"/>
        <v>1</v>
      </c>
      <c r="H1591" s="44">
        <f t="shared" si="286"/>
        <v>0.45985401459854014</v>
      </c>
      <c r="I1591" cm="1">
        <f t="array" ref="I1591">INT(F1591)+IF(100-SUM(INT(F$1583:F$1595))&gt;=RANK(H1591,H$1583:H$1595)+COUNTIF(H$1583:H1591,H1591)-1,1,0)</f>
        <v>1</v>
      </c>
      <c r="J1591" t="b">
        <f t="shared" si="287"/>
        <v>0</v>
      </c>
      <c r="K1591" t="str">
        <f t="shared" si="288"/>
        <v/>
      </c>
      <c r="L1591">
        <f>_xlfn.XLOOKUP(D1591,BugList!C:C,BugList!N:N)</f>
        <v>4</v>
      </c>
      <c r="M1591">
        <f t="shared" si="289"/>
        <v>4</v>
      </c>
      <c r="N1591" t="b">
        <f>_xlfn.XLOOKUP(D1591,BugList!C:C,BugList!L:L)</f>
        <v>0</v>
      </c>
      <c r="O1591" t="b">
        <f t="shared" si="290"/>
        <v>0</v>
      </c>
      <c r="P1591" s="18" t="b">
        <f>SUMPRODUCT(COUNTIF(_xlfn.XLOOKUP(D1591,BugList!C:C,BugList!P:P), "*SC*"))&gt;0</f>
        <v>0</v>
      </c>
    </row>
    <row r="1592" spans="1:16">
      <c r="A1592" s="86" t="s">
        <v>2883</v>
      </c>
      <c r="B1592" s="83">
        <v>476</v>
      </c>
      <c r="C1592" s="34" t="s">
        <v>197</v>
      </c>
      <c r="D1592" s="34" t="s">
        <v>105</v>
      </c>
      <c r="E1592" s="83">
        <v>2</v>
      </c>
      <c r="F1592" s="43">
        <f t="shared" si="284"/>
        <v>1.4598540145985401</v>
      </c>
      <c r="G1592" s="44">
        <f t="shared" si="285"/>
        <v>1</v>
      </c>
      <c r="H1592" s="44">
        <f t="shared" si="286"/>
        <v>0.45985401459854014</v>
      </c>
      <c r="I1592" cm="1">
        <f t="array" ref="I1592">INT(F1592)+IF(100-SUM(INT(F$1583:F$1595))&gt;=RANK(H1592,H$1583:H$1595)+COUNTIF(H$1583:H1592,H1592)-1,1,0)</f>
        <v>1</v>
      </c>
      <c r="J1592" t="b">
        <f t="shared" si="287"/>
        <v>1</v>
      </c>
      <c r="K1592" t="str">
        <f t="shared" si="288"/>
        <v>Plecoptera</v>
      </c>
      <c r="L1592">
        <f>_xlfn.XLOOKUP(D1592,BugList!C:C,BugList!N:N)</f>
        <v>1</v>
      </c>
      <c r="M1592">
        <f t="shared" si="289"/>
        <v>1</v>
      </c>
      <c r="N1592" t="b">
        <f>_xlfn.XLOOKUP(D1592,BugList!C:C,BugList!L:L)</f>
        <v>1</v>
      </c>
      <c r="O1592" t="b">
        <f t="shared" si="290"/>
        <v>1</v>
      </c>
      <c r="P1592" s="18" t="b">
        <f>SUMPRODUCT(COUNTIF(_xlfn.XLOOKUP(D1592,BugList!C:C,BugList!P:P), "*SC*"))&gt;0</f>
        <v>0</v>
      </c>
    </row>
    <row r="1593" spans="1:16">
      <c r="A1593" s="86" t="s">
        <v>2883</v>
      </c>
      <c r="B1593" s="83">
        <v>476</v>
      </c>
      <c r="C1593" s="34" t="s">
        <v>198</v>
      </c>
      <c r="D1593" s="34" t="s">
        <v>89</v>
      </c>
      <c r="E1593" s="83">
        <v>77</v>
      </c>
      <c r="F1593" s="43">
        <f t="shared" si="284"/>
        <v>56.20437956204379</v>
      </c>
      <c r="G1593" s="44">
        <f t="shared" si="285"/>
        <v>56</v>
      </c>
      <c r="H1593" s="44">
        <f t="shared" si="286"/>
        <v>0.20437956204379049</v>
      </c>
      <c r="I1593" cm="1">
        <f t="array" ref="I1593">INT(F1593)+IF(100-SUM(INT(F$1583:F$1595))&gt;=RANK(H1593,H$1583:H$1595)+COUNTIF(H$1583:H1593,H1593)-1,1,0)</f>
        <v>56</v>
      </c>
      <c r="J1593" t="b">
        <f t="shared" si="287"/>
        <v>1</v>
      </c>
      <c r="K1593" t="str">
        <f t="shared" si="288"/>
        <v>Trichoptera</v>
      </c>
      <c r="L1593">
        <f>_xlfn.XLOOKUP(D1593,BugList!C:C,BugList!N:N)</f>
        <v>4</v>
      </c>
      <c r="M1593">
        <f t="shared" si="289"/>
        <v>224</v>
      </c>
      <c r="N1593" t="b">
        <f>_xlfn.XLOOKUP(D1593,BugList!C:C,BugList!L:L)</f>
        <v>1</v>
      </c>
      <c r="O1593" t="b">
        <f t="shared" si="290"/>
        <v>0</v>
      </c>
      <c r="P1593" s="18" t="b">
        <f>SUMPRODUCT(COUNTIF(_xlfn.XLOOKUP(D1593,BugList!C:C,BugList!P:P), "*SC*"))&gt;0</f>
        <v>0</v>
      </c>
    </row>
    <row r="1594" spans="1:16">
      <c r="A1594" s="86" t="s">
        <v>2883</v>
      </c>
      <c r="B1594" s="83">
        <v>476</v>
      </c>
      <c r="C1594" s="34" t="s">
        <v>198</v>
      </c>
      <c r="D1594" s="34" t="s">
        <v>107</v>
      </c>
      <c r="E1594" s="83">
        <v>36</v>
      </c>
      <c r="F1594" s="43">
        <f t="shared" si="284"/>
        <v>26.277372262773724</v>
      </c>
      <c r="G1594" s="44">
        <f t="shared" si="285"/>
        <v>26</v>
      </c>
      <c r="H1594" s="44">
        <f t="shared" si="286"/>
        <v>0.27737226277372429</v>
      </c>
      <c r="I1594" cm="1">
        <f t="array" ref="I1594">INT(F1594)+IF(100-SUM(INT(F$1583:F$1595))&gt;=RANK(H1594,H$1583:H$1595)+COUNTIF(H$1583:H1594,H1594)-1,1,0)</f>
        <v>26</v>
      </c>
      <c r="J1594" t="b">
        <f t="shared" si="287"/>
        <v>1</v>
      </c>
      <c r="K1594" t="str">
        <f t="shared" si="288"/>
        <v>Trichoptera</v>
      </c>
      <c r="L1594">
        <f>_xlfn.XLOOKUP(D1594,BugList!C:C,BugList!N:N)</f>
        <v>3</v>
      </c>
      <c r="M1594">
        <f t="shared" si="289"/>
        <v>78</v>
      </c>
      <c r="N1594" t="b">
        <f>_xlfn.XLOOKUP(D1594,BugList!C:C,BugList!L:L)</f>
        <v>1</v>
      </c>
      <c r="O1594" t="b">
        <f t="shared" si="290"/>
        <v>1</v>
      </c>
      <c r="P1594" s="18" t="b">
        <f>SUMPRODUCT(COUNTIF(_xlfn.XLOOKUP(D1594,BugList!C:C,BugList!P:P), "*SC*"))&gt;0</f>
        <v>0</v>
      </c>
    </row>
    <row r="1595" spans="1:16">
      <c r="A1595" s="86" t="s">
        <v>2883</v>
      </c>
      <c r="B1595" s="83">
        <v>476</v>
      </c>
      <c r="C1595" s="34" t="s">
        <v>198</v>
      </c>
      <c r="D1595" s="34" t="s">
        <v>163</v>
      </c>
      <c r="E1595" s="83">
        <v>2</v>
      </c>
      <c r="F1595" s="43">
        <f t="shared" ref="F1595:F1658" si="291">(E1595/(SUMIFS(E:E,A:A,A1595))*100)</f>
        <v>1.4598540145985401</v>
      </c>
      <c r="G1595" s="44">
        <f t="shared" si="285"/>
        <v>1</v>
      </c>
      <c r="H1595" s="44">
        <f t="shared" si="286"/>
        <v>0.45985401459854014</v>
      </c>
      <c r="I1595" cm="1">
        <f t="array" ref="I1595">INT(F1595)+IF(100-SUM(INT(F$1583:F$1595))&gt;=RANK(H1595,H$1583:H$1595)+COUNTIF(H$1583:H1595,H1595)-1,1,0)</f>
        <v>1</v>
      </c>
      <c r="J1595" t="b">
        <f t="shared" si="287"/>
        <v>1</v>
      </c>
      <c r="K1595" t="str">
        <f t="shared" si="288"/>
        <v>Trichoptera</v>
      </c>
      <c r="L1595">
        <f>_xlfn.XLOOKUP(D1595,BugList!C:C,BugList!N:N)</f>
        <v>6</v>
      </c>
      <c r="M1595">
        <f t="shared" si="289"/>
        <v>6</v>
      </c>
      <c r="N1595" t="b">
        <f>_xlfn.XLOOKUP(D1595,BugList!C:C,BugList!L:L)</f>
        <v>1</v>
      </c>
      <c r="O1595" t="b">
        <f t="shared" si="290"/>
        <v>1</v>
      </c>
      <c r="P1595" s="18" t="b">
        <f>SUMPRODUCT(COUNTIF(_xlfn.XLOOKUP(D1595,BugList!C:C,BugList!P:P), "*SC*"))&gt;0</f>
        <v>0</v>
      </c>
    </row>
    <row r="1596" spans="1:16">
      <c r="A1596" s="86" t="s">
        <v>2884</v>
      </c>
      <c r="B1596" s="83">
        <v>481</v>
      </c>
      <c r="C1596" s="34" t="s">
        <v>200</v>
      </c>
      <c r="D1596" s="34" t="s">
        <v>98</v>
      </c>
      <c r="E1596" s="83">
        <v>2</v>
      </c>
      <c r="F1596" s="43">
        <f t="shared" si="291"/>
        <v>1.6</v>
      </c>
      <c r="G1596" s="44">
        <f t="shared" si="285"/>
        <v>1</v>
      </c>
      <c r="H1596" s="44">
        <f t="shared" si="286"/>
        <v>0.60000000000000009</v>
      </c>
      <c r="I1596" cm="1">
        <f t="array" ref="I1596">INT(F1596)+IF(100-SUM(INT(F$1596:F$1605))&gt;=RANK(H1596,H$1596:H$1605)+COUNTIF(H$1596:H1596,H1596)-1,1,0)</f>
        <v>2</v>
      </c>
      <c r="J1596" t="b">
        <f t="shared" si="287"/>
        <v>0</v>
      </c>
      <c r="K1596" t="str">
        <f t="shared" si="288"/>
        <v/>
      </c>
      <c r="L1596">
        <f>_xlfn.XLOOKUP(D1596,BugList!C:C,BugList!N:N)</f>
        <v>4</v>
      </c>
      <c r="M1596">
        <f t="shared" si="289"/>
        <v>8</v>
      </c>
      <c r="N1596" t="b">
        <f>_xlfn.XLOOKUP(D1596,BugList!C:C,BugList!L:L)</f>
        <v>1</v>
      </c>
      <c r="O1596" t="b">
        <f t="shared" si="290"/>
        <v>0</v>
      </c>
      <c r="P1596" s="18" t="b">
        <f>SUMPRODUCT(COUNTIF(_xlfn.XLOOKUP(D1596,BugList!C:C,BugList!P:P), "*SC*"))&gt;0</f>
        <v>1</v>
      </c>
    </row>
    <row r="1597" spans="1:16">
      <c r="A1597" s="86" t="s">
        <v>2884</v>
      </c>
      <c r="B1597" s="83">
        <v>481</v>
      </c>
      <c r="C1597" s="34" t="s">
        <v>200</v>
      </c>
      <c r="D1597" s="34" t="s">
        <v>99</v>
      </c>
      <c r="E1597" s="83">
        <v>1</v>
      </c>
      <c r="F1597" s="43">
        <f t="shared" si="291"/>
        <v>0.8</v>
      </c>
      <c r="G1597" s="44">
        <f t="shared" si="285"/>
        <v>0</v>
      </c>
      <c r="H1597" s="44">
        <f t="shared" si="286"/>
        <v>0.8</v>
      </c>
      <c r="I1597" cm="1">
        <f t="array" ref="I1597">INT(F1597)+IF(100-SUM(INT(F$1596:F$1605))&gt;=RANK(H1597,H$1596:H$1605)+COUNTIF(H$1596:H1597,H1597)-1,1,0)</f>
        <v>1</v>
      </c>
      <c r="J1597" t="b">
        <f t="shared" si="287"/>
        <v>0</v>
      </c>
      <c r="K1597" t="str">
        <f t="shared" si="288"/>
        <v/>
      </c>
      <c r="L1597">
        <f>_xlfn.XLOOKUP(D1597,BugList!C:C,BugList!N:N)</f>
        <v>5</v>
      </c>
      <c r="M1597">
        <f t="shared" si="289"/>
        <v>5</v>
      </c>
      <c r="N1597" t="b">
        <f>_xlfn.XLOOKUP(D1597,BugList!C:C,BugList!L:L)</f>
        <v>1</v>
      </c>
      <c r="O1597" t="b">
        <f t="shared" si="290"/>
        <v>0</v>
      </c>
      <c r="P1597" s="18" t="b">
        <f>SUMPRODUCT(COUNTIF(_xlfn.XLOOKUP(D1597,BugList!C:C,BugList!P:P), "*SC*"))&gt;0</f>
        <v>0</v>
      </c>
    </row>
    <row r="1598" spans="1:16">
      <c r="A1598" s="86" t="s">
        <v>2884</v>
      </c>
      <c r="B1598" s="83">
        <v>481</v>
      </c>
      <c r="C1598" s="34" t="s">
        <v>200</v>
      </c>
      <c r="D1598" s="34" t="s">
        <v>100</v>
      </c>
      <c r="E1598" s="83">
        <v>28</v>
      </c>
      <c r="F1598" s="43">
        <f t="shared" si="291"/>
        <v>22.400000000000002</v>
      </c>
      <c r="G1598" s="44">
        <f t="shared" si="285"/>
        <v>22</v>
      </c>
      <c r="H1598" s="44">
        <f t="shared" si="286"/>
        <v>0.40000000000000213</v>
      </c>
      <c r="I1598" cm="1">
        <f t="array" ref="I1598">INT(F1598)+IF(100-SUM(INT(F$1596:F$1605))&gt;=RANK(H1598,H$1596:H$1605)+COUNTIF(H$1596:H1598,H1598)-1,1,0)</f>
        <v>22</v>
      </c>
      <c r="J1598" t="b">
        <f t="shared" si="287"/>
        <v>0</v>
      </c>
      <c r="K1598" t="str">
        <f t="shared" si="288"/>
        <v/>
      </c>
      <c r="L1598">
        <f>_xlfn.XLOOKUP(D1598,BugList!C:C,BugList!N:N)</f>
        <v>4</v>
      </c>
      <c r="M1598">
        <f t="shared" si="289"/>
        <v>88</v>
      </c>
      <c r="N1598" t="b">
        <f>_xlfn.XLOOKUP(D1598,BugList!C:C,BugList!L:L)</f>
        <v>1</v>
      </c>
      <c r="O1598" t="b">
        <f t="shared" si="290"/>
        <v>0</v>
      </c>
      <c r="P1598" s="18" t="b">
        <f>SUMPRODUCT(COUNTIF(_xlfn.XLOOKUP(D1598,BugList!C:C,BugList!P:P), "*SC*"))&gt;0</f>
        <v>1</v>
      </c>
    </row>
    <row r="1599" spans="1:16">
      <c r="A1599" s="86" t="s">
        <v>2884</v>
      </c>
      <c r="B1599" s="83">
        <v>481</v>
      </c>
      <c r="C1599" s="34" t="s">
        <v>194</v>
      </c>
      <c r="D1599" s="34" t="s">
        <v>108</v>
      </c>
      <c r="E1599" s="83">
        <v>1</v>
      </c>
      <c r="F1599" s="43">
        <f t="shared" si="291"/>
        <v>0.8</v>
      </c>
      <c r="G1599" s="44">
        <f t="shared" si="285"/>
        <v>0</v>
      </c>
      <c r="H1599" s="44">
        <f t="shared" si="286"/>
        <v>0.8</v>
      </c>
      <c r="I1599" cm="1">
        <f t="array" ref="I1599">INT(F1599)+IF(100-SUM(INT(F$1596:F$1605))&gt;=RANK(H1599,H$1596:H$1605)+COUNTIF(H$1596:H1599,H1599)-1,1,0)</f>
        <v>1</v>
      </c>
      <c r="J1599" t="b">
        <f t="shared" si="287"/>
        <v>0</v>
      </c>
      <c r="K1599" t="str">
        <f t="shared" si="288"/>
        <v/>
      </c>
      <c r="L1599">
        <f>_xlfn.XLOOKUP(D1599,BugList!C:C,BugList!N:N)</f>
        <v>3</v>
      </c>
      <c r="M1599">
        <f t="shared" si="289"/>
        <v>3</v>
      </c>
      <c r="N1599" t="b">
        <f>_xlfn.XLOOKUP(D1599,BugList!C:C,BugList!L:L)</f>
        <v>1</v>
      </c>
      <c r="O1599" t="b">
        <f t="shared" si="290"/>
        <v>0</v>
      </c>
      <c r="P1599" s="18" t="b">
        <f>SUMPRODUCT(COUNTIF(_xlfn.XLOOKUP(D1599,BugList!C:C,BugList!P:P), "*SC*"))&gt;0</f>
        <v>0</v>
      </c>
    </row>
    <row r="1600" spans="1:16">
      <c r="A1600" s="86" t="s">
        <v>2884</v>
      </c>
      <c r="B1600" s="83">
        <v>481</v>
      </c>
      <c r="C1600" s="34" t="s">
        <v>199</v>
      </c>
      <c r="D1600" s="34" t="s">
        <v>111</v>
      </c>
      <c r="E1600" s="83">
        <v>7</v>
      </c>
      <c r="F1600" s="43">
        <f t="shared" si="291"/>
        <v>5.6000000000000005</v>
      </c>
      <c r="G1600" s="44">
        <f t="shared" si="285"/>
        <v>5</v>
      </c>
      <c r="H1600" s="44">
        <f t="shared" si="286"/>
        <v>0.60000000000000053</v>
      </c>
      <c r="I1600" cm="1">
        <f t="array" ref="I1600">INT(F1600)+IF(100-SUM(INT(F$1596:F$1605))&gt;=RANK(H1600,H$1596:H$1605)+COUNTIF(H$1596:H1600,H1600)-1,1,0)</f>
        <v>6</v>
      </c>
      <c r="J1600" t="b">
        <f t="shared" si="287"/>
        <v>1</v>
      </c>
      <c r="K1600" t="str">
        <f t="shared" si="288"/>
        <v>Ephemeroptera</v>
      </c>
      <c r="L1600">
        <f>_xlfn.XLOOKUP(D1600,BugList!C:C,BugList!N:N)</f>
        <v>4</v>
      </c>
      <c r="M1600">
        <f t="shared" si="289"/>
        <v>24</v>
      </c>
      <c r="N1600" t="b">
        <f>_xlfn.XLOOKUP(D1600,BugList!C:C,BugList!L:L)</f>
        <v>1</v>
      </c>
      <c r="O1600" t="b">
        <f t="shared" si="290"/>
        <v>1</v>
      </c>
      <c r="P1600" s="18" t="b">
        <f>SUMPRODUCT(COUNTIF(_xlfn.XLOOKUP(D1600,BugList!C:C,BugList!P:P), "*SC*"))&gt;0</f>
        <v>0</v>
      </c>
    </row>
    <row r="1601" spans="1:16">
      <c r="A1601" s="86" t="s">
        <v>2884</v>
      </c>
      <c r="B1601" s="83">
        <v>481</v>
      </c>
      <c r="C1601" s="34" t="s">
        <v>199</v>
      </c>
      <c r="D1601" s="34" t="s">
        <v>969</v>
      </c>
      <c r="E1601" s="83">
        <v>2</v>
      </c>
      <c r="F1601" s="43">
        <f t="shared" si="291"/>
        <v>1.6</v>
      </c>
      <c r="G1601" s="44">
        <f t="shared" si="285"/>
        <v>1</v>
      </c>
      <c r="H1601" s="44">
        <f t="shared" si="286"/>
        <v>0.60000000000000009</v>
      </c>
      <c r="I1601" cm="1">
        <f t="array" ref="I1601">INT(F1601)+IF(100-SUM(INT(F$1596:F$1605))&gt;=RANK(H1601,H$1596:H$1605)+COUNTIF(H$1596:H1601,H1601)-1,1,0)</f>
        <v>1</v>
      </c>
      <c r="J1601" t="b">
        <f t="shared" si="287"/>
        <v>1</v>
      </c>
      <c r="K1601" t="str">
        <f t="shared" si="288"/>
        <v>Ephemeroptera</v>
      </c>
      <c r="L1601">
        <f>_xlfn.XLOOKUP(D1601,BugList!C:C,BugList!N:N)</f>
        <v>7</v>
      </c>
      <c r="M1601">
        <f t="shared" si="289"/>
        <v>7</v>
      </c>
      <c r="N1601" t="b">
        <f>_xlfn.XLOOKUP(D1601,BugList!C:C,BugList!L:L)</f>
        <v>1</v>
      </c>
      <c r="O1601" t="b">
        <f t="shared" si="290"/>
        <v>1</v>
      </c>
      <c r="P1601" s="18" t="b">
        <f>SUMPRODUCT(COUNTIF(_xlfn.XLOOKUP(D1601,BugList!C:C,BugList!P:P), "*SC*"))&gt;0</f>
        <v>0</v>
      </c>
    </row>
    <row r="1602" spans="1:16">
      <c r="A1602" s="86" t="s">
        <v>2884</v>
      </c>
      <c r="B1602" s="83">
        <v>481</v>
      </c>
      <c r="C1602" s="34" t="s">
        <v>195</v>
      </c>
      <c r="D1602" s="34" t="s">
        <v>97</v>
      </c>
      <c r="E1602" s="83">
        <v>4</v>
      </c>
      <c r="F1602" s="43">
        <f t="shared" si="291"/>
        <v>3.2</v>
      </c>
      <c r="G1602" s="44">
        <f t="shared" si="285"/>
        <v>3</v>
      </c>
      <c r="H1602" s="44">
        <f t="shared" si="286"/>
        <v>0.20000000000000018</v>
      </c>
      <c r="I1602" cm="1">
        <f t="array" ref="I1602">INT(F1602)+IF(100-SUM(INT(F$1596:F$1605))&gt;=RANK(H1602,H$1596:H$1605)+COUNTIF(H$1596:H1602,H1602)-1,1,0)</f>
        <v>3</v>
      </c>
      <c r="J1602" t="b">
        <f t="shared" si="287"/>
        <v>0</v>
      </c>
      <c r="K1602" t="str">
        <f t="shared" si="288"/>
        <v/>
      </c>
      <c r="L1602">
        <f>_xlfn.XLOOKUP(D1602,BugList!C:C,BugList!N:N)</f>
        <v>9</v>
      </c>
      <c r="M1602">
        <f t="shared" si="289"/>
        <v>27</v>
      </c>
      <c r="N1602" t="b">
        <f>_xlfn.XLOOKUP(D1602,BugList!C:C,BugList!L:L)</f>
        <v>1</v>
      </c>
      <c r="O1602" t="b">
        <f t="shared" si="290"/>
        <v>0</v>
      </c>
      <c r="P1602" s="18" t="b">
        <f>SUMPRODUCT(COUNTIF(_xlfn.XLOOKUP(D1602,BugList!C:C,BugList!P:P), "*SC*"))&gt;0</f>
        <v>0</v>
      </c>
    </row>
    <row r="1603" spans="1:16">
      <c r="A1603" s="86" t="s">
        <v>2884</v>
      </c>
      <c r="B1603" s="83">
        <v>481</v>
      </c>
      <c r="C1603" s="34" t="s">
        <v>195</v>
      </c>
      <c r="D1603" s="34" t="s">
        <v>113</v>
      </c>
      <c r="E1603" s="83">
        <v>1</v>
      </c>
      <c r="F1603" s="43">
        <f t="shared" si="291"/>
        <v>0.8</v>
      </c>
      <c r="G1603" s="44">
        <f t="shared" si="285"/>
        <v>0</v>
      </c>
      <c r="H1603" s="44">
        <f t="shared" si="286"/>
        <v>0.8</v>
      </c>
      <c r="I1603" cm="1">
        <f t="array" ref="I1603">INT(F1603)+IF(100-SUM(INT(F$1596:F$1605))&gt;=RANK(H1603,H$1596:H$1605)+COUNTIF(H$1596:H1603,H1603)-1,1,0)</f>
        <v>1</v>
      </c>
      <c r="J1603" t="b">
        <f t="shared" si="287"/>
        <v>0</v>
      </c>
      <c r="K1603" t="str">
        <f t="shared" si="288"/>
        <v/>
      </c>
      <c r="L1603">
        <f>_xlfn.XLOOKUP(D1603,BugList!C:C,BugList!N:N)</f>
        <v>1</v>
      </c>
      <c r="M1603">
        <f t="shared" si="289"/>
        <v>1</v>
      </c>
      <c r="N1603" t="b">
        <f>_xlfn.XLOOKUP(D1603,BugList!C:C,BugList!L:L)</f>
        <v>1</v>
      </c>
      <c r="O1603" t="b">
        <f t="shared" si="290"/>
        <v>0</v>
      </c>
      <c r="P1603" s="18" t="b">
        <f>SUMPRODUCT(COUNTIF(_xlfn.XLOOKUP(D1603,BugList!C:C,BugList!P:P), "*SC*"))&gt;0</f>
        <v>0</v>
      </c>
    </row>
    <row r="1604" spans="1:16">
      <c r="A1604" s="86" t="s">
        <v>2884</v>
      </c>
      <c r="B1604" s="83">
        <v>481</v>
      </c>
      <c r="C1604" s="34" t="s">
        <v>198</v>
      </c>
      <c r="D1604" s="34" t="s">
        <v>89</v>
      </c>
      <c r="E1604" s="83">
        <v>1</v>
      </c>
      <c r="F1604" s="43">
        <f t="shared" si="291"/>
        <v>0.8</v>
      </c>
      <c r="G1604" s="44">
        <f t="shared" si="285"/>
        <v>0</v>
      </c>
      <c r="H1604" s="44">
        <f t="shared" si="286"/>
        <v>0.8</v>
      </c>
      <c r="I1604" cm="1">
        <f t="array" ref="I1604">INT(F1604)+IF(100-SUM(INT(F$1596:F$1605))&gt;=RANK(H1604,H$1596:H$1605)+COUNTIF(H$1596:H1604,H1604)-1,1,0)</f>
        <v>1</v>
      </c>
      <c r="J1604" t="b">
        <f t="shared" si="287"/>
        <v>1</v>
      </c>
      <c r="K1604" t="str">
        <f t="shared" si="288"/>
        <v>Trichoptera</v>
      </c>
      <c r="L1604">
        <f>_xlfn.XLOOKUP(D1604,BugList!C:C,BugList!N:N)</f>
        <v>4</v>
      </c>
      <c r="M1604">
        <f t="shared" si="289"/>
        <v>4</v>
      </c>
      <c r="N1604" t="b">
        <f>_xlfn.XLOOKUP(D1604,BugList!C:C,BugList!L:L)</f>
        <v>1</v>
      </c>
      <c r="O1604" t="b">
        <f t="shared" si="290"/>
        <v>0</v>
      </c>
      <c r="P1604" s="18" t="b">
        <f>SUMPRODUCT(COUNTIF(_xlfn.XLOOKUP(D1604,BugList!C:C,BugList!P:P), "*SC*"))&gt;0</f>
        <v>0</v>
      </c>
    </row>
    <row r="1605" spans="1:16">
      <c r="A1605" s="86" t="s">
        <v>2884</v>
      </c>
      <c r="B1605" s="83">
        <v>481</v>
      </c>
      <c r="C1605" s="34" t="s">
        <v>198</v>
      </c>
      <c r="D1605" s="34" t="s">
        <v>107</v>
      </c>
      <c r="E1605" s="83">
        <v>78</v>
      </c>
      <c r="F1605" s="43">
        <f t="shared" si="291"/>
        <v>62.4</v>
      </c>
      <c r="G1605" s="44">
        <f t="shared" si="285"/>
        <v>62</v>
      </c>
      <c r="H1605" s="44">
        <f t="shared" si="286"/>
        <v>0.39999999999999858</v>
      </c>
      <c r="I1605" cm="1">
        <f t="array" ref="I1605">INT(F1605)+IF(100-SUM(INT(F$1596:F$1605))&gt;=RANK(H1605,H$1596:H$1605)+COUNTIF(H$1596:H1605,H1605)-1,1,0)</f>
        <v>62</v>
      </c>
      <c r="J1605" t="b">
        <f t="shared" si="287"/>
        <v>1</v>
      </c>
      <c r="K1605" t="str">
        <f t="shared" si="288"/>
        <v>Trichoptera</v>
      </c>
      <c r="L1605">
        <f>_xlfn.XLOOKUP(D1605,BugList!C:C,BugList!N:N)</f>
        <v>3</v>
      </c>
      <c r="M1605">
        <f t="shared" si="289"/>
        <v>186</v>
      </c>
      <c r="N1605" t="b">
        <f>_xlfn.XLOOKUP(D1605,BugList!C:C,BugList!L:L)</f>
        <v>1</v>
      </c>
      <c r="O1605" t="b">
        <f t="shared" si="290"/>
        <v>1</v>
      </c>
      <c r="P1605" s="18" t="b">
        <f>SUMPRODUCT(COUNTIF(_xlfn.XLOOKUP(D1605,BugList!C:C,BugList!P:P), "*SC*"))&gt;0</f>
        <v>0</v>
      </c>
    </row>
    <row r="1606" spans="1:16">
      <c r="A1606" s="86" t="s">
        <v>2885</v>
      </c>
      <c r="B1606" s="83">
        <v>490</v>
      </c>
      <c r="C1606" s="34" t="s">
        <v>200</v>
      </c>
      <c r="D1606" s="34" t="s">
        <v>100</v>
      </c>
      <c r="E1606" s="83">
        <v>9</v>
      </c>
      <c r="F1606" s="43">
        <f t="shared" si="291"/>
        <v>8.5714285714285712</v>
      </c>
      <c r="G1606" s="44">
        <f t="shared" si="285"/>
        <v>8</v>
      </c>
      <c r="H1606" s="44">
        <f t="shared" si="286"/>
        <v>0.57142857142857117</v>
      </c>
      <c r="I1606" s="71">
        <v>9</v>
      </c>
      <c r="J1606" t="b">
        <f t="shared" si="287"/>
        <v>0</v>
      </c>
      <c r="K1606" t="str">
        <f t="shared" si="288"/>
        <v/>
      </c>
      <c r="L1606">
        <f>_xlfn.XLOOKUP(D1606,BugList!C:C,BugList!N:N)</f>
        <v>4</v>
      </c>
      <c r="M1606">
        <f t="shared" si="289"/>
        <v>36</v>
      </c>
      <c r="N1606" t="b">
        <f>_xlfn.XLOOKUP(D1606,BugList!C:C,BugList!L:L)</f>
        <v>1</v>
      </c>
      <c r="O1606" t="b">
        <f t="shared" si="290"/>
        <v>0</v>
      </c>
      <c r="P1606" s="18" t="b">
        <f>SUMPRODUCT(COUNTIF(_xlfn.XLOOKUP(D1606,BugList!C:C,BugList!P:P), "*SC*"))&gt;0</f>
        <v>1</v>
      </c>
    </row>
    <row r="1607" spans="1:16">
      <c r="A1607" s="86" t="s">
        <v>2885</v>
      </c>
      <c r="B1607" s="83">
        <v>490</v>
      </c>
      <c r="C1607" s="34" t="s">
        <v>194</v>
      </c>
      <c r="D1607" s="34" t="s">
        <v>126</v>
      </c>
      <c r="E1607" s="83">
        <v>17</v>
      </c>
      <c r="F1607" s="43">
        <f t="shared" si="291"/>
        <v>16.19047619047619</v>
      </c>
      <c r="G1607" s="44">
        <f t="shared" si="285"/>
        <v>16</v>
      </c>
      <c r="H1607" s="44">
        <f t="shared" si="286"/>
        <v>0.1904761904761898</v>
      </c>
      <c r="I1607" cm="1">
        <f t="array" ref="I1607">INT(F1607)+IF(100-SUM(INT(F$1606:F$1623))&gt;=RANK(H1607,H$1606:H$1623)+COUNTIF(H$1606:H1607,H1607)-1,1,0)</f>
        <v>16</v>
      </c>
      <c r="J1607" t="b">
        <f t="shared" si="287"/>
        <v>0</v>
      </c>
      <c r="K1607" t="str">
        <f t="shared" si="288"/>
        <v/>
      </c>
      <c r="L1607">
        <f>_xlfn.XLOOKUP(D1607,BugList!C:C,BugList!N:N)</f>
        <v>8</v>
      </c>
      <c r="M1607">
        <f t="shared" si="289"/>
        <v>128</v>
      </c>
      <c r="N1607" t="b">
        <f>_xlfn.XLOOKUP(D1607,BugList!C:C,BugList!L:L)</f>
        <v>1</v>
      </c>
      <c r="O1607" t="b">
        <f t="shared" si="290"/>
        <v>0</v>
      </c>
      <c r="P1607" s="18" t="b">
        <f>SUMPRODUCT(COUNTIF(_xlfn.XLOOKUP(D1607,BugList!C:C,BugList!P:P), "*SC*"))&gt;0</f>
        <v>0</v>
      </c>
    </row>
    <row r="1608" spans="1:16">
      <c r="A1608" s="86" t="s">
        <v>2885</v>
      </c>
      <c r="B1608" s="83">
        <v>490</v>
      </c>
      <c r="C1608" s="34" t="s">
        <v>194</v>
      </c>
      <c r="D1608" s="34" t="s">
        <v>90</v>
      </c>
      <c r="E1608" s="83">
        <v>29</v>
      </c>
      <c r="F1608" s="43">
        <f t="shared" si="291"/>
        <v>27.61904761904762</v>
      </c>
      <c r="G1608" s="44">
        <f t="shared" si="285"/>
        <v>27</v>
      </c>
      <c r="H1608" s="44">
        <f t="shared" si="286"/>
        <v>0.6190476190476204</v>
      </c>
      <c r="I1608" cm="1">
        <f t="array" ref="I1608">INT(F1608)+IF(100-SUM(INT(F$1606:F$1623))&gt;=RANK(H1608,H$1606:H$1623)+COUNTIF(H$1606:H1608,H1608)-1,1,0)</f>
        <v>28</v>
      </c>
      <c r="J1608" t="b">
        <f t="shared" si="287"/>
        <v>0</v>
      </c>
      <c r="K1608" t="str">
        <f t="shared" si="288"/>
        <v/>
      </c>
      <c r="L1608">
        <f>_xlfn.XLOOKUP(D1608,BugList!C:C,BugList!N:N)</f>
        <v>6</v>
      </c>
      <c r="M1608">
        <f t="shared" si="289"/>
        <v>168</v>
      </c>
      <c r="N1608" t="b">
        <f>_xlfn.XLOOKUP(D1608,BugList!C:C,BugList!L:L)</f>
        <v>1</v>
      </c>
      <c r="O1608" t="b">
        <f t="shared" si="290"/>
        <v>0</v>
      </c>
      <c r="P1608" s="18" t="b">
        <f>SUMPRODUCT(COUNTIF(_xlfn.XLOOKUP(D1608,BugList!C:C,BugList!P:P), "*SC*"))&gt;0</f>
        <v>0</v>
      </c>
    </row>
    <row r="1609" spans="1:16">
      <c r="A1609" s="86" t="s">
        <v>2885</v>
      </c>
      <c r="B1609" s="83">
        <v>490</v>
      </c>
      <c r="C1609" s="34" t="s">
        <v>194</v>
      </c>
      <c r="D1609" s="34" t="s">
        <v>101</v>
      </c>
      <c r="E1609" s="83">
        <v>12</v>
      </c>
      <c r="F1609" s="43">
        <f t="shared" si="291"/>
        <v>11.428571428571429</v>
      </c>
      <c r="G1609" s="44">
        <f t="shared" si="285"/>
        <v>11</v>
      </c>
      <c r="H1609" s="44">
        <f t="shared" si="286"/>
        <v>0.42857142857142883</v>
      </c>
      <c r="I1609" cm="1">
        <f t="array" ref="I1609">INT(F1609)+IF(100-SUM(INT(F$1606:F$1623))&gt;=RANK(H1609,H$1606:H$1623)+COUNTIF(H$1606:H1609,H1609)-1,1,0)</f>
        <v>11</v>
      </c>
      <c r="J1609" t="b">
        <f t="shared" si="287"/>
        <v>0</v>
      </c>
      <c r="K1609" t="str">
        <f t="shared" si="288"/>
        <v/>
      </c>
      <c r="L1609">
        <f>_xlfn.XLOOKUP(D1609,BugList!C:C,BugList!N:N)</f>
        <v>6</v>
      </c>
      <c r="M1609">
        <f t="shared" si="289"/>
        <v>66</v>
      </c>
      <c r="N1609" t="b">
        <f>_xlfn.XLOOKUP(D1609,BugList!C:C,BugList!L:L)</f>
        <v>1</v>
      </c>
      <c r="O1609" t="b">
        <f t="shared" si="290"/>
        <v>0</v>
      </c>
      <c r="P1609" s="18" t="b">
        <f>SUMPRODUCT(COUNTIF(_xlfn.XLOOKUP(D1609,BugList!C:C,BugList!P:P), "*SC*"))&gt;0</f>
        <v>0</v>
      </c>
    </row>
    <row r="1610" spans="1:16">
      <c r="A1610" s="86" t="s">
        <v>2885</v>
      </c>
      <c r="B1610" s="83">
        <v>490</v>
      </c>
      <c r="C1610" s="34" t="s">
        <v>194</v>
      </c>
      <c r="D1610" s="34" t="s">
        <v>108</v>
      </c>
      <c r="E1610" s="83">
        <v>1</v>
      </c>
      <c r="F1610" s="43">
        <f t="shared" si="291"/>
        <v>0.95238095238095244</v>
      </c>
      <c r="G1610" s="44">
        <f t="shared" si="285"/>
        <v>0</v>
      </c>
      <c r="H1610" s="44">
        <f t="shared" si="286"/>
        <v>0.95238095238095244</v>
      </c>
      <c r="I1610" cm="1">
        <f t="array" ref="I1610">INT(F1610)+IF(100-SUM(INT(F$1606:F$1623))&gt;=RANK(H1610,H$1606:H$1623)+COUNTIF(H$1606:H1610,H1610)-1,1,0)</f>
        <v>1</v>
      </c>
      <c r="J1610" t="b">
        <f t="shared" si="287"/>
        <v>0</v>
      </c>
      <c r="K1610" t="str">
        <f t="shared" si="288"/>
        <v/>
      </c>
      <c r="L1610">
        <f>_xlfn.XLOOKUP(D1610,BugList!C:C,BugList!N:N)</f>
        <v>3</v>
      </c>
      <c r="M1610">
        <f t="shared" si="289"/>
        <v>3</v>
      </c>
      <c r="N1610" t="b">
        <f>_xlfn.XLOOKUP(D1610,BugList!C:C,BugList!L:L)</f>
        <v>1</v>
      </c>
      <c r="O1610" t="b">
        <f t="shared" si="290"/>
        <v>0</v>
      </c>
      <c r="P1610" s="18" t="b">
        <f>SUMPRODUCT(COUNTIF(_xlfn.XLOOKUP(D1610,BugList!C:C,BugList!P:P), "*SC*"))&gt;0</f>
        <v>0</v>
      </c>
    </row>
    <row r="1611" spans="1:16">
      <c r="A1611" s="86" t="s">
        <v>2885</v>
      </c>
      <c r="B1611" s="83">
        <v>490</v>
      </c>
      <c r="C1611" s="34" t="s">
        <v>199</v>
      </c>
      <c r="D1611" s="34" t="s">
        <v>151</v>
      </c>
      <c r="E1611" s="83">
        <v>2</v>
      </c>
      <c r="F1611" s="43">
        <f t="shared" si="291"/>
        <v>1.9047619047619049</v>
      </c>
      <c r="G1611" s="44">
        <f t="shared" si="285"/>
        <v>1</v>
      </c>
      <c r="H1611" s="44">
        <f t="shared" si="286"/>
        <v>0.90476190476190488</v>
      </c>
      <c r="I1611" cm="1">
        <f t="array" ref="I1611">INT(F1611)+IF(100-SUM(INT(F$1606:F$1623))&gt;=RANK(H1611,H$1606:H$1623)+COUNTIF(H$1606:H1611,H1611)-1,1,0)</f>
        <v>2</v>
      </c>
      <c r="J1611" t="b">
        <f t="shared" si="287"/>
        <v>1</v>
      </c>
      <c r="K1611" t="str">
        <f t="shared" si="288"/>
        <v>Ephemeroptera</v>
      </c>
      <c r="L1611">
        <f>_xlfn.XLOOKUP(D1611,BugList!C:C,BugList!N:N)</f>
        <v>1</v>
      </c>
      <c r="M1611">
        <f t="shared" si="289"/>
        <v>2</v>
      </c>
      <c r="N1611" t="b">
        <f>_xlfn.XLOOKUP(D1611,BugList!C:C,BugList!L:L)</f>
        <v>1</v>
      </c>
      <c r="O1611" t="b">
        <f t="shared" si="290"/>
        <v>1</v>
      </c>
      <c r="P1611" s="18" t="b">
        <f>SUMPRODUCT(COUNTIF(_xlfn.XLOOKUP(D1611,BugList!C:C,BugList!P:P), "*SC*"))&gt;0</f>
        <v>0</v>
      </c>
    </row>
    <row r="1612" spans="1:16">
      <c r="A1612" s="86" t="s">
        <v>2885</v>
      </c>
      <c r="B1612" s="83">
        <v>490</v>
      </c>
      <c r="C1612" s="34" t="s">
        <v>199</v>
      </c>
      <c r="D1612" s="34" t="s">
        <v>111</v>
      </c>
      <c r="E1612" s="83">
        <v>1</v>
      </c>
      <c r="F1612" s="43">
        <f t="shared" si="291"/>
        <v>0.95238095238095244</v>
      </c>
      <c r="G1612" s="44">
        <f t="shared" si="285"/>
        <v>0</v>
      </c>
      <c r="H1612" s="44">
        <f t="shared" si="286"/>
        <v>0.95238095238095244</v>
      </c>
      <c r="I1612" cm="1">
        <f t="array" ref="I1612">INT(F1612)+IF(100-SUM(INT(F$1606:F$1623))&gt;=RANK(H1612,H$1606:H$1623)+COUNTIF(H$1606:H1612,H1612)-1,1,0)</f>
        <v>1</v>
      </c>
      <c r="J1612" t="b">
        <f t="shared" si="287"/>
        <v>1</v>
      </c>
      <c r="K1612" t="str">
        <f t="shared" si="288"/>
        <v>Ephemeroptera</v>
      </c>
      <c r="L1612">
        <f>_xlfn.XLOOKUP(D1612,BugList!C:C,BugList!N:N)</f>
        <v>4</v>
      </c>
      <c r="M1612">
        <f t="shared" si="289"/>
        <v>4</v>
      </c>
      <c r="N1612" t="b">
        <f>_xlfn.XLOOKUP(D1612,BugList!C:C,BugList!L:L)</f>
        <v>1</v>
      </c>
      <c r="O1612" t="b">
        <f t="shared" si="290"/>
        <v>1</v>
      </c>
      <c r="P1612" s="18" t="b">
        <f>SUMPRODUCT(COUNTIF(_xlfn.XLOOKUP(D1612,BugList!C:C,BugList!P:P), "*SC*"))&gt;0</f>
        <v>0</v>
      </c>
    </row>
    <row r="1613" spans="1:16">
      <c r="A1613" s="86" t="s">
        <v>2885</v>
      </c>
      <c r="B1613" s="83">
        <v>490</v>
      </c>
      <c r="C1613" s="34" t="s">
        <v>195</v>
      </c>
      <c r="D1613" s="34" t="s">
        <v>97</v>
      </c>
      <c r="E1613" s="83">
        <v>3</v>
      </c>
      <c r="F1613" s="43">
        <f t="shared" si="291"/>
        <v>2.8571428571428572</v>
      </c>
      <c r="G1613" s="44">
        <f t="shared" si="285"/>
        <v>2</v>
      </c>
      <c r="H1613" s="44">
        <f t="shared" si="286"/>
        <v>0.85714285714285721</v>
      </c>
      <c r="I1613" cm="1">
        <f t="array" ref="I1613">INT(F1613)+IF(100-SUM(INT(F$1606:F$1623))&gt;=RANK(H1613,H$1606:H$1623)+COUNTIF(H$1606:H1613,H1613)-1,1,0)</f>
        <v>3</v>
      </c>
      <c r="J1613" t="b">
        <f t="shared" si="287"/>
        <v>0</v>
      </c>
      <c r="K1613" t="str">
        <f t="shared" si="288"/>
        <v/>
      </c>
      <c r="L1613">
        <f>_xlfn.XLOOKUP(D1613,BugList!C:C,BugList!N:N)</f>
        <v>9</v>
      </c>
      <c r="M1613">
        <f t="shared" si="289"/>
        <v>27</v>
      </c>
      <c r="N1613" t="b">
        <f>_xlfn.XLOOKUP(D1613,BugList!C:C,BugList!L:L)</f>
        <v>1</v>
      </c>
      <c r="O1613" t="b">
        <f t="shared" si="290"/>
        <v>0</v>
      </c>
      <c r="P1613" s="18" t="b">
        <f>SUMPRODUCT(COUNTIF(_xlfn.XLOOKUP(D1613,BugList!C:C,BugList!P:P), "*SC*"))&gt;0</f>
        <v>0</v>
      </c>
    </row>
    <row r="1614" spans="1:16">
      <c r="A1614" s="86" t="s">
        <v>2885</v>
      </c>
      <c r="B1614" s="83">
        <v>490</v>
      </c>
      <c r="C1614" s="34" t="s">
        <v>195</v>
      </c>
      <c r="D1614" s="34" t="s">
        <v>113</v>
      </c>
      <c r="E1614" s="83">
        <v>2</v>
      </c>
      <c r="F1614" s="43">
        <f t="shared" si="291"/>
        <v>1.9047619047619049</v>
      </c>
      <c r="G1614" s="44">
        <f t="shared" si="285"/>
        <v>1</v>
      </c>
      <c r="H1614" s="44">
        <f t="shared" si="286"/>
        <v>0.90476190476190488</v>
      </c>
      <c r="I1614" cm="1">
        <f t="array" ref="I1614">INT(F1614)+IF(100-SUM(INT(F$1606:F$1623))&gt;=RANK(H1614,H$1606:H$1623)+COUNTIF(H$1606:H1614,H1614)-1,1,0)</f>
        <v>2</v>
      </c>
      <c r="J1614" t="b">
        <f t="shared" si="287"/>
        <v>0</v>
      </c>
      <c r="K1614" t="str">
        <f t="shared" si="288"/>
        <v/>
      </c>
      <c r="L1614">
        <f>_xlfn.XLOOKUP(D1614,BugList!C:C,BugList!N:N)</f>
        <v>1</v>
      </c>
      <c r="M1614">
        <f t="shared" si="289"/>
        <v>2</v>
      </c>
      <c r="N1614" t="b">
        <f>_xlfn.XLOOKUP(D1614,BugList!C:C,BugList!L:L)</f>
        <v>1</v>
      </c>
      <c r="O1614" t="b">
        <f t="shared" si="290"/>
        <v>0</v>
      </c>
      <c r="P1614" s="18" t="b">
        <f>SUMPRODUCT(COUNTIF(_xlfn.XLOOKUP(D1614,BugList!C:C,BugList!P:P), "*SC*"))&gt;0</f>
        <v>0</v>
      </c>
    </row>
    <row r="1615" spans="1:16">
      <c r="A1615" s="86" t="s">
        <v>2885</v>
      </c>
      <c r="B1615" s="83">
        <v>490</v>
      </c>
      <c r="C1615" s="34" t="s">
        <v>197</v>
      </c>
      <c r="D1615" s="34" t="s">
        <v>104</v>
      </c>
      <c r="E1615" s="83">
        <v>1</v>
      </c>
      <c r="F1615" s="43">
        <f t="shared" si="291"/>
        <v>0.95238095238095244</v>
      </c>
      <c r="G1615" s="44">
        <f t="shared" si="285"/>
        <v>0</v>
      </c>
      <c r="H1615" s="44">
        <f t="shared" si="286"/>
        <v>0.95238095238095244</v>
      </c>
      <c r="I1615" cm="1">
        <f t="array" ref="I1615">INT(F1615)+IF(100-SUM(INT(F$1606:F$1623))&gt;=RANK(H1615,H$1606:H$1623)+COUNTIF(H$1606:H1615,H1615)-1,1,0)</f>
        <v>1</v>
      </c>
      <c r="J1615" t="b">
        <f t="shared" si="287"/>
        <v>1</v>
      </c>
      <c r="K1615" t="str">
        <f t="shared" si="288"/>
        <v>Plecoptera</v>
      </c>
      <c r="L1615">
        <f>_xlfn.XLOOKUP(D1615,BugList!C:C,BugList!N:N)</f>
        <v>2</v>
      </c>
      <c r="M1615">
        <f t="shared" si="289"/>
        <v>2</v>
      </c>
      <c r="N1615" t="b">
        <f>_xlfn.XLOOKUP(D1615,BugList!C:C,BugList!L:L)</f>
        <v>1</v>
      </c>
      <c r="O1615" t="b">
        <f t="shared" si="290"/>
        <v>1</v>
      </c>
      <c r="P1615" s="18" t="b">
        <f>SUMPRODUCT(COUNTIF(_xlfn.XLOOKUP(D1615,BugList!C:C,BugList!P:P), "*SC*"))&gt;0</f>
        <v>0</v>
      </c>
    </row>
    <row r="1616" spans="1:16">
      <c r="A1616" s="86" t="s">
        <v>2885</v>
      </c>
      <c r="B1616" s="83">
        <v>490</v>
      </c>
      <c r="C1616" s="34" t="s">
        <v>197</v>
      </c>
      <c r="D1616" s="34" t="s">
        <v>105</v>
      </c>
      <c r="E1616" s="83">
        <v>1</v>
      </c>
      <c r="F1616" s="43">
        <f t="shared" si="291"/>
        <v>0.95238095238095244</v>
      </c>
      <c r="G1616" s="44">
        <f t="shared" si="285"/>
        <v>0</v>
      </c>
      <c r="H1616" s="44">
        <f t="shared" si="286"/>
        <v>0.95238095238095244</v>
      </c>
      <c r="I1616" cm="1">
        <f t="array" ref="I1616">INT(F1616)+IF(100-SUM(INT(F$1606:F$1623))&gt;=RANK(H1616,H$1606:H$1623)+COUNTIF(H$1606:H1616,H1616)-1,1,0)</f>
        <v>1</v>
      </c>
      <c r="J1616" t="b">
        <f t="shared" si="287"/>
        <v>1</v>
      </c>
      <c r="K1616" t="str">
        <f t="shared" si="288"/>
        <v>Plecoptera</v>
      </c>
      <c r="L1616">
        <f>_xlfn.XLOOKUP(D1616,BugList!C:C,BugList!N:N)</f>
        <v>1</v>
      </c>
      <c r="M1616">
        <f t="shared" si="289"/>
        <v>1</v>
      </c>
      <c r="N1616" t="b">
        <f>_xlfn.XLOOKUP(D1616,BugList!C:C,BugList!L:L)</f>
        <v>1</v>
      </c>
      <c r="O1616" t="b">
        <f t="shared" si="290"/>
        <v>1</v>
      </c>
      <c r="P1616" s="18" t="b">
        <f>SUMPRODUCT(COUNTIF(_xlfn.XLOOKUP(D1616,BugList!C:C,BugList!P:P), "*SC*"))&gt;0</f>
        <v>0</v>
      </c>
    </row>
    <row r="1617" spans="1:16">
      <c r="A1617" s="86" t="s">
        <v>2885</v>
      </c>
      <c r="B1617" s="83">
        <v>490</v>
      </c>
      <c r="C1617" s="34" t="s">
        <v>197</v>
      </c>
      <c r="D1617" s="34" t="s">
        <v>106</v>
      </c>
      <c r="E1617" s="83">
        <v>1</v>
      </c>
      <c r="F1617" s="43">
        <f t="shared" si="291"/>
        <v>0.95238095238095244</v>
      </c>
      <c r="G1617" s="44">
        <f t="shared" si="285"/>
        <v>0</v>
      </c>
      <c r="H1617" s="44">
        <f t="shared" si="286"/>
        <v>0.95238095238095244</v>
      </c>
      <c r="I1617" cm="1">
        <f t="array" ref="I1617">INT(F1617)+IF(100-SUM(INT(F$1606:F$1623))&gt;=RANK(H1617,H$1606:H$1623)+COUNTIF(H$1606:H1617,H1617)-1,1,0)</f>
        <v>1</v>
      </c>
      <c r="J1617" t="b">
        <f t="shared" si="287"/>
        <v>1</v>
      </c>
      <c r="K1617" t="str">
        <f t="shared" si="288"/>
        <v>Plecoptera</v>
      </c>
      <c r="L1617">
        <f>_xlfn.XLOOKUP(D1617,BugList!C:C,BugList!N:N)</f>
        <v>2</v>
      </c>
      <c r="M1617">
        <f t="shared" si="289"/>
        <v>2</v>
      </c>
      <c r="N1617" t="b">
        <f>_xlfn.XLOOKUP(D1617,BugList!C:C,BugList!L:L)</f>
        <v>1</v>
      </c>
      <c r="O1617" t="b">
        <f t="shared" si="290"/>
        <v>1</v>
      </c>
      <c r="P1617" s="18" t="b">
        <f>SUMPRODUCT(COUNTIF(_xlfn.XLOOKUP(D1617,BugList!C:C,BugList!P:P), "*SC*"))&gt;0</f>
        <v>0</v>
      </c>
    </row>
    <row r="1618" spans="1:16">
      <c r="A1618" s="86" t="s">
        <v>2885</v>
      </c>
      <c r="B1618" s="83">
        <v>490</v>
      </c>
      <c r="C1618" s="34" t="s">
        <v>198</v>
      </c>
      <c r="D1618" s="34" t="s">
        <v>89</v>
      </c>
      <c r="E1618" s="83">
        <v>10</v>
      </c>
      <c r="F1618" s="43">
        <f t="shared" si="291"/>
        <v>9.5238095238095237</v>
      </c>
      <c r="G1618" s="44">
        <f t="shared" ref="G1618:G1650" si="292">INT(F1618)</f>
        <v>9</v>
      </c>
      <c r="H1618" s="44">
        <f t="shared" ref="H1618:H1650" si="293">F1618-G1618</f>
        <v>0.52380952380952372</v>
      </c>
      <c r="I1618" cm="1">
        <f t="array" ref="I1618">INT(F1618)+IF(100-SUM(INT(F$1606:F$1623))&gt;=RANK(H1618,H$1606:H$1623)+COUNTIF(H$1606:H1618,H1618)-1,1,0)</f>
        <v>9</v>
      </c>
      <c r="J1618" t="b">
        <f t="shared" ref="J1618:J1650" si="294">IF(OR(C1618="Ephemeroptera", C1618 ="Plecoptera", C1618= "Trichoptera"), TRUE, FALSE)</f>
        <v>1</v>
      </c>
      <c r="K1618" t="str">
        <f t="shared" ref="K1618:K1650" si="295">IF(J1618=TRUE,C1618,"")</f>
        <v>Trichoptera</v>
      </c>
      <c r="L1618">
        <f>_xlfn.XLOOKUP(D1618,BugList!C:C,BugList!N:N)</f>
        <v>4</v>
      </c>
      <c r="M1618">
        <f t="shared" ref="M1618:M1650" si="296">L1618*I1618</f>
        <v>36</v>
      </c>
      <c r="N1618" t="b">
        <f>_xlfn.XLOOKUP(D1618,BugList!C:C,BugList!L:L)</f>
        <v>1</v>
      </c>
      <c r="O1618" t="b">
        <f t="shared" ref="O1618:O1650" si="297">IF(J1618=TRUE,IF(D1618="Hydropsychidae", FALSE, TRUE), FALSE)</f>
        <v>0</v>
      </c>
      <c r="P1618" s="18" t="b">
        <f>SUMPRODUCT(COUNTIF(_xlfn.XLOOKUP(D1618,BugList!C:C,BugList!P:P), "*SC*"))&gt;0</f>
        <v>0</v>
      </c>
    </row>
    <row r="1619" spans="1:16">
      <c r="A1619" s="86" t="s">
        <v>2885</v>
      </c>
      <c r="B1619" s="83">
        <v>490</v>
      </c>
      <c r="C1619" s="34" t="s">
        <v>198</v>
      </c>
      <c r="D1619" s="34" t="s">
        <v>107</v>
      </c>
      <c r="E1619" s="83">
        <v>8</v>
      </c>
      <c r="F1619" s="43">
        <f t="shared" si="291"/>
        <v>7.6190476190476195</v>
      </c>
      <c r="G1619" s="44">
        <f t="shared" si="292"/>
        <v>7</v>
      </c>
      <c r="H1619" s="44">
        <f t="shared" si="293"/>
        <v>0.61904761904761951</v>
      </c>
      <c r="I1619" cm="1">
        <f t="array" ref="I1619">INT(F1619)+IF(100-SUM(INT(F$1606:F$1623))&gt;=RANK(H1619,H$1606:H$1623)+COUNTIF(H$1606:H1619,H1619)-1,1,0)</f>
        <v>7</v>
      </c>
      <c r="J1619" t="b">
        <f t="shared" si="294"/>
        <v>1</v>
      </c>
      <c r="K1619" t="str">
        <f t="shared" si="295"/>
        <v>Trichoptera</v>
      </c>
      <c r="L1619">
        <f>_xlfn.XLOOKUP(D1619,BugList!C:C,BugList!N:N)</f>
        <v>3</v>
      </c>
      <c r="M1619">
        <f t="shared" si="296"/>
        <v>21</v>
      </c>
      <c r="N1619" t="b">
        <f>_xlfn.XLOOKUP(D1619,BugList!C:C,BugList!L:L)</f>
        <v>1</v>
      </c>
      <c r="O1619" t="b">
        <f t="shared" si="297"/>
        <v>1</v>
      </c>
      <c r="P1619" s="18" t="b">
        <f>SUMPRODUCT(COUNTIF(_xlfn.XLOOKUP(D1619,BugList!C:C,BugList!P:P), "*SC*"))&gt;0</f>
        <v>0</v>
      </c>
    </row>
    <row r="1620" spans="1:16">
      <c r="A1620" s="86" t="s">
        <v>2885</v>
      </c>
      <c r="B1620" s="83">
        <v>490</v>
      </c>
      <c r="C1620" s="34" t="s">
        <v>198</v>
      </c>
      <c r="D1620" s="34" t="s">
        <v>163</v>
      </c>
      <c r="E1620" s="83">
        <v>1</v>
      </c>
      <c r="F1620" s="43">
        <f t="shared" si="291"/>
        <v>0.95238095238095244</v>
      </c>
      <c r="G1620" s="44">
        <f t="shared" si="292"/>
        <v>0</v>
      </c>
      <c r="H1620" s="44">
        <f t="shared" si="293"/>
        <v>0.95238095238095244</v>
      </c>
      <c r="I1620" cm="1">
        <f t="array" ref="I1620">INT(F1620)+IF(100-SUM(INT(F$1606:F$1623))&gt;=RANK(H1620,H$1606:H$1623)+COUNTIF(H$1606:H1620,H1620)-1,1,0)</f>
        <v>1</v>
      </c>
      <c r="J1620" t="b">
        <f t="shared" si="294"/>
        <v>1</v>
      </c>
      <c r="K1620" t="str">
        <f t="shared" si="295"/>
        <v>Trichoptera</v>
      </c>
      <c r="L1620">
        <f>_xlfn.XLOOKUP(D1620,BugList!C:C,BugList!N:N)</f>
        <v>6</v>
      </c>
      <c r="M1620">
        <f t="shared" si="296"/>
        <v>6</v>
      </c>
      <c r="N1620" t="b">
        <f>_xlfn.XLOOKUP(D1620,BugList!C:C,BugList!L:L)</f>
        <v>1</v>
      </c>
      <c r="O1620" t="b">
        <f t="shared" si="297"/>
        <v>1</v>
      </c>
      <c r="P1620" s="18" t="b">
        <f>SUMPRODUCT(COUNTIF(_xlfn.XLOOKUP(D1620,BugList!C:C,BugList!P:P), "*SC*"))&gt;0</f>
        <v>0</v>
      </c>
    </row>
    <row r="1621" spans="1:16">
      <c r="A1621" s="86" t="s">
        <v>2885</v>
      </c>
      <c r="B1621" s="83">
        <v>490</v>
      </c>
      <c r="C1621" s="34" t="s">
        <v>201</v>
      </c>
      <c r="D1621" s="34" t="s">
        <v>2839</v>
      </c>
      <c r="E1621" s="83">
        <v>2</v>
      </c>
      <c r="F1621" s="43">
        <f t="shared" si="291"/>
        <v>1.9047619047619049</v>
      </c>
      <c r="G1621" s="44">
        <f t="shared" si="292"/>
        <v>1</v>
      </c>
      <c r="H1621" s="44">
        <f t="shared" si="293"/>
        <v>0.90476190476190488</v>
      </c>
      <c r="I1621" cm="1">
        <f t="array" ref="I1621">INT(F1621)+IF(100-SUM(INT(F$1606:F$1623))&gt;=RANK(H1621,H$1606:H$1623)+COUNTIF(H$1606:H1621,H1621)-1,1,0)</f>
        <v>2</v>
      </c>
      <c r="J1621" t="b">
        <f t="shared" si="294"/>
        <v>0</v>
      </c>
      <c r="K1621" t="str">
        <f t="shared" si="295"/>
        <v/>
      </c>
      <c r="L1621">
        <f>_xlfn.XLOOKUP(D1621,BugList!C:C,BugList!N:N)</f>
        <v>6</v>
      </c>
      <c r="M1621">
        <f t="shared" si="296"/>
        <v>12</v>
      </c>
      <c r="N1621" t="b">
        <f>_xlfn.XLOOKUP(D1621,BugList!C:C,BugList!L:L)</f>
        <v>0</v>
      </c>
      <c r="O1621" t="b">
        <f t="shared" si="297"/>
        <v>0</v>
      </c>
      <c r="P1621" s="18" t="b">
        <f>SUMPRODUCT(COUNTIF(_xlfn.XLOOKUP(D1621,BugList!C:C,BugList!P:P), "*SC*"))&gt;0</f>
        <v>0</v>
      </c>
    </row>
    <row r="1622" spans="1:16">
      <c r="A1622" s="86" t="s">
        <v>2885</v>
      </c>
      <c r="B1622" s="83">
        <v>490</v>
      </c>
      <c r="C1622" s="34" t="s">
        <v>201</v>
      </c>
      <c r="D1622" s="34" t="s">
        <v>85</v>
      </c>
      <c r="E1622" s="83">
        <v>2</v>
      </c>
      <c r="F1622" s="43">
        <f t="shared" si="291"/>
        <v>1.9047619047619049</v>
      </c>
      <c r="G1622" s="44">
        <f t="shared" si="292"/>
        <v>1</v>
      </c>
      <c r="H1622" s="44">
        <f t="shared" si="293"/>
        <v>0.90476190476190488</v>
      </c>
      <c r="I1622" cm="1">
        <f t="array" ref="I1622">INT(F1622)+IF(100-SUM(INT(F$1606:F$1623))&gt;=RANK(H1622,H$1606:H$1623)+COUNTIF(H$1606:H1622,H1622)-1,1,0)</f>
        <v>2</v>
      </c>
      <c r="J1622" t="b">
        <f t="shared" si="294"/>
        <v>0</v>
      </c>
      <c r="K1622" t="str">
        <f t="shared" si="295"/>
        <v/>
      </c>
      <c r="L1622">
        <f>_xlfn.XLOOKUP(D1622,BugList!C:C,BugList!N:N)</f>
        <v>4</v>
      </c>
      <c r="M1622">
        <f t="shared" si="296"/>
        <v>8</v>
      </c>
      <c r="N1622" t="b">
        <f>_xlfn.XLOOKUP(D1622,BugList!C:C,BugList!L:L)</f>
        <v>0</v>
      </c>
      <c r="O1622" t="b">
        <f t="shared" si="297"/>
        <v>0</v>
      </c>
      <c r="P1622" s="18" t="b">
        <f>SUMPRODUCT(COUNTIF(_xlfn.XLOOKUP(D1622,BugList!C:C,BugList!P:P), "*SC*"))&gt;0</f>
        <v>0</v>
      </c>
    </row>
    <row r="1623" spans="1:16">
      <c r="A1623" s="86" t="s">
        <v>2885</v>
      </c>
      <c r="B1623" s="83">
        <v>490</v>
      </c>
      <c r="C1623" s="34" t="s">
        <v>94</v>
      </c>
      <c r="D1623" s="34" t="s">
        <v>94</v>
      </c>
      <c r="E1623" s="83">
        <v>3</v>
      </c>
      <c r="F1623" s="43">
        <f t="shared" si="291"/>
        <v>2.8571428571428572</v>
      </c>
      <c r="G1623" s="44">
        <f t="shared" si="292"/>
        <v>2</v>
      </c>
      <c r="H1623" s="44">
        <f t="shared" si="293"/>
        <v>0.85714285714285721</v>
      </c>
      <c r="I1623" cm="1">
        <f t="array" ref="I1623">INT(F1623)+IF(100-SUM(INT(F$1606:F$1623))&gt;=RANK(H1623,H$1606:H$1623)+COUNTIF(H$1606:H1623,H1623)-1,1,0)</f>
        <v>3</v>
      </c>
      <c r="J1623" t="b">
        <f t="shared" si="294"/>
        <v>0</v>
      </c>
      <c r="K1623" t="str">
        <f t="shared" si="295"/>
        <v/>
      </c>
      <c r="L1623">
        <f>_xlfn.XLOOKUP(D1623,BugList!C:C,BugList!N:N)</f>
        <v>8</v>
      </c>
      <c r="M1623">
        <f t="shared" si="296"/>
        <v>24</v>
      </c>
      <c r="N1623" t="b">
        <f>_xlfn.XLOOKUP(D1623,BugList!C:C,BugList!L:L)</f>
        <v>0</v>
      </c>
      <c r="O1623" t="b">
        <f t="shared" si="297"/>
        <v>0</v>
      </c>
      <c r="P1623" s="18" t="b">
        <f>SUMPRODUCT(COUNTIF(_xlfn.XLOOKUP(D1623,BugList!C:C,BugList!P:P), "*SC*"))&gt;0</f>
        <v>0</v>
      </c>
    </row>
    <row r="1624" spans="1:16">
      <c r="A1624" s="86" t="s">
        <v>2886</v>
      </c>
      <c r="B1624" s="83">
        <v>503</v>
      </c>
      <c r="C1624" s="34" t="s">
        <v>200</v>
      </c>
      <c r="D1624" s="34" t="s">
        <v>98</v>
      </c>
      <c r="E1624" s="83">
        <v>2</v>
      </c>
      <c r="F1624" s="43">
        <f t="shared" si="291"/>
        <v>1.9047619047619049</v>
      </c>
      <c r="G1624" s="44">
        <f t="shared" si="292"/>
        <v>1</v>
      </c>
      <c r="H1624" s="44">
        <f t="shared" si="293"/>
        <v>0.90476190476190488</v>
      </c>
      <c r="I1624" cm="1">
        <f t="array" ref="I1624">INT(F1624)+IF(100-SUM(INT(F$1624:F$1636))&gt;=RANK(H1624,H$1624:H$1636)+COUNTIF(H1624:H$1624,H1624)-1,1,0)</f>
        <v>2</v>
      </c>
      <c r="J1624" t="b">
        <f t="shared" si="294"/>
        <v>0</v>
      </c>
      <c r="K1624" t="str">
        <f t="shared" si="295"/>
        <v/>
      </c>
      <c r="L1624">
        <f>_xlfn.XLOOKUP(D1624,BugList!C:C,BugList!N:N)</f>
        <v>4</v>
      </c>
      <c r="M1624">
        <f t="shared" si="296"/>
        <v>8</v>
      </c>
      <c r="N1624" t="b">
        <f>_xlfn.XLOOKUP(D1624,BugList!C:C,BugList!L:L)</f>
        <v>1</v>
      </c>
      <c r="O1624" t="b">
        <f t="shared" si="297"/>
        <v>0</v>
      </c>
      <c r="P1624" s="18" t="b">
        <f>SUMPRODUCT(COUNTIF(_xlfn.XLOOKUP(D1624,BugList!C:C,BugList!P:P), "*SC*"))&gt;0</f>
        <v>1</v>
      </c>
    </row>
    <row r="1625" spans="1:16">
      <c r="A1625" s="86" t="s">
        <v>2886</v>
      </c>
      <c r="B1625" s="83">
        <v>503</v>
      </c>
      <c r="C1625" s="34" t="s">
        <v>200</v>
      </c>
      <c r="D1625" s="34" t="s">
        <v>100</v>
      </c>
      <c r="E1625" s="83">
        <v>10</v>
      </c>
      <c r="F1625" s="43">
        <f t="shared" si="291"/>
        <v>9.5238095238095237</v>
      </c>
      <c r="G1625" s="44">
        <f t="shared" si="292"/>
        <v>9</v>
      </c>
      <c r="H1625" s="44">
        <f t="shared" si="293"/>
        <v>0.52380952380952372</v>
      </c>
      <c r="I1625" cm="1">
        <f t="array" ref="I1625">INT(F1625)+IF(100-SUM(INT(F$1624:F$1636))&gt;=RANK(H1625,H$1624:H$1636)+COUNTIF(H$1624:H1625,H1625)-1,1,0)</f>
        <v>9</v>
      </c>
      <c r="J1625" t="b">
        <f t="shared" si="294"/>
        <v>0</v>
      </c>
      <c r="K1625" t="str">
        <f t="shared" si="295"/>
        <v/>
      </c>
      <c r="L1625">
        <f>_xlfn.XLOOKUP(D1625,BugList!C:C,BugList!N:N)</f>
        <v>4</v>
      </c>
      <c r="M1625">
        <f t="shared" si="296"/>
        <v>36</v>
      </c>
      <c r="N1625" t="b">
        <f>_xlfn.XLOOKUP(D1625,BugList!C:C,BugList!L:L)</f>
        <v>1</v>
      </c>
      <c r="O1625" t="b">
        <f t="shared" si="297"/>
        <v>0</v>
      </c>
      <c r="P1625" s="18" t="b">
        <f>SUMPRODUCT(COUNTIF(_xlfn.XLOOKUP(D1625,BugList!C:C,BugList!P:P), "*SC*"))&gt;0</f>
        <v>1</v>
      </c>
    </row>
    <row r="1626" spans="1:16">
      <c r="A1626" s="86" t="s">
        <v>2886</v>
      </c>
      <c r="B1626" s="83">
        <v>503</v>
      </c>
      <c r="C1626" s="34" t="s">
        <v>194</v>
      </c>
      <c r="D1626" s="34" t="s">
        <v>90</v>
      </c>
      <c r="E1626" s="83">
        <v>2</v>
      </c>
      <c r="F1626" s="43">
        <f t="shared" si="291"/>
        <v>1.9047619047619049</v>
      </c>
      <c r="G1626" s="44">
        <f t="shared" si="292"/>
        <v>1</v>
      </c>
      <c r="H1626" s="44">
        <f t="shared" si="293"/>
        <v>0.90476190476190488</v>
      </c>
      <c r="I1626" cm="1">
        <f t="array" ref="I1626">INT(F1626)+IF(100-SUM(INT(F$1624:F$1636))&gt;=RANK(H1626,H$1624:H$1636)+COUNTIF(H$1624:H1626,H1626)-1,1,0)</f>
        <v>2</v>
      </c>
      <c r="J1626" t="b">
        <f t="shared" si="294"/>
        <v>0</v>
      </c>
      <c r="K1626" t="str">
        <f t="shared" si="295"/>
        <v/>
      </c>
      <c r="L1626">
        <f>_xlfn.XLOOKUP(D1626,BugList!C:C,BugList!N:N)</f>
        <v>6</v>
      </c>
      <c r="M1626">
        <f t="shared" si="296"/>
        <v>12</v>
      </c>
      <c r="N1626" t="b">
        <f>_xlfn.XLOOKUP(D1626,BugList!C:C,BugList!L:L)</f>
        <v>1</v>
      </c>
      <c r="O1626" t="b">
        <f t="shared" si="297"/>
        <v>0</v>
      </c>
      <c r="P1626" s="18" t="b">
        <f>SUMPRODUCT(COUNTIF(_xlfn.XLOOKUP(D1626,BugList!C:C,BugList!P:P), "*SC*"))&gt;0</f>
        <v>0</v>
      </c>
    </row>
    <row r="1627" spans="1:16">
      <c r="A1627" s="86" t="s">
        <v>2886</v>
      </c>
      <c r="B1627" s="83">
        <v>503</v>
      </c>
      <c r="C1627" s="34" t="s">
        <v>194</v>
      </c>
      <c r="D1627" s="34" t="s">
        <v>108</v>
      </c>
      <c r="E1627" s="83">
        <v>1</v>
      </c>
      <c r="F1627" s="43">
        <f t="shared" si="291"/>
        <v>0.95238095238095244</v>
      </c>
      <c r="G1627" s="44">
        <f t="shared" si="292"/>
        <v>0</v>
      </c>
      <c r="H1627" s="44">
        <f t="shared" si="293"/>
        <v>0.95238095238095244</v>
      </c>
      <c r="I1627" cm="1">
        <f t="array" ref="I1627">INT(F1627)+IF(100-SUM(INT(F$1624:F$1636))&gt;=RANK(H1627,H$1624:H$1636)+COUNTIF(H$1624:H1627,H1627)-1,1,0)</f>
        <v>1</v>
      </c>
      <c r="J1627" t="b">
        <f t="shared" si="294"/>
        <v>0</v>
      </c>
      <c r="K1627" t="str">
        <f t="shared" si="295"/>
        <v/>
      </c>
      <c r="L1627">
        <f>_xlfn.XLOOKUP(D1627,BugList!C:C,BugList!N:N)</f>
        <v>3</v>
      </c>
      <c r="M1627">
        <f t="shared" si="296"/>
        <v>3</v>
      </c>
      <c r="N1627" t="b">
        <f>_xlfn.XLOOKUP(D1627,BugList!C:C,BugList!L:L)</f>
        <v>1</v>
      </c>
      <c r="O1627" t="b">
        <f t="shared" si="297"/>
        <v>0</v>
      </c>
      <c r="P1627" s="18" t="b">
        <f>SUMPRODUCT(COUNTIF(_xlfn.XLOOKUP(D1627,BugList!C:C,BugList!P:P), "*SC*"))&gt;0</f>
        <v>0</v>
      </c>
    </row>
    <row r="1628" spans="1:16">
      <c r="A1628" s="86" t="s">
        <v>2886</v>
      </c>
      <c r="B1628" s="83">
        <v>503</v>
      </c>
      <c r="C1628" s="34" t="s">
        <v>199</v>
      </c>
      <c r="D1628" s="34" t="s">
        <v>111</v>
      </c>
      <c r="E1628" s="83">
        <v>1</v>
      </c>
      <c r="F1628" s="43">
        <f t="shared" si="291"/>
        <v>0.95238095238095244</v>
      </c>
      <c r="G1628" s="44">
        <f t="shared" si="292"/>
        <v>0</v>
      </c>
      <c r="H1628" s="44">
        <f t="shared" si="293"/>
        <v>0.95238095238095244</v>
      </c>
      <c r="I1628" cm="1">
        <f t="array" ref="I1628">INT(F1628)+IF(100-SUM(INT(F$1624:F$1636))&gt;=RANK(H1628,H$1624:H$1636)+COUNTIF(H$1624:H1628,H1628)-1,1,0)</f>
        <v>1</v>
      </c>
      <c r="J1628" t="b">
        <f t="shared" si="294"/>
        <v>1</v>
      </c>
      <c r="K1628" t="str">
        <f t="shared" si="295"/>
        <v>Ephemeroptera</v>
      </c>
      <c r="L1628">
        <f>_xlfn.XLOOKUP(D1628,BugList!C:C,BugList!N:N)</f>
        <v>4</v>
      </c>
      <c r="M1628">
        <f t="shared" si="296"/>
        <v>4</v>
      </c>
      <c r="N1628" t="b">
        <f>_xlfn.XLOOKUP(D1628,BugList!C:C,BugList!L:L)</f>
        <v>1</v>
      </c>
      <c r="O1628" t="b">
        <f t="shared" si="297"/>
        <v>1</v>
      </c>
      <c r="P1628" s="18" t="b">
        <f>SUMPRODUCT(COUNTIF(_xlfn.XLOOKUP(D1628,BugList!C:C,BugList!P:P), "*SC*"))&gt;0</f>
        <v>0</v>
      </c>
    </row>
    <row r="1629" spans="1:16">
      <c r="A1629" s="86" t="s">
        <v>2886</v>
      </c>
      <c r="B1629" s="83">
        <v>503</v>
      </c>
      <c r="C1629" s="34" t="s">
        <v>199</v>
      </c>
      <c r="D1629" s="34" t="s">
        <v>969</v>
      </c>
      <c r="E1629" s="83">
        <v>1</v>
      </c>
      <c r="F1629" s="43">
        <f t="shared" si="291"/>
        <v>0.95238095238095244</v>
      </c>
      <c r="G1629" s="44">
        <f t="shared" si="292"/>
        <v>0</v>
      </c>
      <c r="H1629" s="44">
        <f t="shared" si="293"/>
        <v>0.95238095238095244</v>
      </c>
      <c r="I1629" cm="1">
        <f t="array" ref="I1629">INT(F1629)+IF(100-SUM(INT(F$1624:F$1636))&gt;=RANK(H1629,H$1624:H$1636)+COUNTIF(H$1624:H1629,H1629)-1,1,0)</f>
        <v>1</v>
      </c>
      <c r="J1629" t="b">
        <f t="shared" si="294"/>
        <v>1</v>
      </c>
      <c r="K1629" t="str">
        <f t="shared" si="295"/>
        <v>Ephemeroptera</v>
      </c>
      <c r="L1629">
        <f>_xlfn.XLOOKUP(D1629,BugList!C:C,BugList!N:N)</f>
        <v>7</v>
      </c>
      <c r="M1629">
        <f t="shared" si="296"/>
        <v>7</v>
      </c>
      <c r="N1629" t="b">
        <f>_xlfn.XLOOKUP(D1629,BugList!C:C,BugList!L:L)</f>
        <v>1</v>
      </c>
      <c r="O1629" t="b">
        <f t="shared" si="297"/>
        <v>1</v>
      </c>
      <c r="P1629" s="18" t="b">
        <f>SUMPRODUCT(COUNTIF(_xlfn.XLOOKUP(D1629,BugList!C:C,BugList!P:P), "*SC*"))&gt;0</f>
        <v>0</v>
      </c>
    </row>
    <row r="1630" spans="1:16">
      <c r="A1630" s="86" t="s">
        <v>2886</v>
      </c>
      <c r="B1630" s="83">
        <v>503</v>
      </c>
      <c r="C1630" s="34" t="s">
        <v>1483</v>
      </c>
      <c r="D1630" s="34" t="s">
        <v>174</v>
      </c>
      <c r="E1630" s="83">
        <v>1</v>
      </c>
      <c r="F1630" s="43">
        <f t="shared" si="291"/>
        <v>0.95238095238095244</v>
      </c>
      <c r="G1630" s="44">
        <f t="shared" si="292"/>
        <v>0</v>
      </c>
      <c r="H1630" s="44">
        <f t="shared" si="293"/>
        <v>0.95238095238095244</v>
      </c>
      <c r="I1630" cm="1">
        <f t="array" ref="I1630">INT(F1630)+IF(100-SUM(INT(F$1624:F$1636))&gt;=RANK(H1630,H$1624:H$1636)+COUNTIF(H$1624:H1630,H1630)-1,1,0)</f>
        <v>1</v>
      </c>
      <c r="J1630" t="b">
        <f t="shared" si="294"/>
        <v>0</v>
      </c>
      <c r="K1630" t="str">
        <f t="shared" si="295"/>
        <v/>
      </c>
      <c r="L1630">
        <f>_xlfn.XLOOKUP(D1630,BugList!C:C,BugList!N:N)</f>
        <v>5</v>
      </c>
      <c r="M1630">
        <f t="shared" si="296"/>
        <v>5</v>
      </c>
      <c r="N1630" t="b">
        <f>_xlfn.XLOOKUP(D1630,BugList!C:C,BugList!L:L)</f>
        <v>1</v>
      </c>
      <c r="O1630" t="b">
        <f t="shared" si="297"/>
        <v>0</v>
      </c>
      <c r="P1630" s="18" t="b">
        <f>SUMPRODUCT(COUNTIF(_xlfn.XLOOKUP(D1630,BugList!C:C,BugList!P:P), "*SC*"))&gt;0</f>
        <v>0</v>
      </c>
    </row>
    <row r="1631" spans="1:16">
      <c r="A1631" s="86" t="s">
        <v>2886</v>
      </c>
      <c r="B1631" s="83">
        <v>503</v>
      </c>
      <c r="C1631" s="34" t="s">
        <v>211</v>
      </c>
      <c r="D1631" s="34" t="s">
        <v>87</v>
      </c>
      <c r="E1631" s="83">
        <v>1</v>
      </c>
      <c r="F1631" s="43">
        <f t="shared" si="291"/>
        <v>0.95238095238095244</v>
      </c>
      <c r="G1631" s="44">
        <f t="shared" si="292"/>
        <v>0</v>
      </c>
      <c r="H1631" s="44">
        <f t="shared" si="293"/>
        <v>0.95238095238095244</v>
      </c>
      <c r="I1631" cm="1">
        <f t="array" ref="I1631">INT(F1631)+IF(100-SUM(INT(F$1624:F$1636))&gt;=RANK(H1631,H$1624:H$1636)+COUNTIF(H$1624:H1631,H1631)-1,1,0)</f>
        <v>1</v>
      </c>
      <c r="J1631" t="b">
        <f t="shared" si="294"/>
        <v>0</v>
      </c>
      <c r="K1631" t="str">
        <f t="shared" si="295"/>
        <v/>
      </c>
      <c r="L1631">
        <f>_xlfn.XLOOKUP(D1631,BugList!C:C,BugList!N:N)</f>
        <v>4</v>
      </c>
      <c r="M1631">
        <f t="shared" si="296"/>
        <v>4</v>
      </c>
      <c r="N1631" t="b">
        <f>_xlfn.XLOOKUP(D1631,BugList!C:C,BugList!L:L)</f>
        <v>0</v>
      </c>
      <c r="O1631" t="b">
        <f t="shared" si="297"/>
        <v>0</v>
      </c>
      <c r="P1631" s="18" t="b">
        <f>SUMPRODUCT(COUNTIF(_xlfn.XLOOKUP(D1631,BugList!C:C,BugList!P:P), "*SC*"))&gt;0</f>
        <v>0</v>
      </c>
    </row>
    <row r="1632" spans="1:16">
      <c r="A1632" s="86" t="s">
        <v>2886</v>
      </c>
      <c r="B1632" s="83">
        <v>503</v>
      </c>
      <c r="C1632" s="34" t="s">
        <v>198</v>
      </c>
      <c r="D1632" s="34" t="s">
        <v>89</v>
      </c>
      <c r="E1632" s="83">
        <v>44</v>
      </c>
      <c r="F1632" s="43">
        <f t="shared" si="291"/>
        <v>41.904761904761905</v>
      </c>
      <c r="G1632" s="44">
        <f t="shared" si="292"/>
        <v>41</v>
      </c>
      <c r="H1632" s="44">
        <f t="shared" si="293"/>
        <v>0.9047619047619051</v>
      </c>
      <c r="I1632" cm="1">
        <f t="array" ref="I1632">INT(F1632)+IF(100-SUM(INT(F$1624:F$1636))&gt;=RANK(H1632,H$1624:H$1636)+COUNTIF(H$1624:H1632,H1632)-1,1,0)</f>
        <v>42</v>
      </c>
      <c r="J1632" t="b">
        <f t="shared" si="294"/>
        <v>1</v>
      </c>
      <c r="K1632" t="str">
        <f t="shared" si="295"/>
        <v>Trichoptera</v>
      </c>
      <c r="L1632">
        <f>_xlfn.XLOOKUP(D1632,BugList!C:C,BugList!N:N)</f>
        <v>4</v>
      </c>
      <c r="M1632">
        <f t="shared" si="296"/>
        <v>168</v>
      </c>
      <c r="N1632" t="b">
        <f>_xlfn.XLOOKUP(D1632,BugList!C:C,BugList!L:L)</f>
        <v>1</v>
      </c>
      <c r="O1632" t="b">
        <f t="shared" si="297"/>
        <v>0</v>
      </c>
      <c r="P1632" s="18" t="b">
        <f>SUMPRODUCT(COUNTIF(_xlfn.XLOOKUP(D1632,BugList!C:C,BugList!P:P), "*SC*"))&gt;0</f>
        <v>0</v>
      </c>
    </row>
    <row r="1633" spans="1:16">
      <c r="A1633" s="86" t="s">
        <v>2886</v>
      </c>
      <c r="B1633" s="83">
        <v>503</v>
      </c>
      <c r="C1633" s="34" t="s">
        <v>198</v>
      </c>
      <c r="D1633" s="34" t="s">
        <v>107</v>
      </c>
      <c r="E1633" s="83">
        <v>39</v>
      </c>
      <c r="F1633" s="43">
        <f t="shared" si="291"/>
        <v>37.142857142857146</v>
      </c>
      <c r="G1633" s="44">
        <f t="shared" si="292"/>
        <v>37</v>
      </c>
      <c r="H1633" s="44">
        <f t="shared" si="293"/>
        <v>0.1428571428571459</v>
      </c>
      <c r="I1633" cm="1">
        <f t="array" ref="I1633">INT(F1633)+IF(100-SUM(INT(F$1624:F$1636))&gt;=RANK(H1633,H$1624:H$1636)+COUNTIF(H$1624:H1633,H1633)-1,1,0)</f>
        <v>37</v>
      </c>
      <c r="J1633" t="b">
        <f t="shared" si="294"/>
        <v>1</v>
      </c>
      <c r="K1633" t="str">
        <f t="shared" si="295"/>
        <v>Trichoptera</v>
      </c>
      <c r="L1633">
        <f>_xlfn.XLOOKUP(D1633,BugList!C:C,BugList!N:N)</f>
        <v>3</v>
      </c>
      <c r="M1633">
        <f t="shared" si="296"/>
        <v>111</v>
      </c>
      <c r="N1633" t="b">
        <f>_xlfn.XLOOKUP(D1633,BugList!C:C,BugList!L:L)</f>
        <v>1</v>
      </c>
      <c r="O1633" t="b">
        <f t="shared" si="297"/>
        <v>1</v>
      </c>
      <c r="P1633" s="18" t="b">
        <f>SUMPRODUCT(COUNTIF(_xlfn.XLOOKUP(D1633,BugList!C:C,BugList!P:P), "*SC*"))&gt;0</f>
        <v>0</v>
      </c>
    </row>
    <row r="1634" spans="1:16">
      <c r="A1634" s="86" t="s">
        <v>2886</v>
      </c>
      <c r="B1634" s="83">
        <v>503</v>
      </c>
      <c r="C1634" s="34" t="s">
        <v>201</v>
      </c>
      <c r="D1634" s="34" t="s">
        <v>85</v>
      </c>
      <c r="E1634" s="83">
        <v>1</v>
      </c>
      <c r="F1634" s="43">
        <f t="shared" si="291"/>
        <v>0.95238095238095244</v>
      </c>
      <c r="G1634" s="44">
        <f t="shared" si="292"/>
        <v>0</v>
      </c>
      <c r="H1634" s="44">
        <f t="shared" si="293"/>
        <v>0.95238095238095244</v>
      </c>
      <c r="I1634" cm="1">
        <f t="array" ref="I1634">INT(F1634)+IF(100-SUM(INT(F$1624:F$1636))&gt;=RANK(H1634,H$1624:H$1636)+COUNTIF(H$1624:H1634,H1634)-1,1,0)</f>
        <v>1</v>
      </c>
      <c r="J1634" t="b">
        <f t="shared" si="294"/>
        <v>0</v>
      </c>
      <c r="K1634" t="str">
        <f t="shared" si="295"/>
        <v/>
      </c>
      <c r="L1634">
        <f>_xlfn.XLOOKUP(D1634,BugList!C:C,BugList!N:N)</f>
        <v>4</v>
      </c>
      <c r="M1634">
        <f t="shared" si="296"/>
        <v>4</v>
      </c>
      <c r="N1634" t="b">
        <f>_xlfn.XLOOKUP(D1634,BugList!C:C,BugList!L:L)</f>
        <v>0</v>
      </c>
      <c r="O1634" t="b">
        <f t="shared" si="297"/>
        <v>0</v>
      </c>
      <c r="P1634" s="18" t="b">
        <f>SUMPRODUCT(COUNTIF(_xlfn.XLOOKUP(D1634,BugList!C:C,BugList!P:P), "*SC*"))&gt;0</f>
        <v>0</v>
      </c>
    </row>
    <row r="1635" spans="1:16">
      <c r="A1635" s="86" t="s">
        <v>2886</v>
      </c>
      <c r="B1635" s="83">
        <v>503</v>
      </c>
      <c r="C1635" s="34" t="s">
        <v>205</v>
      </c>
      <c r="D1635" s="34" t="s">
        <v>206</v>
      </c>
      <c r="E1635" s="83">
        <v>1</v>
      </c>
      <c r="F1635" s="43">
        <f t="shared" si="291"/>
        <v>0.95238095238095244</v>
      </c>
      <c r="G1635" s="44">
        <f t="shared" si="292"/>
        <v>0</v>
      </c>
      <c r="H1635" s="44">
        <f t="shared" si="293"/>
        <v>0.95238095238095244</v>
      </c>
      <c r="I1635" cm="1">
        <f t="array" ref="I1635">INT(F1635)+IF(100-SUM(INT(F$1624:F$1636))&gt;=RANK(H1635,H$1624:H$1636)+COUNTIF(H$1624:H1635,H1635)-1,1,0)</f>
        <v>1</v>
      </c>
      <c r="J1635" t="b">
        <f t="shared" si="294"/>
        <v>0</v>
      </c>
      <c r="K1635" t="str">
        <f t="shared" si="295"/>
        <v/>
      </c>
      <c r="L1635" s="71">
        <v>8</v>
      </c>
      <c r="M1635">
        <f t="shared" si="296"/>
        <v>8</v>
      </c>
      <c r="N1635" s="71" t="b">
        <v>0</v>
      </c>
      <c r="O1635" t="b">
        <f t="shared" si="297"/>
        <v>0</v>
      </c>
      <c r="P1635" s="72" t="b">
        <v>0</v>
      </c>
    </row>
    <row r="1636" spans="1:16">
      <c r="A1636" s="86" t="s">
        <v>2886</v>
      </c>
      <c r="B1636" s="83">
        <v>503</v>
      </c>
      <c r="C1636" s="34" t="s">
        <v>94</v>
      </c>
      <c r="D1636" s="34" t="s">
        <v>94</v>
      </c>
      <c r="E1636" s="83">
        <v>1</v>
      </c>
      <c r="F1636" s="43">
        <f t="shared" si="291"/>
        <v>0.95238095238095244</v>
      </c>
      <c r="G1636" s="44">
        <f t="shared" si="292"/>
        <v>0</v>
      </c>
      <c r="H1636" s="44">
        <f t="shared" si="293"/>
        <v>0.95238095238095244</v>
      </c>
      <c r="I1636" cm="1">
        <f t="array" ref="I1636">INT(F1636)+IF(100-SUM(INT(F$1624:F$1636))&gt;=RANK(H1636,H$1624:H$1636)+COUNTIF(H$1624:H1636,H1636)-1,1,0)</f>
        <v>1</v>
      </c>
      <c r="J1636" t="b">
        <f t="shared" si="294"/>
        <v>0</v>
      </c>
      <c r="K1636" t="str">
        <f t="shared" si="295"/>
        <v/>
      </c>
      <c r="L1636">
        <f>_xlfn.XLOOKUP(D1636,BugList!C:C,BugList!N:N)</f>
        <v>8</v>
      </c>
      <c r="M1636">
        <f t="shared" si="296"/>
        <v>8</v>
      </c>
      <c r="N1636" t="b">
        <f>_xlfn.XLOOKUP(D1636,BugList!C:C,BugList!L:L)</f>
        <v>0</v>
      </c>
      <c r="O1636" t="b">
        <f t="shared" si="297"/>
        <v>0</v>
      </c>
      <c r="P1636" s="18" t="b">
        <f>SUMPRODUCT(COUNTIF(_xlfn.XLOOKUP(D1636,BugList!C:C,BugList!P:P), "*SC*"))&gt;0</f>
        <v>0</v>
      </c>
    </row>
    <row r="1637" spans="1:16">
      <c r="A1637" s="86" t="s">
        <v>2887</v>
      </c>
      <c r="B1637" s="83">
        <v>512</v>
      </c>
      <c r="C1637" s="34" t="s">
        <v>200</v>
      </c>
      <c r="D1637" s="34" t="s">
        <v>98</v>
      </c>
      <c r="E1637" s="83">
        <v>1</v>
      </c>
      <c r="F1637" s="43">
        <f t="shared" si="291"/>
        <v>0.90909090909090906</v>
      </c>
      <c r="G1637" s="44">
        <f t="shared" si="292"/>
        <v>0</v>
      </c>
      <c r="H1637" s="44">
        <f t="shared" si="293"/>
        <v>0.90909090909090906</v>
      </c>
      <c r="I1637" cm="1">
        <f t="array" ref="I1637">INT(F1637)+IF(100-SUM(INT(F$1637:F$1650))&gt;=RANK(H1637,H$1637:H$1650)+COUNTIF(H$1637:H1637,H1637)-1,1,0)</f>
        <v>1</v>
      </c>
      <c r="J1637" t="b">
        <f t="shared" si="294"/>
        <v>0</v>
      </c>
      <c r="K1637" t="str">
        <f t="shared" si="295"/>
        <v/>
      </c>
      <c r="L1637">
        <f>_xlfn.XLOOKUP(D1637,BugList!C:C,BugList!N:N)</f>
        <v>4</v>
      </c>
      <c r="M1637">
        <f t="shared" si="296"/>
        <v>4</v>
      </c>
      <c r="N1637" t="b">
        <f>_xlfn.XLOOKUP(D1637,BugList!C:C,BugList!L:L)</f>
        <v>1</v>
      </c>
      <c r="O1637" t="b">
        <f t="shared" si="297"/>
        <v>0</v>
      </c>
      <c r="P1637" s="18" t="b">
        <f>SUMPRODUCT(COUNTIF(_xlfn.XLOOKUP(D1637,BugList!C:C,BugList!P:P), "*SC*"))&gt;0</f>
        <v>1</v>
      </c>
    </row>
    <row r="1638" spans="1:16">
      <c r="A1638" s="86" t="s">
        <v>2887</v>
      </c>
      <c r="B1638" s="83">
        <v>512</v>
      </c>
      <c r="C1638" s="34" t="s">
        <v>200</v>
      </c>
      <c r="D1638" s="34" t="s">
        <v>100</v>
      </c>
      <c r="E1638" s="83">
        <v>5</v>
      </c>
      <c r="F1638" s="43">
        <f t="shared" si="291"/>
        <v>4.5454545454545459</v>
      </c>
      <c r="G1638" s="44">
        <f t="shared" si="292"/>
        <v>4</v>
      </c>
      <c r="H1638" s="44">
        <f t="shared" si="293"/>
        <v>0.54545454545454586</v>
      </c>
      <c r="I1638" cm="1">
        <f t="array" ref="I1638">INT(F1638)+IF(100-SUM(INT(F$1637:F$1650))&gt;=RANK(H1638,H$1637:H$1650)+COUNTIF(H$1637:H1638,H1638)-1,1,0)</f>
        <v>4</v>
      </c>
      <c r="J1638" t="b">
        <f t="shared" si="294"/>
        <v>0</v>
      </c>
      <c r="K1638" t="str">
        <f t="shared" si="295"/>
        <v/>
      </c>
      <c r="L1638">
        <f>_xlfn.XLOOKUP(D1638,BugList!C:C,BugList!N:N)</f>
        <v>4</v>
      </c>
      <c r="M1638">
        <f t="shared" si="296"/>
        <v>16</v>
      </c>
      <c r="N1638" t="b">
        <f>_xlfn.XLOOKUP(D1638,BugList!C:C,BugList!L:L)</f>
        <v>1</v>
      </c>
      <c r="O1638" t="b">
        <f t="shared" si="297"/>
        <v>0</v>
      </c>
      <c r="P1638" s="18" t="b">
        <f>SUMPRODUCT(COUNTIF(_xlfn.XLOOKUP(D1638,BugList!C:C,BugList!P:P), "*SC*"))&gt;0</f>
        <v>1</v>
      </c>
    </row>
    <row r="1639" spans="1:16">
      <c r="A1639" s="86" t="s">
        <v>2887</v>
      </c>
      <c r="B1639" s="83">
        <v>512</v>
      </c>
      <c r="C1639" s="34" t="s">
        <v>194</v>
      </c>
      <c r="D1639" s="34" t="s">
        <v>101</v>
      </c>
      <c r="E1639" s="83">
        <v>1</v>
      </c>
      <c r="F1639" s="43">
        <f t="shared" si="291"/>
        <v>0.90909090909090906</v>
      </c>
      <c r="G1639" s="44">
        <f t="shared" si="292"/>
        <v>0</v>
      </c>
      <c r="H1639" s="44">
        <f t="shared" si="293"/>
        <v>0.90909090909090906</v>
      </c>
      <c r="I1639" cm="1">
        <f t="array" ref="I1639">INT(F1639)+IF(100-SUM(INT(F$1637:F$1650))&gt;=RANK(H1639,H$1637:H$1650)+COUNTIF(H$1637:H1639,H1639)-1,1,0)</f>
        <v>1</v>
      </c>
      <c r="J1639" t="b">
        <f t="shared" si="294"/>
        <v>0</v>
      </c>
      <c r="K1639" t="str">
        <f t="shared" si="295"/>
        <v/>
      </c>
      <c r="L1639">
        <f>_xlfn.XLOOKUP(D1639,BugList!C:C,BugList!N:N)</f>
        <v>6</v>
      </c>
      <c r="M1639">
        <f t="shared" si="296"/>
        <v>6</v>
      </c>
      <c r="N1639" t="b">
        <f>_xlfn.XLOOKUP(D1639,BugList!C:C,BugList!L:L)</f>
        <v>1</v>
      </c>
      <c r="O1639" t="b">
        <f t="shared" si="297"/>
        <v>0</v>
      </c>
      <c r="P1639" s="18" t="b">
        <f>SUMPRODUCT(COUNTIF(_xlfn.XLOOKUP(D1639,BugList!C:C,BugList!P:P), "*SC*"))&gt;0</f>
        <v>0</v>
      </c>
    </row>
    <row r="1640" spans="1:16">
      <c r="A1640" s="86" t="s">
        <v>2887</v>
      </c>
      <c r="B1640" s="83">
        <v>512</v>
      </c>
      <c r="C1640" s="34" t="s">
        <v>194</v>
      </c>
      <c r="D1640" s="34" t="s">
        <v>108</v>
      </c>
      <c r="E1640" s="83">
        <v>1</v>
      </c>
      <c r="F1640" s="43">
        <f t="shared" si="291"/>
        <v>0.90909090909090906</v>
      </c>
      <c r="G1640" s="44">
        <f t="shared" si="292"/>
        <v>0</v>
      </c>
      <c r="H1640" s="44">
        <f t="shared" si="293"/>
        <v>0.90909090909090906</v>
      </c>
      <c r="I1640" cm="1">
        <f t="array" ref="I1640">INT(F1640)+IF(100-SUM(INT(F$1637:F$1650))&gt;=RANK(H1640,H$1637:H$1650)+COUNTIF(H$1637:H1640,H1640)-1,1,0)</f>
        <v>1</v>
      </c>
      <c r="J1640" t="b">
        <f t="shared" si="294"/>
        <v>0</v>
      </c>
      <c r="K1640" t="str">
        <f t="shared" si="295"/>
        <v/>
      </c>
      <c r="L1640">
        <f>_xlfn.XLOOKUP(D1640,BugList!C:C,BugList!N:N)</f>
        <v>3</v>
      </c>
      <c r="M1640">
        <f t="shared" si="296"/>
        <v>3</v>
      </c>
      <c r="N1640" t="b">
        <f>_xlfn.XLOOKUP(D1640,BugList!C:C,BugList!L:L)</f>
        <v>1</v>
      </c>
      <c r="O1640" t="b">
        <f t="shared" si="297"/>
        <v>0</v>
      </c>
      <c r="P1640" s="18" t="b">
        <f>SUMPRODUCT(COUNTIF(_xlfn.XLOOKUP(D1640,BugList!C:C,BugList!P:P), "*SC*"))&gt;0</f>
        <v>0</v>
      </c>
    </row>
    <row r="1641" spans="1:16">
      <c r="A1641" s="86" t="s">
        <v>2887</v>
      </c>
      <c r="B1641" s="83">
        <v>512</v>
      </c>
      <c r="C1641" s="34" t="s">
        <v>199</v>
      </c>
      <c r="D1641" s="34" t="s">
        <v>96</v>
      </c>
      <c r="E1641" s="83">
        <v>3</v>
      </c>
      <c r="F1641" s="43">
        <f t="shared" si="291"/>
        <v>2.7272727272727271</v>
      </c>
      <c r="G1641" s="44">
        <f t="shared" si="292"/>
        <v>2</v>
      </c>
      <c r="H1641" s="44">
        <f t="shared" si="293"/>
        <v>0.72727272727272707</v>
      </c>
      <c r="I1641" cm="1">
        <f t="array" ref="I1641">INT(F1641)+IF(100-SUM(INT(F$1637:F$1650))&gt;=RANK(H1641,H$1637:H$1650)+COUNTIF(H$1637:H1641,H1641)-1,1,0)</f>
        <v>3</v>
      </c>
      <c r="J1641" t="b">
        <f t="shared" si="294"/>
        <v>1</v>
      </c>
      <c r="K1641" t="str">
        <f t="shared" si="295"/>
        <v>Ephemeroptera</v>
      </c>
      <c r="L1641">
        <f>_xlfn.XLOOKUP(D1641,BugList!C:C,BugList!N:N)</f>
        <v>4</v>
      </c>
      <c r="M1641">
        <f t="shared" si="296"/>
        <v>12</v>
      </c>
      <c r="N1641" t="b">
        <f>_xlfn.XLOOKUP(D1641,BugList!C:C,BugList!L:L)</f>
        <v>1</v>
      </c>
      <c r="O1641" t="b">
        <f t="shared" si="297"/>
        <v>1</v>
      </c>
      <c r="P1641" s="18" t="b">
        <f>SUMPRODUCT(COUNTIF(_xlfn.XLOOKUP(D1641,BugList!C:C,BugList!P:P), "*SC*"))&gt;0</f>
        <v>1</v>
      </c>
    </row>
    <row r="1642" spans="1:16">
      <c r="A1642" s="86" t="s">
        <v>2887</v>
      </c>
      <c r="B1642" s="83">
        <v>512</v>
      </c>
      <c r="C1642" s="34" t="s">
        <v>199</v>
      </c>
      <c r="D1642" s="34" t="s">
        <v>111</v>
      </c>
      <c r="E1642" s="83">
        <v>1</v>
      </c>
      <c r="F1642" s="43">
        <f t="shared" si="291"/>
        <v>0.90909090909090906</v>
      </c>
      <c r="G1642" s="44">
        <f t="shared" si="292"/>
        <v>0</v>
      </c>
      <c r="H1642" s="44">
        <f t="shared" si="293"/>
        <v>0.90909090909090906</v>
      </c>
      <c r="I1642" cm="1">
        <f t="array" ref="I1642">INT(F1642)+IF(100-SUM(INT(F$1637:F$1650))&gt;=RANK(H1642,H$1637:H$1650)+COUNTIF(H$1637:H1642,H1642)-1,1,0)</f>
        <v>1</v>
      </c>
      <c r="J1642" t="b">
        <f t="shared" si="294"/>
        <v>1</v>
      </c>
      <c r="K1642" t="str">
        <f t="shared" si="295"/>
        <v>Ephemeroptera</v>
      </c>
      <c r="L1642">
        <f>_xlfn.XLOOKUP(D1642,BugList!C:C,BugList!N:N)</f>
        <v>4</v>
      </c>
      <c r="M1642">
        <f t="shared" si="296"/>
        <v>4</v>
      </c>
      <c r="N1642" t="b">
        <f>_xlfn.XLOOKUP(D1642,BugList!C:C,BugList!L:L)</f>
        <v>1</v>
      </c>
      <c r="O1642" t="b">
        <f t="shared" si="297"/>
        <v>1</v>
      </c>
      <c r="P1642" s="18" t="b">
        <f>SUMPRODUCT(COUNTIF(_xlfn.XLOOKUP(D1642,BugList!C:C,BugList!P:P), "*SC*"))&gt;0</f>
        <v>0</v>
      </c>
    </row>
    <row r="1643" spans="1:16">
      <c r="A1643" s="86" t="s">
        <v>2887</v>
      </c>
      <c r="B1643" s="83">
        <v>512</v>
      </c>
      <c r="C1643" s="34" t="s">
        <v>195</v>
      </c>
      <c r="D1643" s="34" t="s">
        <v>97</v>
      </c>
      <c r="E1643" s="83">
        <v>3</v>
      </c>
      <c r="F1643" s="43">
        <f t="shared" si="291"/>
        <v>2.7272727272727271</v>
      </c>
      <c r="G1643" s="44">
        <f t="shared" si="292"/>
        <v>2</v>
      </c>
      <c r="H1643" s="44">
        <f t="shared" si="293"/>
        <v>0.72727272727272707</v>
      </c>
      <c r="I1643" cm="1">
        <f t="array" ref="I1643">INT(F1643)+IF(100-SUM(INT(F$1637:F$1650))&gt;=RANK(H1643,H$1637:H$1650)+COUNTIF(H$1637:H1643,H1643)-1,1,0)</f>
        <v>3</v>
      </c>
      <c r="J1643" t="b">
        <f t="shared" si="294"/>
        <v>0</v>
      </c>
      <c r="K1643" t="str">
        <f t="shared" si="295"/>
        <v/>
      </c>
      <c r="L1643">
        <f>_xlfn.XLOOKUP(D1643,BugList!C:C,BugList!N:N)</f>
        <v>9</v>
      </c>
      <c r="M1643">
        <f t="shared" si="296"/>
        <v>27</v>
      </c>
      <c r="N1643" t="b">
        <f>_xlfn.XLOOKUP(D1643,BugList!C:C,BugList!L:L)</f>
        <v>1</v>
      </c>
      <c r="O1643" t="b">
        <f t="shared" si="297"/>
        <v>0</v>
      </c>
      <c r="P1643" s="18" t="b">
        <f>SUMPRODUCT(COUNTIF(_xlfn.XLOOKUP(D1643,BugList!C:C,BugList!P:P), "*SC*"))&gt;0</f>
        <v>0</v>
      </c>
    </row>
    <row r="1644" spans="1:16">
      <c r="A1644" s="86" t="s">
        <v>2887</v>
      </c>
      <c r="B1644" s="83">
        <v>512</v>
      </c>
      <c r="C1644" s="34" t="s">
        <v>195</v>
      </c>
      <c r="D1644" s="34" t="s">
        <v>113</v>
      </c>
      <c r="E1644" s="83">
        <v>1</v>
      </c>
      <c r="F1644" s="43">
        <f t="shared" si="291"/>
        <v>0.90909090909090906</v>
      </c>
      <c r="G1644" s="44">
        <f t="shared" si="292"/>
        <v>0</v>
      </c>
      <c r="H1644" s="44">
        <f t="shared" si="293"/>
        <v>0.90909090909090906</v>
      </c>
      <c r="I1644" cm="1">
        <f t="array" ref="I1644">INT(F1644)+IF(100-SUM(INT(F$1637:F$1650))&gt;=RANK(H1644,H$1637:H$1650)+COUNTIF(H$1637:H1644,H1644)-1,1,0)</f>
        <v>1</v>
      </c>
      <c r="J1644" t="b">
        <f t="shared" si="294"/>
        <v>0</v>
      </c>
      <c r="K1644" t="str">
        <f t="shared" si="295"/>
        <v/>
      </c>
      <c r="L1644">
        <f>_xlfn.XLOOKUP(D1644,BugList!C:C,BugList!N:N)</f>
        <v>1</v>
      </c>
      <c r="M1644">
        <f t="shared" si="296"/>
        <v>1</v>
      </c>
      <c r="N1644" t="b">
        <f>_xlfn.XLOOKUP(D1644,BugList!C:C,BugList!L:L)</f>
        <v>1</v>
      </c>
      <c r="O1644" t="b">
        <f t="shared" si="297"/>
        <v>0</v>
      </c>
      <c r="P1644" s="18" t="b">
        <f>SUMPRODUCT(COUNTIF(_xlfn.XLOOKUP(D1644,BugList!C:C,BugList!P:P), "*SC*"))&gt;0</f>
        <v>0</v>
      </c>
    </row>
    <row r="1645" spans="1:16">
      <c r="A1645" s="86" t="s">
        <v>2887</v>
      </c>
      <c r="B1645" s="83">
        <v>512</v>
      </c>
      <c r="C1645" s="34" t="s">
        <v>198</v>
      </c>
      <c r="D1645" s="34" t="s">
        <v>89</v>
      </c>
      <c r="E1645" s="83">
        <v>41</v>
      </c>
      <c r="F1645" s="43">
        <f t="shared" si="291"/>
        <v>37.272727272727273</v>
      </c>
      <c r="G1645" s="44">
        <f t="shared" si="292"/>
        <v>37</v>
      </c>
      <c r="H1645" s="44">
        <f t="shared" si="293"/>
        <v>0.27272727272727337</v>
      </c>
      <c r="I1645" cm="1">
        <f t="array" ref="I1645">INT(F1645)+IF(100-SUM(INT(F$1637:F$1650))&gt;=RANK(H1645,H$1637:H$1650)+COUNTIF(H$1637:H1645,H1645)-1,1,0)</f>
        <v>37</v>
      </c>
      <c r="J1645" t="b">
        <f t="shared" si="294"/>
        <v>1</v>
      </c>
      <c r="K1645" t="str">
        <f t="shared" si="295"/>
        <v>Trichoptera</v>
      </c>
      <c r="L1645">
        <f>_xlfn.XLOOKUP(D1645,BugList!C:C,BugList!N:N)</f>
        <v>4</v>
      </c>
      <c r="M1645">
        <f t="shared" si="296"/>
        <v>148</v>
      </c>
      <c r="N1645" t="b">
        <f>_xlfn.XLOOKUP(D1645,BugList!C:C,BugList!L:L)</f>
        <v>1</v>
      </c>
      <c r="O1645" t="b">
        <f t="shared" si="297"/>
        <v>0</v>
      </c>
      <c r="P1645" s="18" t="b">
        <f>SUMPRODUCT(COUNTIF(_xlfn.XLOOKUP(D1645,BugList!C:C,BugList!P:P), "*SC*"))&gt;0</f>
        <v>0</v>
      </c>
    </row>
    <row r="1646" spans="1:16">
      <c r="A1646" s="86" t="s">
        <v>2887</v>
      </c>
      <c r="B1646" s="83">
        <v>512</v>
      </c>
      <c r="C1646" s="34" t="s">
        <v>198</v>
      </c>
      <c r="D1646" s="34" t="s">
        <v>107</v>
      </c>
      <c r="E1646" s="83">
        <v>46</v>
      </c>
      <c r="F1646" s="43">
        <f t="shared" si="291"/>
        <v>41.818181818181813</v>
      </c>
      <c r="G1646" s="44">
        <f t="shared" si="292"/>
        <v>41</v>
      </c>
      <c r="H1646" s="44">
        <f t="shared" si="293"/>
        <v>0.81818181818181301</v>
      </c>
      <c r="I1646" cm="1">
        <f t="array" ref="I1646">INT(F1646)+IF(100-SUM(INT(F$1637:F$1650))&gt;=RANK(H1646,H$1637:H$1650)+COUNTIF(H$1637:H1646,H1646)-1,1,0)</f>
        <v>42</v>
      </c>
      <c r="J1646" t="b">
        <f t="shared" si="294"/>
        <v>1</v>
      </c>
      <c r="K1646" t="str">
        <f t="shared" si="295"/>
        <v>Trichoptera</v>
      </c>
      <c r="L1646">
        <f>_xlfn.XLOOKUP(D1646,BugList!C:C,BugList!N:N)</f>
        <v>3</v>
      </c>
      <c r="M1646">
        <f t="shared" si="296"/>
        <v>126</v>
      </c>
      <c r="N1646" t="b">
        <f>_xlfn.XLOOKUP(D1646,BugList!C:C,BugList!L:L)</f>
        <v>1</v>
      </c>
      <c r="O1646" t="b">
        <f t="shared" si="297"/>
        <v>1</v>
      </c>
      <c r="P1646" s="18" t="b">
        <f>SUMPRODUCT(COUNTIF(_xlfn.XLOOKUP(D1646,BugList!C:C,BugList!P:P), "*SC*"))&gt;0</f>
        <v>0</v>
      </c>
    </row>
    <row r="1647" spans="1:16">
      <c r="A1647" s="86" t="s">
        <v>2887</v>
      </c>
      <c r="B1647" s="83">
        <v>512</v>
      </c>
      <c r="C1647" s="34" t="s">
        <v>201</v>
      </c>
      <c r="D1647" s="34" t="s">
        <v>2839</v>
      </c>
      <c r="E1647" s="83">
        <v>1</v>
      </c>
      <c r="F1647" s="43">
        <f t="shared" si="291"/>
        <v>0.90909090909090906</v>
      </c>
      <c r="G1647" s="44">
        <f t="shared" si="292"/>
        <v>0</v>
      </c>
      <c r="H1647" s="44">
        <f t="shared" si="293"/>
        <v>0.90909090909090906</v>
      </c>
      <c r="I1647" cm="1">
        <f t="array" ref="I1647">INT(F1647)+IF(100-SUM(INT(F$1637:F$1650))&gt;=RANK(H1647,H$1637:H$1650)+COUNTIF(H$1637:H1647,H1647)-1,1,0)</f>
        <v>1</v>
      </c>
      <c r="J1647" t="b">
        <f t="shared" si="294"/>
        <v>0</v>
      </c>
      <c r="K1647" t="str">
        <f t="shared" si="295"/>
        <v/>
      </c>
      <c r="L1647">
        <f>_xlfn.XLOOKUP(D1647,BugList!C:C,BugList!N:N)</f>
        <v>6</v>
      </c>
      <c r="M1647">
        <f t="shared" si="296"/>
        <v>6</v>
      </c>
      <c r="N1647" t="b">
        <f>_xlfn.XLOOKUP(D1647,BugList!C:C,BugList!L:L)</f>
        <v>0</v>
      </c>
      <c r="O1647" t="b">
        <f t="shared" si="297"/>
        <v>0</v>
      </c>
      <c r="P1647" s="18" t="b">
        <f>SUMPRODUCT(COUNTIF(_xlfn.XLOOKUP(D1647,BugList!C:C,BugList!P:P), "*SC*"))&gt;0</f>
        <v>0</v>
      </c>
    </row>
    <row r="1648" spans="1:16">
      <c r="A1648" s="86" t="s">
        <v>2887</v>
      </c>
      <c r="B1648" s="83">
        <v>512</v>
      </c>
      <c r="C1648" s="34" t="s">
        <v>201</v>
      </c>
      <c r="D1648" s="34" t="s">
        <v>85</v>
      </c>
      <c r="E1648" s="83">
        <v>3</v>
      </c>
      <c r="F1648" s="43">
        <f t="shared" si="291"/>
        <v>2.7272727272727271</v>
      </c>
      <c r="G1648" s="44">
        <f t="shared" si="292"/>
        <v>2</v>
      </c>
      <c r="H1648" s="44">
        <f t="shared" si="293"/>
        <v>0.72727272727272707</v>
      </c>
      <c r="I1648" cm="1">
        <f t="array" ref="I1648">INT(F1648)+IF(100-SUM(INT(F$1637:F$1650))&gt;=RANK(H1648,H$1637:H$1650)+COUNTIF(H$1637:H1648,H1648)-1,1,0)</f>
        <v>2</v>
      </c>
      <c r="J1648" t="b">
        <f t="shared" si="294"/>
        <v>0</v>
      </c>
      <c r="K1648" t="str">
        <f t="shared" si="295"/>
        <v/>
      </c>
      <c r="L1648">
        <f>_xlfn.XLOOKUP(D1648,BugList!C:C,BugList!N:N)</f>
        <v>4</v>
      </c>
      <c r="M1648">
        <f t="shared" si="296"/>
        <v>8</v>
      </c>
      <c r="N1648" t="b">
        <f>_xlfn.XLOOKUP(D1648,BugList!C:C,BugList!L:L)</f>
        <v>0</v>
      </c>
      <c r="O1648" t="b">
        <f t="shared" si="297"/>
        <v>0</v>
      </c>
      <c r="P1648" s="18" t="b">
        <f>SUMPRODUCT(COUNTIF(_xlfn.XLOOKUP(D1648,BugList!C:C,BugList!P:P), "*SC*"))&gt;0</f>
        <v>0</v>
      </c>
    </row>
    <row r="1649" spans="1:16">
      <c r="A1649" s="86" t="s">
        <v>2887</v>
      </c>
      <c r="B1649" s="83">
        <v>512</v>
      </c>
      <c r="C1649" s="34" t="s">
        <v>205</v>
      </c>
      <c r="D1649" s="34" t="s">
        <v>206</v>
      </c>
      <c r="E1649" s="83">
        <v>1</v>
      </c>
      <c r="F1649" s="43">
        <f t="shared" si="291"/>
        <v>0.90909090909090906</v>
      </c>
      <c r="G1649" s="44">
        <f t="shared" si="292"/>
        <v>0</v>
      </c>
      <c r="H1649" s="44">
        <f t="shared" si="293"/>
        <v>0.90909090909090906</v>
      </c>
      <c r="I1649" cm="1">
        <f t="array" ref="I1649">INT(F1649)+IF(100-SUM(INT(F$1637:F$1650))&gt;=RANK(H1649,H$1637:H$1650)+COUNTIF(H$1637:H1649,H1649)-1,1,0)</f>
        <v>1</v>
      </c>
      <c r="J1649" t="b">
        <f t="shared" si="294"/>
        <v>0</v>
      </c>
      <c r="K1649" t="str">
        <f t="shared" si="295"/>
        <v/>
      </c>
      <c r="L1649" s="71">
        <v>8</v>
      </c>
      <c r="M1649">
        <f t="shared" si="296"/>
        <v>8</v>
      </c>
      <c r="N1649" s="71" t="b">
        <v>0</v>
      </c>
      <c r="O1649" t="b">
        <f t="shared" si="297"/>
        <v>0</v>
      </c>
      <c r="P1649" s="72" t="b">
        <v>0</v>
      </c>
    </row>
    <row r="1650" spans="1:16">
      <c r="A1650" s="86" t="s">
        <v>2887</v>
      </c>
      <c r="B1650" s="83">
        <v>512</v>
      </c>
      <c r="C1650" s="34" t="s">
        <v>94</v>
      </c>
      <c r="D1650" s="34" t="s">
        <v>94</v>
      </c>
      <c r="E1650" s="83">
        <v>2</v>
      </c>
      <c r="F1650" s="43">
        <f t="shared" si="291"/>
        <v>1.8181818181818181</v>
      </c>
      <c r="G1650" s="44">
        <f t="shared" si="292"/>
        <v>1</v>
      </c>
      <c r="H1650" s="44">
        <f t="shared" si="293"/>
        <v>0.81818181818181812</v>
      </c>
      <c r="I1650" cm="1">
        <f t="array" ref="I1650">INT(F1650)+IF(100-SUM(INT(F$1637:F$1650))&gt;=RANK(H1650,H$1637:H$1650)+COUNTIF(H$1637:H1650,H1650)-1,1,0)</f>
        <v>2</v>
      </c>
      <c r="J1650" t="b">
        <f t="shared" si="294"/>
        <v>0</v>
      </c>
      <c r="K1650" t="str">
        <f t="shared" si="295"/>
        <v/>
      </c>
      <c r="L1650">
        <f>_xlfn.XLOOKUP(D1650,BugList!C:C,BugList!N:N)</f>
        <v>8</v>
      </c>
      <c r="M1650">
        <f t="shared" si="296"/>
        <v>16</v>
      </c>
      <c r="N1650" t="b">
        <f>_xlfn.XLOOKUP(D1650,BugList!C:C,BugList!L:L)</f>
        <v>0</v>
      </c>
      <c r="O1650" t="b">
        <f t="shared" si="297"/>
        <v>0</v>
      </c>
      <c r="P1650" s="18" t="b">
        <f>SUMPRODUCT(COUNTIF(_xlfn.XLOOKUP(D1650,BugList!C:C,BugList!P:P), "*SC*"))&gt;0</f>
        <v>0</v>
      </c>
    </row>
    <row r="1651" spans="1:16">
      <c r="A1651" s="9" t="s">
        <v>103</v>
      </c>
      <c r="B1651" s="83">
        <v>523</v>
      </c>
      <c r="C1651" s="34" t="s">
        <v>200</v>
      </c>
      <c r="D1651" s="34" t="s">
        <v>98</v>
      </c>
      <c r="E1651" s="83">
        <v>1</v>
      </c>
      <c r="F1651" s="43">
        <f t="shared" si="291"/>
        <v>0.8771929824561403</v>
      </c>
      <c r="G1651" s="44">
        <f t="shared" ref="G1651:G1665" si="298">INT(F1651)</f>
        <v>0</v>
      </c>
      <c r="H1651" s="44">
        <f t="shared" ref="H1651:H1665" si="299">F1651-G1651</f>
        <v>0.8771929824561403</v>
      </c>
      <c r="I1651" cm="1">
        <f t="array" ref="I1651">INT(F1651)+IF(100-SUM(INT(F$1651:F$1665))&gt;=RANK(H1651,H$1651:H$1665)+COUNTIF(H$1651:H1651,H1651)-1,1,0)</f>
        <v>1</v>
      </c>
      <c r="J1651" t="b">
        <f t="shared" ref="J1651:J1665" si="300">IF(OR(C1651="Ephemeroptera", C1651 ="Plecoptera", C1651= "Trichoptera"), TRUE, FALSE)</f>
        <v>0</v>
      </c>
      <c r="K1651" t="str">
        <f t="shared" ref="K1651:K1665" si="301">IF(J1651=TRUE,C1651,"")</f>
        <v/>
      </c>
      <c r="L1651">
        <f>_xlfn.XLOOKUP(D1651,BugList!C:C,BugList!N:N)</f>
        <v>4</v>
      </c>
      <c r="M1651">
        <f t="shared" ref="M1651:M1665" si="302">L1651*I1651</f>
        <v>4</v>
      </c>
      <c r="N1651" t="b">
        <f>_xlfn.XLOOKUP(D1651,BugList!C:C,BugList!L:L)</f>
        <v>1</v>
      </c>
      <c r="O1651" t="b">
        <f t="shared" ref="O1651:O1665" si="303">IF(J1651=TRUE,IF(D1651="Hydropsychidae", FALSE, TRUE), FALSE)</f>
        <v>0</v>
      </c>
      <c r="P1651" s="18" t="b">
        <f>SUMPRODUCT(COUNTIF(_xlfn.XLOOKUP(D1651,BugList!C:C,BugList!P:P), "*SC*"))&gt;0</f>
        <v>1</v>
      </c>
    </row>
    <row r="1652" spans="1:16">
      <c r="A1652" s="9" t="s">
        <v>103</v>
      </c>
      <c r="B1652" s="83">
        <v>523</v>
      </c>
      <c r="C1652" s="34" t="s">
        <v>200</v>
      </c>
      <c r="D1652" s="34" t="s">
        <v>100</v>
      </c>
      <c r="E1652" s="83">
        <v>4</v>
      </c>
      <c r="F1652" s="43">
        <f t="shared" si="291"/>
        <v>3.5087719298245612</v>
      </c>
      <c r="G1652" s="44">
        <f t="shared" si="298"/>
        <v>3</v>
      </c>
      <c r="H1652" s="44">
        <f t="shared" si="299"/>
        <v>0.50877192982456121</v>
      </c>
      <c r="I1652" cm="1">
        <f t="array" ref="I1652">INT(F1652)+IF(100-SUM(INT(F$1651:F$1665))&gt;=RANK(H1652,H$1651:H$1665)+COUNTIF(H$1651:H1652,H1652)-1,1,0)</f>
        <v>3</v>
      </c>
      <c r="J1652" t="b">
        <f t="shared" si="300"/>
        <v>0</v>
      </c>
      <c r="K1652" t="str">
        <f t="shared" si="301"/>
        <v/>
      </c>
      <c r="L1652">
        <f>_xlfn.XLOOKUP(D1652,BugList!C:C,BugList!N:N)</f>
        <v>4</v>
      </c>
      <c r="M1652">
        <f t="shared" si="302"/>
        <v>12</v>
      </c>
      <c r="N1652" t="b">
        <f>_xlfn.XLOOKUP(D1652,BugList!C:C,BugList!L:L)</f>
        <v>1</v>
      </c>
      <c r="O1652" t="b">
        <f t="shared" si="303"/>
        <v>0</v>
      </c>
      <c r="P1652" s="18" t="b">
        <f>SUMPRODUCT(COUNTIF(_xlfn.XLOOKUP(D1652,BugList!C:C,BugList!P:P), "*SC*"))&gt;0</f>
        <v>1</v>
      </c>
    </row>
    <row r="1653" spans="1:16">
      <c r="A1653" s="9" t="s">
        <v>103</v>
      </c>
      <c r="B1653" s="83">
        <v>523</v>
      </c>
      <c r="C1653" s="34" t="s">
        <v>194</v>
      </c>
      <c r="D1653" s="34" t="s">
        <v>126</v>
      </c>
      <c r="E1653" s="83">
        <v>7</v>
      </c>
      <c r="F1653" s="43">
        <f t="shared" si="291"/>
        <v>6.140350877192982</v>
      </c>
      <c r="G1653" s="44">
        <f t="shared" si="298"/>
        <v>6</v>
      </c>
      <c r="H1653" s="44">
        <f t="shared" si="299"/>
        <v>0.140350877192982</v>
      </c>
      <c r="I1653" cm="1">
        <f t="array" ref="I1653">INT(F1653)+IF(100-SUM(INT(F$1651:F$1665))&gt;=RANK(H1653,H$1651:H$1665)+COUNTIF(H$1651:H1653,H1653)-1,1,0)</f>
        <v>6</v>
      </c>
      <c r="J1653" t="b">
        <f t="shared" si="300"/>
        <v>0</v>
      </c>
      <c r="K1653" t="str">
        <f t="shared" si="301"/>
        <v/>
      </c>
      <c r="L1653">
        <f>_xlfn.XLOOKUP(D1653,BugList!C:C,BugList!N:N)</f>
        <v>8</v>
      </c>
      <c r="M1653">
        <f t="shared" si="302"/>
        <v>48</v>
      </c>
      <c r="N1653" t="b">
        <f>_xlfn.XLOOKUP(D1653,BugList!C:C,BugList!L:L)</f>
        <v>1</v>
      </c>
      <c r="O1653" t="b">
        <f t="shared" si="303"/>
        <v>0</v>
      </c>
      <c r="P1653" s="18" t="b">
        <f>SUMPRODUCT(COUNTIF(_xlfn.XLOOKUP(D1653,BugList!C:C,BugList!P:P), "*SC*"))&gt;0</f>
        <v>0</v>
      </c>
    </row>
    <row r="1654" spans="1:16">
      <c r="A1654" s="9" t="s">
        <v>103</v>
      </c>
      <c r="B1654" s="83">
        <v>523</v>
      </c>
      <c r="C1654" s="34" t="s">
        <v>194</v>
      </c>
      <c r="D1654" s="34" t="s">
        <v>90</v>
      </c>
      <c r="E1654" s="83">
        <v>10</v>
      </c>
      <c r="F1654" s="43">
        <f t="shared" si="291"/>
        <v>8.7719298245614024</v>
      </c>
      <c r="G1654" s="44">
        <f t="shared" si="298"/>
        <v>8</v>
      </c>
      <c r="H1654" s="44">
        <f t="shared" si="299"/>
        <v>0.77192982456140236</v>
      </c>
      <c r="I1654" cm="1">
        <f t="array" ref="I1654">INT(F1654)+IF(100-SUM(INT(F$1651:F$1665))&gt;=RANK(H1654,H$1651:H$1665)+COUNTIF(H$1651:H1654,H1654)-1,1,0)</f>
        <v>9</v>
      </c>
      <c r="J1654" t="b">
        <f t="shared" si="300"/>
        <v>0</v>
      </c>
      <c r="K1654" t="str">
        <f t="shared" si="301"/>
        <v/>
      </c>
      <c r="L1654">
        <f>_xlfn.XLOOKUP(D1654,BugList!C:C,BugList!N:N)</f>
        <v>6</v>
      </c>
      <c r="M1654">
        <f t="shared" si="302"/>
        <v>54</v>
      </c>
      <c r="N1654" t="b">
        <f>_xlfn.XLOOKUP(D1654,BugList!C:C,BugList!L:L)</f>
        <v>1</v>
      </c>
      <c r="O1654" t="b">
        <f t="shared" si="303"/>
        <v>0</v>
      </c>
      <c r="P1654" s="18" t="b">
        <f>SUMPRODUCT(COUNTIF(_xlfn.XLOOKUP(D1654,BugList!C:C,BugList!P:P), "*SC*"))&gt;0</f>
        <v>0</v>
      </c>
    </row>
    <row r="1655" spans="1:16">
      <c r="A1655" s="9" t="s">
        <v>103</v>
      </c>
      <c r="B1655" s="83">
        <v>523</v>
      </c>
      <c r="C1655" s="34" t="s">
        <v>194</v>
      </c>
      <c r="D1655" s="34" t="s">
        <v>101</v>
      </c>
      <c r="E1655" s="83">
        <v>12</v>
      </c>
      <c r="F1655" s="43">
        <f t="shared" si="291"/>
        <v>10.526315789473683</v>
      </c>
      <c r="G1655" s="44">
        <f t="shared" si="298"/>
        <v>10</v>
      </c>
      <c r="H1655" s="44">
        <f t="shared" si="299"/>
        <v>0.52631578947368318</v>
      </c>
      <c r="I1655" cm="1">
        <f t="array" ref="I1655">INT(F1655)+IF(100-SUM(INT(F$1651:F$1665))&gt;=RANK(H1655,H$1651:H$1665)+COUNTIF(H$1651:H1655,H1655)-1,1,0)</f>
        <v>10</v>
      </c>
      <c r="J1655" t="b">
        <f t="shared" si="300"/>
        <v>0</v>
      </c>
      <c r="K1655" t="str">
        <f t="shared" si="301"/>
        <v/>
      </c>
      <c r="L1655">
        <f>_xlfn.XLOOKUP(D1655,BugList!C:C,BugList!N:N)</f>
        <v>6</v>
      </c>
      <c r="M1655">
        <f t="shared" si="302"/>
        <v>60</v>
      </c>
      <c r="N1655" t="b">
        <f>_xlfn.XLOOKUP(D1655,BugList!C:C,BugList!L:L)</f>
        <v>1</v>
      </c>
      <c r="O1655" t="b">
        <f t="shared" si="303"/>
        <v>0</v>
      </c>
      <c r="P1655" s="18" t="b">
        <f>SUMPRODUCT(COUNTIF(_xlfn.XLOOKUP(D1655,BugList!C:C,BugList!P:P), "*SC*"))&gt;0</f>
        <v>0</v>
      </c>
    </row>
    <row r="1656" spans="1:16">
      <c r="A1656" s="9" t="s">
        <v>103</v>
      </c>
      <c r="B1656" s="83">
        <v>523</v>
      </c>
      <c r="C1656" s="34" t="s">
        <v>194</v>
      </c>
      <c r="D1656" s="34" t="s">
        <v>108</v>
      </c>
      <c r="E1656" s="83">
        <v>8</v>
      </c>
      <c r="F1656" s="43">
        <f t="shared" si="291"/>
        <v>7.0175438596491224</v>
      </c>
      <c r="G1656" s="44">
        <f t="shared" si="298"/>
        <v>7</v>
      </c>
      <c r="H1656" s="44">
        <f t="shared" si="299"/>
        <v>1.7543859649122417E-2</v>
      </c>
      <c r="I1656" cm="1">
        <f t="array" ref="I1656">INT(F1656)+IF(100-SUM(INT(F$1651:F$1665))&gt;=RANK(H1656,H$1651:H$1665)+COUNTIF(H$1651:H1656,H1656)-1,1,0)</f>
        <v>7</v>
      </c>
      <c r="J1656" t="b">
        <f t="shared" si="300"/>
        <v>0</v>
      </c>
      <c r="K1656" t="str">
        <f t="shared" si="301"/>
        <v/>
      </c>
      <c r="L1656">
        <f>_xlfn.XLOOKUP(D1656,BugList!C:C,BugList!N:N)</f>
        <v>3</v>
      </c>
      <c r="M1656">
        <f t="shared" si="302"/>
        <v>21</v>
      </c>
      <c r="N1656" t="b">
        <f>_xlfn.XLOOKUP(D1656,BugList!C:C,BugList!L:L)</f>
        <v>1</v>
      </c>
      <c r="O1656" t="b">
        <f t="shared" si="303"/>
        <v>0</v>
      </c>
      <c r="P1656" s="18" t="b">
        <f>SUMPRODUCT(COUNTIF(_xlfn.XLOOKUP(D1656,BugList!C:C,BugList!P:P), "*SC*"))&gt;0</f>
        <v>0</v>
      </c>
    </row>
    <row r="1657" spans="1:16">
      <c r="A1657" s="9" t="s">
        <v>103</v>
      </c>
      <c r="B1657" s="83">
        <v>523</v>
      </c>
      <c r="C1657" s="34" t="s">
        <v>197</v>
      </c>
      <c r="D1657" s="34" t="s">
        <v>104</v>
      </c>
      <c r="E1657" s="83">
        <v>1</v>
      </c>
      <c r="F1657" s="43">
        <f t="shared" si="291"/>
        <v>0.8771929824561403</v>
      </c>
      <c r="G1657" s="44">
        <f t="shared" si="298"/>
        <v>0</v>
      </c>
      <c r="H1657" s="44">
        <f t="shared" si="299"/>
        <v>0.8771929824561403</v>
      </c>
      <c r="I1657" cm="1">
        <f t="array" ref="I1657">INT(F1657)+IF(100-SUM(INT(F$1651:F$1665))&gt;=RANK(H1657,H$1651:H$1665)+COUNTIF(H$1651:H1657,H1657)-1,1,0)</f>
        <v>1</v>
      </c>
      <c r="J1657" t="b">
        <f t="shared" si="300"/>
        <v>1</v>
      </c>
      <c r="K1657" t="str">
        <f t="shared" si="301"/>
        <v>Plecoptera</v>
      </c>
      <c r="L1657">
        <f>_xlfn.XLOOKUP(D1657,BugList!C:C,BugList!N:N)</f>
        <v>2</v>
      </c>
      <c r="M1657">
        <f t="shared" si="302"/>
        <v>2</v>
      </c>
      <c r="N1657" t="b">
        <f>_xlfn.XLOOKUP(D1657,BugList!C:C,BugList!L:L)</f>
        <v>1</v>
      </c>
      <c r="O1657" t="b">
        <f t="shared" si="303"/>
        <v>1</v>
      </c>
      <c r="P1657" s="18" t="b">
        <f>SUMPRODUCT(COUNTIF(_xlfn.XLOOKUP(D1657,BugList!C:C,BugList!P:P), "*SC*"))&gt;0</f>
        <v>0</v>
      </c>
    </row>
    <row r="1658" spans="1:16">
      <c r="A1658" s="9" t="s">
        <v>103</v>
      </c>
      <c r="B1658" s="83">
        <v>523</v>
      </c>
      <c r="C1658" s="34" t="s">
        <v>197</v>
      </c>
      <c r="D1658" s="34" t="s">
        <v>105</v>
      </c>
      <c r="E1658" s="83">
        <v>1</v>
      </c>
      <c r="F1658" s="43">
        <f t="shared" si="291"/>
        <v>0.8771929824561403</v>
      </c>
      <c r="G1658" s="44">
        <f t="shared" si="298"/>
        <v>0</v>
      </c>
      <c r="H1658" s="44">
        <f t="shared" si="299"/>
        <v>0.8771929824561403</v>
      </c>
      <c r="I1658" cm="1">
        <f t="array" ref="I1658">INT(F1658)+IF(100-SUM(INT(F$1651:F$1665))&gt;=RANK(H1658,H$1651:H$1665)+COUNTIF(H$1651:H1658,H1658)-1,1,0)</f>
        <v>1</v>
      </c>
      <c r="J1658" t="b">
        <f t="shared" si="300"/>
        <v>1</v>
      </c>
      <c r="K1658" t="str">
        <f t="shared" si="301"/>
        <v>Plecoptera</v>
      </c>
      <c r="L1658">
        <f>_xlfn.XLOOKUP(D1658,BugList!C:C,BugList!N:N)</f>
        <v>1</v>
      </c>
      <c r="M1658">
        <f t="shared" si="302"/>
        <v>1</v>
      </c>
      <c r="N1658" t="b">
        <f>_xlfn.XLOOKUP(D1658,BugList!C:C,BugList!L:L)</f>
        <v>1</v>
      </c>
      <c r="O1658" t="b">
        <f t="shared" si="303"/>
        <v>1</v>
      </c>
      <c r="P1658" s="18" t="b">
        <f>SUMPRODUCT(COUNTIF(_xlfn.XLOOKUP(D1658,BugList!C:C,BugList!P:P), "*SC*"))&gt;0</f>
        <v>0</v>
      </c>
    </row>
    <row r="1659" spans="1:16">
      <c r="A1659" s="9" t="s">
        <v>103</v>
      </c>
      <c r="B1659" s="83">
        <v>523</v>
      </c>
      <c r="C1659" s="34" t="s">
        <v>197</v>
      </c>
      <c r="D1659" s="34" t="s">
        <v>106</v>
      </c>
      <c r="E1659" s="83">
        <v>10</v>
      </c>
      <c r="F1659" s="43">
        <f t="shared" ref="F1659:F1665" si="304">(E1659/(SUMIFS(E:E,A:A,A1659))*100)</f>
        <v>8.7719298245614024</v>
      </c>
      <c r="G1659" s="44">
        <f t="shared" si="298"/>
        <v>8</v>
      </c>
      <c r="H1659" s="44">
        <f t="shared" si="299"/>
        <v>0.77192982456140236</v>
      </c>
      <c r="I1659" cm="1">
        <f t="array" ref="I1659">INT(F1659)+IF(100-SUM(INT(F$1651:F$1665))&gt;=RANK(H1659,H$1651:H$1665)+COUNTIF(H$1651:H1659,H1659)-1,1,0)</f>
        <v>9</v>
      </c>
      <c r="J1659" t="b">
        <f t="shared" si="300"/>
        <v>1</v>
      </c>
      <c r="K1659" t="str">
        <f t="shared" si="301"/>
        <v>Plecoptera</v>
      </c>
      <c r="L1659">
        <f>_xlfn.XLOOKUP(D1659,BugList!C:C,BugList!N:N)</f>
        <v>2</v>
      </c>
      <c r="M1659">
        <f t="shared" si="302"/>
        <v>18</v>
      </c>
      <c r="N1659" t="b">
        <f>_xlfn.XLOOKUP(D1659,BugList!C:C,BugList!L:L)</f>
        <v>1</v>
      </c>
      <c r="O1659" t="b">
        <f t="shared" si="303"/>
        <v>1</v>
      </c>
      <c r="P1659" s="18" t="b">
        <f>SUMPRODUCT(COUNTIF(_xlfn.XLOOKUP(D1659,BugList!C:C,BugList!P:P), "*SC*"))&gt;0</f>
        <v>0</v>
      </c>
    </row>
    <row r="1660" spans="1:16">
      <c r="A1660" s="9" t="s">
        <v>103</v>
      </c>
      <c r="B1660" s="83">
        <v>523</v>
      </c>
      <c r="C1660" s="34" t="s">
        <v>198</v>
      </c>
      <c r="D1660" s="34" t="s">
        <v>89</v>
      </c>
      <c r="E1660" s="83">
        <v>9</v>
      </c>
      <c r="F1660" s="43">
        <f t="shared" si="304"/>
        <v>7.8947368421052628</v>
      </c>
      <c r="G1660" s="44">
        <f t="shared" si="298"/>
        <v>7</v>
      </c>
      <c r="H1660" s="44">
        <f t="shared" si="299"/>
        <v>0.89473684210526283</v>
      </c>
      <c r="I1660" cm="1">
        <f t="array" ref="I1660">INT(F1660)+IF(100-SUM(INT(F$1651:F$1665))&gt;=RANK(H1660,H$1651:H$1665)+COUNTIF(H$1651:H1660,H1660)-1,1,0)</f>
        <v>8</v>
      </c>
      <c r="J1660" t="b">
        <f t="shared" si="300"/>
        <v>1</v>
      </c>
      <c r="K1660" t="str">
        <f t="shared" si="301"/>
        <v>Trichoptera</v>
      </c>
      <c r="L1660">
        <f>_xlfn.XLOOKUP(D1660,BugList!C:C,BugList!N:N)</f>
        <v>4</v>
      </c>
      <c r="M1660">
        <f t="shared" si="302"/>
        <v>32</v>
      </c>
      <c r="N1660" t="b">
        <f>_xlfn.XLOOKUP(D1660,BugList!C:C,BugList!L:L)</f>
        <v>1</v>
      </c>
      <c r="O1660" t="b">
        <f t="shared" si="303"/>
        <v>0</v>
      </c>
      <c r="P1660" s="18" t="b">
        <f>SUMPRODUCT(COUNTIF(_xlfn.XLOOKUP(D1660,BugList!C:C,BugList!P:P), "*SC*"))&gt;0</f>
        <v>0</v>
      </c>
    </row>
    <row r="1661" spans="1:16">
      <c r="A1661" s="9" t="s">
        <v>103</v>
      </c>
      <c r="B1661" s="83">
        <v>523</v>
      </c>
      <c r="C1661" s="34" t="s">
        <v>198</v>
      </c>
      <c r="D1661" s="34" t="s">
        <v>107</v>
      </c>
      <c r="E1661" s="83">
        <v>42</v>
      </c>
      <c r="F1661" s="43">
        <f t="shared" si="304"/>
        <v>36.84210526315789</v>
      </c>
      <c r="G1661" s="44">
        <f t="shared" si="298"/>
        <v>36</v>
      </c>
      <c r="H1661" s="44">
        <f t="shared" si="299"/>
        <v>0.84210526315789025</v>
      </c>
      <c r="I1661" cm="1">
        <f t="array" ref="I1661">INT(F1661)+IF(100-SUM(INT(F$1651:F$1665))&gt;=RANK(H1661,H$1651:H$1665)+COUNTIF(H$1651:H1661,H1661)-1,1,0)</f>
        <v>37</v>
      </c>
      <c r="J1661" t="b">
        <f t="shared" si="300"/>
        <v>1</v>
      </c>
      <c r="K1661" t="str">
        <f t="shared" si="301"/>
        <v>Trichoptera</v>
      </c>
      <c r="L1661">
        <f>_xlfn.XLOOKUP(D1661,BugList!C:C,BugList!N:N)</f>
        <v>3</v>
      </c>
      <c r="M1661">
        <f t="shared" si="302"/>
        <v>111</v>
      </c>
      <c r="N1661" t="b">
        <f>_xlfn.XLOOKUP(D1661,BugList!C:C,BugList!L:L)</f>
        <v>1</v>
      </c>
      <c r="O1661" t="b">
        <f t="shared" si="303"/>
        <v>1</v>
      </c>
      <c r="P1661" s="18" t="b">
        <f>SUMPRODUCT(COUNTIF(_xlfn.XLOOKUP(D1661,BugList!C:C,BugList!P:P), "*SC*"))&gt;0</f>
        <v>0</v>
      </c>
    </row>
    <row r="1662" spans="1:16">
      <c r="A1662" s="9" t="s">
        <v>103</v>
      </c>
      <c r="B1662" s="83">
        <v>523</v>
      </c>
      <c r="C1662" s="34" t="s">
        <v>201</v>
      </c>
      <c r="D1662" s="34" t="s">
        <v>2839</v>
      </c>
      <c r="E1662" s="83">
        <v>3</v>
      </c>
      <c r="F1662" s="43">
        <f t="shared" si="304"/>
        <v>2.6315789473684208</v>
      </c>
      <c r="G1662" s="44">
        <f t="shared" si="298"/>
        <v>2</v>
      </c>
      <c r="H1662" s="44">
        <f t="shared" si="299"/>
        <v>0.6315789473684208</v>
      </c>
      <c r="I1662" cm="1">
        <f t="array" ref="I1662">INT(F1662)+IF(100-SUM(INT(F$1651:F$1665))&gt;=RANK(H1662,H$1651:H$1665)+COUNTIF(H$1651:H1662,H1662)-1,1,0)</f>
        <v>3</v>
      </c>
      <c r="J1662" t="b">
        <f t="shared" si="300"/>
        <v>0</v>
      </c>
      <c r="K1662" t="str">
        <f t="shared" si="301"/>
        <v/>
      </c>
      <c r="L1662">
        <f>_xlfn.XLOOKUP(D1662,BugList!C:C,BugList!N:N)</f>
        <v>6</v>
      </c>
      <c r="M1662">
        <f t="shared" si="302"/>
        <v>18</v>
      </c>
      <c r="N1662" t="b">
        <f>_xlfn.XLOOKUP(D1662,BugList!C:C,BugList!L:L)</f>
        <v>0</v>
      </c>
      <c r="O1662" t="b">
        <f t="shared" si="303"/>
        <v>0</v>
      </c>
      <c r="P1662" s="18" t="b">
        <f>SUMPRODUCT(COUNTIF(_xlfn.XLOOKUP(D1662,BugList!C:C,BugList!P:P), "*SC*"))&gt;0</f>
        <v>0</v>
      </c>
    </row>
    <row r="1663" spans="1:16">
      <c r="A1663" s="9" t="s">
        <v>103</v>
      </c>
      <c r="B1663" s="83">
        <v>523</v>
      </c>
      <c r="C1663" s="34" t="s">
        <v>201</v>
      </c>
      <c r="D1663" s="34" t="s">
        <v>85</v>
      </c>
      <c r="E1663" s="83">
        <v>1</v>
      </c>
      <c r="F1663" s="43">
        <f t="shared" si="304"/>
        <v>0.8771929824561403</v>
      </c>
      <c r="G1663" s="44">
        <f t="shared" si="298"/>
        <v>0</v>
      </c>
      <c r="H1663" s="44">
        <f t="shared" si="299"/>
        <v>0.8771929824561403</v>
      </c>
      <c r="I1663" cm="1">
        <f t="array" ref="I1663">INT(F1663)+IF(100-SUM(INT(F$1651:F$1665))&gt;=RANK(H1663,H$1651:H$1665)+COUNTIF(H$1651:H1663,H1663)-1,1,0)</f>
        <v>1</v>
      </c>
      <c r="J1663" t="b">
        <f t="shared" si="300"/>
        <v>0</v>
      </c>
      <c r="K1663" t="str">
        <f t="shared" si="301"/>
        <v/>
      </c>
      <c r="L1663">
        <f>_xlfn.XLOOKUP(D1663,BugList!C:C,BugList!N:N)</f>
        <v>4</v>
      </c>
      <c r="M1663">
        <f t="shared" si="302"/>
        <v>4</v>
      </c>
      <c r="N1663" t="b">
        <f>_xlfn.XLOOKUP(D1663,BugList!C:C,BugList!L:L)</f>
        <v>0</v>
      </c>
      <c r="O1663" t="b">
        <f t="shared" si="303"/>
        <v>0</v>
      </c>
      <c r="P1663" s="18" t="b">
        <f>SUMPRODUCT(COUNTIF(_xlfn.XLOOKUP(D1663,BugList!C:C,BugList!P:P), "*SC*"))&gt;0</f>
        <v>0</v>
      </c>
    </row>
    <row r="1664" spans="1:16">
      <c r="A1664" s="9" t="s">
        <v>103</v>
      </c>
      <c r="B1664" s="83">
        <v>523</v>
      </c>
      <c r="C1664" s="34" t="s">
        <v>205</v>
      </c>
      <c r="D1664" s="34" t="s">
        <v>206</v>
      </c>
      <c r="E1664" s="83">
        <v>1</v>
      </c>
      <c r="F1664" s="43">
        <f t="shared" si="304"/>
        <v>0.8771929824561403</v>
      </c>
      <c r="G1664" s="44">
        <f t="shared" si="298"/>
        <v>0</v>
      </c>
      <c r="H1664" s="44">
        <f t="shared" si="299"/>
        <v>0.8771929824561403</v>
      </c>
      <c r="I1664" cm="1">
        <f t="array" ref="I1664">INT(F1664)+IF(100-SUM(INT(F$1651:F$1665))&gt;=RANK(H1664,H$1651:H$1665)+COUNTIF(H$1651:H1664,H1664)-1,1,0)</f>
        <v>1</v>
      </c>
      <c r="J1664" t="b">
        <f t="shared" si="300"/>
        <v>0</v>
      </c>
      <c r="K1664" t="str">
        <f t="shared" si="301"/>
        <v/>
      </c>
      <c r="L1664" s="71">
        <v>8</v>
      </c>
      <c r="M1664">
        <f t="shared" si="302"/>
        <v>8</v>
      </c>
      <c r="N1664" s="71" t="b">
        <v>0</v>
      </c>
      <c r="O1664" t="b">
        <f t="shared" si="303"/>
        <v>0</v>
      </c>
      <c r="P1664" s="72" t="b">
        <v>0</v>
      </c>
    </row>
    <row r="1665" spans="1:16">
      <c r="A1665" s="9" t="s">
        <v>103</v>
      </c>
      <c r="B1665" s="83">
        <v>523</v>
      </c>
      <c r="C1665" s="34" t="s">
        <v>94</v>
      </c>
      <c r="D1665" s="34" t="s">
        <v>94</v>
      </c>
      <c r="E1665" s="83">
        <v>4</v>
      </c>
      <c r="F1665" s="43">
        <f t="shared" si="304"/>
        <v>3.5087719298245612</v>
      </c>
      <c r="G1665" s="44">
        <f t="shared" si="298"/>
        <v>3</v>
      </c>
      <c r="H1665" s="44">
        <f t="shared" si="299"/>
        <v>0.50877192982456121</v>
      </c>
      <c r="I1665" cm="1">
        <f t="array" ref="I1665">INT(F1665)+IF(100-SUM(INT(F$1651:F$1665))&gt;=RANK(H1665,H$1651:H$1665)+COUNTIF(H$1651:H1665,H1665)-1,1,0)</f>
        <v>3</v>
      </c>
      <c r="J1665" t="b">
        <f t="shared" si="300"/>
        <v>0</v>
      </c>
      <c r="K1665" t="str">
        <f t="shared" si="301"/>
        <v/>
      </c>
      <c r="L1665">
        <f>_xlfn.XLOOKUP(D1665,BugList!C:C,BugList!N:N)</f>
        <v>8</v>
      </c>
      <c r="M1665">
        <f t="shared" si="302"/>
        <v>24</v>
      </c>
      <c r="N1665" t="b">
        <f>_xlfn.XLOOKUP(D1665,BugList!C:C,BugList!L:L)</f>
        <v>0</v>
      </c>
      <c r="O1665" t="b">
        <f t="shared" si="303"/>
        <v>0</v>
      </c>
      <c r="P1665" s="18" t="b">
        <f>SUMPRODUCT(COUNTIF(_xlfn.XLOOKUP(D1665,BugList!C:C,BugList!P:P), "*SC*"))&gt;0</f>
        <v>0</v>
      </c>
    </row>
    <row r="1666" spans="1:16">
      <c r="A1666" s="9" t="s">
        <v>2896</v>
      </c>
      <c r="B1666" s="83">
        <v>83</v>
      </c>
      <c r="C1666" s="34" t="s">
        <v>200</v>
      </c>
      <c r="D1666" s="34" t="s">
        <v>98</v>
      </c>
      <c r="E1666" s="83">
        <v>11</v>
      </c>
      <c r="F1666" s="43"/>
      <c r="G1666" s="44"/>
      <c r="H1666" s="44"/>
      <c r="I1666" s="83">
        <v>11</v>
      </c>
      <c r="J1666" t="b">
        <f t="shared" ref="J1666:J1729" si="305">IF(OR(C1666="Ephemeroptera", C1666 ="Plecoptera", C1666= "Trichoptera"), TRUE, FALSE)</f>
        <v>0</v>
      </c>
      <c r="K1666" t="str">
        <f t="shared" ref="K1666:K1729" si="306">IF(J1666=TRUE,C1666,"")</f>
        <v/>
      </c>
      <c r="L1666">
        <f>_xlfn.XLOOKUP(D1666,BugList!C:C,BugList!N:N)</f>
        <v>4</v>
      </c>
      <c r="M1666">
        <f t="shared" ref="M1666:M1729" si="307">L1666*I1666</f>
        <v>44</v>
      </c>
      <c r="N1666" t="b">
        <f>_xlfn.XLOOKUP(D1666,BugList!C:C,BugList!L:L)</f>
        <v>1</v>
      </c>
      <c r="O1666" t="b">
        <f t="shared" ref="O1666:O1729" si="308">IF(J1666=TRUE,IF(D1666="Hydropsychidae", FALSE, TRUE), FALSE)</f>
        <v>0</v>
      </c>
      <c r="P1666" s="18" t="b">
        <f>SUMPRODUCT(COUNTIF(_xlfn.XLOOKUP(D1666,BugList!C:C,BugList!P:P), "*SC*"))&gt;0</f>
        <v>1</v>
      </c>
    </row>
    <row r="1667" spans="1:16">
      <c r="A1667" s="9" t="s">
        <v>2896</v>
      </c>
      <c r="B1667" s="83">
        <v>83</v>
      </c>
      <c r="C1667" s="34" t="s">
        <v>200</v>
      </c>
      <c r="D1667" s="34" t="s">
        <v>100</v>
      </c>
      <c r="E1667" s="83">
        <v>29</v>
      </c>
      <c r="F1667" s="43"/>
      <c r="G1667" s="44"/>
      <c r="H1667" s="44"/>
      <c r="I1667" s="83">
        <v>29</v>
      </c>
      <c r="J1667" t="b">
        <f t="shared" si="305"/>
        <v>0</v>
      </c>
      <c r="K1667" t="str">
        <f t="shared" si="306"/>
        <v/>
      </c>
      <c r="L1667">
        <f>_xlfn.XLOOKUP(D1667,BugList!C:C,BugList!N:N)</f>
        <v>4</v>
      </c>
      <c r="M1667">
        <f t="shared" si="307"/>
        <v>116</v>
      </c>
      <c r="N1667" t="b">
        <f>_xlfn.XLOOKUP(D1667,BugList!C:C,BugList!L:L)</f>
        <v>1</v>
      </c>
      <c r="O1667" t="b">
        <f t="shared" si="308"/>
        <v>0</v>
      </c>
      <c r="P1667" s="18" t="b">
        <f>SUMPRODUCT(COUNTIF(_xlfn.XLOOKUP(D1667,BugList!C:C,BugList!P:P), "*SC*"))&gt;0</f>
        <v>1</v>
      </c>
    </row>
    <row r="1668" spans="1:16">
      <c r="A1668" s="9" t="s">
        <v>2896</v>
      </c>
      <c r="B1668" s="83">
        <v>83</v>
      </c>
      <c r="C1668" s="34" t="s">
        <v>199</v>
      </c>
      <c r="D1668" s="34" t="s">
        <v>111</v>
      </c>
      <c r="E1668" s="83">
        <v>6</v>
      </c>
      <c r="F1668" s="43"/>
      <c r="G1668" s="44"/>
      <c r="H1668" s="44"/>
      <c r="I1668" s="83">
        <v>6</v>
      </c>
      <c r="J1668" t="b">
        <f t="shared" si="305"/>
        <v>1</v>
      </c>
      <c r="K1668" t="str">
        <f t="shared" si="306"/>
        <v>Ephemeroptera</v>
      </c>
      <c r="L1668">
        <f>_xlfn.XLOOKUP(D1668,BugList!C:C,BugList!N:N)</f>
        <v>4</v>
      </c>
      <c r="M1668">
        <f t="shared" si="307"/>
        <v>24</v>
      </c>
      <c r="N1668" t="b">
        <f>_xlfn.XLOOKUP(D1668,BugList!C:C,BugList!L:L)</f>
        <v>1</v>
      </c>
      <c r="O1668" t="b">
        <f t="shared" si="308"/>
        <v>1</v>
      </c>
      <c r="P1668" s="18" t="b">
        <f>SUMPRODUCT(COUNTIF(_xlfn.XLOOKUP(D1668,BugList!C:C,BugList!P:P), "*SC*"))&gt;0</f>
        <v>0</v>
      </c>
    </row>
    <row r="1669" spans="1:16">
      <c r="A1669" s="9" t="s">
        <v>2896</v>
      </c>
      <c r="B1669" s="83">
        <v>83</v>
      </c>
      <c r="C1669" s="34" t="s">
        <v>195</v>
      </c>
      <c r="D1669" s="34" t="s">
        <v>113</v>
      </c>
      <c r="E1669" s="83">
        <v>2</v>
      </c>
      <c r="F1669" s="43"/>
      <c r="G1669" s="44"/>
      <c r="H1669" s="44"/>
      <c r="I1669" s="83">
        <v>2</v>
      </c>
      <c r="J1669" t="b">
        <f t="shared" si="305"/>
        <v>0</v>
      </c>
      <c r="K1669" t="str">
        <f t="shared" si="306"/>
        <v/>
      </c>
      <c r="L1669">
        <f>_xlfn.XLOOKUP(D1669,BugList!C:C,BugList!N:N)</f>
        <v>1</v>
      </c>
      <c r="M1669">
        <f t="shared" si="307"/>
        <v>2</v>
      </c>
      <c r="N1669" t="b">
        <f>_xlfn.XLOOKUP(D1669,BugList!C:C,BugList!L:L)</f>
        <v>1</v>
      </c>
      <c r="O1669" t="b">
        <f t="shared" si="308"/>
        <v>0</v>
      </c>
      <c r="P1669" s="18" t="b">
        <f>SUMPRODUCT(COUNTIF(_xlfn.XLOOKUP(D1669,BugList!C:C,BugList!P:P), "*SC*"))&gt;0</f>
        <v>0</v>
      </c>
    </row>
    <row r="1670" spans="1:16">
      <c r="A1670" s="9" t="s">
        <v>2896</v>
      </c>
      <c r="B1670" s="83">
        <v>83</v>
      </c>
      <c r="C1670" s="34" t="s">
        <v>198</v>
      </c>
      <c r="D1670" s="34" t="s">
        <v>89</v>
      </c>
      <c r="E1670" s="83">
        <v>25</v>
      </c>
      <c r="F1670" s="43"/>
      <c r="G1670" s="44"/>
      <c r="H1670" s="44"/>
      <c r="I1670" s="83">
        <v>25</v>
      </c>
      <c r="J1670" t="b">
        <f t="shared" si="305"/>
        <v>1</v>
      </c>
      <c r="K1670" t="str">
        <f t="shared" si="306"/>
        <v>Trichoptera</v>
      </c>
      <c r="L1670">
        <f>_xlfn.XLOOKUP(D1670,BugList!C:C,BugList!N:N)</f>
        <v>4</v>
      </c>
      <c r="M1670">
        <f t="shared" si="307"/>
        <v>100</v>
      </c>
      <c r="N1670" t="b">
        <f>_xlfn.XLOOKUP(D1670,BugList!C:C,BugList!L:L)</f>
        <v>1</v>
      </c>
      <c r="O1670" t="b">
        <f t="shared" si="308"/>
        <v>0</v>
      </c>
      <c r="P1670" s="18" t="b">
        <f>SUMPRODUCT(COUNTIF(_xlfn.XLOOKUP(D1670,BugList!C:C,BugList!P:P), "*SC*"))&gt;0</f>
        <v>0</v>
      </c>
    </row>
    <row r="1671" spans="1:16">
      <c r="A1671" s="9" t="s">
        <v>2896</v>
      </c>
      <c r="B1671" s="83">
        <v>83</v>
      </c>
      <c r="C1671" s="34" t="s">
        <v>198</v>
      </c>
      <c r="D1671" s="34" t="s">
        <v>107</v>
      </c>
      <c r="E1671" s="83">
        <v>5</v>
      </c>
      <c r="F1671" s="43"/>
      <c r="G1671" s="44"/>
      <c r="H1671" s="44"/>
      <c r="I1671" s="83">
        <v>5</v>
      </c>
      <c r="J1671" t="b">
        <f t="shared" si="305"/>
        <v>1</v>
      </c>
      <c r="K1671" t="str">
        <f t="shared" si="306"/>
        <v>Trichoptera</v>
      </c>
      <c r="L1671">
        <f>_xlfn.XLOOKUP(D1671,BugList!C:C,BugList!N:N)</f>
        <v>3</v>
      </c>
      <c r="M1671">
        <f t="shared" si="307"/>
        <v>15</v>
      </c>
      <c r="N1671" t="b">
        <f>_xlfn.XLOOKUP(D1671,BugList!C:C,BugList!L:L)</f>
        <v>1</v>
      </c>
      <c r="O1671" t="b">
        <f t="shared" si="308"/>
        <v>1</v>
      </c>
      <c r="P1671" s="18" t="b">
        <f>SUMPRODUCT(COUNTIF(_xlfn.XLOOKUP(D1671,BugList!C:C,BugList!P:P), "*SC*"))&gt;0</f>
        <v>0</v>
      </c>
    </row>
    <row r="1672" spans="1:16">
      <c r="A1672" s="9" t="s">
        <v>2896</v>
      </c>
      <c r="B1672" s="83">
        <v>83</v>
      </c>
      <c r="C1672" s="34" t="s">
        <v>204</v>
      </c>
      <c r="D1672" s="34" t="s">
        <v>84</v>
      </c>
      <c r="E1672" s="83">
        <v>1</v>
      </c>
      <c r="F1672" s="43"/>
      <c r="G1672" s="44"/>
      <c r="H1672" s="44"/>
      <c r="I1672" s="83">
        <v>1</v>
      </c>
      <c r="J1672" t="b">
        <f t="shared" si="305"/>
        <v>0</v>
      </c>
      <c r="K1672" t="str">
        <f t="shared" si="306"/>
        <v/>
      </c>
      <c r="L1672">
        <f>_xlfn.XLOOKUP(D1672,BugList!C:C,BugList!N:N)</f>
        <v>8</v>
      </c>
      <c r="M1672">
        <f t="shared" si="307"/>
        <v>8</v>
      </c>
      <c r="N1672" t="b">
        <f>_xlfn.XLOOKUP(D1672,BugList!C:C,BugList!L:L)</f>
        <v>0</v>
      </c>
      <c r="O1672" t="b">
        <f t="shared" si="308"/>
        <v>0</v>
      </c>
      <c r="P1672" s="18" t="b">
        <f>SUMPRODUCT(COUNTIF(_xlfn.XLOOKUP(D1672,BugList!C:C,BugList!P:P), "*SC*"))&gt;0</f>
        <v>0</v>
      </c>
    </row>
    <row r="1673" spans="1:16">
      <c r="A1673" s="9" t="s">
        <v>2896</v>
      </c>
      <c r="B1673" s="83">
        <v>83</v>
      </c>
      <c r="C1673" s="34" t="s">
        <v>201</v>
      </c>
      <c r="D1673" s="34" t="s">
        <v>85</v>
      </c>
      <c r="E1673" s="83">
        <v>11</v>
      </c>
      <c r="F1673" s="43"/>
      <c r="G1673" s="44"/>
      <c r="H1673" s="44"/>
      <c r="I1673" s="83">
        <v>11</v>
      </c>
      <c r="J1673" t="b">
        <f t="shared" si="305"/>
        <v>0</v>
      </c>
      <c r="K1673" t="str">
        <f t="shared" si="306"/>
        <v/>
      </c>
      <c r="L1673">
        <f>_xlfn.XLOOKUP(D1673,BugList!C:C,BugList!N:N)</f>
        <v>4</v>
      </c>
      <c r="M1673">
        <f t="shared" si="307"/>
        <v>44</v>
      </c>
      <c r="N1673" t="b">
        <f>_xlfn.XLOOKUP(D1673,BugList!C:C,BugList!L:L)</f>
        <v>0</v>
      </c>
      <c r="O1673" t="b">
        <f t="shared" si="308"/>
        <v>0</v>
      </c>
      <c r="P1673" s="18" t="b">
        <f>SUMPRODUCT(COUNTIF(_xlfn.XLOOKUP(D1673,BugList!C:C,BugList!P:P), "*SC*"))&gt;0</f>
        <v>0</v>
      </c>
    </row>
    <row r="1674" spans="1:16">
      <c r="A1674" s="9" t="s">
        <v>2896</v>
      </c>
      <c r="B1674" s="83">
        <v>83</v>
      </c>
      <c r="C1674" s="34" t="s">
        <v>202</v>
      </c>
      <c r="D1674" s="34" t="s">
        <v>203</v>
      </c>
      <c r="E1674" s="83">
        <v>2</v>
      </c>
      <c r="F1674" s="43"/>
      <c r="G1674" s="44"/>
      <c r="H1674" s="44"/>
      <c r="I1674" s="83">
        <v>2</v>
      </c>
      <c r="J1674" t="b">
        <f t="shared" si="305"/>
        <v>0</v>
      </c>
      <c r="K1674" t="str">
        <f t="shared" si="306"/>
        <v/>
      </c>
      <c r="L1674" s="71">
        <v>5</v>
      </c>
      <c r="M1674">
        <f t="shared" si="307"/>
        <v>10</v>
      </c>
      <c r="N1674" s="71" t="b">
        <v>0</v>
      </c>
      <c r="O1674" t="b">
        <f t="shared" si="308"/>
        <v>0</v>
      </c>
      <c r="P1674" s="72" t="b">
        <v>0</v>
      </c>
    </row>
    <row r="1675" spans="1:16">
      <c r="A1675" s="9" t="s">
        <v>2896</v>
      </c>
      <c r="B1675" s="83">
        <v>83</v>
      </c>
      <c r="C1675" s="34" t="s">
        <v>2315</v>
      </c>
      <c r="D1675" s="34" t="s">
        <v>2315</v>
      </c>
      <c r="E1675" s="83">
        <v>1</v>
      </c>
      <c r="F1675" s="43"/>
      <c r="G1675" s="44"/>
      <c r="H1675" s="44"/>
      <c r="I1675" s="83">
        <v>1</v>
      </c>
      <c r="J1675" t="b">
        <f t="shared" si="305"/>
        <v>0</v>
      </c>
      <c r="K1675" t="str">
        <f t="shared" si="306"/>
        <v/>
      </c>
      <c r="L1675">
        <f>_xlfn.XLOOKUP(D1675,BugList!C:C,BugList!N:N)</f>
        <v>7</v>
      </c>
      <c r="M1675">
        <f t="shared" si="307"/>
        <v>7</v>
      </c>
      <c r="N1675" t="b">
        <f>_xlfn.XLOOKUP(D1675,BugList!C:C,BugList!L:L)</f>
        <v>0</v>
      </c>
      <c r="O1675" t="b">
        <f t="shared" si="308"/>
        <v>0</v>
      </c>
      <c r="P1675" s="18" t="b">
        <f>SUMPRODUCT(COUNTIF(_xlfn.XLOOKUP(D1675,BugList!C:C,BugList!P:P), "*SC*"))&gt;0</f>
        <v>1</v>
      </c>
    </row>
    <row r="1676" spans="1:16">
      <c r="A1676" s="9" t="s">
        <v>2896</v>
      </c>
      <c r="B1676" s="83">
        <v>83</v>
      </c>
      <c r="C1676" s="34" t="s">
        <v>205</v>
      </c>
      <c r="D1676" s="34" t="s">
        <v>206</v>
      </c>
      <c r="E1676" s="83">
        <v>3</v>
      </c>
      <c r="F1676" s="43"/>
      <c r="G1676" s="44"/>
      <c r="H1676" s="44"/>
      <c r="I1676" s="83">
        <v>3</v>
      </c>
      <c r="J1676" t="b">
        <f t="shared" si="305"/>
        <v>0</v>
      </c>
      <c r="K1676" t="str">
        <f t="shared" si="306"/>
        <v/>
      </c>
      <c r="L1676" s="71">
        <v>8</v>
      </c>
      <c r="M1676">
        <f t="shared" si="307"/>
        <v>24</v>
      </c>
      <c r="N1676" s="71" t="b">
        <v>0</v>
      </c>
      <c r="O1676" t="b">
        <f t="shared" si="308"/>
        <v>0</v>
      </c>
      <c r="P1676" s="72" t="b">
        <v>0</v>
      </c>
    </row>
    <row r="1677" spans="1:16">
      <c r="A1677" s="9" t="s">
        <v>2896</v>
      </c>
      <c r="B1677" s="83">
        <v>83</v>
      </c>
      <c r="C1677" s="34" t="s">
        <v>94</v>
      </c>
      <c r="D1677" s="34" t="s">
        <v>94</v>
      </c>
      <c r="E1677" s="83">
        <v>2</v>
      </c>
      <c r="F1677" s="43"/>
      <c r="G1677" s="44"/>
      <c r="H1677" s="44"/>
      <c r="I1677" s="83">
        <v>2</v>
      </c>
      <c r="J1677" t="b">
        <f t="shared" si="305"/>
        <v>0</v>
      </c>
      <c r="K1677" t="str">
        <f t="shared" si="306"/>
        <v/>
      </c>
      <c r="L1677">
        <f>_xlfn.XLOOKUP(D1677,BugList!C:C,BugList!N:N)</f>
        <v>8</v>
      </c>
      <c r="M1677">
        <f t="shared" si="307"/>
        <v>16</v>
      </c>
      <c r="N1677" t="b">
        <f>_xlfn.XLOOKUP(D1677,BugList!C:C,BugList!L:L)</f>
        <v>0</v>
      </c>
      <c r="O1677" t="b">
        <f t="shared" si="308"/>
        <v>0</v>
      </c>
      <c r="P1677" s="18" t="b">
        <f>SUMPRODUCT(COUNTIF(_xlfn.XLOOKUP(D1677,BugList!C:C,BugList!P:P), "*SC*"))&gt;0</f>
        <v>0</v>
      </c>
    </row>
    <row r="1678" spans="1:16">
      <c r="A1678" s="9" t="s">
        <v>2896</v>
      </c>
      <c r="B1678" s="83">
        <v>83</v>
      </c>
      <c r="C1678" s="34" t="s">
        <v>212</v>
      </c>
      <c r="D1678" s="34" t="s">
        <v>1179</v>
      </c>
      <c r="E1678" s="83">
        <v>1</v>
      </c>
      <c r="F1678" s="43"/>
      <c r="G1678" s="44"/>
      <c r="H1678" s="44"/>
      <c r="I1678" s="83">
        <v>1</v>
      </c>
      <c r="J1678" t="b">
        <f t="shared" si="305"/>
        <v>0</v>
      </c>
      <c r="K1678" t="str">
        <f t="shared" si="306"/>
        <v/>
      </c>
      <c r="L1678">
        <f>_xlfn.XLOOKUP(D1678,BugList!C:C,BugList!N:N)</f>
        <v>8</v>
      </c>
      <c r="M1678">
        <f t="shared" si="307"/>
        <v>8</v>
      </c>
      <c r="N1678" t="b">
        <f>_xlfn.XLOOKUP(D1678,BugList!C:C,BugList!L:L)</f>
        <v>1</v>
      </c>
      <c r="O1678" t="b">
        <f t="shared" si="308"/>
        <v>0</v>
      </c>
      <c r="P1678" s="18" t="b">
        <f>SUMPRODUCT(COUNTIF(_xlfn.XLOOKUP(D1678,BugList!C:C,BugList!P:P), "*SC*"))&gt;0</f>
        <v>0</v>
      </c>
    </row>
    <row r="1679" spans="1:16">
      <c r="A1679" s="9" t="s">
        <v>2897</v>
      </c>
      <c r="B1679" s="83">
        <v>99</v>
      </c>
      <c r="C1679" s="34" t="s">
        <v>200</v>
      </c>
      <c r="D1679" s="34" t="s">
        <v>98</v>
      </c>
      <c r="E1679" s="83">
        <v>3</v>
      </c>
      <c r="F1679" s="43">
        <f t="shared" ref="F1679:F1742" si="309">(E1679/(SUMIFS(E:E,A:A,A1679))*100)</f>
        <v>2.8846153846153846</v>
      </c>
      <c r="G1679" s="44">
        <f t="shared" ref="G1679:G1729" si="310">INT(F1679)</f>
        <v>2</v>
      </c>
      <c r="H1679" s="44">
        <f t="shared" ref="H1679:H1729" si="311">F1679-G1679</f>
        <v>0.88461538461538458</v>
      </c>
      <c r="I1679" cm="1">
        <f t="array" ref="I1679">INT(F1679)+IF(100-SUM(INT(F$1679:F$1688))&gt;=RANK(H1679,H$1679:H$1688)+COUNTIF(H$1679:H1679,H1679)-1,1,0)</f>
        <v>3</v>
      </c>
      <c r="J1679" t="b">
        <f t="shared" si="305"/>
        <v>0</v>
      </c>
      <c r="K1679" t="str">
        <f t="shared" si="306"/>
        <v/>
      </c>
      <c r="L1679">
        <f>_xlfn.XLOOKUP(D1679,BugList!C:C,BugList!N:N)</f>
        <v>4</v>
      </c>
      <c r="M1679">
        <f t="shared" si="307"/>
        <v>12</v>
      </c>
      <c r="N1679" t="b">
        <f>_xlfn.XLOOKUP(D1679,BugList!C:C,BugList!L:L)</f>
        <v>1</v>
      </c>
      <c r="O1679" t="b">
        <f t="shared" si="308"/>
        <v>0</v>
      </c>
      <c r="P1679" s="18" t="b">
        <f>SUMPRODUCT(COUNTIF(_xlfn.XLOOKUP(D1679,BugList!C:C,BugList!P:P), "*SC*"))&gt;0</f>
        <v>1</v>
      </c>
    </row>
    <row r="1680" spans="1:16">
      <c r="A1680" s="9" t="s">
        <v>2897</v>
      </c>
      <c r="B1680" s="83">
        <v>99</v>
      </c>
      <c r="C1680" s="34" t="s">
        <v>200</v>
      </c>
      <c r="D1680" s="34" t="s">
        <v>100</v>
      </c>
      <c r="E1680" s="83">
        <v>11</v>
      </c>
      <c r="F1680" s="43">
        <f t="shared" si="309"/>
        <v>10.576923076923077</v>
      </c>
      <c r="G1680" s="44">
        <f t="shared" si="310"/>
        <v>10</v>
      </c>
      <c r="H1680" s="44">
        <f t="shared" si="311"/>
        <v>0.57692307692307665</v>
      </c>
      <c r="I1680" cm="1">
        <f t="array" ref="I1680">INT(F1680)+IF(100-SUM(INT(F$1679:F$1688))&gt;=RANK(H1680,H$1679:H$1688)+COUNTIF(H$1679:H1680,H1680)-1,1,0)</f>
        <v>10</v>
      </c>
      <c r="J1680" t="b">
        <f t="shared" si="305"/>
        <v>0</v>
      </c>
      <c r="K1680" t="str">
        <f t="shared" si="306"/>
        <v/>
      </c>
      <c r="L1680">
        <f>_xlfn.XLOOKUP(D1680,BugList!C:C,BugList!N:N)</f>
        <v>4</v>
      </c>
      <c r="M1680">
        <f t="shared" si="307"/>
        <v>40</v>
      </c>
      <c r="N1680" t="b">
        <f>_xlfn.XLOOKUP(D1680,BugList!C:C,BugList!L:L)</f>
        <v>1</v>
      </c>
      <c r="O1680" t="b">
        <f t="shared" si="308"/>
        <v>0</v>
      </c>
      <c r="P1680" s="18" t="b">
        <f>SUMPRODUCT(COUNTIF(_xlfn.XLOOKUP(D1680,BugList!C:C,BugList!P:P), "*SC*"))&gt;0</f>
        <v>1</v>
      </c>
    </row>
    <row r="1681" spans="1:16">
      <c r="A1681" s="9" t="s">
        <v>2897</v>
      </c>
      <c r="B1681" s="83">
        <v>99</v>
      </c>
      <c r="C1681" s="34" t="s">
        <v>199</v>
      </c>
      <c r="D1681" s="34" t="s">
        <v>111</v>
      </c>
      <c r="E1681" s="83">
        <v>9</v>
      </c>
      <c r="F1681" s="43">
        <f t="shared" si="309"/>
        <v>8.6538461538461533</v>
      </c>
      <c r="G1681" s="44">
        <f t="shared" si="310"/>
        <v>8</v>
      </c>
      <c r="H1681" s="44">
        <f t="shared" si="311"/>
        <v>0.6538461538461533</v>
      </c>
      <c r="I1681" cm="1">
        <f t="array" ref="I1681">INT(F1681)+IF(100-SUM(INT(F$1679:F$1688))&gt;=RANK(H1681,H$1679:H$1688)+COUNTIF(H$1679:H1681,H1681)-1,1,0)</f>
        <v>9</v>
      </c>
      <c r="J1681" t="b">
        <f t="shared" si="305"/>
        <v>1</v>
      </c>
      <c r="K1681" t="str">
        <f t="shared" si="306"/>
        <v>Ephemeroptera</v>
      </c>
      <c r="L1681">
        <f>_xlfn.XLOOKUP(D1681,BugList!C:C,BugList!N:N)</f>
        <v>4</v>
      </c>
      <c r="M1681">
        <f t="shared" si="307"/>
        <v>36</v>
      </c>
      <c r="N1681" t="b">
        <f>_xlfn.XLOOKUP(D1681,BugList!C:C,BugList!L:L)</f>
        <v>1</v>
      </c>
      <c r="O1681" t="b">
        <f t="shared" si="308"/>
        <v>1</v>
      </c>
      <c r="P1681" s="18" t="b">
        <f>SUMPRODUCT(COUNTIF(_xlfn.XLOOKUP(D1681,BugList!C:C,BugList!P:P), "*SC*"))&gt;0</f>
        <v>0</v>
      </c>
    </row>
    <row r="1682" spans="1:16">
      <c r="A1682" s="9" t="s">
        <v>2897</v>
      </c>
      <c r="B1682" s="83">
        <v>99</v>
      </c>
      <c r="C1682" s="34" t="s">
        <v>1225</v>
      </c>
      <c r="D1682" s="34" t="s">
        <v>181</v>
      </c>
      <c r="E1682" s="83">
        <v>6</v>
      </c>
      <c r="F1682" s="43">
        <f t="shared" si="309"/>
        <v>5.7692307692307692</v>
      </c>
      <c r="G1682" s="44">
        <f t="shared" si="310"/>
        <v>5</v>
      </c>
      <c r="H1682" s="44">
        <f t="shared" si="311"/>
        <v>0.76923076923076916</v>
      </c>
      <c r="I1682" cm="1">
        <f t="array" ref="I1682">INT(F1682)+IF(100-SUM(INT(F$1679:F$1688))&gt;=RANK(H1682,H$1679:H$1688)+COUNTIF(H$1679:H1682,H1682)-1,1,0)</f>
        <v>6</v>
      </c>
      <c r="J1682" t="b">
        <f t="shared" si="305"/>
        <v>0</v>
      </c>
      <c r="K1682" t="str">
        <f t="shared" si="306"/>
        <v/>
      </c>
      <c r="L1682">
        <f>_xlfn.XLOOKUP(D1682,BugList!C:C,BugList!N:N)</f>
        <v>4</v>
      </c>
      <c r="M1682">
        <f t="shared" si="307"/>
        <v>24</v>
      </c>
      <c r="N1682" t="b">
        <f>_xlfn.XLOOKUP(D1682,BugList!C:C,BugList!L:L)</f>
        <v>1</v>
      </c>
      <c r="O1682" t="b">
        <f t="shared" si="308"/>
        <v>0</v>
      </c>
      <c r="P1682" s="18" t="b">
        <f>SUMPRODUCT(COUNTIF(_xlfn.XLOOKUP(D1682,BugList!C:C,BugList!P:P), "*SC*"))&gt;0</f>
        <v>0</v>
      </c>
    </row>
    <row r="1683" spans="1:16">
      <c r="A1683" s="9" t="s">
        <v>2897</v>
      </c>
      <c r="B1683" s="83">
        <v>99</v>
      </c>
      <c r="C1683" s="34" t="s">
        <v>195</v>
      </c>
      <c r="D1683" s="34" t="s">
        <v>97</v>
      </c>
      <c r="E1683" s="83">
        <v>1</v>
      </c>
      <c r="F1683" s="43">
        <f t="shared" si="309"/>
        <v>0.96153846153846156</v>
      </c>
      <c r="G1683" s="44">
        <f t="shared" si="310"/>
        <v>0</v>
      </c>
      <c r="H1683" s="44">
        <f t="shared" si="311"/>
        <v>0.96153846153846156</v>
      </c>
      <c r="I1683" cm="1">
        <f t="array" ref="I1683">INT(F1683)+IF(100-SUM(INT(F$1679:F$1688))&gt;=RANK(H1683,H$1679:H$1688)+COUNTIF(H$1679:H1683,H1683)-1,1,0)</f>
        <v>1</v>
      </c>
      <c r="J1683" t="b">
        <f t="shared" si="305"/>
        <v>0</v>
      </c>
      <c r="K1683" t="str">
        <f t="shared" si="306"/>
        <v/>
      </c>
      <c r="L1683">
        <f>_xlfn.XLOOKUP(D1683,BugList!C:C,BugList!N:N)</f>
        <v>9</v>
      </c>
      <c r="M1683">
        <f t="shared" si="307"/>
        <v>9</v>
      </c>
      <c r="N1683" t="b">
        <f>_xlfn.XLOOKUP(D1683,BugList!C:C,BugList!L:L)</f>
        <v>1</v>
      </c>
      <c r="O1683" t="b">
        <f t="shared" si="308"/>
        <v>0</v>
      </c>
      <c r="P1683" s="18" t="b">
        <f>SUMPRODUCT(COUNTIF(_xlfn.XLOOKUP(D1683,BugList!C:C,BugList!P:P), "*SC*"))&gt;0</f>
        <v>0</v>
      </c>
    </row>
    <row r="1684" spans="1:16">
      <c r="A1684" s="9" t="s">
        <v>2897</v>
      </c>
      <c r="B1684" s="83">
        <v>99</v>
      </c>
      <c r="C1684" s="34" t="s">
        <v>198</v>
      </c>
      <c r="D1684" s="34" t="s">
        <v>89</v>
      </c>
      <c r="E1684" s="83">
        <v>28</v>
      </c>
      <c r="F1684" s="43">
        <f t="shared" si="309"/>
        <v>26.923076923076923</v>
      </c>
      <c r="G1684" s="44">
        <f t="shared" si="310"/>
        <v>26</v>
      </c>
      <c r="H1684" s="44">
        <f t="shared" si="311"/>
        <v>0.92307692307692335</v>
      </c>
      <c r="I1684" cm="1">
        <f t="array" ref="I1684">INT(F1684)+IF(100-SUM(INT(F$1679:F$1688))&gt;=RANK(H1684,H$1679:H$1688)+COUNTIF(H$1679:H1684,H1684)-1,1,0)</f>
        <v>27</v>
      </c>
      <c r="J1684" t="b">
        <f t="shared" si="305"/>
        <v>1</v>
      </c>
      <c r="K1684" t="str">
        <f t="shared" si="306"/>
        <v>Trichoptera</v>
      </c>
      <c r="L1684">
        <f>_xlfn.XLOOKUP(D1684,BugList!C:C,BugList!N:N)</f>
        <v>4</v>
      </c>
      <c r="M1684">
        <f t="shared" si="307"/>
        <v>108</v>
      </c>
      <c r="N1684" t="b">
        <f>_xlfn.XLOOKUP(D1684,BugList!C:C,BugList!L:L)</f>
        <v>1</v>
      </c>
      <c r="O1684" t="b">
        <f t="shared" si="308"/>
        <v>0</v>
      </c>
      <c r="P1684" s="18" t="b">
        <f>SUMPRODUCT(COUNTIF(_xlfn.XLOOKUP(D1684,BugList!C:C,BugList!P:P), "*SC*"))&gt;0</f>
        <v>0</v>
      </c>
    </row>
    <row r="1685" spans="1:16">
      <c r="A1685" s="9" t="s">
        <v>2897</v>
      </c>
      <c r="B1685" s="83">
        <v>99</v>
      </c>
      <c r="C1685" s="34" t="s">
        <v>198</v>
      </c>
      <c r="D1685" s="34" t="s">
        <v>163</v>
      </c>
      <c r="E1685" s="83">
        <v>9</v>
      </c>
      <c r="F1685" s="43">
        <f t="shared" si="309"/>
        <v>8.6538461538461533</v>
      </c>
      <c r="G1685" s="44">
        <f t="shared" si="310"/>
        <v>8</v>
      </c>
      <c r="H1685" s="44">
        <f t="shared" si="311"/>
        <v>0.6538461538461533</v>
      </c>
      <c r="I1685" cm="1">
        <f t="array" ref="I1685">INT(F1685)+IF(100-SUM(INT(F$1679:F$1688))&gt;=RANK(H1685,H$1679:H$1688)+COUNTIF(H$1679:H1685,H1685)-1,1,0)</f>
        <v>8</v>
      </c>
      <c r="J1685" t="b">
        <f t="shared" si="305"/>
        <v>1</v>
      </c>
      <c r="K1685" t="str">
        <f t="shared" si="306"/>
        <v>Trichoptera</v>
      </c>
      <c r="L1685">
        <f>_xlfn.XLOOKUP(D1685,BugList!C:C,BugList!N:N)</f>
        <v>6</v>
      </c>
      <c r="M1685">
        <f t="shared" si="307"/>
        <v>48</v>
      </c>
      <c r="N1685" t="b">
        <f>_xlfn.XLOOKUP(D1685,BugList!C:C,BugList!L:L)</f>
        <v>1</v>
      </c>
      <c r="O1685" t="b">
        <f t="shared" si="308"/>
        <v>1</v>
      </c>
      <c r="P1685" s="18" t="b">
        <f>SUMPRODUCT(COUNTIF(_xlfn.XLOOKUP(D1685,BugList!C:C,BugList!P:P), "*SC*"))&gt;0</f>
        <v>0</v>
      </c>
    </row>
    <row r="1686" spans="1:16">
      <c r="A1686" s="9" t="s">
        <v>2897</v>
      </c>
      <c r="B1686" s="83">
        <v>99</v>
      </c>
      <c r="C1686" s="34" t="s">
        <v>201</v>
      </c>
      <c r="D1686" s="34" t="s">
        <v>85</v>
      </c>
      <c r="E1686" s="83">
        <v>28</v>
      </c>
      <c r="F1686" s="43">
        <f t="shared" si="309"/>
        <v>26.923076923076923</v>
      </c>
      <c r="G1686" s="44">
        <f t="shared" si="310"/>
        <v>26</v>
      </c>
      <c r="H1686" s="44">
        <f t="shared" si="311"/>
        <v>0.92307692307692335</v>
      </c>
      <c r="I1686" cm="1">
        <f t="array" ref="I1686">INT(F1686)+IF(100-SUM(INT(F$1679:F$1688))&gt;=RANK(H1686,H$1679:H$1688)+COUNTIF(H$1679:H1686,H1686)-1,1,0)</f>
        <v>27</v>
      </c>
      <c r="J1686" t="b">
        <f t="shared" si="305"/>
        <v>0</v>
      </c>
      <c r="K1686" t="str">
        <f t="shared" si="306"/>
        <v/>
      </c>
      <c r="L1686">
        <f>_xlfn.XLOOKUP(D1686,BugList!C:C,BugList!N:N)</f>
        <v>4</v>
      </c>
      <c r="M1686">
        <f t="shared" si="307"/>
        <v>108</v>
      </c>
      <c r="N1686" t="b">
        <f>_xlfn.XLOOKUP(D1686,BugList!C:C,BugList!L:L)</f>
        <v>0</v>
      </c>
      <c r="O1686" t="b">
        <f t="shared" si="308"/>
        <v>0</v>
      </c>
      <c r="P1686" s="18" t="b">
        <f>SUMPRODUCT(COUNTIF(_xlfn.XLOOKUP(D1686,BugList!C:C,BugList!P:P), "*SC*"))&gt;0</f>
        <v>0</v>
      </c>
    </row>
    <row r="1687" spans="1:16">
      <c r="A1687" s="9" t="s">
        <v>2897</v>
      </c>
      <c r="B1687" s="83">
        <v>99</v>
      </c>
      <c r="C1687" s="34" t="s">
        <v>205</v>
      </c>
      <c r="D1687" s="34" t="s">
        <v>206</v>
      </c>
      <c r="E1687" s="83">
        <v>8</v>
      </c>
      <c r="F1687" s="43">
        <f t="shared" si="309"/>
        <v>7.6923076923076925</v>
      </c>
      <c r="G1687" s="44">
        <f t="shared" si="310"/>
        <v>7</v>
      </c>
      <c r="H1687" s="44">
        <f t="shared" si="311"/>
        <v>0.69230769230769251</v>
      </c>
      <c r="I1687" cm="1">
        <f t="array" ref="I1687">INT(F1687)+IF(100-SUM(INT(F$1679:F$1688))&gt;=RANK(H1687,H$1679:H$1688)+COUNTIF(H$1679:H1687,H1687)-1,1,0)</f>
        <v>8</v>
      </c>
      <c r="J1687" t="b">
        <f t="shared" si="305"/>
        <v>0</v>
      </c>
      <c r="K1687" t="str">
        <f t="shared" si="306"/>
        <v/>
      </c>
      <c r="L1687" s="71">
        <v>8</v>
      </c>
      <c r="M1687">
        <f t="shared" ref="M1687" si="312">L1687*I1687</f>
        <v>64</v>
      </c>
      <c r="N1687" s="71" t="b">
        <v>0</v>
      </c>
      <c r="O1687" t="b">
        <f t="shared" ref="O1687" si="313">IF(J1687=TRUE,IF(D1687="Hydropsychidae", FALSE, TRUE), FALSE)</f>
        <v>0</v>
      </c>
      <c r="P1687" s="72" t="b">
        <v>0</v>
      </c>
    </row>
    <row r="1688" spans="1:16">
      <c r="A1688" s="9" t="s">
        <v>2897</v>
      </c>
      <c r="B1688" s="83">
        <v>99</v>
      </c>
      <c r="C1688" s="34" t="s">
        <v>94</v>
      </c>
      <c r="D1688" s="34" t="s">
        <v>94</v>
      </c>
      <c r="E1688" s="83">
        <v>1</v>
      </c>
      <c r="F1688" s="43">
        <f t="shared" si="309"/>
        <v>0.96153846153846156</v>
      </c>
      <c r="G1688" s="44">
        <f t="shared" si="310"/>
        <v>0</v>
      </c>
      <c r="H1688" s="44">
        <f t="shared" si="311"/>
        <v>0.96153846153846156</v>
      </c>
      <c r="I1688" cm="1">
        <f t="array" ref="I1688">INT(F1688)+IF(100-SUM(INT(F$1679:F$1688))&gt;=RANK(H1688,H$1679:H$1688)+COUNTIF(H$1679:H1688,H1688)-1,1,0)</f>
        <v>1</v>
      </c>
      <c r="J1688" t="b">
        <f t="shared" si="305"/>
        <v>0</v>
      </c>
      <c r="K1688" t="str">
        <f t="shared" si="306"/>
        <v/>
      </c>
      <c r="L1688">
        <f>_xlfn.XLOOKUP(D1688,BugList!C:C,BugList!N:N)</f>
        <v>8</v>
      </c>
      <c r="M1688">
        <f t="shared" si="307"/>
        <v>8</v>
      </c>
      <c r="N1688" t="b">
        <f>_xlfn.XLOOKUP(D1688,BugList!C:C,BugList!L:L)</f>
        <v>0</v>
      </c>
      <c r="O1688" t="b">
        <f t="shared" si="308"/>
        <v>0</v>
      </c>
      <c r="P1688" s="18" t="b">
        <f>SUMPRODUCT(COUNTIF(_xlfn.XLOOKUP(D1688,BugList!C:C,BugList!P:P), "*SC*"))&gt;0</f>
        <v>0</v>
      </c>
    </row>
    <row r="1689" spans="1:16">
      <c r="A1689" s="9" t="s">
        <v>2898</v>
      </c>
      <c r="B1689" s="83">
        <v>103</v>
      </c>
      <c r="C1689" s="34" t="s">
        <v>200</v>
      </c>
      <c r="D1689" s="34" t="s">
        <v>100</v>
      </c>
      <c r="E1689" s="83">
        <v>5</v>
      </c>
      <c r="F1689" s="43">
        <f t="shared" si="309"/>
        <v>3.9370078740157481</v>
      </c>
      <c r="G1689" s="44">
        <f t="shared" si="310"/>
        <v>3</v>
      </c>
      <c r="H1689" s="44">
        <f t="shared" si="311"/>
        <v>0.93700787401574814</v>
      </c>
      <c r="I1689" cm="1">
        <f t="array" ref="I1689">INT(F1689)+IF(100-SUM(INT(F$1689:F$1699))&gt;=RANK(H1689,H$1689:H$1699)+COUNTIF(H$1689:H1689,H1689)-1,1,0)</f>
        <v>4</v>
      </c>
      <c r="J1689" t="b">
        <f t="shared" si="305"/>
        <v>0</v>
      </c>
      <c r="K1689" t="str">
        <f t="shared" si="306"/>
        <v/>
      </c>
      <c r="L1689">
        <f>_xlfn.XLOOKUP(D1689,BugList!C:C,BugList!N:N)</f>
        <v>4</v>
      </c>
      <c r="M1689">
        <f t="shared" si="307"/>
        <v>16</v>
      </c>
      <c r="N1689" t="b">
        <f>_xlfn.XLOOKUP(D1689,BugList!C:C,BugList!L:L)</f>
        <v>1</v>
      </c>
      <c r="O1689" t="b">
        <f t="shared" si="308"/>
        <v>0</v>
      </c>
      <c r="P1689" s="18" t="b">
        <f>SUMPRODUCT(COUNTIF(_xlfn.XLOOKUP(D1689,BugList!C:C,BugList!P:P), "*SC*"))&gt;0</f>
        <v>1</v>
      </c>
    </row>
    <row r="1690" spans="1:16">
      <c r="A1690" s="9" t="s">
        <v>2898</v>
      </c>
      <c r="B1690" s="83">
        <v>103</v>
      </c>
      <c r="C1690" s="34" t="s">
        <v>194</v>
      </c>
      <c r="D1690" s="34" t="s">
        <v>131</v>
      </c>
      <c r="E1690" s="83">
        <v>2</v>
      </c>
      <c r="F1690" s="43">
        <f t="shared" si="309"/>
        <v>1.5748031496062991</v>
      </c>
      <c r="G1690" s="44">
        <f t="shared" si="310"/>
        <v>1</v>
      </c>
      <c r="H1690" s="44">
        <f t="shared" si="311"/>
        <v>0.57480314960629908</v>
      </c>
      <c r="I1690" cm="1">
        <f t="array" ref="I1690">INT(F1690)+IF(100-SUM(INT(F$1689:F$1699))&gt;=RANK(H1690,H$1689:H$1699)+COUNTIF(H$1689:H1690,H1690)-1,1,0)</f>
        <v>2</v>
      </c>
      <c r="J1690" t="b">
        <f t="shared" si="305"/>
        <v>0</v>
      </c>
      <c r="K1690" t="str">
        <f t="shared" si="306"/>
        <v/>
      </c>
      <c r="L1690">
        <f>_xlfn.XLOOKUP(D1690,BugList!C:C,BugList!N:N)</f>
        <v>6</v>
      </c>
      <c r="M1690">
        <f t="shared" si="307"/>
        <v>12</v>
      </c>
      <c r="N1690" t="b">
        <f>_xlfn.XLOOKUP(D1690,BugList!C:C,BugList!L:L)</f>
        <v>1</v>
      </c>
      <c r="O1690" t="b">
        <f t="shared" si="308"/>
        <v>0</v>
      </c>
      <c r="P1690" s="18" t="b">
        <f>SUMPRODUCT(COUNTIF(_xlfn.XLOOKUP(D1690,BugList!C:C,BugList!P:P), "*SC*"))&gt;0</f>
        <v>0</v>
      </c>
    </row>
    <row r="1691" spans="1:16">
      <c r="A1691" s="9" t="s">
        <v>2898</v>
      </c>
      <c r="B1691" s="83">
        <v>103</v>
      </c>
      <c r="C1691" s="34" t="s">
        <v>194</v>
      </c>
      <c r="D1691" s="34" t="s">
        <v>108</v>
      </c>
      <c r="E1691" s="83">
        <v>3</v>
      </c>
      <c r="F1691" s="43">
        <f t="shared" si="309"/>
        <v>2.3622047244094486</v>
      </c>
      <c r="G1691" s="44">
        <f t="shared" si="310"/>
        <v>2</v>
      </c>
      <c r="H1691" s="44">
        <f t="shared" si="311"/>
        <v>0.36220472440944862</v>
      </c>
      <c r="I1691" cm="1">
        <f t="array" ref="I1691">INT(F1691)+IF(100-SUM(INT(F$1689:F$1699))&gt;=RANK(H1691,H$1689:H$1699)+COUNTIF(H$1689:H1691,H1691)-1,1,0)</f>
        <v>2</v>
      </c>
      <c r="J1691" t="b">
        <f t="shared" si="305"/>
        <v>0</v>
      </c>
      <c r="K1691" t="str">
        <f t="shared" si="306"/>
        <v/>
      </c>
      <c r="L1691">
        <f>_xlfn.XLOOKUP(D1691,BugList!C:C,BugList!N:N)</f>
        <v>3</v>
      </c>
      <c r="M1691">
        <f t="shared" si="307"/>
        <v>6</v>
      </c>
      <c r="N1691" t="b">
        <f>_xlfn.XLOOKUP(D1691,BugList!C:C,BugList!L:L)</f>
        <v>1</v>
      </c>
      <c r="O1691" t="b">
        <f t="shared" si="308"/>
        <v>0</v>
      </c>
      <c r="P1691" s="18" t="b">
        <f>SUMPRODUCT(COUNTIF(_xlfn.XLOOKUP(D1691,BugList!C:C,BugList!P:P), "*SC*"))&gt;0</f>
        <v>0</v>
      </c>
    </row>
    <row r="1692" spans="1:16">
      <c r="A1692" s="9" t="s">
        <v>2898</v>
      </c>
      <c r="B1692" s="83">
        <v>103</v>
      </c>
      <c r="C1692" s="84" t="s">
        <v>199</v>
      </c>
      <c r="D1692" s="84" t="s">
        <v>869</v>
      </c>
      <c r="E1692" s="83">
        <v>2</v>
      </c>
      <c r="F1692" s="43">
        <f t="shared" si="309"/>
        <v>1.5748031496062991</v>
      </c>
      <c r="G1692" s="44">
        <f t="shared" si="310"/>
        <v>1</v>
      </c>
      <c r="H1692" s="44">
        <f t="shared" si="311"/>
        <v>0.57480314960629908</v>
      </c>
      <c r="I1692" cm="1">
        <f t="array" ref="I1692">INT(F1692)+IF(100-SUM(INT(F$1689:F$1699))&gt;=RANK(H1692,H$1689:H$1699)+COUNTIF(H$1689:H1692,H1692)-1,1,0)</f>
        <v>2</v>
      </c>
      <c r="J1692" t="b">
        <f t="shared" si="305"/>
        <v>1</v>
      </c>
      <c r="K1692" t="str">
        <f t="shared" si="306"/>
        <v>Ephemeroptera</v>
      </c>
      <c r="L1692">
        <f>_xlfn.XLOOKUP(D1692,BugList!C:C,BugList!N:N)</f>
        <v>2</v>
      </c>
      <c r="M1692">
        <f t="shared" si="307"/>
        <v>4</v>
      </c>
      <c r="N1692" t="b">
        <f>_xlfn.XLOOKUP(D1692,BugList!C:C,BugList!L:L)</f>
        <v>1</v>
      </c>
      <c r="O1692" t="b">
        <f t="shared" si="308"/>
        <v>1</v>
      </c>
      <c r="P1692" s="18" t="b">
        <f>SUMPRODUCT(COUNTIF(_xlfn.XLOOKUP(D1692,BugList!C:C,BugList!P:P), "*SC*"))&gt;0</f>
        <v>0</v>
      </c>
    </row>
    <row r="1693" spans="1:16">
      <c r="A1693" s="9" t="s">
        <v>2898</v>
      </c>
      <c r="B1693" s="83">
        <v>103</v>
      </c>
      <c r="C1693" s="34" t="s">
        <v>195</v>
      </c>
      <c r="D1693" s="34" t="s">
        <v>113</v>
      </c>
      <c r="E1693" s="83">
        <v>4</v>
      </c>
      <c r="F1693" s="43">
        <f t="shared" si="309"/>
        <v>3.1496062992125982</v>
      </c>
      <c r="G1693" s="44">
        <f t="shared" si="310"/>
        <v>3</v>
      </c>
      <c r="H1693" s="44">
        <f t="shared" si="311"/>
        <v>0.14960629921259816</v>
      </c>
      <c r="I1693" cm="1">
        <f t="array" ref="I1693">INT(F1693)+IF(100-SUM(INT(F$1689:F$1699))&gt;=RANK(H1693,H$1689:H$1699)+COUNTIF(H$1689:H1693,H1693)-1,1,0)</f>
        <v>3</v>
      </c>
      <c r="J1693" t="b">
        <f t="shared" si="305"/>
        <v>0</v>
      </c>
      <c r="K1693" t="str">
        <f t="shared" si="306"/>
        <v/>
      </c>
      <c r="L1693">
        <f>_xlfn.XLOOKUP(D1693,BugList!C:C,BugList!N:N)</f>
        <v>1</v>
      </c>
      <c r="M1693">
        <f t="shared" si="307"/>
        <v>3</v>
      </c>
      <c r="N1693" t="b">
        <f>_xlfn.XLOOKUP(D1693,BugList!C:C,BugList!L:L)</f>
        <v>1</v>
      </c>
      <c r="O1693" t="b">
        <f t="shared" si="308"/>
        <v>0</v>
      </c>
      <c r="P1693" s="18" t="b">
        <f>SUMPRODUCT(COUNTIF(_xlfn.XLOOKUP(D1693,BugList!C:C,BugList!P:P), "*SC*"))&gt;0</f>
        <v>0</v>
      </c>
    </row>
    <row r="1694" spans="1:16">
      <c r="A1694" s="9" t="s">
        <v>2898</v>
      </c>
      <c r="B1694" s="83">
        <v>103</v>
      </c>
      <c r="C1694" s="34" t="s">
        <v>198</v>
      </c>
      <c r="D1694" s="34" t="s">
        <v>89</v>
      </c>
      <c r="E1694" s="83">
        <v>4</v>
      </c>
      <c r="F1694" s="43">
        <f t="shared" si="309"/>
        <v>3.1496062992125982</v>
      </c>
      <c r="G1694" s="44">
        <f t="shared" si="310"/>
        <v>3</v>
      </c>
      <c r="H1694" s="44">
        <f t="shared" si="311"/>
        <v>0.14960629921259816</v>
      </c>
      <c r="I1694" cm="1">
        <f t="array" ref="I1694">INT(F1694)+IF(100-SUM(INT(F$1689:F$1699))&gt;=RANK(H1694,H$1689:H$1699)+COUNTIF(H$1689:H1694,H1694)-1,1,0)</f>
        <v>3</v>
      </c>
      <c r="J1694" t="b">
        <f t="shared" si="305"/>
        <v>1</v>
      </c>
      <c r="K1694" t="str">
        <f t="shared" si="306"/>
        <v>Trichoptera</v>
      </c>
      <c r="L1694">
        <f>_xlfn.XLOOKUP(D1694,BugList!C:C,BugList!N:N)</f>
        <v>4</v>
      </c>
      <c r="M1694">
        <f t="shared" si="307"/>
        <v>12</v>
      </c>
      <c r="N1694" t="b">
        <f>_xlfn.XLOOKUP(D1694,BugList!C:C,BugList!L:L)</f>
        <v>1</v>
      </c>
      <c r="O1694" t="b">
        <f t="shared" si="308"/>
        <v>0</v>
      </c>
      <c r="P1694" s="18" t="b">
        <f>SUMPRODUCT(COUNTIF(_xlfn.XLOOKUP(D1694,BugList!C:C,BugList!P:P), "*SC*"))&gt;0</f>
        <v>0</v>
      </c>
    </row>
    <row r="1695" spans="1:16">
      <c r="A1695" s="9" t="s">
        <v>2898</v>
      </c>
      <c r="B1695" s="83">
        <v>103</v>
      </c>
      <c r="C1695" s="34" t="s">
        <v>204</v>
      </c>
      <c r="D1695" s="34" t="s">
        <v>84</v>
      </c>
      <c r="E1695" s="83">
        <v>20</v>
      </c>
      <c r="F1695" s="43">
        <f t="shared" si="309"/>
        <v>15.748031496062993</v>
      </c>
      <c r="G1695" s="44">
        <f t="shared" si="310"/>
        <v>15</v>
      </c>
      <c r="H1695" s="44">
        <f t="shared" si="311"/>
        <v>0.74803149606299257</v>
      </c>
      <c r="I1695" cm="1">
        <f t="array" ref="I1695">INT(F1695)+IF(100-SUM(INT(F$1689:F$1699))&gt;=RANK(H1695,H$1689:H$1699)+COUNTIF(H$1689:H1695,H1695)-1,1,0)</f>
        <v>16</v>
      </c>
      <c r="J1695" t="b">
        <f t="shared" si="305"/>
        <v>0</v>
      </c>
      <c r="K1695" t="str">
        <f t="shared" si="306"/>
        <v/>
      </c>
      <c r="L1695">
        <f>_xlfn.XLOOKUP(D1695,BugList!C:C,BugList!N:N)</f>
        <v>8</v>
      </c>
      <c r="M1695">
        <f t="shared" si="307"/>
        <v>128</v>
      </c>
      <c r="N1695" t="b">
        <f>_xlfn.XLOOKUP(D1695,BugList!C:C,BugList!L:L)</f>
        <v>0</v>
      </c>
      <c r="O1695" t="b">
        <f t="shared" si="308"/>
        <v>0</v>
      </c>
      <c r="P1695" s="18" t="b">
        <f>SUMPRODUCT(COUNTIF(_xlfn.XLOOKUP(D1695,BugList!C:C,BugList!P:P), "*SC*"))&gt;0</f>
        <v>0</v>
      </c>
    </row>
    <row r="1696" spans="1:16">
      <c r="A1696" s="9" t="s">
        <v>2898</v>
      </c>
      <c r="B1696" s="83">
        <v>103</v>
      </c>
      <c r="C1696" s="34" t="s">
        <v>201</v>
      </c>
      <c r="D1696" s="34" t="s">
        <v>85</v>
      </c>
      <c r="E1696" s="83">
        <v>29</v>
      </c>
      <c r="F1696" s="43">
        <f t="shared" si="309"/>
        <v>22.834645669291341</v>
      </c>
      <c r="G1696" s="44">
        <f t="shared" si="310"/>
        <v>22</v>
      </c>
      <c r="H1696" s="44">
        <f t="shared" si="311"/>
        <v>0.83464566929134065</v>
      </c>
      <c r="I1696" cm="1">
        <f t="array" ref="I1696">INT(F1696)+IF(100-SUM(INT(F$1689:F$1699))&gt;=RANK(H1696,H$1689:H$1699)+COUNTIF(H$1689:H1696,H1696)-1,1,0)</f>
        <v>23</v>
      </c>
      <c r="J1696" t="b">
        <f t="shared" si="305"/>
        <v>0</v>
      </c>
      <c r="K1696" t="str">
        <f t="shared" si="306"/>
        <v/>
      </c>
      <c r="L1696">
        <f>_xlfn.XLOOKUP(D1696,BugList!C:C,BugList!N:N)</f>
        <v>4</v>
      </c>
      <c r="M1696">
        <f t="shared" si="307"/>
        <v>92</v>
      </c>
      <c r="N1696" t="b">
        <f>_xlfn.XLOOKUP(D1696,BugList!C:C,BugList!L:L)</f>
        <v>0</v>
      </c>
      <c r="O1696" t="b">
        <f t="shared" si="308"/>
        <v>0</v>
      </c>
      <c r="P1696" s="18" t="b">
        <f>SUMPRODUCT(COUNTIF(_xlfn.XLOOKUP(D1696,BugList!C:C,BugList!P:P), "*SC*"))&gt;0</f>
        <v>0</v>
      </c>
    </row>
    <row r="1697" spans="1:16">
      <c r="A1697" s="9" t="s">
        <v>2898</v>
      </c>
      <c r="B1697" s="83">
        <v>103</v>
      </c>
      <c r="C1697" s="34" t="s">
        <v>2315</v>
      </c>
      <c r="D1697" s="34" t="s">
        <v>2315</v>
      </c>
      <c r="E1697" s="83">
        <v>7</v>
      </c>
      <c r="F1697" s="43">
        <f t="shared" si="309"/>
        <v>5.5118110236220472</v>
      </c>
      <c r="G1697" s="44">
        <f t="shared" si="310"/>
        <v>5</v>
      </c>
      <c r="H1697" s="44">
        <f t="shared" si="311"/>
        <v>0.51181102362204722</v>
      </c>
      <c r="I1697" cm="1">
        <f t="array" ref="I1697">INT(F1697)+IF(100-SUM(INT(F$1689:F$1699))&gt;=RANK(H1697,H$1689:H$1699)+COUNTIF(H$1689:H1697,H1697)-1,1,0)</f>
        <v>5</v>
      </c>
      <c r="J1697" t="b">
        <f t="shared" si="305"/>
        <v>0</v>
      </c>
      <c r="K1697" t="str">
        <f t="shared" si="306"/>
        <v/>
      </c>
      <c r="L1697">
        <f>_xlfn.XLOOKUP(D1697,BugList!C:C,BugList!N:N)</f>
        <v>7</v>
      </c>
      <c r="M1697">
        <f t="shared" si="307"/>
        <v>35</v>
      </c>
      <c r="N1697" t="b">
        <f>_xlfn.XLOOKUP(D1697,BugList!C:C,BugList!L:L)</f>
        <v>0</v>
      </c>
      <c r="O1697" t="b">
        <f t="shared" si="308"/>
        <v>0</v>
      </c>
      <c r="P1697" s="18" t="b">
        <f>SUMPRODUCT(COUNTIF(_xlfn.XLOOKUP(D1697,BugList!C:C,BugList!P:P), "*SC*"))&gt;0</f>
        <v>1</v>
      </c>
    </row>
    <row r="1698" spans="1:16">
      <c r="A1698" s="9" t="s">
        <v>2898</v>
      </c>
      <c r="B1698" s="83">
        <v>103</v>
      </c>
      <c r="C1698" s="34" t="s">
        <v>205</v>
      </c>
      <c r="D1698" s="34" t="s">
        <v>206</v>
      </c>
      <c r="E1698" s="83">
        <v>5</v>
      </c>
      <c r="F1698" s="43">
        <f t="shared" si="309"/>
        <v>3.9370078740157481</v>
      </c>
      <c r="G1698" s="44">
        <f t="shared" si="310"/>
        <v>3</v>
      </c>
      <c r="H1698" s="44">
        <f t="shared" si="311"/>
        <v>0.93700787401574814</v>
      </c>
      <c r="I1698" cm="1">
        <f t="array" ref="I1698">INT(F1698)+IF(100-SUM(INT(F$1689:F$1699))&gt;=RANK(H1698,H$1689:H$1699)+COUNTIF(H$1689:H1698,H1698)-1,1,0)</f>
        <v>4</v>
      </c>
      <c r="J1698" t="b">
        <f t="shared" si="305"/>
        <v>0</v>
      </c>
      <c r="K1698" t="str">
        <f t="shared" si="306"/>
        <v/>
      </c>
      <c r="L1698" s="71">
        <v>8</v>
      </c>
      <c r="M1698">
        <f t="shared" si="307"/>
        <v>32</v>
      </c>
      <c r="N1698" s="71" t="b">
        <v>0</v>
      </c>
      <c r="O1698" t="b">
        <f t="shared" si="308"/>
        <v>0</v>
      </c>
      <c r="P1698" s="72" t="b">
        <v>0</v>
      </c>
    </row>
    <row r="1699" spans="1:16">
      <c r="A1699" s="9" t="s">
        <v>2898</v>
      </c>
      <c r="B1699" s="83">
        <v>103</v>
      </c>
      <c r="C1699" s="34" t="s">
        <v>94</v>
      </c>
      <c r="D1699" s="34" t="s">
        <v>94</v>
      </c>
      <c r="E1699" s="83">
        <v>46</v>
      </c>
      <c r="F1699" s="43">
        <f t="shared" si="309"/>
        <v>36.220472440944881</v>
      </c>
      <c r="G1699" s="44">
        <f t="shared" si="310"/>
        <v>36</v>
      </c>
      <c r="H1699" s="44">
        <f t="shared" si="311"/>
        <v>0.2204724409448815</v>
      </c>
      <c r="I1699" cm="1">
        <f t="array" ref="I1699">INT(F1699)+IF(100-SUM(INT(F$1689:F$1699))&gt;=RANK(H1699,H$1689:H$1699)+COUNTIF(H$1689:H1699,H1699)-1,1,0)</f>
        <v>36</v>
      </c>
      <c r="J1699" t="b">
        <f t="shared" si="305"/>
        <v>0</v>
      </c>
      <c r="K1699" t="str">
        <f t="shared" si="306"/>
        <v/>
      </c>
      <c r="L1699">
        <f>_xlfn.XLOOKUP(D1699,BugList!C:C,BugList!N:N)</f>
        <v>8</v>
      </c>
      <c r="M1699">
        <f t="shared" si="307"/>
        <v>288</v>
      </c>
      <c r="N1699" t="b">
        <f>_xlfn.XLOOKUP(D1699,BugList!C:C,BugList!L:L)</f>
        <v>0</v>
      </c>
      <c r="O1699" t="b">
        <f t="shared" si="308"/>
        <v>0</v>
      </c>
      <c r="P1699" s="18" t="b">
        <f>SUMPRODUCT(COUNTIF(_xlfn.XLOOKUP(D1699,BugList!C:C,BugList!P:P), "*SC*"))&gt;0</f>
        <v>0</v>
      </c>
    </row>
    <row r="1700" spans="1:16">
      <c r="A1700" s="9" t="s">
        <v>2899</v>
      </c>
      <c r="B1700" s="83">
        <v>116</v>
      </c>
      <c r="C1700" s="34" t="s">
        <v>200</v>
      </c>
      <c r="D1700" s="34" t="s">
        <v>98</v>
      </c>
      <c r="E1700" s="83">
        <v>19</v>
      </c>
      <c r="F1700" s="43">
        <f t="shared" si="309"/>
        <v>17.924528301886792</v>
      </c>
      <c r="G1700" s="44">
        <f t="shared" si="310"/>
        <v>17</v>
      </c>
      <c r="H1700" s="44">
        <f t="shared" si="311"/>
        <v>0.92452830188679158</v>
      </c>
      <c r="I1700" cm="1">
        <f t="array" ref="I1700">INT(F1700)+IF(100-SUM(INT(F$1700:F$1710))&gt;=RANK(H1700,H$1700:H$1710)+COUNTIF(H$1700:H1700,H1700)-1,1,0)</f>
        <v>18</v>
      </c>
      <c r="J1700" t="b">
        <f t="shared" si="305"/>
        <v>0</v>
      </c>
      <c r="K1700" t="str">
        <f t="shared" si="306"/>
        <v/>
      </c>
      <c r="L1700">
        <f>_xlfn.XLOOKUP(D1700,BugList!C:C,BugList!N:N)</f>
        <v>4</v>
      </c>
      <c r="M1700">
        <f t="shared" si="307"/>
        <v>72</v>
      </c>
      <c r="N1700" t="b">
        <f>_xlfn.XLOOKUP(D1700,BugList!C:C,BugList!L:L)</f>
        <v>1</v>
      </c>
      <c r="O1700" t="b">
        <f t="shared" si="308"/>
        <v>0</v>
      </c>
      <c r="P1700" s="18" t="b">
        <f>SUMPRODUCT(COUNTIF(_xlfn.XLOOKUP(D1700,BugList!C:C,BugList!P:P), "*SC*"))&gt;0</f>
        <v>1</v>
      </c>
    </row>
    <row r="1701" spans="1:16">
      <c r="A1701" s="9" t="s">
        <v>2899</v>
      </c>
      <c r="B1701" s="83">
        <v>116</v>
      </c>
      <c r="C1701" s="34" t="s">
        <v>200</v>
      </c>
      <c r="D1701" s="34" t="s">
        <v>100</v>
      </c>
      <c r="E1701" s="83">
        <v>7</v>
      </c>
      <c r="F1701" s="43">
        <f t="shared" si="309"/>
        <v>6.6037735849056602</v>
      </c>
      <c r="G1701" s="44">
        <f t="shared" si="310"/>
        <v>6</v>
      </c>
      <c r="H1701" s="44">
        <f t="shared" si="311"/>
        <v>0.60377358490566024</v>
      </c>
      <c r="I1701" cm="1">
        <f t="array" ref="I1701">INT(F1701)+IF(100-SUM(INT(F$1700:F$1710))&gt;=RANK(H1701,H$1700:H$1710)+COUNTIF(H$1700:H1701,H1701)-1,1,0)</f>
        <v>7</v>
      </c>
      <c r="J1701" t="b">
        <f t="shared" si="305"/>
        <v>0</v>
      </c>
      <c r="K1701" t="str">
        <f t="shared" si="306"/>
        <v/>
      </c>
      <c r="L1701">
        <f>_xlfn.XLOOKUP(D1701,BugList!C:C,BugList!N:N)</f>
        <v>4</v>
      </c>
      <c r="M1701">
        <f t="shared" si="307"/>
        <v>28</v>
      </c>
      <c r="N1701" t="b">
        <f>_xlfn.XLOOKUP(D1701,BugList!C:C,BugList!L:L)</f>
        <v>1</v>
      </c>
      <c r="O1701" t="b">
        <f t="shared" si="308"/>
        <v>0</v>
      </c>
      <c r="P1701" s="18" t="b">
        <f>SUMPRODUCT(COUNTIF(_xlfn.XLOOKUP(D1701,BugList!C:C,BugList!P:P), "*SC*"))&gt;0</f>
        <v>1</v>
      </c>
    </row>
    <row r="1702" spans="1:16">
      <c r="A1702" s="9" t="s">
        <v>2899</v>
      </c>
      <c r="B1702" s="83">
        <v>116</v>
      </c>
      <c r="C1702" s="34" t="s">
        <v>194</v>
      </c>
      <c r="D1702" s="34" t="s">
        <v>90</v>
      </c>
      <c r="E1702" s="83">
        <v>1</v>
      </c>
      <c r="F1702" s="43">
        <f t="shared" si="309"/>
        <v>0.94339622641509435</v>
      </c>
      <c r="G1702" s="44">
        <f t="shared" si="310"/>
        <v>0</v>
      </c>
      <c r="H1702" s="44">
        <f t="shared" si="311"/>
        <v>0.94339622641509435</v>
      </c>
      <c r="I1702" cm="1">
        <f t="array" ref="I1702">INT(F1702)+IF(100-SUM(INT(F$1700:F$1710))&gt;=RANK(H1702,H$1700:H$1710)+COUNTIF(H$1700:H1702,H1702)-1,1,0)</f>
        <v>1</v>
      </c>
      <c r="J1702" t="b">
        <f t="shared" si="305"/>
        <v>0</v>
      </c>
      <c r="K1702" t="str">
        <f t="shared" si="306"/>
        <v/>
      </c>
      <c r="L1702">
        <f>_xlfn.XLOOKUP(D1702,BugList!C:C,BugList!N:N)</f>
        <v>6</v>
      </c>
      <c r="M1702">
        <f t="shared" si="307"/>
        <v>6</v>
      </c>
      <c r="N1702" t="b">
        <f>_xlfn.XLOOKUP(D1702,BugList!C:C,BugList!L:L)</f>
        <v>1</v>
      </c>
      <c r="O1702" t="b">
        <f t="shared" si="308"/>
        <v>0</v>
      </c>
      <c r="P1702" s="18" t="b">
        <f>SUMPRODUCT(COUNTIF(_xlfn.XLOOKUP(D1702,BugList!C:C,BugList!P:P), "*SC*"))&gt;0</f>
        <v>0</v>
      </c>
    </row>
    <row r="1703" spans="1:16">
      <c r="A1703" s="9" t="s">
        <v>2899</v>
      </c>
      <c r="B1703" s="83">
        <v>116</v>
      </c>
      <c r="C1703" s="34" t="s">
        <v>199</v>
      </c>
      <c r="D1703" s="34" t="s">
        <v>96</v>
      </c>
      <c r="E1703" s="83">
        <v>2</v>
      </c>
      <c r="F1703" s="43">
        <f t="shared" si="309"/>
        <v>1.8867924528301887</v>
      </c>
      <c r="G1703" s="44">
        <f t="shared" si="310"/>
        <v>1</v>
      </c>
      <c r="H1703" s="44">
        <f t="shared" si="311"/>
        <v>0.8867924528301887</v>
      </c>
      <c r="I1703" cm="1">
        <f t="array" ref="I1703">INT(F1703)+IF(100-SUM(INT(F$1700:F$1710))&gt;=RANK(H1703,H$1700:H$1710)+COUNTIF(H$1700:H1703,H1703)-1,1,0)</f>
        <v>2</v>
      </c>
      <c r="J1703" t="b">
        <f t="shared" si="305"/>
        <v>1</v>
      </c>
      <c r="K1703" t="str">
        <f t="shared" si="306"/>
        <v>Ephemeroptera</v>
      </c>
      <c r="L1703">
        <f>_xlfn.XLOOKUP(D1703,BugList!C:C,BugList!N:N)</f>
        <v>4</v>
      </c>
      <c r="M1703">
        <f t="shared" si="307"/>
        <v>8</v>
      </c>
      <c r="N1703" t="b">
        <f>_xlfn.XLOOKUP(D1703,BugList!C:C,BugList!L:L)</f>
        <v>1</v>
      </c>
      <c r="O1703" t="b">
        <f t="shared" si="308"/>
        <v>1</v>
      </c>
      <c r="P1703" s="18" t="b">
        <f>SUMPRODUCT(COUNTIF(_xlfn.XLOOKUP(D1703,BugList!C:C,BugList!P:P), "*SC*"))&gt;0</f>
        <v>1</v>
      </c>
    </row>
    <row r="1704" spans="1:16">
      <c r="A1704" s="9" t="s">
        <v>2899</v>
      </c>
      <c r="B1704" s="83">
        <v>116</v>
      </c>
      <c r="C1704" s="34" t="s">
        <v>199</v>
      </c>
      <c r="D1704" s="34" t="s">
        <v>111</v>
      </c>
      <c r="E1704" s="83">
        <v>6</v>
      </c>
      <c r="F1704" s="43">
        <f t="shared" si="309"/>
        <v>5.6603773584905666</v>
      </c>
      <c r="G1704" s="44">
        <f t="shared" si="310"/>
        <v>5</v>
      </c>
      <c r="H1704" s="44">
        <f t="shared" si="311"/>
        <v>0.66037735849056656</v>
      </c>
      <c r="I1704" cm="1">
        <f t="array" ref="I1704">INT(F1704)+IF(100-SUM(INT(F$1700:F$1710))&gt;=RANK(H1704,H$1700:H$1710)+COUNTIF(H$1700:H1704,H1704)-1,1,0)</f>
        <v>6</v>
      </c>
      <c r="J1704" t="b">
        <f t="shared" si="305"/>
        <v>1</v>
      </c>
      <c r="K1704" t="str">
        <f t="shared" si="306"/>
        <v>Ephemeroptera</v>
      </c>
      <c r="L1704">
        <f>_xlfn.XLOOKUP(D1704,BugList!C:C,BugList!N:N)</f>
        <v>4</v>
      </c>
      <c r="M1704">
        <f t="shared" si="307"/>
        <v>24</v>
      </c>
      <c r="N1704" t="b">
        <f>_xlfn.XLOOKUP(D1704,BugList!C:C,BugList!L:L)</f>
        <v>1</v>
      </c>
      <c r="O1704" t="b">
        <f t="shared" si="308"/>
        <v>1</v>
      </c>
      <c r="P1704" s="18" t="b">
        <f>SUMPRODUCT(COUNTIF(_xlfn.XLOOKUP(D1704,BugList!C:C,BugList!P:P), "*SC*"))&gt;0</f>
        <v>0</v>
      </c>
    </row>
    <row r="1705" spans="1:16">
      <c r="A1705" s="9" t="s">
        <v>2899</v>
      </c>
      <c r="B1705" s="83">
        <v>116</v>
      </c>
      <c r="C1705" s="34" t="s">
        <v>212</v>
      </c>
      <c r="D1705" s="34" t="s">
        <v>1179</v>
      </c>
      <c r="E1705" s="83">
        <v>1</v>
      </c>
      <c r="F1705" s="43">
        <f t="shared" si="309"/>
        <v>0.94339622641509435</v>
      </c>
      <c r="G1705" s="44">
        <f t="shared" si="310"/>
        <v>0</v>
      </c>
      <c r="H1705" s="44">
        <f t="shared" si="311"/>
        <v>0.94339622641509435</v>
      </c>
      <c r="I1705" cm="1">
        <f t="array" ref="I1705">INT(F1705)+IF(100-SUM(INT(F$1700:F$1710))&gt;=RANK(H1705,H$1700:H$1710)+COUNTIF(H$1700:H1705,H1705)-1,1,0)</f>
        <v>1</v>
      </c>
      <c r="J1705" t="b">
        <f t="shared" si="305"/>
        <v>0</v>
      </c>
      <c r="K1705" t="str">
        <f t="shared" si="306"/>
        <v/>
      </c>
      <c r="L1705">
        <f>_xlfn.XLOOKUP(D1705,BugList!C:C,BugList!N:N)</f>
        <v>8</v>
      </c>
      <c r="M1705">
        <f t="shared" si="307"/>
        <v>8</v>
      </c>
      <c r="N1705" t="b">
        <f>_xlfn.XLOOKUP(D1705,BugList!C:C,BugList!L:L)</f>
        <v>1</v>
      </c>
      <c r="O1705" t="b">
        <f t="shared" si="308"/>
        <v>0</v>
      </c>
      <c r="P1705" s="18" t="b">
        <f>SUMPRODUCT(COUNTIF(_xlfn.XLOOKUP(D1705,BugList!C:C,BugList!P:P), "*SC*"))&gt;0</f>
        <v>0</v>
      </c>
    </row>
    <row r="1706" spans="1:16">
      <c r="A1706" s="9" t="s">
        <v>2899</v>
      </c>
      <c r="B1706" s="83">
        <v>116</v>
      </c>
      <c r="C1706" s="34" t="s">
        <v>198</v>
      </c>
      <c r="D1706" s="34" t="s">
        <v>89</v>
      </c>
      <c r="E1706" s="83">
        <v>45</v>
      </c>
      <c r="F1706" s="43">
        <f t="shared" si="309"/>
        <v>42.452830188679243</v>
      </c>
      <c r="G1706" s="44">
        <f t="shared" si="310"/>
        <v>42</v>
      </c>
      <c r="H1706" s="44">
        <f t="shared" si="311"/>
        <v>0.45283018867924341</v>
      </c>
      <c r="I1706" cm="1">
        <f t="array" ref="I1706">INT(F1706)+IF(100-SUM(INT(F$1700:F$1710))&gt;=RANK(H1706,H$1700:H$1710)+COUNTIF(H$1700:H1706,H1706)-1,1,0)</f>
        <v>42</v>
      </c>
      <c r="J1706" t="b">
        <f t="shared" si="305"/>
        <v>1</v>
      </c>
      <c r="K1706" t="str">
        <f t="shared" si="306"/>
        <v>Trichoptera</v>
      </c>
      <c r="L1706">
        <f>_xlfn.XLOOKUP(D1706,BugList!C:C,BugList!N:N)</f>
        <v>4</v>
      </c>
      <c r="M1706">
        <f t="shared" si="307"/>
        <v>168</v>
      </c>
      <c r="N1706" t="b">
        <f>_xlfn.XLOOKUP(D1706,BugList!C:C,BugList!L:L)</f>
        <v>1</v>
      </c>
      <c r="O1706" t="b">
        <f t="shared" si="308"/>
        <v>0</v>
      </c>
      <c r="P1706" s="18" t="b">
        <f>SUMPRODUCT(COUNTIF(_xlfn.XLOOKUP(D1706,BugList!C:C,BugList!P:P), "*SC*"))&gt;0</f>
        <v>0</v>
      </c>
    </row>
    <row r="1707" spans="1:16">
      <c r="A1707" s="9" t="s">
        <v>2899</v>
      </c>
      <c r="B1707" s="83">
        <v>116</v>
      </c>
      <c r="C1707" s="34" t="s">
        <v>198</v>
      </c>
      <c r="D1707" s="34" t="s">
        <v>114</v>
      </c>
      <c r="E1707" s="83">
        <v>3</v>
      </c>
      <c r="F1707" s="43">
        <f t="shared" si="309"/>
        <v>2.8301886792452833</v>
      </c>
      <c r="G1707" s="44">
        <f t="shared" si="310"/>
        <v>2</v>
      </c>
      <c r="H1707" s="44">
        <f t="shared" si="311"/>
        <v>0.83018867924528328</v>
      </c>
      <c r="I1707" cm="1">
        <f t="array" ref="I1707">INT(F1707)+IF(100-SUM(INT(F$1700:F$1710))&gt;=RANK(H1707,H$1700:H$1710)+COUNTIF(H$1700:H1707,H1707)-1,1,0)</f>
        <v>3</v>
      </c>
      <c r="J1707" t="b">
        <f t="shared" si="305"/>
        <v>1</v>
      </c>
      <c r="K1707" t="str">
        <f t="shared" si="306"/>
        <v>Trichoptera</v>
      </c>
      <c r="L1707">
        <f>_xlfn.XLOOKUP(D1707,BugList!C:C,BugList!N:N)</f>
        <v>1</v>
      </c>
      <c r="M1707">
        <f t="shared" si="307"/>
        <v>3</v>
      </c>
      <c r="N1707" t="b">
        <f>_xlfn.XLOOKUP(D1707,BugList!C:C,BugList!L:L)</f>
        <v>1</v>
      </c>
      <c r="O1707" t="b">
        <f t="shared" si="308"/>
        <v>1</v>
      </c>
      <c r="P1707" s="18" t="b">
        <f>SUMPRODUCT(COUNTIF(_xlfn.XLOOKUP(D1707,BugList!C:C,BugList!P:P), "*SC*"))&gt;0</f>
        <v>0</v>
      </c>
    </row>
    <row r="1708" spans="1:16">
      <c r="A1708" s="9" t="s">
        <v>2899</v>
      </c>
      <c r="B1708" s="83">
        <v>116</v>
      </c>
      <c r="C1708" s="34" t="s">
        <v>198</v>
      </c>
      <c r="D1708" s="34" t="s">
        <v>163</v>
      </c>
      <c r="E1708" s="83">
        <v>11</v>
      </c>
      <c r="F1708" s="43">
        <f t="shared" si="309"/>
        <v>10.377358490566039</v>
      </c>
      <c r="G1708" s="44">
        <f t="shared" si="310"/>
        <v>10</v>
      </c>
      <c r="H1708" s="44">
        <f t="shared" si="311"/>
        <v>0.37735849056603854</v>
      </c>
      <c r="I1708" cm="1">
        <f t="array" ref="I1708">INT(F1708)+IF(100-SUM(INT(F$1700:F$1710))&gt;=RANK(H1708,H$1700:H$1710)+COUNTIF(H$1700:H1708,H1708)-1,1,0)</f>
        <v>10</v>
      </c>
      <c r="J1708" t="b">
        <f t="shared" si="305"/>
        <v>1</v>
      </c>
      <c r="K1708" t="str">
        <f t="shared" si="306"/>
        <v>Trichoptera</v>
      </c>
      <c r="L1708">
        <f>_xlfn.XLOOKUP(D1708,BugList!C:C,BugList!N:N)</f>
        <v>6</v>
      </c>
      <c r="M1708">
        <f t="shared" si="307"/>
        <v>60</v>
      </c>
      <c r="N1708" t="b">
        <f>_xlfn.XLOOKUP(D1708,BugList!C:C,BugList!L:L)</f>
        <v>1</v>
      </c>
      <c r="O1708" t="b">
        <f t="shared" si="308"/>
        <v>1</v>
      </c>
      <c r="P1708" s="18" t="b">
        <f>SUMPRODUCT(COUNTIF(_xlfn.XLOOKUP(D1708,BugList!C:C,BugList!P:P), "*SC*"))&gt;0</f>
        <v>0</v>
      </c>
    </row>
    <row r="1709" spans="1:16">
      <c r="A1709" s="9" t="s">
        <v>2899</v>
      </c>
      <c r="B1709" s="83">
        <v>116</v>
      </c>
      <c r="C1709" s="34" t="s">
        <v>210</v>
      </c>
      <c r="D1709" s="34" t="s">
        <v>210</v>
      </c>
      <c r="E1709" s="83">
        <v>1</v>
      </c>
      <c r="F1709" s="43">
        <f t="shared" si="309"/>
        <v>0.94339622641509435</v>
      </c>
      <c r="G1709" s="44">
        <f t="shared" si="310"/>
        <v>0</v>
      </c>
      <c r="H1709" s="44">
        <f t="shared" si="311"/>
        <v>0.94339622641509435</v>
      </c>
      <c r="I1709" cm="1">
        <f t="array" ref="I1709">INT(F1709)+IF(100-SUM(INT(F$1700:F$1710))&gt;=RANK(H1709,H$1700:H$1710)+COUNTIF(H$1700:H1709,H1709)-1,1,0)</f>
        <v>1</v>
      </c>
      <c r="J1709" t="b">
        <f t="shared" si="305"/>
        <v>0</v>
      </c>
      <c r="K1709" t="str">
        <f t="shared" si="306"/>
        <v/>
      </c>
      <c r="L1709" s="71">
        <v>8</v>
      </c>
      <c r="M1709">
        <f t="shared" ref="M1709:M1710" si="314">L1709*I1709</f>
        <v>8</v>
      </c>
      <c r="N1709" s="71" t="b">
        <v>0</v>
      </c>
      <c r="O1709" t="b">
        <f t="shared" ref="O1709:O1710" si="315">IF(J1709=TRUE,IF(D1709="Hydropsychidae", FALSE, TRUE), FALSE)</f>
        <v>0</v>
      </c>
      <c r="P1709" s="72" t="b">
        <v>0</v>
      </c>
    </row>
    <row r="1710" spans="1:16">
      <c r="A1710" s="9" t="s">
        <v>2899</v>
      </c>
      <c r="B1710" s="83">
        <v>116</v>
      </c>
      <c r="C1710" s="34" t="s">
        <v>205</v>
      </c>
      <c r="D1710" s="34" t="s">
        <v>206</v>
      </c>
      <c r="E1710" s="83">
        <v>10</v>
      </c>
      <c r="F1710" s="43">
        <f t="shared" si="309"/>
        <v>9.433962264150944</v>
      </c>
      <c r="G1710" s="44">
        <f t="shared" si="310"/>
        <v>9</v>
      </c>
      <c r="H1710" s="44">
        <f t="shared" si="311"/>
        <v>0.43396226415094397</v>
      </c>
      <c r="I1710" cm="1">
        <f t="array" ref="I1710">INT(F1710)+IF(100-SUM(INT(F$1700:F$1710))&gt;=RANK(H1710,H$1700:H$1710)+COUNTIF(H$1700:H1710,H1710)-1,1,0)</f>
        <v>9</v>
      </c>
      <c r="J1710" t="b">
        <f t="shared" si="305"/>
        <v>0</v>
      </c>
      <c r="K1710" t="str">
        <f t="shared" si="306"/>
        <v/>
      </c>
      <c r="L1710" s="71">
        <v>8</v>
      </c>
      <c r="M1710">
        <f t="shared" si="314"/>
        <v>72</v>
      </c>
      <c r="N1710" s="71" t="b">
        <v>0</v>
      </c>
      <c r="O1710" t="b">
        <f t="shared" si="315"/>
        <v>0</v>
      </c>
      <c r="P1710" s="72" t="b">
        <v>0</v>
      </c>
    </row>
    <row r="1711" spans="1:16">
      <c r="A1711" s="9" t="s">
        <v>2900</v>
      </c>
      <c r="B1711" s="83">
        <v>128</v>
      </c>
      <c r="C1711" s="34" t="s">
        <v>200</v>
      </c>
      <c r="D1711" s="34" t="s">
        <v>98</v>
      </c>
      <c r="E1711" s="83">
        <v>15</v>
      </c>
      <c r="F1711" s="43">
        <f t="shared" si="309"/>
        <v>12.396694214876034</v>
      </c>
      <c r="G1711" s="44">
        <f t="shared" si="310"/>
        <v>12</v>
      </c>
      <c r="H1711" s="44">
        <f t="shared" si="311"/>
        <v>0.39669421487603351</v>
      </c>
      <c r="I1711" cm="1">
        <f t="array" ref="I1711">INT(F1711)+IF(100-SUM(INT(F$1711:F$1723))&gt;=RANK(H1711,H$1711:H$1723)+COUNTIF(H$1711:H1711,H1711)-1,1,0)</f>
        <v>12</v>
      </c>
      <c r="J1711" t="b">
        <f t="shared" si="305"/>
        <v>0</v>
      </c>
      <c r="K1711" t="str">
        <f t="shared" si="306"/>
        <v/>
      </c>
      <c r="L1711">
        <f>_xlfn.XLOOKUP(D1711,BugList!C:C,BugList!N:N)</f>
        <v>4</v>
      </c>
      <c r="M1711">
        <f t="shared" si="307"/>
        <v>48</v>
      </c>
      <c r="N1711" t="b">
        <f>_xlfn.XLOOKUP(D1711,BugList!C:C,BugList!L:L)</f>
        <v>1</v>
      </c>
      <c r="O1711" t="b">
        <f t="shared" si="308"/>
        <v>0</v>
      </c>
      <c r="P1711" s="18" t="b">
        <f>SUMPRODUCT(COUNTIF(_xlfn.XLOOKUP(D1711,BugList!C:C,BugList!P:P), "*SC*"))&gt;0</f>
        <v>1</v>
      </c>
    </row>
    <row r="1712" spans="1:16">
      <c r="A1712" s="9" t="s">
        <v>2900</v>
      </c>
      <c r="B1712" s="83">
        <v>128</v>
      </c>
      <c r="C1712" s="34" t="s">
        <v>200</v>
      </c>
      <c r="D1712" s="34" t="s">
        <v>100</v>
      </c>
      <c r="E1712" s="83">
        <v>18</v>
      </c>
      <c r="F1712" s="43">
        <f t="shared" si="309"/>
        <v>14.87603305785124</v>
      </c>
      <c r="G1712" s="44">
        <f t="shared" si="310"/>
        <v>14</v>
      </c>
      <c r="H1712" s="44">
        <f t="shared" si="311"/>
        <v>0.87603305785123986</v>
      </c>
      <c r="I1712" cm="1">
        <f t="array" ref="I1712">INT(F1712)+IF(100-SUM(INT(F$1711:F$1723))&gt;=RANK(H1712,H$1711:H$1723)+COUNTIF(H$1711:H1712,H1712)-1,1,0)</f>
        <v>15</v>
      </c>
      <c r="J1712" t="b">
        <f t="shared" si="305"/>
        <v>0</v>
      </c>
      <c r="K1712" t="str">
        <f t="shared" si="306"/>
        <v/>
      </c>
      <c r="L1712">
        <f>_xlfn.XLOOKUP(D1712,BugList!C:C,BugList!N:N)</f>
        <v>4</v>
      </c>
      <c r="M1712">
        <f t="shared" si="307"/>
        <v>60</v>
      </c>
      <c r="N1712" t="b">
        <f>_xlfn.XLOOKUP(D1712,BugList!C:C,BugList!L:L)</f>
        <v>1</v>
      </c>
      <c r="O1712" t="b">
        <f t="shared" si="308"/>
        <v>0</v>
      </c>
      <c r="P1712" s="18" t="b">
        <f>SUMPRODUCT(COUNTIF(_xlfn.XLOOKUP(D1712,BugList!C:C,BugList!P:P), "*SC*"))&gt;0</f>
        <v>1</v>
      </c>
    </row>
    <row r="1713" spans="1:16">
      <c r="A1713" s="9" t="s">
        <v>2900</v>
      </c>
      <c r="B1713" s="83">
        <v>128</v>
      </c>
      <c r="C1713" s="34" t="s">
        <v>199</v>
      </c>
      <c r="D1713" s="34" t="s">
        <v>96</v>
      </c>
      <c r="E1713" s="83">
        <v>1</v>
      </c>
      <c r="F1713" s="43">
        <f t="shared" si="309"/>
        <v>0.82644628099173556</v>
      </c>
      <c r="G1713" s="44">
        <f t="shared" si="310"/>
        <v>0</v>
      </c>
      <c r="H1713" s="44">
        <f t="shared" si="311"/>
        <v>0.82644628099173556</v>
      </c>
      <c r="I1713" cm="1">
        <f t="array" ref="I1713">INT(F1713)+IF(100-SUM(INT(F$1711:F$1723))&gt;=RANK(H1713,H$1711:H$1723)+COUNTIF(H$1711:H1713,H1713)-1,1,0)</f>
        <v>1</v>
      </c>
      <c r="J1713" t="b">
        <f t="shared" si="305"/>
        <v>1</v>
      </c>
      <c r="K1713" t="str">
        <f t="shared" si="306"/>
        <v>Ephemeroptera</v>
      </c>
      <c r="L1713">
        <f>_xlfn.XLOOKUP(D1713,BugList!C:C,BugList!N:N)</f>
        <v>4</v>
      </c>
      <c r="M1713">
        <f t="shared" si="307"/>
        <v>4</v>
      </c>
      <c r="N1713" t="b">
        <f>_xlfn.XLOOKUP(D1713,BugList!C:C,BugList!L:L)</f>
        <v>1</v>
      </c>
      <c r="O1713" t="b">
        <f t="shared" si="308"/>
        <v>1</v>
      </c>
      <c r="P1713" s="18" t="b">
        <f>SUMPRODUCT(COUNTIF(_xlfn.XLOOKUP(D1713,BugList!C:C,BugList!P:P), "*SC*"))&gt;0</f>
        <v>1</v>
      </c>
    </row>
    <row r="1714" spans="1:16">
      <c r="A1714" s="9" t="s">
        <v>2900</v>
      </c>
      <c r="B1714" s="83">
        <v>128</v>
      </c>
      <c r="C1714" s="34" t="s">
        <v>199</v>
      </c>
      <c r="D1714" s="34" t="s">
        <v>151</v>
      </c>
      <c r="E1714" s="83">
        <v>11</v>
      </c>
      <c r="F1714" s="43">
        <f t="shared" si="309"/>
        <v>9.0909090909090917</v>
      </c>
      <c r="G1714" s="44">
        <f t="shared" si="310"/>
        <v>9</v>
      </c>
      <c r="H1714" s="44">
        <f t="shared" si="311"/>
        <v>9.0909090909091717E-2</v>
      </c>
      <c r="I1714" cm="1">
        <f t="array" ref="I1714">INT(F1714)+IF(100-SUM(INT(F$1711:F$1723))&gt;=RANK(H1714,H$1711:H$1723)+COUNTIF(H$1711:H1714,H1714)-1,1,0)</f>
        <v>9</v>
      </c>
      <c r="J1714" t="b">
        <f t="shared" si="305"/>
        <v>1</v>
      </c>
      <c r="K1714" t="str">
        <f t="shared" si="306"/>
        <v>Ephemeroptera</v>
      </c>
      <c r="L1714">
        <f>_xlfn.XLOOKUP(D1714,BugList!C:C,BugList!N:N)</f>
        <v>1</v>
      </c>
      <c r="M1714">
        <f t="shared" si="307"/>
        <v>9</v>
      </c>
      <c r="N1714" t="b">
        <f>_xlfn.XLOOKUP(D1714,BugList!C:C,BugList!L:L)</f>
        <v>1</v>
      </c>
      <c r="O1714" t="b">
        <f t="shared" si="308"/>
        <v>1</v>
      </c>
      <c r="P1714" s="18" t="b">
        <f>SUMPRODUCT(COUNTIF(_xlfn.XLOOKUP(D1714,BugList!C:C,BugList!P:P), "*SC*"))&gt;0</f>
        <v>0</v>
      </c>
    </row>
    <row r="1715" spans="1:16">
      <c r="A1715" s="9" t="s">
        <v>2900</v>
      </c>
      <c r="B1715" s="83">
        <v>128</v>
      </c>
      <c r="C1715" s="34" t="s">
        <v>195</v>
      </c>
      <c r="D1715" s="34" t="s">
        <v>97</v>
      </c>
      <c r="E1715" s="83">
        <v>1</v>
      </c>
      <c r="F1715" s="43">
        <f t="shared" si="309"/>
        <v>0.82644628099173556</v>
      </c>
      <c r="G1715" s="44">
        <f t="shared" si="310"/>
        <v>0</v>
      </c>
      <c r="H1715" s="44">
        <f t="shared" si="311"/>
        <v>0.82644628099173556</v>
      </c>
      <c r="I1715" cm="1">
        <f t="array" ref="I1715">INT(F1715)+IF(100-SUM(INT(F$1711:F$1723))&gt;=RANK(H1715,H$1711:H$1723)+COUNTIF(H$1711:H1715,H1715)-1,1,0)</f>
        <v>1</v>
      </c>
      <c r="J1715" t="b">
        <f t="shared" si="305"/>
        <v>0</v>
      </c>
      <c r="K1715" t="str">
        <f t="shared" si="306"/>
        <v/>
      </c>
      <c r="L1715">
        <f>_xlfn.XLOOKUP(D1715,BugList!C:C,BugList!N:N)</f>
        <v>9</v>
      </c>
      <c r="M1715">
        <f t="shared" si="307"/>
        <v>9</v>
      </c>
      <c r="N1715" t="b">
        <f>_xlfn.XLOOKUP(D1715,BugList!C:C,BugList!L:L)</f>
        <v>1</v>
      </c>
      <c r="O1715" t="b">
        <f t="shared" si="308"/>
        <v>0</v>
      </c>
      <c r="P1715" s="18" t="b">
        <f>SUMPRODUCT(COUNTIF(_xlfn.XLOOKUP(D1715,BugList!C:C,BugList!P:P), "*SC*"))&gt;0</f>
        <v>0</v>
      </c>
    </row>
    <row r="1716" spans="1:16">
      <c r="A1716" s="9" t="s">
        <v>2900</v>
      </c>
      <c r="B1716" s="83">
        <v>128</v>
      </c>
      <c r="C1716" s="34" t="s">
        <v>195</v>
      </c>
      <c r="D1716" s="34" t="s">
        <v>113</v>
      </c>
      <c r="E1716" s="83">
        <v>1</v>
      </c>
      <c r="F1716" s="43">
        <f t="shared" si="309"/>
        <v>0.82644628099173556</v>
      </c>
      <c r="G1716" s="44">
        <f t="shared" si="310"/>
        <v>0</v>
      </c>
      <c r="H1716" s="44">
        <f t="shared" si="311"/>
        <v>0.82644628099173556</v>
      </c>
      <c r="I1716" cm="1">
        <f t="array" ref="I1716">INT(F1716)+IF(100-SUM(INT(F$1711:F$1723))&gt;=RANK(H1716,H$1711:H$1723)+COUNTIF(H$1711:H1716,H1716)-1,1,0)</f>
        <v>1</v>
      </c>
      <c r="J1716" t="b">
        <f t="shared" si="305"/>
        <v>0</v>
      </c>
      <c r="K1716" t="str">
        <f t="shared" si="306"/>
        <v/>
      </c>
      <c r="L1716">
        <f>_xlfn.XLOOKUP(D1716,BugList!C:C,BugList!N:N)</f>
        <v>1</v>
      </c>
      <c r="M1716">
        <f t="shared" si="307"/>
        <v>1</v>
      </c>
      <c r="N1716" t="b">
        <f>_xlfn.XLOOKUP(D1716,BugList!C:C,BugList!L:L)</f>
        <v>1</v>
      </c>
      <c r="O1716" t="b">
        <f t="shared" si="308"/>
        <v>0</v>
      </c>
      <c r="P1716" s="18" t="b">
        <f>SUMPRODUCT(COUNTIF(_xlfn.XLOOKUP(D1716,BugList!C:C,BugList!P:P), "*SC*"))&gt;0</f>
        <v>0</v>
      </c>
    </row>
    <row r="1717" spans="1:16">
      <c r="A1717" s="9" t="s">
        <v>2900</v>
      </c>
      <c r="B1717" s="83">
        <v>128</v>
      </c>
      <c r="C1717" s="34" t="s">
        <v>198</v>
      </c>
      <c r="D1717" s="34" t="s">
        <v>89</v>
      </c>
      <c r="E1717" s="83">
        <v>5</v>
      </c>
      <c r="F1717" s="43">
        <f t="shared" si="309"/>
        <v>4.1322314049586781</v>
      </c>
      <c r="G1717" s="44">
        <f t="shared" si="310"/>
        <v>4</v>
      </c>
      <c r="H1717" s="44">
        <f t="shared" si="311"/>
        <v>0.13223140495867813</v>
      </c>
      <c r="I1717" cm="1">
        <f t="array" ref="I1717">INT(F1717)+IF(100-SUM(INT(F$1711:F$1723))&gt;=RANK(H1717,H$1711:H$1723)+COUNTIF(H$1711:H1717,H1717)-1,1,0)</f>
        <v>4</v>
      </c>
      <c r="J1717" t="b">
        <f t="shared" si="305"/>
        <v>1</v>
      </c>
      <c r="K1717" t="str">
        <f t="shared" si="306"/>
        <v>Trichoptera</v>
      </c>
      <c r="L1717">
        <f>_xlfn.XLOOKUP(D1717,BugList!C:C,BugList!N:N)</f>
        <v>4</v>
      </c>
      <c r="M1717">
        <f t="shared" si="307"/>
        <v>16</v>
      </c>
      <c r="N1717" t="b">
        <f>_xlfn.XLOOKUP(D1717,BugList!C:C,BugList!L:L)</f>
        <v>1</v>
      </c>
      <c r="O1717" t="b">
        <f t="shared" si="308"/>
        <v>0</v>
      </c>
      <c r="P1717" s="18" t="b">
        <f>SUMPRODUCT(COUNTIF(_xlfn.XLOOKUP(D1717,BugList!C:C,BugList!P:P), "*SC*"))&gt;0</f>
        <v>0</v>
      </c>
    </row>
    <row r="1718" spans="1:16">
      <c r="A1718" s="9" t="s">
        <v>2900</v>
      </c>
      <c r="B1718" s="83">
        <v>128</v>
      </c>
      <c r="C1718" s="34" t="s">
        <v>198</v>
      </c>
      <c r="D1718" s="34" t="s">
        <v>163</v>
      </c>
      <c r="E1718" s="83">
        <v>25</v>
      </c>
      <c r="F1718" s="43">
        <f t="shared" si="309"/>
        <v>20.66115702479339</v>
      </c>
      <c r="G1718" s="44">
        <f t="shared" si="310"/>
        <v>20</v>
      </c>
      <c r="H1718" s="44">
        <f t="shared" si="311"/>
        <v>0.66115702479338978</v>
      </c>
      <c r="I1718" cm="1">
        <f t="array" ref="I1718">INT(F1718)+IF(100-SUM(INT(F$1711:F$1723))&gt;=RANK(H1718,H$1711:H$1723)+COUNTIF(H$1711:H1718,H1718)-1,1,0)</f>
        <v>21</v>
      </c>
      <c r="J1718" t="b">
        <f t="shared" si="305"/>
        <v>1</v>
      </c>
      <c r="K1718" t="str">
        <f t="shared" si="306"/>
        <v>Trichoptera</v>
      </c>
      <c r="L1718">
        <f>_xlfn.XLOOKUP(D1718,BugList!C:C,BugList!N:N)</f>
        <v>6</v>
      </c>
      <c r="M1718">
        <f t="shared" si="307"/>
        <v>126</v>
      </c>
      <c r="N1718" t="b">
        <f>_xlfn.XLOOKUP(D1718,BugList!C:C,BugList!L:L)</f>
        <v>1</v>
      </c>
      <c r="O1718" t="b">
        <f t="shared" si="308"/>
        <v>1</v>
      </c>
      <c r="P1718" s="18" t="b">
        <f>SUMPRODUCT(COUNTIF(_xlfn.XLOOKUP(D1718,BugList!C:C,BugList!P:P), "*SC*"))&gt;0</f>
        <v>0</v>
      </c>
    </row>
    <row r="1719" spans="1:16">
      <c r="A1719" s="9" t="s">
        <v>2900</v>
      </c>
      <c r="B1719" s="83">
        <v>128</v>
      </c>
      <c r="C1719" s="34" t="s">
        <v>204</v>
      </c>
      <c r="D1719" s="34" t="s">
        <v>84</v>
      </c>
      <c r="E1719" s="83">
        <v>2</v>
      </c>
      <c r="F1719" s="43">
        <f t="shared" si="309"/>
        <v>1.6528925619834711</v>
      </c>
      <c r="G1719" s="44">
        <f t="shared" si="310"/>
        <v>1</v>
      </c>
      <c r="H1719" s="44">
        <f t="shared" si="311"/>
        <v>0.65289256198347112</v>
      </c>
      <c r="I1719" cm="1">
        <f t="array" ref="I1719">INT(F1719)+IF(100-SUM(INT(F$1711:F$1723))&gt;=RANK(H1719,H$1711:H$1723)+COUNTIF(H$1711:H1719,H1719)-1,1,0)</f>
        <v>2</v>
      </c>
      <c r="J1719" t="b">
        <f t="shared" si="305"/>
        <v>0</v>
      </c>
      <c r="K1719" t="str">
        <f t="shared" si="306"/>
        <v/>
      </c>
      <c r="L1719">
        <f>_xlfn.XLOOKUP(D1719,BugList!C:C,BugList!N:N)</f>
        <v>8</v>
      </c>
      <c r="M1719">
        <f t="shared" si="307"/>
        <v>16</v>
      </c>
      <c r="N1719" t="b">
        <f>_xlfn.XLOOKUP(D1719,BugList!C:C,BugList!L:L)</f>
        <v>0</v>
      </c>
      <c r="O1719" t="b">
        <f t="shared" si="308"/>
        <v>0</v>
      </c>
      <c r="P1719" s="18" t="b">
        <f>SUMPRODUCT(COUNTIF(_xlfn.XLOOKUP(D1719,BugList!C:C,BugList!P:P), "*SC*"))&gt;0</f>
        <v>0</v>
      </c>
    </row>
    <row r="1720" spans="1:16">
      <c r="A1720" s="9" t="s">
        <v>2900</v>
      </c>
      <c r="B1720" s="83">
        <v>128</v>
      </c>
      <c r="C1720" s="34" t="s">
        <v>201</v>
      </c>
      <c r="D1720" s="34" t="s">
        <v>85</v>
      </c>
      <c r="E1720" s="83">
        <v>33</v>
      </c>
      <c r="F1720" s="43">
        <f t="shared" si="309"/>
        <v>27.27272727272727</v>
      </c>
      <c r="G1720" s="44">
        <f t="shared" si="310"/>
        <v>27</v>
      </c>
      <c r="H1720" s="44">
        <f t="shared" si="311"/>
        <v>0.27272727272726982</v>
      </c>
      <c r="I1720" cm="1">
        <f t="array" ref="I1720">INT(F1720)+IF(100-SUM(INT(F$1711:F$1723))&gt;=RANK(H1720,H$1711:H$1723)+COUNTIF(H$1711:H1720,H1720)-1,1,0)</f>
        <v>27</v>
      </c>
      <c r="J1720" t="b">
        <f t="shared" si="305"/>
        <v>0</v>
      </c>
      <c r="K1720" t="str">
        <f t="shared" si="306"/>
        <v/>
      </c>
      <c r="L1720">
        <f>_xlfn.XLOOKUP(D1720,BugList!C:C,BugList!N:N)</f>
        <v>4</v>
      </c>
      <c r="M1720">
        <f t="shared" si="307"/>
        <v>108</v>
      </c>
      <c r="N1720" t="b">
        <f>_xlfn.XLOOKUP(D1720,BugList!C:C,BugList!L:L)</f>
        <v>0</v>
      </c>
      <c r="O1720" t="b">
        <f t="shared" si="308"/>
        <v>0</v>
      </c>
      <c r="P1720" s="18" t="b">
        <f>SUMPRODUCT(COUNTIF(_xlfn.XLOOKUP(D1720,BugList!C:C,BugList!P:P), "*SC*"))&gt;0</f>
        <v>0</v>
      </c>
    </row>
    <row r="1721" spans="1:16">
      <c r="A1721" s="9" t="s">
        <v>2900</v>
      </c>
      <c r="B1721" s="83">
        <v>128</v>
      </c>
      <c r="C1721" s="34" t="s">
        <v>202</v>
      </c>
      <c r="D1721" s="34" t="s">
        <v>203</v>
      </c>
      <c r="E1721" s="83">
        <v>2</v>
      </c>
      <c r="F1721" s="43">
        <f t="shared" si="309"/>
        <v>1.6528925619834711</v>
      </c>
      <c r="G1721" s="44">
        <f t="shared" si="310"/>
        <v>1</v>
      </c>
      <c r="H1721" s="44">
        <f t="shared" si="311"/>
        <v>0.65289256198347112</v>
      </c>
      <c r="I1721" cm="1">
        <f t="array" ref="I1721">INT(F1721)+IF(100-SUM(INT(F$1711:F$1723))&gt;=RANK(H1721,H$1711:H$1723)+COUNTIF(H$1711:H1721,H1721)-1,1,0)</f>
        <v>1</v>
      </c>
      <c r="J1721" t="b">
        <f t="shared" si="305"/>
        <v>0</v>
      </c>
      <c r="K1721" t="str">
        <f t="shared" si="306"/>
        <v/>
      </c>
      <c r="L1721" s="71">
        <v>5</v>
      </c>
      <c r="M1721">
        <f t="shared" si="307"/>
        <v>5</v>
      </c>
      <c r="N1721" s="71" t="b">
        <v>0</v>
      </c>
      <c r="O1721" t="b">
        <f t="shared" si="308"/>
        <v>0</v>
      </c>
      <c r="P1721" s="72" t="b">
        <v>0</v>
      </c>
    </row>
    <row r="1722" spans="1:16">
      <c r="A1722" s="9" t="s">
        <v>2900</v>
      </c>
      <c r="B1722" s="83">
        <v>128</v>
      </c>
      <c r="C1722" s="34" t="s">
        <v>2315</v>
      </c>
      <c r="D1722" s="34" t="s">
        <v>2315</v>
      </c>
      <c r="E1722" s="83">
        <v>1</v>
      </c>
      <c r="F1722" s="43">
        <f t="shared" si="309"/>
        <v>0.82644628099173556</v>
      </c>
      <c r="G1722" s="44">
        <f t="shared" si="310"/>
        <v>0</v>
      </c>
      <c r="H1722" s="44">
        <f t="shared" si="311"/>
        <v>0.82644628099173556</v>
      </c>
      <c r="I1722" cm="1">
        <f t="array" ref="I1722">INT(F1722)+IF(100-SUM(INT(F$1711:F$1723))&gt;=RANK(H1722,H$1711:H$1723)+COUNTIF(H$1711:H1722,H1722)-1,1,0)</f>
        <v>1</v>
      </c>
      <c r="J1722" t="b">
        <f t="shared" si="305"/>
        <v>0</v>
      </c>
      <c r="K1722" t="str">
        <f t="shared" si="306"/>
        <v/>
      </c>
      <c r="L1722">
        <f>_xlfn.XLOOKUP(D1722,BugList!C:C,BugList!N:N)</f>
        <v>7</v>
      </c>
      <c r="M1722">
        <f t="shared" si="307"/>
        <v>7</v>
      </c>
      <c r="N1722" t="b">
        <f>_xlfn.XLOOKUP(D1722,BugList!C:C,BugList!L:L)</f>
        <v>0</v>
      </c>
      <c r="O1722" t="b">
        <f t="shared" si="308"/>
        <v>0</v>
      </c>
      <c r="P1722" s="18" t="b">
        <f>SUMPRODUCT(COUNTIF(_xlfn.XLOOKUP(D1722,BugList!C:C,BugList!P:P), "*SC*"))&gt;0</f>
        <v>1</v>
      </c>
    </row>
    <row r="1723" spans="1:16">
      <c r="A1723" s="9" t="s">
        <v>2900</v>
      </c>
      <c r="B1723" s="83">
        <v>128</v>
      </c>
      <c r="C1723" s="34" t="s">
        <v>205</v>
      </c>
      <c r="D1723" s="34" t="s">
        <v>206</v>
      </c>
      <c r="E1723" s="83">
        <v>6</v>
      </c>
      <c r="F1723" s="43">
        <f t="shared" si="309"/>
        <v>4.9586776859504136</v>
      </c>
      <c r="G1723" s="44">
        <f t="shared" si="310"/>
        <v>4</v>
      </c>
      <c r="H1723" s="44">
        <f t="shared" si="311"/>
        <v>0.95867768595041358</v>
      </c>
      <c r="I1723" cm="1">
        <f t="array" ref="I1723">INT(F1723)+IF(100-SUM(INT(F$1711:F$1723))&gt;=RANK(H1723,H$1711:H$1723)+COUNTIF(H$1711:H1723,H1723)-1,1,0)</f>
        <v>5</v>
      </c>
      <c r="J1723" t="b">
        <f t="shared" si="305"/>
        <v>0</v>
      </c>
      <c r="K1723" t="str">
        <f t="shared" si="306"/>
        <v/>
      </c>
      <c r="L1723" s="71">
        <v>8</v>
      </c>
      <c r="M1723">
        <f t="shared" si="307"/>
        <v>40</v>
      </c>
      <c r="N1723" s="71" t="b">
        <v>0</v>
      </c>
      <c r="O1723" t="b">
        <f t="shared" si="308"/>
        <v>0</v>
      </c>
      <c r="P1723" s="72" t="b">
        <v>0</v>
      </c>
    </row>
    <row r="1724" spans="1:16">
      <c r="A1724" s="9" t="s">
        <v>2901</v>
      </c>
      <c r="B1724" s="83">
        <v>142</v>
      </c>
      <c r="C1724" s="34" t="s">
        <v>200</v>
      </c>
      <c r="D1724" s="34" t="s">
        <v>98</v>
      </c>
      <c r="E1724" s="83">
        <v>3</v>
      </c>
      <c r="F1724" s="43">
        <f t="shared" si="309"/>
        <v>2.912621359223301</v>
      </c>
      <c r="G1724" s="44">
        <f t="shared" si="310"/>
        <v>2</v>
      </c>
      <c r="H1724" s="44">
        <f t="shared" si="311"/>
        <v>0.91262135922330101</v>
      </c>
      <c r="I1724" cm="1">
        <f t="array" ref="I1724">INT(F1724)+IF(100-SUM(INT(F$1724:F$1735))&gt;=RANK(H1724,H$1724:H$1735)+COUNTIF(H1724:H$1724,H1724)-1,1,0)</f>
        <v>3</v>
      </c>
      <c r="J1724" t="b">
        <f t="shared" si="305"/>
        <v>0</v>
      </c>
      <c r="K1724" t="str">
        <f t="shared" si="306"/>
        <v/>
      </c>
      <c r="L1724">
        <f>_xlfn.XLOOKUP(D1724,BugList!C:C,BugList!N:N)</f>
        <v>4</v>
      </c>
      <c r="M1724">
        <f t="shared" si="307"/>
        <v>12</v>
      </c>
      <c r="N1724" t="b">
        <f>_xlfn.XLOOKUP(D1724,BugList!C:C,BugList!L:L)</f>
        <v>1</v>
      </c>
      <c r="O1724" t="b">
        <f t="shared" si="308"/>
        <v>0</v>
      </c>
      <c r="P1724" s="18" t="b">
        <f>SUMPRODUCT(COUNTIF(_xlfn.XLOOKUP(D1724,BugList!C:C,BugList!P:P), "*SC*"))&gt;0</f>
        <v>1</v>
      </c>
    </row>
    <row r="1725" spans="1:16">
      <c r="A1725" s="9" t="s">
        <v>2901</v>
      </c>
      <c r="B1725" s="83">
        <v>142</v>
      </c>
      <c r="C1725" s="34" t="s">
        <v>200</v>
      </c>
      <c r="D1725" s="34" t="s">
        <v>100</v>
      </c>
      <c r="E1725" s="83">
        <v>8</v>
      </c>
      <c r="F1725" s="43">
        <f t="shared" si="309"/>
        <v>7.7669902912621351</v>
      </c>
      <c r="G1725" s="44">
        <f t="shared" si="310"/>
        <v>7</v>
      </c>
      <c r="H1725" s="44">
        <f t="shared" si="311"/>
        <v>0.76699029126213514</v>
      </c>
      <c r="I1725" cm="1">
        <f t="array" ref="I1725">INT(F1725)+IF(100-SUM(INT(F$1724:F$1735))&gt;=RANK(H1725,H$1724:H$1735)+COUNTIF(H$1724:H1725,H1725)-1,1,0)</f>
        <v>8</v>
      </c>
      <c r="J1725" t="b">
        <f t="shared" si="305"/>
        <v>0</v>
      </c>
      <c r="K1725" t="str">
        <f t="shared" si="306"/>
        <v/>
      </c>
      <c r="L1725">
        <f>_xlfn.XLOOKUP(D1725,BugList!C:C,BugList!N:N)</f>
        <v>4</v>
      </c>
      <c r="M1725">
        <f t="shared" si="307"/>
        <v>32</v>
      </c>
      <c r="N1725" t="b">
        <f>_xlfn.XLOOKUP(D1725,BugList!C:C,BugList!L:L)</f>
        <v>1</v>
      </c>
      <c r="O1725" t="b">
        <f t="shared" si="308"/>
        <v>0</v>
      </c>
      <c r="P1725" s="18" t="b">
        <f>SUMPRODUCT(COUNTIF(_xlfn.XLOOKUP(D1725,BugList!C:C,BugList!P:P), "*SC*"))&gt;0</f>
        <v>1</v>
      </c>
    </row>
    <row r="1726" spans="1:16">
      <c r="A1726" s="9" t="s">
        <v>2901</v>
      </c>
      <c r="B1726" s="83">
        <v>142</v>
      </c>
      <c r="C1726" s="34" t="s">
        <v>194</v>
      </c>
      <c r="D1726" s="34" t="s">
        <v>90</v>
      </c>
      <c r="E1726" s="83">
        <v>5</v>
      </c>
      <c r="F1726" s="43">
        <f t="shared" si="309"/>
        <v>4.8543689320388346</v>
      </c>
      <c r="G1726" s="44">
        <f t="shared" si="310"/>
        <v>4</v>
      </c>
      <c r="H1726" s="44">
        <f t="shared" si="311"/>
        <v>0.85436893203883457</v>
      </c>
      <c r="I1726" cm="1">
        <f t="array" ref="I1726">INT(F1726)+IF(100-SUM(INT(F$1724:F$1735))&gt;=RANK(H1726,H$1724:H$1735)+COUNTIF(H$1724:H1726,H1726)-1,1,0)</f>
        <v>5</v>
      </c>
      <c r="J1726" t="b">
        <f t="shared" si="305"/>
        <v>0</v>
      </c>
      <c r="K1726" t="str">
        <f t="shared" si="306"/>
        <v/>
      </c>
      <c r="L1726">
        <f>_xlfn.XLOOKUP(D1726,BugList!C:C,BugList!N:N)</f>
        <v>6</v>
      </c>
      <c r="M1726">
        <f t="shared" si="307"/>
        <v>30</v>
      </c>
      <c r="N1726" t="b">
        <f>_xlfn.XLOOKUP(D1726,BugList!C:C,BugList!L:L)</f>
        <v>1</v>
      </c>
      <c r="O1726" t="b">
        <f t="shared" si="308"/>
        <v>0</v>
      </c>
      <c r="P1726" s="18" t="b">
        <f>SUMPRODUCT(COUNTIF(_xlfn.XLOOKUP(D1726,BugList!C:C,BugList!P:P), "*SC*"))&gt;0</f>
        <v>0</v>
      </c>
    </row>
    <row r="1727" spans="1:16">
      <c r="A1727" s="9" t="s">
        <v>2901</v>
      </c>
      <c r="B1727" s="83">
        <v>142</v>
      </c>
      <c r="C1727" s="34" t="s">
        <v>194</v>
      </c>
      <c r="D1727" s="34" t="s">
        <v>101</v>
      </c>
      <c r="E1727" s="83">
        <v>28</v>
      </c>
      <c r="F1727" s="43">
        <f t="shared" si="309"/>
        <v>27.184466019417474</v>
      </c>
      <c r="G1727" s="44">
        <f t="shared" si="310"/>
        <v>27</v>
      </c>
      <c r="H1727" s="44">
        <f t="shared" si="311"/>
        <v>0.18446601941747431</v>
      </c>
      <c r="I1727" cm="1">
        <f t="array" ref="I1727">INT(F1727)+IF(100-SUM(INT(F$1724:F$1735))&gt;=RANK(H1727,H$1724:H$1735)+COUNTIF(H$1724:H1727,H1727)-1,1,0)</f>
        <v>27</v>
      </c>
      <c r="J1727" t="b">
        <f t="shared" si="305"/>
        <v>0</v>
      </c>
      <c r="K1727" t="str">
        <f t="shared" si="306"/>
        <v/>
      </c>
      <c r="L1727">
        <f>_xlfn.XLOOKUP(D1727,BugList!C:C,BugList!N:N)</f>
        <v>6</v>
      </c>
      <c r="M1727">
        <f t="shared" si="307"/>
        <v>162</v>
      </c>
      <c r="N1727" t="b">
        <f>_xlfn.XLOOKUP(D1727,BugList!C:C,BugList!L:L)</f>
        <v>1</v>
      </c>
      <c r="O1727" t="b">
        <f t="shared" si="308"/>
        <v>0</v>
      </c>
      <c r="P1727" s="18" t="b">
        <f>SUMPRODUCT(COUNTIF(_xlfn.XLOOKUP(D1727,BugList!C:C,BugList!P:P), "*SC*"))&gt;0</f>
        <v>0</v>
      </c>
    </row>
    <row r="1728" spans="1:16">
      <c r="A1728" s="9" t="s">
        <v>2901</v>
      </c>
      <c r="B1728" s="83">
        <v>142</v>
      </c>
      <c r="C1728" s="34" t="s">
        <v>199</v>
      </c>
      <c r="D1728" s="34" t="s">
        <v>111</v>
      </c>
      <c r="E1728" s="83">
        <v>5</v>
      </c>
      <c r="F1728" s="43">
        <f t="shared" si="309"/>
        <v>4.8543689320388346</v>
      </c>
      <c r="G1728" s="44">
        <f t="shared" si="310"/>
        <v>4</v>
      </c>
      <c r="H1728" s="44">
        <f t="shared" si="311"/>
        <v>0.85436893203883457</v>
      </c>
      <c r="I1728" cm="1">
        <f t="array" ref="I1728">INT(F1728)+IF(100-SUM(INT(F$1724:F$1735))&gt;=RANK(H1728,H$1724:H$1735)+COUNTIF(H$1724:H1728,H1728)-1,1,0)</f>
        <v>5</v>
      </c>
      <c r="J1728" t="b">
        <f t="shared" si="305"/>
        <v>1</v>
      </c>
      <c r="K1728" t="str">
        <f t="shared" si="306"/>
        <v>Ephemeroptera</v>
      </c>
      <c r="L1728">
        <f>_xlfn.XLOOKUP(D1728,BugList!C:C,BugList!N:N)</f>
        <v>4</v>
      </c>
      <c r="M1728">
        <f t="shared" si="307"/>
        <v>20</v>
      </c>
      <c r="N1728" t="b">
        <f>_xlfn.XLOOKUP(D1728,BugList!C:C,BugList!L:L)</f>
        <v>1</v>
      </c>
      <c r="O1728" t="b">
        <f t="shared" si="308"/>
        <v>1</v>
      </c>
      <c r="P1728" s="18" t="b">
        <f>SUMPRODUCT(COUNTIF(_xlfn.XLOOKUP(D1728,BugList!C:C,BugList!P:P), "*SC*"))&gt;0</f>
        <v>0</v>
      </c>
    </row>
    <row r="1729" spans="1:16">
      <c r="A1729" s="9" t="s">
        <v>2901</v>
      </c>
      <c r="B1729" s="83">
        <v>142</v>
      </c>
      <c r="C1729" s="34" t="s">
        <v>195</v>
      </c>
      <c r="D1729" s="34" t="s">
        <v>162</v>
      </c>
      <c r="E1729" s="83">
        <v>1</v>
      </c>
      <c r="F1729" s="43">
        <f t="shared" si="309"/>
        <v>0.97087378640776689</v>
      </c>
      <c r="G1729" s="44">
        <f t="shared" si="310"/>
        <v>0</v>
      </c>
      <c r="H1729" s="44">
        <f t="shared" si="311"/>
        <v>0.97087378640776689</v>
      </c>
      <c r="I1729" cm="1">
        <f t="array" ref="I1729">INT(F1729)+IF(100-SUM(INT(F$1724:F$1735))&gt;=RANK(H1729,H$1724:H$1735)+COUNTIF(H$1724:H1729,H1729)-1,1,0)</f>
        <v>1</v>
      </c>
      <c r="J1729" t="b">
        <f t="shared" si="305"/>
        <v>0</v>
      </c>
      <c r="K1729" t="str">
        <f t="shared" si="306"/>
        <v/>
      </c>
      <c r="L1729">
        <f>_xlfn.XLOOKUP(D1729,BugList!C:C,BugList!N:N)</f>
        <v>3</v>
      </c>
      <c r="M1729">
        <f t="shared" si="307"/>
        <v>3</v>
      </c>
      <c r="N1729" t="b">
        <f>_xlfn.XLOOKUP(D1729,BugList!C:C,BugList!L:L)</f>
        <v>1</v>
      </c>
      <c r="O1729" t="b">
        <f t="shared" si="308"/>
        <v>0</v>
      </c>
      <c r="P1729" s="18" t="b">
        <f>SUMPRODUCT(COUNTIF(_xlfn.XLOOKUP(D1729,BugList!C:C,BugList!P:P), "*SC*"))&gt;0</f>
        <v>0</v>
      </c>
    </row>
    <row r="1730" spans="1:16">
      <c r="A1730" s="9" t="s">
        <v>2901</v>
      </c>
      <c r="B1730" s="83">
        <v>142</v>
      </c>
      <c r="C1730" s="34" t="s">
        <v>197</v>
      </c>
      <c r="D1730" s="34" t="s">
        <v>153</v>
      </c>
      <c r="E1730" s="83">
        <v>8</v>
      </c>
      <c r="F1730" s="43">
        <f t="shared" si="309"/>
        <v>7.7669902912621351</v>
      </c>
      <c r="G1730" s="44">
        <f t="shared" ref="G1730:G1793" si="316">INT(F1730)</f>
        <v>7</v>
      </c>
      <c r="H1730" s="44">
        <f t="shared" ref="H1730:H1793" si="317">F1730-G1730</f>
        <v>0.76699029126213514</v>
      </c>
      <c r="I1730" cm="1">
        <f t="array" ref="I1730">INT(F1730)+IF(100-SUM(INT(F$1724:F$1735))&gt;=RANK(H1730,H$1724:H$1735)+COUNTIF(H$1724:H1730,H1730)-1,1,0)</f>
        <v>8</v>
      </c>
      <c r="J1730" t="b">
        <f t="shared" ref="J1730:J1793" si="318">IF(OR(C1730="Ephemeroptera", C1730 ="Plecoptera", C1730= "Trichoptera"), TRUE, FALSE)</f>
        <v>1</v>
      </c>
      <c r="K1730" t="str">
        <f t="shared" ref="K1730:K1793" si="319">IF(J1730=TRUE,C1730,"")</f>
        <v>Plecoptera</v>
      </c>
      <c r="L1730">
        <f>_xlfn.XLOOKUP(D1730,BugList!C:C,BugList!N:N)</f>
        <v>2</v>
      </c>
      <c r="M1730">
        <f t="shared" ref="M1730:M1793" si="320">L1730*I1730</f>
        <v>16</v>
      </c>
      <c r="N1730" t="b">
        <f>_xlfn.XLOOKUP(D1730,BugList!C:C,BugList!L:L)</f>
        <v>1</v>
      </c>
      <c r="O1730" t="b">
        <f t="shared" ref="O1730:O1793" si="321">IF(J1730=TRUE,IF(D1730="Hydropsychidae", FALSE, TRUE), FALSE)</f>
        <v>1</v>
      </c>
      <c r="P1730" s="18" t="b">
        <f>SUMPRODUCT(COUNTIF(_xlfn.XLOOKUP(D1730,BugList!C:C,BugList!P:P), "*SC*"))&gt;0</f>
        <v>0</v>
      </c>
    </row>
    <row r="1731" spans="1:16">
      <c r="A1731" s="9" t="s">
        <v>2901</v>
      </c>
      <c r="B1731" s="83">
        <v>142</v>
      </c>
      <c r="C1731" s="34" t="s">
        <v>198</v>
      </c>
      <c r="D1731" s="34" t="s">
        <v>89</v>
      </c>
      <c r="E1731" s="83">
        <v>26</v>
      </c>
      <c r="F1731" s="43">
        <f t="shared" si="309"/>
        <v>25.242718446601941</v>
      </c>
      <c r="G1731" s="44">
        <f t="shared" si="316"/>
        <v>25</v>
      </c>
      <c r="H1731" s="44">
        <f t="shared" si="317"/>
        <v>0.2427184466019412</v>
      </c>
      <c r="I1731" cm="1">
        <f t="array" ref="I1731">INT(F1731)+IF(100-SUM(INT(F$1724:F$1735))&gt;=RANK(H1731,H$1724:H$1735)+COUNTIF(H$1724:H1731,H1731)-1,1,0)</f>
        <v>25</v>
      </c>
      <c r="J1731" t="b">
        <f t="shared" si="318"/>
        <v>1</v>
      </c>
      <c r="K1731" t="str">
        <f t="shared" si="319"/>
        <v>Trichoptera</v>
      </c>
      <c r="L1731">
        <f>_xlfn.XLOOKUP(D1731,BugList!C:C,BugList!N:N)</f>
        <v>4</v>
      </c>
      <c r="M1731">
        <f t="shared" si="320"/>
        <v>100</v>
      </c>
      <c r="N1731" t="b">
        <f>_xlfn.XLOOKUP(D1731,BugList!C:C,BugList!L:L)</f>
        <v>1</v>
      </c>
      <c r="O1731" t="b">
        <f t="shared" si="321"/>
        <v>0</v>
      </c>
      <c r="P1731" s="18" t="b">
        <f>SUMPRODUCT(COUNTIF(_xlfn.XLOOKUP(D1731,BugList!C:C,BugList!P:P), "*SC*"))&gt;0</f>
        <v>0</v>
      </c>
    </row>
    <row r="1732" spans="1:16">
      <c r="A1732" s="9" t="s">
        <v>2901</v>
      </c>
      <c r="B1732" s="83">
        <v>142</v>
      </c>
      <c r="C1732" s="34" t="s">
        <v>198</v>
      </c>
      <c r="D1732" s="34" t="s">
        <v>163</v>
      </c>
      <c r="E1732" s="83">
        <v>12</v>
      </c>
      <c r="F1732" s="43">
        <f t="shared" si="309"/>
        <v>11.650485436893204</v>
      </c>
      <c r="G1732" s="44">
        <f t="shared" si="316"/>
        <v>11</v>
      </c>
      <c r="H1732" s="44">
        <f t="shared" si="317"/>
        <v>0.65048543689320404</v>
      </c>
      <c r="I1732" cm="1">
        <f t="array" ref="I1732">INT(F1732)+IF(100-SUM(INT(F$1724:F$1735))&gt;=RANK(H1732,H$1724:H$1735)+COUNTIF(H$1724:H1732,H1732)-1,1,0)</f>
        <v>11</v>
      </c>
      <c r="J1732" t="b">
        <f t="shared" si="318"/>
        <v>1</v>
      </c>
      <c r="K1732" t="str">
        <f t="shared" si="319"/>
        <v>Trichoptera</v>
      </c>
      <c r="L1732">
        <f>_xlfn.XLOOKUP(D1732,BugList!C:C,BugList!N:N)</f>
        <v>6</v>
      </c>
      <c r="M1732">
        <f t="shared" si="320"/>
        <v>66</v>
      </c>
      <c r="N1732" t="b">
        <f>_xlfn.XLOOKUP(D1732,BugList!C:C,BugList!L:L)</f>
        <v>1</v>
      </c>
      <c r="O1732" t="b">
        <f t="shared" si="321"/>
        <v>1</v>
      </c>
      <c r="P1732" s="18" t="b">
        <f>SUMPRODUCT(COUNTIF(_xlfn.XLOOKUP(D1732,BugList!C:C,BugList!P:P), "*SC*"))&gt;0</f>
        <v>0</v>
      </c>
    </row>
    <row r="1733" spans="1:16">
      <c r="A1733" s="9" t="s">
        <v>2901</v>
      </c>
      <c r="B1733" s="83">
        <v>142</v>
      </c>
      <c r="C1733" s="34" t="s">
        <v>204</v>
      </c>
      <c r="D1733" s="34" t="s">
        <v>84</v>
      </c>
      <c r="E1733" s="83">
        <v>4</v>
      </c>
      <c r="F1733" s="43">
        <f t="shared" si="309"/>
        <v>3.8834951456310676</v>
      </c>
      <c r="G1733" s="44">
        <f t="shared" si="316"/>
        <v>3</v>
      </c>
      <c r="H1733" s="44">
        <f t="shared" si="317"/>
        <v>0.88349514563106757</v>
      </c>
      <c r="I1733" cm="1">
        <f t="array" ref="I1733">INT(F1733)+IF(100-SUM(INT(F$1724:F$1735))&gt;=RANK(H1733,H$1724:H$1735)+COUNTIF(H$1724:H1733,H1733)-1,1,0)</f>
        <v>4</v>
      </c>
      <c r="J1733" t="b">
        <f t="shared" si="318"/>
        <v>0</v>
      </c>
      <c r="K1733" t="str">
        <f t="shared" si="319"/>
        <v/>
      </c>
      <c r="L1733">
        <f>_xlfn.XLOOKUP(D1733,BugList!C:C,BugList!N:N)</f>
        <v>8</v>
      </c>
      <c r="M1733">
        <f t="shared" si="320"/>
        <v>32</v>
      </c>
      <c r="N1733" t="b">
        <f>_xlfn.XLOOKUP(D1733,BugList!C:C,BugList!L:L)</f>
        <v>0</v>
      </c>
      <c r="O1733" t="b">
        <f t="shared" si="321"/>
        <v>0</v>
      </c>
      <c r="P1733" s="18" t="b">
        <f>SUMPRODUCT(COUNTIF(_xlfn.XLOOKUP(D1733,BugList!C:C,BugList!P:P), "*SC*"))&gt;0</f>
        <v>0</v>
      </c>
    </row>
    <row r="1734" spans="1:16">
      <c r="A1734" s="9" t="s">
        <v>2901</v>
      </c>
      <c r="B1734" s="83">
        <v>142</v>
      </c>
      <c r="C1734" s="34" t="s">
        <v>205</v>
      </c>
      <c r="D1734" s="34" t="s">
        <v>206</v>
      </c>
      <c r="E1734" s="83">
        <v>1</v>
      </c>
      <c r="F1734" s="43">
        <f t="shared" si="309"/>
        <v>0.97087378640776689</v>
      </c>
      <c r="G1734" s="44">
        <f t="shared" si="316"/>
        <v>0</v>
      </c>
      <c r="H1734" s="44">
        <f t="shared" si="317"/>
        <v>0.97087378640776689</v>
      </c>
      <c r="I1734" cm="1">
        <f t="array" ref="I1734">INT(F1734)+IF(100-SUM(INT(F$1724:F$1735))&gt;=RANK(H1734,H$1724:H$1735)+COUNTIF(H$1724:H1734,H1734)-1,1,0)</f>
        <v>1</v>
      </c>
      <c r="J1734" t="b">
        <f t="shared" si="318"/>
        <v>0</v>
      </c>
      <c r="K1734" t="str">
        <f t="shared" si="319"/>
        <v/>
      </c>
      <c r="L1734" s="71">
        <v>8</v>
      </c>
      <c r="M1734">
        <f t="shared" si="320"/>
        <v>8</v>
      </c>
      <c r="N1734" s="71" t="b">
        <v>0</v>
      </c>
      <c r="O1734" t="b">
        <f t="shared" si="321"/>
        <v>0</v>
      </c>
      <c r="P1734" s="72" t="b">
        <v>0</v>
      </c>
    </row>
    <row r="1735" spans="1:16">
      <c r="A1735" s="9" t="s">
        <v>2901</v>
      </c>
      <c r="B1735" s="83">
        <v>142</v>
      </c>
      <c r="C1735" s="34" t="s">
        <v>119</v>
      </c>
      <c r="D1735" s="34" t="s">
        <v>87</v>
      </c>
      <c r="E1735" s="83">
        <v>2</v>
      </c>
      <c r="F1735" s="43">
        <f t="shared" si="309"/>
        <v>1.9417475728155338</v>
      </c>
      <c r="G1735" s="44">
        <f t="shared" si="316"/>
        <v>1</v>
      </c>
      <c r="H1735" s="44">
        <f t="shared" si="317"/>
        <v>0.94174757281553378</v>
      </c>
      <c r="I1735" cm="1">
        <f t="array" ref="I1735">INT(F1735)+IF(100-SUM(INT(F$1724:F$1735))&gt;=RANK(H1735,H$1724:H$1735)+COUNTIF(H$1724:H1735,H1735)-1,1,0)</f>
        <v>2</v>
      </c>
      <c r="J1735" t="b">
        <f t="shared" si="318"/>
        <v>0</v>
      </c>
      <c r="K1735" t="str">
        <f t="shared" si="319"/>
        <v/>
      </c>
      <c r="L1735">
        <f>_xlfn.XLOOKUP(D1735,BugList!C:C,BugList!N:N)</f>
        <v>4</v>
      </c>
      <c r="M1735">
        <f t="shared" si="320"/>
        <v>8</v>
      </c>
      <c r="N1735" t="b">
        <f>_xlfn.XLOOKUP(D1735,BugList!C:C,BugList!L:L)</f>
        <v>0</v>
      </c>
      <c r="O1735" t="b">
        <f t="shared" si="321"/>
        <v>0</v>
      </c>
      <c r="P1735" s="18" t="b">
        <f>SUMPRODUCT(COUNTIF(_xlfn.XLOOKUP(D1735,BugList!C:C,BugList!P:P), "*SC*"))&gt;0</f>
        <v>0</v>
      </c>
    </row>
    <row r="1736" spans="1:16">
      <c r="A1736" s="9" t="s">
        <v>2902</v>
      </c>
      <c r="B1736" s="83">
        <v>147</v>
      </c>
      <c r="C1736" s="34" t="s">
        <v>200</v>
      </c>
      <c r="D1736" s="34" t="s">
        <v>98</v>
      </c>
      <c r="E1736" s="83">
        <v>1</v>
      </c>
      <c r="F1736" s="43">
        <f t="shared" si="309"/>
        <v>0.88495575221238942</v>
      </c>
      <c r="G1736" s="44">
        <f t="shared" si="316"/>
        <v>0</v>
      </c>
      <c r="H1736" s="44">
        <f t="shared" si="317"/>
        <v>0.88495575221238942</v>
      </c>
      <c r="I1736" cm="1">
        <f t="array" ref="I1736">INT(F1736)+IF(100-SUM(INT(F$1736:F$1750))&gt;=RANK(H1736,H$1736:H$1750)+COUNTIF(H$1736:H1736,H1736)-1,1,0)</f>
        <v>1</v>
      </c>
      <c r="J1736" t="b">
        <f t="shared" si="318"/>
        <v>0</v>
      </c>
      <c r="K1736" t="str">
        <f t="shared" si="319"/>
        <v/>
      </c>
      <c r="L1736">
        <f>_xlfn.XLOOKUP(D1736,BugList!C:C,BugList!N:N)</f>
        <v>4</v>
      </c>
      <c r="M1736">
        <f t="shared" si="320"/>
        <v>4</v>
      </c>
      <c r="N1736" t="b">
        <f>_xlfn.XLOOKUP(D1736,BugList!C:C,BugList!L:L)</f>
        <v>1</v>
      </c>
      <c r="O1736" t="b">
        <f t="shared" si="321"/>
        <v>0</v>
      </c>
      <c r="P1736" s="18" t="b">
        <f>SUMPRODUCT(COUNTIF(_xlfn.XLOOKUP(D1736,BugList!C:C,BugList!P:P), "*SC*"))&gt;0</f>
        <v>1</v>
      </c>
    </row>
    <row r="1737" spans="1:16">
      <c r="A1737" s="9" t="s">
        <v>2902</v>
      </c>
      <c r="B1737" s="83">
        <v>147</v>
      </c>
      <c r="C1737" s="34" t="s">
        <v>200</v>
      </c>
      <c r="D1737" s="34" t="s">
        <v>99</v>
      </c>
      <c r="E1737" s="83">
        <v>1</v>
      </c>
      <c r="F1737" s="43">
        <f t="shared" si="309"/>
        <v>0.88495575221238942</v>
      </c>
      <c r="G1737" s="44">
        <f t="shared" si="316"/>
        <v>0</v>
      </c>
      <c r="H1737" s="44">
        <f t="shared" si="317"/>
        <v>0.88495575221238942</v>
      </c>
      <c r="I1737" cm="1">
        <f t="array" ref="I1737">INT(F1737)+IF(100-SUM(INT(F$1736:F$1750))&gt;=RANK(H1737,H$1736:H$1750)+COUNTIF(H$1736:H1737,H1737)-1,1,0)</f>
        <v>1</v>
      </c>
      <c r="J1737" t="b">
        <f t="shared" si="318"/>
        <v>0</v>
      </c>
      <c r="K1737" t="str">
        <f t="shared" si="319"/>
        <v/>
      </c>
      <c r="L1737">
        <f>_xlfn.XLOOKUP(D1737,BugList!C:C,BugList!N:N)</f>
        <v>5</v>
      </c>
      <c r="M1737">
        <f t="shared" si="320"/>
        <v>5</v>
      </c>
      <c r="N1737" t="b">
        <f>_xlfn.XLOOKUP(D1737,BugList!C:C,BugList!L:L)</f>
        <v>1</v>
      </c>
      <c r="O1737" t="b">
        <f t="shared" si="321"/>
        <v>0</v>
      </c>
      <c r="P1737" s="18" t="b">
        <f>SUMPRODUCT(COUNTIF(_xlfn.XLOOKUP(D1737,BugList!C:C,BugList!P:P), "*SC*"))&gt;0</f>
        <v>0</v>
      </c>
    </row>
    <row r="1738" spans="1:16">
      <c r="A1738" s="9" t="s">
        <v>2902</v>
      </c>
      <c r="B1738" s="83">
        <v>147</v>
      </c>
      <c r="C1738" s="34" t="s">
        <v>200</v>
      </c>
      <c r="D1738" s="34" t="s">
        <v>100</v>
      </c>
      <c r="E1738" s="83">
        <v>2</v>
      </c>
      <c r="F1738" s="43">
        <f t="shared" si="309"/>
        <v>1.7699115044247788</v>
      </c>
      <c r="G1738" s="44">
        <f t="shared" si="316"/>
        <v>1</v>
      </c>
      <c r="H1738" s="44">
        <f t="shared" si="317"/>
        <v>0.76991150442477885</v>
      </c>
      <c r="I1738" cm="1">
        <f t="array" ref="I1738">INT(F1738)+IF(100-SUM(INT(F$1736:F$1750))&gt;=RANK(H1738,H$1736:H$1750)+COUNTIF(H$1736:H1738,H1738)-1,1,0)</f>
        <v>2</v>
      </c>
      <c r="J1738" t="b">
        <f t="shared" si="318"/>
        <v>0</v>
      </c>
      <c r="K1738" t="str">
        <f t="shared" si="319"/>
        <v/>
      </c>
      <c r="L1738">
        <f>_xlfn.XLOOKUP(D1738,BugList!C:C,BugList!N:N)</f>
        <v>4</v>
      </c>
      <c r="M1738">
        <f t="shared" si="320"/>
        <v>8</v>
      </c>
      <c r="N1738" t="b">
        <f>_xlfn.XLOOKUP(D1738,BugList!C:C,BugList!L:L)</f>
        <v>1</v>
      </c>
      <c r="O1738" t="b">
        <f t="shared" si="321"/>
        <v>0</v>
      </c>
      <c r="P1738" s="18" t="b">
        <f>SUMPRODUCT(COUNTIF(_xlfn.XLOOKUP(D1738,BugList!C:C,BugList!P:P), "*SC*"))&gt;0</f>
        <v>1</v>
      </c>
    </row>
    <row r="1739" spans="1:16">
      <c r="A1739" s="9" t="s">
        <v>2902</v>
      </c>
      <c r="B1739" s="83">
        <v>147</v>
      </c>
      <c r="C1739" s="34" t="s">
        <v>194</v>
      </c>
      <c r="D1739" s="34" t="s">
        <v>126</v>
      </c>
      <c r="E1739" s="83">
        <v>3</v>
      </c>
      <c r="F1739" s="43">
        <f t="shared" si="309"/>
        <v>2.6548672566371683</v>
      </c>
      <c r="G1739" s="44">
        <f t="shared" si="316"/>
        <v>2</v>
      </c>
      <c r="H1739" s="44">
        <f t="shared" si="317"/>
        <v>0.65486725663716827</v>
      </c>
      <c r="I1739" cm="1">
        <f t="array" ref="I1739">INT(F1739)+IF(100-SUM(INT(F$1736:F$1750))&gt;=RANK(H1739,H$1736:H$1750)+COUNTIF(H$1736:H1739,H1739)-1,1,0)</f>
        <v>3</v>
      </c>
      <c r="J1739" t="b">
        <f t="shared" si="318"/>
        <v>0</v>
      </c>
      <c r="K1739" t="str">
        <f t="shared" si="319"/>
        <v/>
      </c>
      <c r="L1739">
        <f>_xlfn.XLOOKUP(D1739,BugList!C:C,BugList!N:N)</f>
        <v>8</v>
      </c>
      <c r="M1739">
        <f t="shared" si="320"/>
        <v>24</v>
      </c>
      <c r="N1739" t="b">
        <f>_xlfn.XLOOKUP(D1739,BugList!C:C,BugList!L:L)</f>
        <v>1</v>
      </c>
      <c r="O1739" t="b">
        <f t="shared" si="321"/>
        <v>0</v>
      </c>
      <c r="P1739" s="18" t="b">
        <f>SUMPRODUCT(COUNTIF(_xlfn.XLOOKUP(D1739,BugList!C:C,BugList!P:P), "*SC*"))&gt;0</f>
        <v>0</v>
      </c>
    </row>
    <row r="1740" spans="1:16">
      <c r="A1740" s="9" t="s">
        <v>2902</v>
      </c>
      <c r="B1740" s="83">
        <v>147</v>
      </c>
      <c r="C1740" s="34" t="s">
        <v>199</v>
      </c>
      <c r="D1740" s="34" t="s">
        <v>96</v>
      </c>
      <c r="E1740" s="83">
        <v>4</v>
      </c>
      <c r="F1740" s="43">
        <f t="shared" si="309"/>
        <v>3.5398230088495577</v>
      </c>
      <c r="G1740" s="44">
        <f t="shared" si="316"/>
        <v>3</v>
      </c>
      <c r="H1740" s="44">
        <f t="shared" si="317"/>
        <v>0.5398230088495577</v>
      </c>
      <c r="I1740" cm="1">
        <f t="array" ref="I1740">INT(F1740)+IF(100-SUM(INT(F$1736:F$1750))&gt;=RANK(H1740,H$1736:H$1750)+COUNTIF(H$1736:H1740,H1740)-1,1,0)</f>
        <v>3</v>
      </c>
      <c r="J1740" t="b">
        <f t="shared" si="318"/>
        <v>1</v>
      </c>
      <c r="K1740" t="str">
        <f t="shared" si="319"/>
        <v>Ephemeroptera</v>
      </c>
      <c r="L1740">
        <f>_xlfn.XLOOKUP(D1740,BugList!C:C,BugList!N:N)</f>
        <v>4</v>
      </c>
      <c r="M1740">
        <f t="shared" si="320"/>
        <v>12</v>
      </c>
      <c r="N1740" t="b">
        <f>_xlfn.XLOOKUP(D1740,BugList!C:C,BugList!L:L)</f>
        <v>1</v>
      </c>
      <c r="O1740" t="b">
        <f t="shared" si="321"/>
        <v>1</v>
      </c>
      <c r="P1740" s="18" t="b">
        <f>SUMPRODUCT(COUNTIF(_xlfn.XLOOKUP(D1740,BugList!C:C,BugList!P:P), "*SC*"))&gt;0</f>
        <v>1</v>
      </c>
    </row>
    <row r="1741" spans="1:16">
      <c r="A1741" s="9" t="s">
        <v>2902</v>
      </c>
      <c r="B1741" s="83">
        <v>147</v>
      </c>
      <c r="C1741" s="34" t="s">
        <v>199</v>
      </c>
      <c r="D1741" s="34" t="s">
        <v>154</v>
      </c>
      <c r="E1741" s="83">
        <v>3</v>
      </c>
      <c r="F1741" s="43">
        <f t="shared" si="309"/>
        <v>2.6548672566371683</v>
      </c>
      <c r="G1741" s="44">
        <f t="shared" si="316"/>
        <v>2</v>
      </c>
      <c r="H1741" s="44">
        <f t="shared" si="317"/>
        <v>0.65486725663716827</v>
      </c>
      <c r="I1741" cm="1">
        <f t="array" ref="I1741">INT(F1741)+IF(100-SUM(INT(F$1736:F$1750))&gt;=RANK(H1741,H$1736:H$1750)+COUNTIF(H$1736:H1741,H1741)-1,1,0)</f>
        <v>3</v>
      </c>
      <c r="J1741" t="b">
        <f t="shared" si="318"/>
        <v>1</v>
      </c>
      <c r="K1741" t="str">
        <f t="shared" si="319"/>
        <v>Ephemeroptera</v>
      </c>
      <c r="L1741">
        <f>_xlfn.XLOOKUP(D1741,BugList!C:C,BugList!N:N)</f>
        <v>7</v>
      </c>
      <c r="M1741">
        <f t="shared" si="320"/>
        <v>21</v>
      </c>
      <c r="N1741" t="b">
        <f>_xlfn.XLOOKUP(D1741,BugList!C:C,BugList!L:L)</f>
        <v>1</v>
      </c>
      <c r="O1741" t="b">
        <f t="shared" si="321"/>
        <v>1</v>
      </c>
      <c r="P1741" s="18" t="b">
        <f>SUMPRODUCT(COUNTIF(_xlfn.XLOOKUP(D1741,BugList!C:C,BugList!P:P), "*SC*"))&gt;0</f>
        <v>0</v>
      </c>
    </row>
    <row r="1742" spans="1:16">
      <c r="A1742" s="9" t="s">
        <v>2902</v>
      </c>
      <c r="B1742" s="83">
        <v>147</v>
      </c>
      <c r="C1742" s="34" t="s">
        <v>199</v>
      </c>
      <c r="D1742" s="34" t="s">
        <v>111</v>
      </c>
      <c r="E1742" s="83">
        <v>4</v>
      </c>
      <c r="F1742" s="43">
        <f t="shared" si="309"/>
        <v>3.5398230088495577</v>
      </c>
      <c r="G1742" s="44">
        <f t="shared" si="316"/>
        <v>3</v>
      </c>
      <c r="H1742" s="44">
        <f t="shared" si="317"/>
        <v>0.5398230088495577</v>
      </c>
      <c r="I1742" cm="1">
        <f t="array" ref="I1742">INT(F1742)+IF(100-SUM(INT(F$1736:F$1750))&gt;=RANK(H1742,H$1736:H$1750)+COUNTIF(H$1736:H1742,H1742)-1,1,0)</f>
        <v>3</v>
      </c>
      <c r="J1742" t="b">
        <f t="shared" si="318"/>
        <v>1</v>
      </c>
      <c r="K1742" t="str">
        <f t="shared" si="319"/>
        <v>Ephemeroptera</v>
      </c>
      <c r="L1742">
        <f>_xlfn.XLOOKUP(D1742,BugList!C:C,BugList!N:N)</f>
        <v>4</v>
      </c>
      <c r="M1742">
        <f t="shared" si="320"/>
        <v>12</v>
      </c>
      <c r="N1742" t="b">
        <f>_xlfn.XLOOKUP(D1742,BugList!C:C,BugList!L:L)</f>
        <v>1</v>
      </c>
      <c r="O1742" t="b">
        <f t="shared" si="321"/>
        <v>1</v>
      </c>
      <c r="P1742" s="18" t="b">
        <f>SUMPRODUCT(COUNTIF(_xlfn.XLOOKUP(D1742,BugList!C:C,BugList!P:P), "*SC*"))&gt;0</f>
        <v>0</v>
      </c>
    </row>
    <row r="1743" spans="1:16">
      <c r="A1743" s="9" t="s">
        <v>2902</v>
      </c>
      <c r="B1743" s="83">
        <v>147</v>
      </c>
      <c r="C1743" s="34" t="s">
        <v>195</v>
      </c>
      <c r="D1743" s="34" t="s">
        <v>97</v>
      </c>
      <c r="E1743" s="83">
        <v>1</v>
      </c>
      <c r="F1743" s="43">
        <f t="shared" ref="F1743:F1806" si="322">(E1743/(SUMIFS(E:E,A:A,A1743))*100)</f>
        <v>0.88495575221238942</v>
      </c>
      <c r="G1743" s="44">
        <f t="shared" si="316"/>
        <v>0</v>
      </c>
      <c r="H1743" s="44">
        <f t="shared" si="317"/>
        <v>0.88495575221238942</v>
      </c>
      <c r="I1743" cm="1">
        <f t="array" ref="I1743">INT(F1743)+IF(100-SUM(INT(F$1736:F$1750))&gt;=RANK(H1743,H$1736:H$1750)+COUNTIF(H$1736:H1743,H1743)-1,1,0)</f>
        <v>1</v>
      </c>
      <c r="J1743" t="b">
        <f t="shared" si="318"/>
        <v>0</v>
      </c>
      <c r="K1743" t="str">
        <f t="shared" si="319"/>
        <v/>
      </c>
      <c r="L1743">
        <f>_xlfn.XLOOKUP(D1743,BugList!C:C,BugList!N:N)</f>
        <v>9</v>
      </c>
      <c r="M1743">
        <f t="shared" si="320"/>
        <v>9</v>
      </c>
      <c r="N1743" t="b">
        <f>_xlfn.XLOOKUP(D1743,BugList!C:C,BugList!L:L)</f>
        <v>1</v>
      </c>
      <c r="O1743" t="b">
        <f t="shared" si="321"/>
        <v>0</v>
      </c>
      <c r="P1743" s="18" t="b">
        <f>SUMPRODUCT(COUNTIF(_xlfn.XLOOKUP(D1743,BugList!C:C,BugList!P:P), "*SC*"))&gt;0</f>
        <v>0</v>
      </c>
    </row>
    <row r="1744" spans="1:16">
      <c r="A1744" s="9" t="s">
        <v>2902</v>
      </c>
      <c r="B1744" s="83">
        <v>147</v>
      </c>
      <c r="C1744" s="34" t="s">
        <v>195</v>
      </c>
      <c r="D1744" s="34" t="s">
        <v>113</v>
      </c>
      <c r="E1744" s="83">
        <v>1</v>
      </c>
      <c r="F1744" s="43">
        <f t="shared" si="322"/>
        <v>0.88495575221238942</v>
      </c>
      <c r="G1744" s="44">
        <f t="shared" si="316"/>
        <v>0</v>
      </c>
      <c r="H1744" s="44">
        <f t="shared" si="317"/>
        <v>0.88495575221238942</v>
      </c>
      <c r="I1744" cm="1">
        <f t="array" ref="I1744">INT(F1744)+IF(100-SUM(INT(F$1736:F$1750))&gt;=RANK(H1744,H$1736:H$1750)+COUNTIF(H$1736:H1744,H1744)-1,1,0)</f>
        <v>1</v>
      </c>
      <c r="J1744" t="b">
        <f t="shared" si="318"/>
        <v>0</v>
      </c>
      <c r="K1744" t="str">
        <f t="shared" si="319"/>
        <v/>
      </c>
      <c r="L1744">
        <f>_xlfn.XLOOKUP(D1744,BugList!C:C,BugList!N:N)</f>
        <v>1</v>
      </c>
      <c r="M1744">
        <f t="shared" si="320"/>
        <v>1</v>
      </c>
      <c r="N1744" t="b">
        <f>_xlfn.XLOOKUP(D1744,BugList!C:C,BugList!L:L)</f>
        <v>1</v>
      </c>
      <c r="O1744" t="b">
        <f t="shared" si="321"/>
        <v>0</v>
      </c>
      <c r="P1744" s="18" t="b">
        <f>SUMPRODUCT(COUNTIF(_xlfn.XLOOKUP(D1744,BugList!C:C,BugList!P:P), "*SC*"))&gt;0</f>
        <v>0</v>
      </c>
    </row>
    <row r="1745" spans="1:16">
      <c r="A1745" s="9" t="s">
        <v>2902</v>
      </c>
      <c r="B1745" s="83">
        <v>147</v>
      </c>
      <c r="C1745" s="34" t="s">
        <v>197</v>
      </c>
      <c r="D1745" s="34" t="s">
        <v>105</v>
      </c>
      <c r="E1745" s="83">
        <v>30</v>
      </c>
      <c r="F1745" s="43">
        <f t="shared" si="322"/>
        <v>26.548672566371685</v>
      </c>
      <c r="G1745" s="44">
        <f t="shared" si="316"/>
        <v>26</v>
      </c>
      <c r="H1745" s="44">
        <f t="shared" si="317"/>
        <v>0.54867256637168538</v>
      </c>
      <c r="I1745" cm="1">
        <f t="array" ref="I1745">INT(F1745)+IF(100-SUM(INT(F$1736:F$1750))&gt;=RANK(H1745,H$1736:H$1750)+COUNTIF(H$1736:H1745,H1745)-1,1,0)</f>
        <v>26</v>
      </c>
      <c r="J1745" t="b">
        <f t="shared" si="318"/>
        <v>1</v>
      </c>
      <c r="K1745" t="str">
        <f t="shared" si="319"/>
        <v>Plecoptera</v>
      </c>
      <c r="L1745">
        <f>_xlfn.XLOOKUP(D1745,BugList!C:C,BugList!N:N)</f>
        <v>1</v>
      </c>
      <c r="M1745">
        <f t="shared" si="320"/>
        <v>26</v>
      </c>
      <c r="N1745" t="b">
        <f>_xlfn.XLOOKUP(D1745,BugList!C:C,BugList!L:L)</f>
        <v>1</v>
      </c>
      <c r="O1745" t="b">
        <f t="shared" si="321"/>
        <v>1</v>
      </c>
      <c r="P1745" s="18" t="b">
        <f>SUMPRODUCT(COUNTIF(_xlfn.XLOOKUP(D1745,BugList!C:C,BugList!P:P), "*SC*"))&gt;0</f>
        <v>0</v>
      </c>
    </row>
    <row r="1746" spans="1:16">
      <c r="A1746" s="9" t="s">
        <v>2902</v>
      </c>
      <c r="B1746" s="83">
        <v>147</v>
      </c>
      <c r="C1746" s="34" t="s">
        <v>198</v>
      </c>
      <c r="D1746" s="34" t="s">
        <v>163</v>
      </c>
      <c r="E1746" s="83">
        <v>1</v>
      </c>
      <c r="F1746" s="43">
        <f t="shared" si="322"/>
        <v>0.88495575221238942</v>
      </c>
      <c r="G1746" s="44">
        <f t="shared" si="316"/>
        <v>0</v>
      </c>
      <c r="H1746" s="44">
        <f t="shared" si="317"/>
        <v>0.88495575221238942</v>
      </c>
      <c r="I1746" cm="1">
        <f t="array" ref="I1746">INT(F1746)+IF(100-SUM(INT(F$1736:F$1750))&gt;=RANK(H1746,H$1736:H$1750)+COUNTIF(H$1736:H1746,H1746)-1,1,0)</f>
        <v>1</v>
      </c>
      <c r="J1746" t="b">
        <f t="shared" si="318"/>
        <v>1</v>
      </c>
      <c r="K1746" t="str">
        <f t="shared" si="319"/>
        <v>Trichoptera</v>
      </c>
      <c r="L1746">
        <f>_xlfn.XLOOKUP(D1746,BugList!C:C,BugList!N:N)</f>
        <v>6</v>
      </c>
      <c r="M1746">
        <f t="shared" si="320"/>
        <v>6</v>
      </c>
      <c r="N1746" t="b">
        <f>_xlfn.XLOOKUP(D1746,BugList!C:C,BugList!L:L)</f>
        <v>1</v>
      </c>
      <c r="O1746" t="b">
        <f t="shared" si="321"/>
        <v>1</v>
      </c>
      <c r="P1746" s="18" t="b">
        <f>SUMPRODUCT(COUNTIF(_xlfn.XLOOKUP(D1746,BugList!C:C,BugList!P:P), "*SC*"))&gt;0</f>
        <v>0</v>
      </c>
    </row>
    <row r="1747" spans="1:16">
      <c r="A1747" s="9" t="s">
        <v>2902</v>
      </c>
      <c r="B1747" s="83">
        <v>147</v>
      </c>
      <c r="C1747" s="34" t="s">
        <v>204</v>
      </c>
      <c r="D1747" s="34" t="s">
        <v>84</v>
      </c>
      <c r="E1747" s="83">
        <v>55</v>
      </c>
      <c r="F1747" s="43">
        <f t="shared" si="322"/>
        <v>48.672566371681413</v>
      </c>
      <c r="G1747" s="44">
        <f t="shared" si="316"/>
        <v>48</v>
      </c>
      <c r="H1747" s="44">
        <f t="shared" si="317"/>
        <v>0.67256637168141253</v>
      </c>
      <c r="I1747" cm="1">
        <f t="array" ref="I1747">INT(F1747)+IF(100-SUM(INT(F$1736:F$1750))&gt;=RANK(H1747,H$1736:H$1750)+COUNTIF(H$1736:H1747,H1747)-1,1,0)</f>
        <v>49</v>
      </c>
      <c r="J1747" t="b">
        <f t="shared" si="318"/>
        <v>0</v>
      </c>
      <c r="K1747" t="str">
        <f t="shared" si="319"/>
        <v/>
      </c>
      <c r="L1747">
        <f>_xlfn.XLOOKUP(D1747,BugList!C:C,BugList!N:N)</f>
        <v>8</v>
      </c>
      <c r="M1747">
        <f t="shared" si="320"/>
        <v>392</v>
      </c>
      <c r="N1747" t="b">
        <f>_xlfn.XLOOKUP(D1747,BugList!C:C,BugList!L:L)</f>
        <v>0</v>
      </c>
      <c r="O1747" t="b">
        <f t="shared" si="321"/>
        <v>0</v>
      </c>
      <c r="P1747" s="18" t="b">
        <f>SUMPRODUCT(COUNTIF(_xlfn.XLOOKUP(D1747,BugList!C:C,BugList!P:P), "*SC*"))&gt;0</f>
        <v>0</v>
      </c>
    </row>
    <row r="1748" spans="1:16">
      <c r="A1748" s="9" t="s">
        <v>2902</v>
      </c>
      <c r="B1748" s="83">
        <v>147</v>
      </c>
      <c r="C1748" s="34" t="s">
        <v>210</v>
      </c>
      <c r="D1748" s="34" t="s">
        <v>210</v>
      </c>
      <c r="E1748" s="83">
        <v>1</v>
      </c>
      <c r="F1748" s="43">
        <f t="shared" si="322"/>
        <v>0.88495575221238942</v>
      </c>
      <c r="G1748" s="44">
        <f t="shared" si="316"/>
        <v>0</v>
      </c>
      <c r="H1748" s="44">
        <f t="shared" si="317"/>
        <v>0.88495575221238942</v>
      </c>
      <c r="I1748" cm="1">
        <f t="array" ref="I1748">INT(F1748)+IF(100-SUM(INT(F$1736:F$1750))&gt;=RANK(H1748,H$1736:H$1750)+COUNTIF(H$1736:H1748,H1748)-1,1,0)</f>
        <v>1</v>
      </c>
      <c r="J1748" t="b">
        <f t="shared" si="318"/>
        <v>0</v>
      </c>
      <c r="K1748" t="str">
        <f t="shared" si="319"/>
        <v/>
      </c>
      <c r="L1748" s="71">
        <v>8</v>
      </c>
      <c r="M1748">
        <f t="shared" si="320"/>
        <v>8</v>
      </c>
      <c r="N1748" s="71" t="b">
        <v>0</v>
      </c>
      <c r="O1748" t="b">
        <f t="shared" si="321"/>
        <v>0</v>
      </c>
      <c r="P1748" s="72" t="b">
        <v>0</v>
      </c>
    </row>
    <row r="1749" spans="1:16">
      <c r="A1749" s="9" t="s">
        <v>2902</v>
      </c>
      <c r="B1749" s="83">
        <v>147</v>
      </c>
      <c r="C1749" s="34" t="s">
        <v>94</v>
      </c>
      <c r="D1749" s="34" t="s">
        <v>94</v>
      </c>
      <c r="E1749" s="83">
        <v>5</v>
      </c>
      <c r="F1749" s="43">
        <f t="shared" si="322"/>
        <v>4.4247787610619467</v>
      </c>
      <c r="G1749" s="44">
        <f t="shared" si="316"/>
        <v>4</v>
      </c>
      <c r="H1749" s="44">
        <f t="shared" si="317"/>
        <v>0.42477876106194667</v>
      </c>
      <c r="I1749" cm="1">
        <f t="array" ref="I1749">INT(F1749)+IF(100-SUM(INT(F$1736:F$1750))&gt;=RANK(H1749,H$1736:H$1750)+COUNTIF(H$1736:H1749,H1749)-1,1,0)</f>
        <v>4</v>
      </c>
      <c r="J1749" t="b">
        <f t="shared" si="318"/>
        <v>0</v>
      </c>
      <c r="K1749" t="str">
        <f t="shared" si="319"/>
        <v/>
      </c>
      <c r="L1749">
        <f>_xlfn.XLOOKUP(D1749,BugList!C:C,BugList!N:N)</f>
        <v>8</v>
      </c>
      <c r="M1749">
        <f t="shared" si="320"/>
        <v>32</v>
      </c>
      <c r="N1749" t="b">
        <f>_xlfn.XLOOKUP(D1749,BugList!C:C,BugList!L:L)</f>
        <v>0</v>
      </c>
      <c r="O1749" t="b">
        <f t="shared" si="321"/>
        <v>0</v>
      </c>
      <c r="P1749" s="18" t="b">
        <f>SUMPRODUCT(COUNTIF(_xlfn.XLOOKUP(D1749,BugList!C:C,BugList!P:P), "*SC*"))&gt;0</f>
        <v>0</v>
      </c>
    </row>
    <row r="1750" spans="1:16">
      <c r="A1750" s="9" t="s">
        <v>2902</v>
      </c>
      <c r="B1750" s="83">
        <v>147</v>
      </c>
      <c r="C1750" s="34" t="s">
        <v>119</v>
      </c>
      <c r="D1750" s="34" t="s">
        <v>87</v>
      </c>
      <c r="E1750" s="83">
        <v>1</v>
      </c>
      <c r="F1750" s="43">
        <f t="shared" si="322"/>
        <v>0.88495575221238942</v>
      </c>
      <c r="G1750" s="44">
        <f t="shared" si="316"/>
        <v>0</v>
      </c>
      <c r="H1750" s="44">
        <f t="shared" si="317"/>
        <v>0.88495575221238942</v>
      </c>
      <c r="I1750" cm="1">
        <f t="array" ref="I1750">INT(F1750)+IF(100-SUM(INT(F$1736:F$1750))&gt;=RANK(H1750,H$1736:H$1750)+COUNTIF(H$1736:H1750,H1750)-1,1,0)</f>
        <v>1</v>
      </c>
      <c r="J1750" t="b">
        <f t="shared" si="318"/>
        <v>0</v>
      </c>
      <c r="K1750" t="str">
        <f t="shared" si="319"/>
        <v/>
      </c>
      <c r="L1750">
        <f>_xlfn.XLOOKUP(D1750,BugList!C:C,BugList!N:N)</f>
        <v>4</v>
      </c>
      <c r="M1750">
        <f t="shared" si="320"/>
        <v>4</v>
      </c>
      <c r="N1750" t="b">
        <f>_xlfn.XLOOKUP(D1750,BugList!C:C,BugList!L:L)</f>
        <v>0</v>
      </c>
      <c r="O1750" t="b">
        <f t="shared" si="321"/>
        <v>0</v>
      </c>
      <c r="P1750" s="18" t="b">
        <f>SUMPRODUCT(COUNTIF(_xlfn.XLOOKUP(D1750,BugList!C:C,BugList!P:P), "*SC*"))&gt;0</f>
        <v>0</v>
      </c>
    </row>
    <row r="1751" spans="1:16">
      <c r="A1751" s="9" t="s">
        <v>2903</v>
      </c>
      <c r="B1751" s="83">
        <v>157</v>
      </c>
      <c r="C1751" s="34" t="s">
        <v>200</v>
      </c>
      <c r="D1751" s="34" t="s">
        <v>98</v>
      </c>
      <c r="E1751" s="83">
        <v>30</v>
      </c>
      <c r="F1751" s="43">
        <f t="shared" si="322"/>
        <v>25.210084033613445</v>
      </c>
      <c r="G1751" s="44">
        <f t="shared" si="316"/>
        <v>25</v>
      </c>
      <c r="H1751" s="44">
        <f t="shared" si="317"/>
        <v>0.21008403361344463</v>
      </c>
      <c r="I1751" cm="1">
        <f t="array" ref="I1751">INT(F1751)+IF(100-SUM(INT(F$1751:F$1758))&gt;=RANK(H1751,H$1751:H$1758)+COUNTIF(H$1751:H1751,H1751)-1,1,0)</f>
        <v>25</v>
      </c>
      <c r="J1751" t="b">
        <f t="shared" si="318"/>
        <v>0</v>
      </c>
      <c r="K1751" t="str">
        <f t="shared" si="319"/>
        <v/>
      </c>
      <c r="L1751">
        <f>_xlfn.XLOOKUP(D1751,BugList!C:C,BugList!N:N)</f>
        <v>4</v>
      </c>
      <c r="M1751">
        <f t="shared" si="320"/>
        <v>100</v>
      </c>
      <c r="N1751" t="b">
        <f>_xlfn.XLOOKUP(D1751,BugList!C:C,BugList!L:L)</f>
        <v>1</v>
      </c>
      <c r="O1751" t="b">
        <f t="shared" si="321"/>
        <v>0</v>
      </c>
      <c r="P1751" s="18" t="b">
        <f>SUMPRODUCT(COUNTIF(_xlfn.XLOOKUP(D1751,BugList!C:C,BugList!P:P), "*SC*"))&gt;0</f>
        <v>1</v>
      </c>
    </row>
    <row r="1752" spans="1:16">
      <c r="A1752" s="9" t="s">
        <v>2903</v>
      </c>
      <c r="B1752" s="83">
        <v>157</v>
      </c>
      <c r="C1752" s="34" t="s">
        <v>200</v>
      </c>
      <c r="D1752" s="34" t="s">
        <v>100</v>
      </c>
      <c r="E1752" s="83">
        <v>25</v>
      </c>
      <c r="F1752" s="43">
        <f t="shared" si="322"/>
        <v>21.008403361344538</v>
      </c>
      <c r="G1752" s="44">
        <f t="shared" si="316"/>
        <v>21</v>
      </c>
      <c r="H1752" s="44">
        <f t="shared" si="317"/>
        <v>8.4033613445377853E-3</v>
      </c>
      <c r="I1752" cm="1">
        <f t="array" ref="I1752">INT(F1752)+IF(100-SUM(INT(F$1751:F$1758))&gt;=RANK(H1752,H$1751:H$1758)+COUNTIF(H$1751:H1752,H1752)-1,1,0)</f>
        <v>21</v>
      </c>
      <c r="J1752" t="b">
        <f t="shared" si="318"/>
        <v>0</v>
      </c>
      <c r="K1752" t="str">
        <f t="shared" si="319"/>
        <v/>
      </c>
      <c r="L1752">
        <f>_xlfn.XLOOKUP(D1752,BugList!C:C,BugList!N:N)</f>
        <v>4</v>
      </c>
      <c r="M1752">
        <f t="shared" si="320"/>
        <v>84</v>
      </c>
      <c r="N1752" t="b">
        <f>_xlfn.XLOOKUP(D1752,BugList!C:C,BugList!L:L)</f>
        <v>1</v>
      </c>
      <c r="O1752" t="b">
        <f t="shared" si="321"/>
        <v>0</v>
      </c>
      <c r="P1752" s="18" t="b">
        <f>SUMPRODUCT(COUNTIF(_xlfn.XLOOKUP(D1752,BugList!C:C,BugList!P:P), "*SC*"))&gt;0</f>
        <v>1</v>
      </c>
    </row>
    <row r="1753" spans="1:16">
      <c r="A1753" s="9" t="s">
        <v>2903</v>
      </c>
      <c r="B1753" s="83">
        <v>157</v>
      </c>
      <c r="C1753" s="34" t="s">
        <v>194</v>
      </c>
      <c r="D1753" s="34" t="s">
        <v>101</v>
      </c>
      <c r="E1753" s="83">
        <v>2</v>
      </c>
      <c r="F1753" s="43">
        <f t="shared" si="322"/>
        <v>1.680672268907563</v>
      </c>
      <c r="G1753" s="44">
        <f t="shared" si="316"/>
        <v>1</v>
      </c>
      <c r="H1753" s="44">
        <f t="shared" si="317"/>
        <v>0.68067226890756305</v>
      </c>
      <c r="I1753" cm="1">
        <f t="array" ref="I1753">INT(F1753)+IF(100-SUM(INT(F$1751:F$1758))&gt;=RANK(H1753,H$1751:H$1758)+COUNTIF(H$1751:H1753,H1753)-1,1,0)</f>
        <v>2</v>
      </c>
      <c r="J1753" t="b">
        <f t="shared" si="318"/>
        <v>0</v>
      </c>
      <c r="K1753" t="str">
        <f t="shared" si="319"/>
        <v/>
      </c>
      <c r="L1753">
        <f>_xlfn.XLOOKUP(D1753,BugList!C:C,BugList!N:N)</f>
        <v>6</v>
      </c>
      <c r="M1753">
        <f t="shared" si="320"/>
        <v>12</v>
      </c>
      <c r="N1753" t="b">
        <f>_xlfn.XLOOKUP(D1753,BugList!C:C,BugList!L:L)</f>
        <v>1</v>
      </c>
      <c r="O1753" t="b">
        <f t="shared" si="321"/>
        <v>0</v>
      </c>
      <c r="P1753" s="18" t="b">
        <f>SUMPRODUCT(COUNTIF(_xlfn.XLOOKUP(D1753,BugList!C:C,BugList!P:P), "*SC*"))&gt;0</f>
        <v>0</v>
      </c>
    </row>
    <row r="1754" spans="1:16">
      <c r="A1754" s="9" t="s">
        <v>2903</v>
      </c>
      <c r="B1754" s="83">
        <v>157</v>
      </c>
      <c r="C1754" s="34" t="s">
        <v>195</v>
      </c>
      <c r="D1754" s="34" t="s">
        <v>97</v>
      </c>
      <c r="E1754" s="83">
        <v>3</v>
      </c>
      <c r="F1754" s="43">
        <f t="shared" si="322"/>
        <v>2.5210084033613445</v>
      </c>
      <c r="G1754" s="44">
        <f t="shared" si="316"/>
        <v>2</v>
      </c>
      <c r="H1754" s="44">
        <f t="shared" si="317"/>
        <v>0.52100840336134446</v>
      </c>
      <c r="I1754" cm="1">
        <f t="array" ref="I1754">INT(F1754)+IF(100-SUM(INT(F$1751:F$1758))&gt;=RANK(H1754,H$1751:H$1758)+COUNTIF(H$1751:H1754,H1754)-1,1,0)</f>
        <v>2</v>
      </c>
      <c r="J1754" t="b">
        <f t="shared" si="318"/>
        <v>0</v>
      </c>
      <c r="K1754" t="str">
        <f t="shared" si="319"/>
        <v/>
      </c>
      <c r="L1754">
        <f>_xlfn.XLOOKUP(D1754,BugList!C:C,BugList!N:N)</f>
        <v>9</v>
      </c>
      <c r="M1754">
        <f t="shared" si="320"/>
        <v>18</v>
      </c>
      <c r="N1754" t="b">
        <f>_xlfn.XLOOKUP(D1754,BugList!C:C,BugList!L:L)</f>
        <v>1</v>
      </c>
      <c r="O1754" t="b">
        <f t="shared" si="321"/>
        <v>0</v>
      </c>
      <c r="P1754" s="18" t="b">
        <f>SUMPRODUCT(COUNTIF(_xlfn.XLOOKUP(D1754,BugList!C:C,BugList!P:P), "*SC*"))&gt;0</f>
        <v>0</v>
      </c>
    </row>
    <row r="1755" spans="1:16">
      <c r="A1755" s="9" t="s">
        <v>2903</v>
      </c>
      <c r="B1755" s="83">
        <v>157</v>
      </c>
      <c r="C1755" s="34" t="s">
        <v>198</v>
      </c>
      <c r="D1755" s="34" t="s">
        <v>89</v>
      </c>
      <c r="E1755" s="83">
        <v>12</v>
      </c>
      <c r="F1755" s="43">
        <f t="shared" si="322"/>
        <v>10.084033613445378</v>
      </c>
      <c r="G1755" s="44">
        <f t="shared" si="316"/>
        <v>10</v>
      </c>
      <c r="H1755" s="44">
        <f t="shared" si="317"/>
        <v>8.4033613445377853E-2</v>
      </c>
      <c r="I1755" cm="1">
        <f t="array" ref="I1755">INT(F1755)+IF(100-SUM(INT(F$1751:F$1758))&gt;=RANK(H1755,H$1751:H$1758)+COUNTIF(H$1751:H1755,H1755)-1,1,0)</f>
        <v>10</v>
      </c>
      <c r="J1755" t="b">
        <f t="shared" si="318"/>
        <v>1</v>
      </c>
      <c r="K1755" t="str">
        <f t="shared" si="319"/>
        <v>Trichoptera</v>
      </c>
      <c r="L1755">
        <f>_xlfn.XLOOKUP(D1755,BugList!C:C,BugList!N:N)</f>
        <v>4</v>
      </c>
      <c r="M1755">
        <f t="shared" si="320"/>
        <v>40</v>
      </c>
      <c r="N1755" t="b">
        <f>_xlfn.XLOOKUP(D1755,BugList!C:C,BugList!L:L)</f>
        <v>1</v>
      </c>
      <c r="O1755" t="b">
        <f t="shared" si="321"/>
        <v>0</v>
      </c>
      <c r="P1755" s="18" t="b">
        <f>SUMPRODUCT(COUNTIF(_xlfn.XLOOKUP(D1755,BugList!C:C,BugList!P:P), "*SC*"))&gt;0</f>
        <v>0</v>
      </c>
    </row>
    <row r="1756" spans="1:16">
      <c r="A1756" s="9" t="s">
        <v>2903</v>
      </c>
      <c r="B1756" s="83">
        <v>157</v>
      </c>
      <c r="C1756" s="34" t="s">
        <v>198</v>
      </c>
      <c r="D1756" s="34" t="s">
        <v>163</v>
      </c>
      <c r="E1756" s="83">
        <v>32</v>
      </c>
      <c r="F1756" s="43">
        <f t="shared" si="322"/>
        <v>26.890756302521009</v>
      </c>
      <c r="G1756" s="44">
        <f t="shared" si="316"/>
        <v>26</v>
      </c>
      <c r="H1756" s="44">
        <f t="shared" si="317"/>
        <v>0.89075630252100879</v>
      </c>
      <c r="I1756" cm="1">
        <f t="array" ref="I1756">INT(F1756)+IF(100-SUM(INT(F$1751:F$1758))&gt;=RANK(H1756,H$1751:H$1758)+COUNTIF(H$1751:H1756,H1756)-1,1,0)</f>
        <v>27</v>
      </c>
      <c r="J1756" t="b">
        <f t="shared" si="318"/>
        <v>1</v>
      </c>
      <c r="K1756" t="str">
        <f t="shared" si="319"/>
        <v>Trichoptera</v>
      </c>
      <c r="L1756">
        <f>_xlfn.XLOOKUP(D1756,BugList!C:C,BugList!N:N)</f>
        <v>6</v>
      </c>
      <c r="M1756">
        <f t="shared" si="320"/>
        <v>162</v>
      </c>
      <c r="N1756" t="b">
        <f>_xlfn.XLOOKUP(D1756,BugList!C:C,BugList!L:L)</f>
        <v>1</v>
      </c>
      <c r="O1756" t="b">
        <f t="shared" si="321"/>
        <v>1</v>
      </c>
      <c r="P1756" s="18" t="b">
        <f>SUMPRODUCT(COUNTIF(_xlfn.XLOOKUP(D1756,BugList!C:C,BugList!P:P), "*SC*"))&gt;0</f>
        <v>0</v>
      </c>
    </row>
    <row r="1757" spans="1:16">
      <c r="A1757" s="9" t="s">
        <v>2903</v>
      </c>
      <c r="B1757" s="83">
        <v>157</v>
      </c>
      <c r="C1757" s="34" t="s">
        <v>201</v>
      </c>
      <c r="D1757" s="34" t="s">
        <v>85</v>
      </c>
      <c r="E1757" s="83">
        <v>9</v>
      </c>
      <c r="F1757" s="43">
        <f t="shared" si="322"/>
        <v>7.5630252100840334</v>
      </c>
      <c r="G1757" s="44">
        <f t="shared" si="316"/>
        <v>7</v>
      </c>
      <c r="H1757" s="44">
        <f t="shared" si="317"/>
        <v>0.56302521008403339</v>
      </c>
      <c r="I1757" cm="1">
        <f t="array" ref="I1757">INT(F1757)+IF(100-SUM(INT(F$1751:F$1758))&gt;=RANK(H1757,H$1751:H$1758)+COUNTIF(H$1751:H1757,H1757)-1,1,0)</f>
        <v>8</v>
      </c>
      <c r="J1757" t="b">
        <f t="shared" si="318"/>
        <v>0</v>
      </c>
      <c r="K1757" t="str">
        <f t="shared" si="319"/>
        <v/>
      </c>
      <c r="L1757">
        <f>_xlfn.XLOOKUP(D1757,BugList!C:C,BugList!N:N)</f>
        <v>4</v>
      </c>
      <c r="M1757">
        <f t="shared" si="320"/>
        <v>32</v>
      </c>
      <c r="N1757" t="b">
        <f>_xlfn.XLOOKUP(D1757,BugList!C:C,BugList!L:L)</f>
        <v>0</v>
      </c>
      <c r="O1757" t="b">
        <f t="shared" si="321"/>
        <v>0</v>
      </c>
      <c r="P1757" s="18" t="b">
        <f>SUMPRODUCT(COUNTIF(_xlfn.XLOOKUP(D1757,BugList!C:C,BugList!P:P), "*SC*"))&gt;0</f>
        <v>0</v>
      </c>
    </row>
    <row r="1758" spans="1:16">
      <c r="A1758" s="9" t="s">
        <v>2903</v>
      </c>
      <c r="B1758" s="83">
        <v>157</v>
      </c>
      <c r="C1758" s="34" t="s">
        <v>205</v>
      </c>
      <c r="D1758" s="34" t="s">
        <v>206</v>
      </c>
      <c r="E1758" s="83">
        <v>6</v>
      </c>
      <c r="F1758" s="43">
        <f t="shared" si="322"/>
        <v>5.0420168067226889</v>
      </c>
      <c r="G1758" s="44">
        <f t="shared" si="316"/>
        <v>5</v>
      </c>
      <c r="H1758" s="44">
        <f t="shared" si="317"/>
        <v>4.2016806722688926E-2</v>
      </c>
      <c r="I1758" cm="1">
        <f t="array" ref="I1758">INT(F1758)+IF(100-SUM(INT(F$1751:F$1758))&gt;=RANK(H1758,H$1751:H$1758)+COUNTIF(H$1751:H1758,H1758)-1,1,0)</f>
        <v>5</v>
      </c>
      <c r="J1758" t="b">
        <f t="shared" si="318"/>
        <v>0</v>
      </c>
      <c r="K1758" t="str">
        <f t="shared" si="319"/>
        <v/>
      </c>
      <c r="L1758" s="71">
        <v>8</v>
      </c>
      <c r="M1758">
        <f t="shared" ref="M1758" si="323">L1758*I1758</f>
        <v>40</v>
      </c>
      <c r="N1758" s="71" t="b">
        <v>0</v>
      </c>
      <c r="O1758" t="b">
        <f t="shared" ref="O1758" si="324">IF(J1758=TRUE,IF(D1758="Hydropsychidae", FALSE, TRUE), FALSE)</f>
        <v>0</v>
      </c>
      <c r="P1758" s="72" t="b">
        <v>0</v>
      </c>
    </row>
    <row r="1759" spans="1:16">
      <c r="A1759" s="9" t="s">
        <v>2904</v>
      </c>
      <c r="B1759" s="83">
        <v>164</v>
      </c>
      <c r="C1759" s="34" t="s">
        <v>200</v>
      </c>
      <c r="D1759" s="34" t="s">
        <v>98</v>
      </c>
      <c r="E1759" s="83">
        <v>12</v>
      </c>
      <c r="F1759" s="43">
        <f t="shared" si="322"/>
        <v>9.9173553719008272</v>
      </c>
      <c r="G1759" s="44">
        <f t="shared" si="316"/>
        <v>9</v>
      </c>
      <c r="H1759" s="44">
        <f t="shared" si="317"/>
        <v>0.91735537190082717</v>
      </c>
      <c r="I1759" cm="1">
        <f t="array" ref="I1759">INT(F1759)+IF(100-SUM(INT(F$1759:F$1769))&gt;=RANK(H1759,H$1759:H$1769)+COUNTIF(H$1759:H1759,H1759)-1,1,0)</f>
        <v>10</v>
      </c>
      <c r="J1759" t="b">
        <f t="shared" si="318"/>
        <v>0</v>
      </c>
      <c r="K1759" t="str">
        <f t="shared" si="319"/>
        <v/>
      </c>
      <c r="L1759">
        <f>_xlfn.XLOOKUP(D1759,BugList!C:C,BugList!N:N)</f>
        <v>4</v>
      </c>
      <c r="M1759">
        <f t="shared" si="320"/>
        <v>40</v>
      </c>
      <c r="N1759" t="b">
        <f>_xlfn.XLOOKUP(D1759,BugList!C:C,BugList!L:L)</f>
        <v>1</v>
      </c>
      <c r="O1759" t="b">
        <f t="shared" si="321"/>
        <v>0</v>
      </c>
      <c r="P1759" s="18" t="b">
        <f>SUMPRODUCT(COUNTIF(_xlfn.XLOOKUP(D1759,BugList!C:C,BugList!P:P), "*SC*"))&gt;0</f>
        <v>1</v>
      </c>
    </row>
    <row r="1760" spans="1:16">
      <c r="A1760" s="9" t="s">
        <v>2904</v>
      </c>
      <c r="B1760" s="83">
        <v>164</v>
      </c>
      <c r="C1760" s="34" t="s">
        <v>200</v>
      </c>
      <c r="D1760" s="34" t="s">
        <v>100</v>
      </c>
      <c r="E1760" s="83">
        <v>28</v>
      </c>
      <c r="F1760" s="43">
        <f t="shared" si="322"/>
        <v>23.140495867768596</v>
      </c>
      <c r="G1760" s="44">
        <f t="shared" si="316"/>
        <v>23</v>
      </c>
      <c r="H1760" s="44">
        <f t="shared" si="317"/>
        <v>0.14049586776859613</v>
      </c>
      <c r="I1760" cm="1">
        <f t="array" ref="I1760">INT(F1760)+IF(100-SUM(INT(F$1759:F$1769))&gt;=RANK(H1760,H$1759:H$1769)+COUNTIF(H$1759:H1760,H1760)-1,1,0)</f>
        <v>23</v>
      </c>
      <c r="J1760" t="b">
        <f t="shared" si="318"/>
        <v>0</v>
      </c>
      <c r="K1760" t="str">
        <f t="shared" si="319"/>
        <v/>
      </c>
      <c r="L1760">
        <f>_xlfn.XLOOKUP(D1760,BugList!C:C,BugList!N:N)</f>
        <v>4</v>
      </c>
      <c r="M1760">
        <f t="shared" si="320"/>
        <v>92</v>
      </c>
      <c r="N1760" t="b">
        <f>_xlfn.XLOOKUP(D1760,BugList!C:C,BugList!L:L)</f>
        <v>1</v>
      </c>
      <c r="O1760" t="b">
        <f t="shared" si="321"/>
        <v>0</v>
      </c>
      <c r="P1760" s="18" t="b">
        <f>SUMPRODUCT(COUNTIF(_xlfn.XLOOKUP(D1760,BugList!C:C,BugList!P:P), "*SC*"))&gt;0</f>
        <v>1</v>
      </c>
    </row>
    <row r="1761" spans="1:16">
      <c r="A1761" s="9" t="s">
        <v>2904</v>
      </c>
      <c r="B1761" s="83">
        <v>164</v>
      </c>
      <c r="C1761" s="34" t="s">
        <v>194</v>
      </c>
      <c r="D1761" s="34" t="s">
        <v>108</v>
      </c>
      <c r="E1761" s="83">
        <v>1</v>
      </c>
      <c r="F1761" s="43">
        <f t="shared" si="322"/>
        <v>0.82644628099173556</v>
      </c>
      <c r="G1761" s="44">
        <f t="shared" si="316"/>
        <v>0</v>
      </c>
      <c r="H1761" s="44">
        <f t="shared" si="317"/>
        <v>0.82644628099173556</v>
      </c>
      <c r="I1761" cm="1">
        <f t="array" ref="I1761">INT(F1761)+IF(100-SUM(INT(F$1759:F$1769))&gt;=RANK(H1761,H$1759:H$1769)+COUNTIF(H$1759:H1761,H1761)-1,1,0)</f>
        <v>1</v>
      </c>
      <c r="J1761" t="b">
        <f t="shared" si="318"/>
        <v>0</v>
      </c>
      <c r="K1761" t="str">
        <f t="shared" si="319"/>
        <v/>
      </c>
      <c r="L1761">
        <f>_xlfn.XLOOKUP(D1761,BugList!C:C,BugList!N:N)</f>
        <v>3</v>
      </c>
      <c r="M1761">
        <f t="shared" si="320"/>
        <v>3</v>
      </c>
      <c r="N1761" t="b">
        <f>_xlfn.XLOOKUP(D1761,BugList!C:C,BugList!L:L)</f>
        <v>1</v>
      </c>
      <c r="O1761" t="b">
        <f t="shared" si="321"/>
        <v>0</v>
      </c>
      <c r="P1761" s="18" t="b">
        <f>SUMPRODUCT(COUNTIF(_xlfn.XLOOKUP(D1761,BugList!C:C,BugList!P:P), "*SC*"))&gt;0</f>
        <v>0</v>
      </c>
    </row>
    <row r="1762" spans="1:16">
      <c r="A1762" s="9" t="s">
        <v>2904</v>
      </c>
      <c r="B1762" s="83">
        <v>164</v>
      </c>
      <c r="C1762" s="34" t="s">
        <v>199</v>
      </c>
      <c r="D1762" s="34" t="s">
        <v>96</v>
      </c>
      <c r="E1762" s="83">
        <v>1</v>
      </c>
      <c r="F1762" s="43">
        <f t="shared" si="322"/>
        <v>0.82644628099173556</v>
      </c>
      <c r="G1762" s="44">
        <f t="shared" si="316"/>
        <v>0</v>
      </c>
      <c r="H1762" s="44">
        <f t="shared" si="317"/>
        <v>0.82644628099173556</v>
      </c>
      <c r="I1762" cm="1">
        <f t="array" ref="I1762">INT(F1762)+IF(100-SUM(INT(F$1759:F$1769))&gt;=RANK(H1762,H$1759:H$1769)+COUNTIF(H$1759:H1762,H1762)-1,1,0)</f>
        <v>1</v>
      </c>
      <c r="J1762" t="b">
        <f t="shared" si="318"/>
        <v>1</v>
      </c>
      <c r="K1762" t="str">
        <f t="shared" si="319"/>
        <v>Ephemeroptera</v>
      </c>
      <c r="L1762">
        <f>_xlfn.XLOOKUP(D1762,BugList!C:C,BugList!N:N)</f>
        <v>4</v>
      </c>
      <c r="M1762">
        <f t="shared" si="320"/>
        <v>4</v>
      </c>
      <c r="N1762" t="b">
        <f>_xlfn.XLOOKUP(D1762,BugList!C:C,BugList!L:L)</f>
        <v>1</v>
      </c>
      <c r="O1762" t="b">
        <f t="shared" si="321"/>
        <v>1</v>
      </c>
      <c r="P1762" s="18" t="b">
        <f>SUMPRODUCT(COUNTIF(_xlfn.XLOOKUP(D1762,BugList!C:C,BugList!P:P), "*SC*"))&gt;0</f>
        <v>1</v>
      </c>
    </row>
    <row r="1763" spans="1:16">
      <c r="A1763" s="9" t="s">
        <v>2904</v>
      </c>
      <c r="B1763" s="83">
        <v>164</v>
      </c>
      <c r="C1763" s="34" t="s">
        <v>199</v>
      </c>
      <c r="D1763" s="34" t="s">
        <v>151</v>
      </c>
      <c r="E1763" s="83">
        <v>7</v>
      </c>
      <c r="F1763" s="43">
        <f t="shared" si="322"/>
        <v>5.785123966942149</v>
      </c>
      <c r="G1763" s="44">
        <f t="shared" si="316"/>
        <v>5</v>
      </c>
      <c r="H1763" s="44">
        <f t="shared" si="317"/>
        <v>0.78512396694214903</v>
      </c>
      <c r="I1763" cm="1">
        <f t="array" ref="I1763">INT(F1763)+IF(100-SUM(INT(F$1759:F$1769))&gt;=RANK(H1763,H$1759:H$1769)+COUNTIF(H$1759:H1763,H1763)-1,1,0)</f>
        <v>6</v>
      </c>
      <c r="J1763" t="b">
        <f t="shared" si="318"/>
        <v>1</v>
      </c>
      <c r="K1763" t="str">
        <f t="shared" si="319"/>
        <v>Ephemeroptera</v>
      </c>
      <c r="L1763">
        <f>_xlfn.XLOOKUP(D1763,BugList!C:C,BugList!N:N)</f>
        <v>1</v>
      </c>
      <c r="M1763">
        <f t="shared" si="320"/>
        <v>6</v>
      </c>
      <c r="N1763" t="b">
        <f>_xlfn.XLOOKUP(D1763,BugList!C:C,BugList!L:L)</f>
        <v>1</v>
      </c>
      <c r="O1763" t="b">
        <f t="shared" si="321"/>
        <v>1</v>
      </c>
      <c r="P1763" s="18" t="b">
        <f>SUMPRODUCT(COUNTIF(_xlfn.XLOOKUP(D1763,BugList!C:C,BugList!P:P), "*SC*"))&gt;0</f>
        <v>0</v>
      </c>
    </row>
    <row r="1764" spans="1:16">
      <c r="A1764" s="9" t="s">
        <v>2904</v>
      </c>
      <c r="B1764" s="83">
        <v>164</v>
      </c>
      <c r="C1764" s="34" t="s">
        <v>195</v>
      </c>
      <c r="D1764" s="34" t="s">
        <v>113</v>
      </c>
      <c r="E1764" s="83">
        <v>3</v>
      </c>
      <c r="F1764" s="43">
        <f t="shared" si="322"/>
        <v>2.4793388429752068</v>
      </c>
      <c r="G1764" s="44">
        <f t="shared" si="316"/>
        <v>2</v>
      </c>
      <c r="H1764" s="44">
        <f t="shared" si="317"/>
        <v>0.47933884297520679</v>
      </c>
      <c r="I1764" cm="1">
        <f t="array" ref="I1764">INT(F1764)+IF(100-SUM(INT(F$1759:F$1769))&gt;=RANK(H1764,H$1759:H$1769)+COUNTIF(H$1759:H1764,H1764)-1,1,0)</f>
        <v>2</v>
      </c>
      <c r="J1764" t="b">
        <f t="shared" si="318"/>
        <v>0</v>
      </c>
      <c r="K1764" t="str">
        <f t="shared" si="319"/>
        <v/>
      </c>
      <c r="L1764">
        <f>_xlfn.XLOOKUP(D1764,BugList!C:C,BugList!N:N)</f>
        <v>1</v>
      </c>
      <c r="M1764">
        <f t="shared" si="320"/>
        <v>2</v>
      </c>
      <c r="N1764" t="b">
        <f>_xlfn.XLOOKUP(D1764,BugList!C:C,BugList!L:L)</f>
        <v>1</v>
      </c>
      <c r="O1764" t="b">
        <f t="shared" si="321"/>
        <v>0</v>
      </c>
      <c r="P1764" s="18" t="b">
        <f>SUMPRODUCT(COUNTIF(_xlfn.XLOOKUP(D1764,BugList!C:C,BugList!P:P), "*SC*"))&gt;0</f>
        <v>0</v>
      </c>
    </row>
    <row r="1765" spans="1:16">
      <c r="A1765" s="9" t="s">
        <v>2904</v>
      </c>
      <c r="B1765" s="83">
        <v>164</v>
      </c>
      <c r="C1765" s="34" t="s">
        <v>198</v>
      </c>
      <c r="D1765" s="34" t="s">
        <v>89</v>
      </c>
      <c r="E1765" s="83">
        <v>18</v>
      </c>
      <c r="F1765" s="43">
        <f t="shared" si="322"/>
        <v>14.87603305785124</v>
      </c>
      <c r="G1765" s="44">
        <f t="shared" si="316"/>
        <v>14</v>
      </c>
      <c r="H1765" s="44">
        <f t="shared" si="317"/>
        <v>0.87603305785123986</v>
      </c>
      <c r="I1765" cm="1">
        <f t="array" ref="I1765">INT(F1765)+IF(100-SUM(INT(F$1759:F$1769))&gt;=RANK(H1765,H$1759:H$1769)+COUNTIF(H$1759:H1765,H1765)-1,1,0)</f>
        <v>15</v>
      </c>
      <c r="J1765" t="b">
        <f t="shared" si="318"/>
        <v>1</v>
      </c>
      <c r="K1765" t="str">
        <f t="shared" si="319"/>
        <v>Trichoptera</v>
      </c>
      <c r="L1765">
        <f>_xlfn.XLOOKUP(D1765,BugList!C:C,BugList!N:N)</f>
        <v>4</v>
      </c>
      <c r="M1765">
        <f t="shared" si="320"/>
        <v>60</v>
      </c>
      <c r="N1765" t="b">
        <f>_xlfn.XLOOKUP(D1765,BugList!C:C,BugList!L:L)</f>
        <v>1</v>
      </c>
      <c r="O1765" t="b">
        <f t="shared" si="321"/>
        <v>0</v>
      </c>
      <c r="P1765" s="18" t="b">
        <f>SUMPRODUCT(COUNTIF(_xlfn.XLOOKUP(D1765,BugList!C:C,BugList!P:P), "*SC*"))&gt;0</f>
        <v>0</v>
      </c>
    </row>
    <row r="1766" spans="1:16">
      <c r="A1766" s="9" t="s">
        <v>2904</v>
      </c>
      <c r="B1766" s="83">
        <v>164</v>
      </c>
      <c r="C1766" s="34" t="s">
        <v>198</v>
      </c>
      <c r="D1766" s="34" t="s">
        <v>163</v>
      </c>
      <c r="E1766" s="83">
        <v>37</v>
      </c>
      <c r="F1766" s="43">
        <f t="shared" si="322"/>
        <v>30.578512396694212</v>
      </c>
      <c r="G1766" s="44">
        <f t="shared" si="316"/>
        <v>30</v>
      </c>
      <c r="H1766" s="44">
        <f t="shared" si="317"/>
        <v>0.57851239669421162</v>
      </c>
      <c r="I1766" cm="1">
        <f t="array" ref="I1766">INT(F1766)+IF(100-SUM(INT(F$1759:F$1769))&gt;=RANK(H1766,H$1759:H$1769)+COUNTIF(H$1759:H1766,H1766)-1,1,0)</f>
        <v>31</v>
      </c>
      <c r="J1766" t="b">
        <f t="shared" si="318"/>
        <v>1</v>
      </c>
      <c r="K1766" t="str">
        <f t="shared" si="319"/>
        <v>Trichoptera</v>
      </c>
      <c r="L1766">
        <f>_xlfn.XLOOKUP(D1766,BugList!C:C,BugList!N:N)</f>
        <v>6</v>
      </c>
      <c r="M1766">
        <f t="shared" si="320"/>
        <v>186</v>
      </c>
      <c r="N1766" t="b">
        <f>_xlfn.XLOOKUP(D1766,BugList!C:C,BugList!L:L)</f>
        <v>1</v>
      </c>
      <c r="O1766" t="b">
        <f t="shared" si="321"/>
        <v>1</v>
      </c>
      <c r="P1766" s="18" t="b">
        <f>SUMPRODUCT(COUNTIF(_xlfn.XLOOKUP(D1766,BugList!C:C,BugList!P:P), "*SC*"))&gt;0</f>
        <v>0</v>
      </c>
    </row>
    <row r="1767" spans="1:16">
      <c r="A1767" s="9" t="s">
        <v>2904</v>
      </c>
      <c r="B1767" s="83">
        <v>164</v>
      </c>
      <c r="C1767" s="34" t="s">
        <v>201</v>
      </c>
      <c r="D1767" s="34" t="s">
        <v>85</v>
      </c>
      <c r="E1767" s="83">
        <v>9</v>
      </c>
      <c r="F1767" s="43">
        <f t="shared" si="322"/>
        <v>7.4380165289256199</v>
      </c>
      <c r="G1767" s="44">
        <f t="shared" si="316"/>
        <v>7</v>
      </c>
      <c r="H1767" s="44">
        <f t="shared" si="317"/>
        <v>0.43801652892561993</v>
      </c>
      <c r="I1767" cm="1">
        <f t="array" ref="I1767">INT(F1767)+IF(100-SUM(INT(F$1759:F$1769))&gt;=RANK(H1767,H$1759:H$1769)+COUNTIF(H$1759:H1767,H1767)-1,1,0)</f>
        <v>7</v>
      </c>
      <c r="J1767" t="b">
        <f t="shared" si="318"/>
        <v>0</v>
      </c>
      <c r="K1767" t="str">
        <f t="shared" si="319"/>
        <v/>
      </c>
      <c r="L1767">
        <f>_xlfn.XLOOKUP(D1767,BugList!C:C,BugList!N:N)</f>
        <v>4</v>
      </c>
      <c r="M1767">
        <f t="shared" si="320"/>
        <v>28</v>
      </c>
      <c r="N1767" t="b">
        <f>_xlfn.XLOOKUP(D1767,BugList!C:C,BugList!L:L)</f>
        <v>0</v>
      </c>
      <c r="O1767" t="b">
        <f t="shared" si="321"/>
        <v>0</v>
      </c>
      <c r="P1767" s="18" t="b">
        <f>SUMPRODUCT(COUNTIF(_xlfn.XLOOKUP(D1767,BugList!C:C,BugList!P:P), "*SC*"))&gt;0</f>
        <v>0</v>
      </c>
    </row>
    <row r="1768" spans="1:16">
      <c r="A1768" s="9" t="s">
        <v>2904</v>
      </c>
      <c r="B1768" s="83">
        <v>164</v>
      </c>
      <c r="C1768" s="34" t="s">
        <v>205</v>
      </c>
      <c r="D1768" s="34" t="s">
        <v>206</v>
      </c>
      <c r="E1768" s="83">
        <v>1</v>
      </c>
      <c r="F1768" s="43">
        <f t="shared" si="322"/>
        <v>0.82644628099173556</v>
      </c>
      <c r="G1768" s="44">
        <f t="shared" si="316"/>
        <v>0</v>
      </c>
      <c r="H1768" s="44">
        <f t="shared" si="317"/>
        <v>0.82644628099173556</v>
      </c>
      <c r="I1768" cm="1">
        <f t="array" ref="I1768">INT(F1768)+IF(100-SUM(INT(F$1759:F$1769))&gt;=RANK(H1768,H$1759:H$1769)+COUNTIF(H$1759:H1768,H1768)-1,1,0)</f>
        <v>1</v>
      </c>
      <c r="J1768" t="b">
        <f t="shared" si="318"/>
        <v>0</v>
      </c>
      <c r="K1768" t="str">
        <f t="shared" si="319"/>
        <v/>
      </c>
      <c r="L1768" s="71">
        <v>8</v>
      </c>
      <c r="M1768">
        <f t="shared" si="320"/>
        <v>8</v>
      </c>
      <c r="N1768" s="71" t="b">
        <v>0</v>
      </c>
      <c r="O1768" t="b">
        <f t="shared" si="321"/>
        <v>0</v>
      </c>
      <c r="P1768" s="72" t="b">
        <v>0</v>
      </c>
    </row>
    <row r="1769" spans="1:16">
      <c r="A1769" s="9" t="s">
        <v>2904</v>
      </c>
      <c r="B1769" s="83">
        <v>164</v>
      </c>
      <c r="C1769" s="34" t="s">
        <v>94</v>
      </c>
      <c r="D1769" s="34" t="s">
        <v>94</v>
      </c>
      <c r="E1769" s="83">
        <v>4</v>
      </c>
      <c r="F1769" s="43">
        <f t="shared" si="322"/>
        <v>3.3057851239669422</v>
      </c>
      <c r="G1769" s="44">
        <f t="shared" si="316"/>
        <v>3</v>
      </c>
      <c r="H1769" s="44">
        <f t="shared" si="317"/>
        <v>0.30578512396694224</v>
      </c>
      <c r="I1769" cm="1">
        <f t="array" ref="I1769">INT(F1769)+IF(100-SUM(INT(F$1759:F$1769))&gt;=RANK(H1769,H$1759:H$1769)+COUNTIF(H$1759:H1769,H1769)-1,1,0)</f>
        <v>3</v>
      </c>
      <c r="J1769" t="b">
        <f t="shared" si="318"/>
        <v>0</v>
      </c>
      <c r="K1769" t="str">
        <f t="shared" si="319"/>
        <v/>
      </c>
      <c r="L1769">
        <f>_xlfn.XLOOKUP(D1769,BugList!C:C,BugList!N:N)</f>
        <v>8</v>
      </c>
      <c r="M1769">
        <f t="shared" si="320"/>
        <v>24</v>
      </c>
      <c r="N1769" t="b">
        <f>_xlfn.XLOOKUP(D1769,BugList!C:C,BugList!L:L)</f>
        <v>0</v>
      </c>
      <c r="O1769" t="b">
        <f t="shared" si="321"/>
        <v>0</v>
      </c>
      <c r="P1769" s="18" t="b">
        <f>SUMPRODUCT(COUNTIF(_xlfn.XLOOKUP(D1769,BugList!C:C,BugList!P:P), "*SC*"))&gt;0</f>
        <v>0</v>
      </c>
    </row>
    <row r="1770" spans="1:16">
      <c r="A1770" s="9" t="s">
        <v>2905</v>
      </c>
      <c r="B1770" s="83">
        <v>191</v>
      </c>
      <c r="C1770" s="34" t="s">
        <v>200</v>
      </c>
      <c r="D1770" s="34" t="s">
        <v>98</v>
      </c>
      <c r="E1770" s="83">
        <v>26</v>
      </c>
      <c r="F1770" s="43">
        <f t="shared" si="322"/>
        <v>21.311475409836063</v>
      </c>
      <c r="G1770" s="44">
        <f t="shared" si="316"/>
        <v>21</v>
      </c>
      <c r="H1770" s="44">
        <f t="shared" si="317"/>
        <v>0.31147540983606348</v>
      </c>
      <c r="I1770" cm="1">
        <f t="array" ref="I1770">INT(F1770)+IF(100-SUM(INT(F$1770:F$1783))&gt;=RANK(H1770,H$1770:H$1783)+COUNTIF(H$1770:H1770,H1770)-1,1,0)</f>
        <v>21</v>
      </c>
      <c r="J1770" t="b">
        <f t="shared" si="318"/>
        <v>0</v>
      </c>
      <c r="K1770" t="str">
        <f t="shared" si="319"/>
        <v/>
      </c>
      <c r="L1770">
        <f>_xlfn.XLOOKUP(D1770,BugList!C:C,BugList!N:N)</f>
        <v>4</v>
      </c>
      <c r="M1770">
        <f t="shared" si="320"/>
        <v>84</v>
      </c>
      <c r="N1770" t="b">
        <f>_xlfn.XLOOKUP(D1770,BugList!C:C,BugList!L:L)</f>
        <v>1</v>
      </c>
      <c r="O1770" t="b">
        <f t="shared" si="321"/>
        <v>0</v>
      </c>
      <c r="P1770" s="18" t="b">
        <f>SUMPRODUCT(COUNTIF(_xlfn.XLOOKUP(D1770,BugList!C:C,BugList!P:P), "*SC*"))&gt;0</f>
        <v>1</v>
      </c>
    </row>
    <row r="1771" spans="1:16">
      <c r="A1771" s="9" t="s">
        <v>2905</v>
      </c>
      <c r="B1771" s="83">
        <v>191</v>
      </c>
      <c r="C1771" s="34" t="s">
        <v>200</v>
      </c>
      <c r="D1771" s="34" t="s">
        <v>1563</v>
      </c>
      <c r="E1771" s="83">
        <v>1</v>
      </c>
      <c r="F1771" s="43">
        <f t="shared" si="322"/>
        <v>0.81967213114754101</v>
      </c>
      <c r="G1771" s="44">
        <f t="shared" si="316"/>
        <v>0</v>
      </c>
      <c r="H1771" s="44">
        <f t="shared" si="317"/>
        <v>0.81967213114754101</v>
      </c>
      <c r="I1771" cm="1">
        <f t="array" ref="I1771">INT(F1771)+IF(100-SUM(INT(F$1770:F$1783))&gt;=RANK(H1771,H$1770:H$1783)+COUNTIF(H$1770:H1771,H1771)-1,1,0)</f>
        <v>1</v>
      </c>
      <c r="J1771" t="b">
        <f t="shared" si="318"/>
        <v>0</v>
      </c>
      <c r="K1771" t="str">
        <f t="shared" si="319"/>
        <v/>
      </c>
      <c r="L1771">
        <f>_xlfn.XLOOKUP(D1771,BugList!C:C,BugList!N:N)</f>
        <v>5</v>
      </c>
      <c r="M1771">
        <f t="shared" si="320"/>
        <v>5</v>
      </c>
      <c r="N1771" t="b">
        <f>_xlfn.XLOOKUP(D1771,BugList!C:C,BugList!L:L)</f>
        <v>1</v>
      </c>
      <c r="O1771" t="b">
        <f t="shared" si="321"/>
        <v>0</v>
      </c>
      <c r="P1771" s="18" t="b">
        <f>SUMPRODUCT(COUNTIF(_xlfn.XLOOKUP(D1771,BugList!C:C,BugList!P:P), "*SC*"))&gt;0</f>
        <v>0</v>
      </c>
    </row>
    <row r="1772" spans="1:16">
      <c r="A1772" s="9" t="s">
        <v>2905</v>
      </c>
      <c r="B1772" s="83">
        <v>191</v>
      </c>
      <c r="C1772" s="34" t="s">
        <v>200</v>
      </c>
      <c r="D1772" s="34" t="s">
        <v>100</v>
      </c>
      <c r="E1772" s="83">
        <v>34</v>
      </c>
      <c r="F1772" s="43">
        <f t="shared" si="322"/>
        <v>27.868852459016392</v>
      </c>
      <c r="G1772" s="44">
        <f t="shared" si="316"/>
        <v>27</v>
      </c>
      <c r="H1772" s="44">
        <f t="shared" si="317"/>
        <v>0.86885245901639152</v>
      </c>
      <c r="I1772" cm="1">
        <f t="array" ref="I1772">INT(F1772)+IF(100-SUM(INT(F$1770:F$1783))&gt;=RANK(H1772,H$1770:H$1783)+COUNTIF(H$1770:H1772,H1772)-1,1,0)</f>
        <v>28</v>
      </c>
      <c r="J1772" t="b">
        <f t="shared" si="318"/>
        <v>0</v>
      </c>
      <c r="K1772" t="str">
        <f t="shared" si="319"/>
        <v/>
      </c>
      <c r="L1772">
        <f>_xlfn.XLOOKUP(D1772,BugList!C:C,BugList!N:N)</f>
        <v>4</v>
      </c>
      <c r="M1772">
        <f t="shared" si="320"/>
        <v>112</v>
      </c>
      <c r="N1772" t="b">
        <f>_xlfn.XLOOKUP(D1772,BugList!C:C,BugList!L:L)</f>
        <v>1</v>
      </c>
      <c r="O1772" t="b">
        <f t="shared" si="321"/>
        <v>0</v>
      </c>
      <c r="P1772" s="18" t="b">
        <f>SUMPRODUCT(COUNTIF(_xlfn.XLOOKUP(D1772,BugList!C:C,BugList!P:P), "*SC*"))&gt;0</f>
        <v>1</v>
      </c>
    </row>
    <row r="1773" spans="1:16">
      <c r="A1773" s="9" t="s">
        <v>2905</v>
      </c>
      <c r="B1773" s="83">
        <v>191</v>
      </c>
      <c r="C1773" s="34" t="s">
        <v>199</v>
      </c>
      <c r="D1773" s="34" t="s">
        <v>154</v>
      </c>
      <c r="E1773" s="83">
        <v>1</v>
      </c>
      <c r="F1773" s="43">
        <f t="shared" si="322"/>
        <v>0.81967213114754101</v>
      </c>
      <c r="G1773" s="44">
        <f t="shared" si="316"/>
        <v>0</v>
      </c>
      <c r="H1773" s="44">
        <f t="shared" si="317"/>
        <v>0.81967213114754101</v>
      </c>
      <c r="I1773" cm="1">
        <f t="array" ref="I1773">INT(F1773)+IF(100-SUM(INT(F$1770:F$1783))&gt;=RANK(H1773,H$1770:H$1783)+COUNTIF(H$1770:H1773,H1773)-1,1,0)</f>
        <v>1</v>
      </c>
      <c r="J1773" t="b">
        <f t="shared" si="318"/>
        <v>1</v>
      </c>
      <c r="K1773" t="str">
        <f t="shared" si="319"/>
        <v>Ephemeroptera</v>
      </c>
      <c r="L1773">
        <f>_xlfn.XLOOKUP(D1773,BugList!C:C,BugList!N:N)</f>
        <v>7</v>
      </c>
      <c r="M1773">
        <f t="shared" si="320"/>
        <v>7</v>
      </c>
      <c r="N1773" t="b">
        <f>_xlfn.XLOOKUP(D1773,BugList!C:C,BugList!L:L)</f>
        <v>1</v>
      </c>
      <c r="O1773" t="b">
        <f t="shared" si="321"/>
        <v>1</v>
      </c>
      <c r="P1773" s="18" t="b">
        <f>SUMPRODUCT(COUNTIF(_xlfn.XLOOKUP(D1773,BugList!C:C,BugList!P:P), "*SC*"))&gt;0</f>
        <v>0</v>
      </c>
    </row>
    <row r="1774" spans="1:16">
      <c r="A1774" s="9" t="s">
        <v>2905</v>
      </c>
      <c r="B1774" s="83">
        <v>191</v>
      </c>
      <c r="C1774" s="34" t="s">
        <v>199</v>
      </c>
      <c r="D1774" s="34" t="s">
        <v>151</v>
      </c>
      <c r="E1774" s="83">
        <v>10</v>
      </c>
      <c r="F1774" s="43">
        <f t="shared" si="322"/>
        <v>8.1967213114754092</v>
      </c>
      <c r="G1774" s="44">
        <f t="shared" si="316"/>
        <v>8</v>
      </c>
      <c r="H1774" s="44">
        <f t="shared" si="317"/>
        <v>0.19672131147540917</v>
      </c>
      <c r="I1774" cm="1">
        <f t="array" ref="I1774">INT(F1774)+IF(100-SUM(INT(F$1770:F$1783))&gt;=RANK(H1774,H$1770:H$1783)+COUNTIF(H$1770:H1774,H1774)-1,1,0)</f>
        <v>8</v>
      </c>
      <c r="J1774" t="b">
        <f t="shared" si="318"/>
        <v>1</v>
      </c>
      <c r="K1774" t="str">
        <f t="shared" si="319"/>
        <v>Ephemeroptera</v>
      </c>
      <c r="L1774">
        <f>_xlfn.XLOOKUP(D1774,BugList!C:C,BugList!N:N)</f>
        <v>1</v>
      </c>
      <c r="M1774">
        <f t="shared" si="320"/>
        <v>8</v>
      </c>
      <c r="N1774" t="b">
        <f>_xlfn.XLOOKUP(D1774,BugList!C:C,BugList!L:L)</f>
        <v>1</v>
      </c>
      <c r="O1774" t="b">
        <f t="shared" si="321"/>
        <v>1</v>
      </c>
      <c r="P1774" s="18" t="b">
        <f>SUMPRODUCT(COUNTIF(_xlfn.XLOOKUP(D1774,BugList!C:C,BugList!P:P), "*SC*"))&gt;0</f>
        <v>0</v>
      </c>
    </row>
    <row r="1775" spans="1:16">
      <c r="A1775" s="9" t="s">
        <v>2905</v>
      </c>
      <c r="B1775" s="83">
        <v>191</v>
      </c>
      <c r="C1775" s="34" t="s">
        <v>199</v>
      </c>
      <c r="D1775" s="34" t="s">
        <v>969</v>
      </c>
      <c r="E1775" s="83">
        <v>1</v>
      </c>
      <c r="F1775" s="43">
        <f t="shared" si="322"/>
        <v>0.81967213114754101</v>
      </c>
      <c r="G1775" s="44">
        <f t="shared" si="316"/>
        <v>0</v>
      </c>
      <c r="H1775" s="44">
        <f t="shared" si="317"/>
        <v>0.81967213114754101</v>
      </c>
      <c r="I1775" cm="1">
        <f t="array" ref="I1775">INT(F1775)+IF(100-SUM(INT(F$1770:F$1783))&gt;=RANK(H1775,H$1770:H$1783)+COUNTIF(H$1770:H1775,H1775)-1,1,0)</f>
        <v>1</v>
      </c>
      <c r="J1775" t="b">
        <f t="shared" si="318"/>
        <v>1</v>
      </c>
      <c r="K1775" t="str">
        <f t="shared" si="319"/>
        <v>Ephemeroptera</v>
      </c>
      <c r="L1775">
        <f>_xlfn.XLOOKUP(D1775,BugList!C:C,BugList!N:N)</f>
        <v>7</v>
      </c>
      <c r="M1775">
        <f t="shared" si="320"/>
        <v>7</v>
      </c>
      <c r="N1775" t="b">
        <f>_xlfn.XLOOKUP(D1775,BugList!C:C,BugList!L:L)</f>
        <v>1</v>
      </c>
      <c r="O1775" t="b">
        <f t="shared" si="321"/>
        <v>1</v>
      </c>
      <c r="P1775" s="18" t="b">
        <f>SUMPRODUCT(COUNTIF(_xlfn.XLOOKUP(D1775,BugList!C:C,BugList!P:P), "*SC*"))&gt;0</f>
        <v>0</v>
      </c>
    </row>
    <row r="1776" spans="1:16">
      <c r="A1776" s="9" t="s">
        <v>2905</v>
      </c>
      <c r="B1776" s="83">
        <v>191</v>
      </c>
      <c r="C1776" s="34" t="s">
        <v>198</v>
      </c>
      <c r="D1776" s="34" t="s">
        <v>89</v>
      </c>
      <c r="E1776" s="83">
        <v>25</v>
      </c>
      <c r="F1776" s="43">
        <f t="shared" si="322"/>
        <v>20.491803278688526</v>
      </c>
      <c r="G1776" s="44">
        <f t="shared" si="316"/>
        <v>20</v>
      </c>
      <c r="H1776" s="44">
        <f t="shared" si="317"/>
        <v>0.49180327868852558</v>
      </c>
      <c r="I1776" cm="1">
        <f t="array" ref="I1776">INT(F1776)+IF(100-SUM(INT(F$1770:F$1783))&gt;=RANK(H1776,H$1770:H$1783)+COUNTIF(H$1770:H1776,H1776)-1,1,0)</f>
        <v>20</v>
      </c>
      <c r="J1776" t="b">
        <f t="shared" si="318"/>
        <v>1</v>
      </c>
      <c r="K1776" t="str">
        <f t="shared" si="319"/>
        <v>Trichoptera</v>
      </c>
      <c r="L1776">
        <f>_xlfn.XLOOKUP(D1776,BugList!C:C,BugList!N:N)</f>
        <v>4</v>
      </c>
      <c r="M1776">
        <f t="shared" si="320"/>
        <v>80</v>
      </c>
      <c r="N1776" t="b">
        <f>_xlfn.XLOOKUP(D1776,BugList!C:C,BugList!L:L)</f>
        <v>1</v>
      </c>
      <c r="O1776" t="b">
        <f t="shared" si="321"/>
        <v>0</v>
      </c>
      <c r="P1776" s="18" t="b">
        <f>SUMPRODUCT(COUNTIF(_xlfn.XLOOKUP(D1776,BugList!C:C,BugList!P:P), "*SC*"))&gt;0</f>
        <v>0</v>
      </c>
    </row>
    <row r="1777" spans="1:16">
      <c r="A1777" s="9" t="s">
        <v>2905</v>
      </c>
      <c r="B1777" s="83">
        <v>191</v>
      </c>
      <c r="C1777" s="34" t="s">
        <v>198</v>
      </c>
      <c r="D1777" s="34" t="s">
        <v>1411</v>
      </c>
      <c r="E1777" s="83">
        <v>1</v>
      </c>
      <c r="F1777" s="43">
        <f t="shared" si="322"/>
        <v>0.81967213114754101</v>
      </c>
      <c r="G1777" s="44">
        <f t="shared" si="316"/>
        <v>0</v>
      </c>
      <c r="H1777" s="44">
        <f t="shared" si="317"/>
        <v>0.81967213114754101</v>
      </c>
      <c r="I1777" cm="1">
        <f t="array" ref="I1777">INT(F1777)+IF(100-SUM(INT(F$1770:F$1783))&gt;=RANK(H1777,H$1770:H$1783)+COUNTIF(H$1770:H1777,H1777)-1,1,0)</f>
        <v>1</v>
      </c>
      <c r="J1777" t="b">
        <f t="shared" si="318"/>
        <v>1</v>
      </c>
      <c r="K1777" t="str">
        <f t="shared" si="319"/>
        <v>Trichoptera</v>
      </c>
      <c r="L1777">
        <f>_xlfn.XLOOKUP(D1777,BugList!C:C,BugList!N:N)</f>
        <v>0</v>
      </c>
      <c r="M1777">
        <f t="shared" si="320"/>
        <v>0</v>
      </c>
      <c r="N1777" t="b">
        <f>_xlfn.XLOOKUP(D1777,BugList!C:C,BugList!L:L)</f>
        <v>1</v>
      </c>
      <c r="O1777" t="b">
        <f t="shared" si="321"/>
        <v>1</v>
      </c>
      <c r="P1777" s="18" t="b">
        <f>SUMPRODUCT(COUNTIF(_xlfn.XLOOKUP(D1777,BugList!C:C,BugList!P:P), "*SC*"))&gt;0</f>
        <v>1</v>
      </c>
    </row>
    <row r="1778" spans="1:16">
      <c r="A1778" s="9" t="s">
        <v>2905</v>
      </c>
      <c r="B1778" s="83">
        <v>191</v>
      </c>
      <c r="C1778" s="34" t="s">
        <v>201</v>
      </c>
      <c r="D1778" s="34" t="s">
        <v>85</v>
      </c>
      <c r="E1778" s="83">
        <v>3</v>
      </c>
      <c r="F1778" s="43">
        <f t="shared" si="322"/>
        <v>2.459016393442623</v>
      </c>
      <c r="G1778" s="44">
        <f t="shared" si="316"/>
        <v>2</v>
      </c>
      <c r="H1778" s="44">
        <f t="shared" si="317"/>
        <v>0.45901639344262302</v>
      </c>
      <c r="I1778" cm="1">
        <f t="array" ref="I1778">INT(F1778)+IF(100-SUM(INT(F$1770:F$1783))&gt;=RANK(H1778,H$1770:H$1783)+COUNTIF(H$1770:H1778,H1778)-1,1,0)</f>
        <v>2</v>
      </c>
      <c r="J1778" t="b">
        <f t="shared" si="318"/>
        <v>0</v>
      </c>
      <c r="K1778" t="str">
        <f t="shared" si="319"/>
        <v/>
      </c>
      <c r="L1778">
        <f>_xlfn.XLOOKUP(D1778,BugList!C:C,BugList!N:N)</f>
        <v>4</v>
      </c>
      <c r="M1778">
        <f t="shared" si="320"/>
        <v>8</v>
      </c>
      <c r="N1778" t="b">
        <f>_xlfn.XLOOKUP(D1778,BugList!C:C,BugList!L:L)</f>
        <v>0</v>
      </c>
      <c r="O1778" t="b">
        <f t="shared" si="321"/>
        <v>0</v>
      </c>
      <c r="P1778" s="18" t="b">
        <f>SUMPRODUCT(COUNTIF(_xlfn.XLOOKUP(D1778,BugList!C:C,BugList!P:P), "*SC*"))&gt;0</f>
        <v>0</v>
      </c>
    </row>
    <row r="1779" spans="1:16">
      <c r="A1779" s="9" t="s">
        <v>2905</v>
      </c>
      <c r="B1779" s="83">
        <v>191</v>
      </c>
      <c r="C1779" s="34" t="s">
        <v>2315</v>
      </c>
      <c r="D1779" s="34" t="s">
        <v>2315</v>
      </c>
      <c r="E1779" s="83">
        <v>1</v>
      </c>
      <c r="F1779" s="43">
        <f t="shared" si="322"/>
        <v>0.81967213114754101</v>
      </c>
      <c r="G1779" s="44">
        <f t="shared" si="316"/>
        <v>0</v>
      </c>
      <c r="H1779" s="44">
        <f t="shared" si="317"/>
        <v>0.81967213114754101</v>
      </c>
      <c r="I1779" cm="1">
        <f t="array" ref="I1779">INT(F1779)+IF(100-SUM(INT(F$1770:F$1783))&gt;=RANK(H1779,H$1770:H$1783)+COUNTIF(H$1770:H1779,H1779)-1,1,0)</f>
        <v>1</v>
      </c>
      <c r="J1779" t="b">
        <f t="shared" si="318"/>
        <v>0</v>
      </c>
      <c r="K1779" t="str">
        <f t="shared" si="319"/>
        <v/>
      </c>
      <c r="L1779">
        <f>_xlfn.XLOOKUP(D1779,BugList!C:C,BugList!N:N)</f>
        <v>7</v>
      </c>
      <c r="M1779">
        <f t="shared" si="320"/>
        <v>7</v>
      </c>
      <c r="N1779" t="b">
        <f>_xlfn.XLOOKUP(D1779,BugList!C:C,BugList!L:L)</f>
        <v>0</v>
      </c>
      <c r="O1779" t="b">
        <f t="shared" si="321"/>
        <v>0</v>
      </c>
      <c r="P1779" s="18" t="b">
        <f>SUMPRODUCT(COUNTIF(_xlfn.XLOOKUP(D1779,BugList!C:C,BugList!P:P), "*SC*"))&gt;0</f>
        <v>1</v>
      </c>
    </row>
    <row r="1780" spans="1:16">
      <c r="A1780" s="9" t="s">
        <v>2905</v>
      </c>
      <c r="B1780" s="83">
        <v>191</v>
      </c>
      <c r="C1780" s="34" t="s">
        <v>205</v>
      </c>
      <c r="D1780" s="34" t="s">
        <v>206</v>
      </c>
      <c r="E1780" s="83">
        <v>7</v>
      </c>
      <c r="F1780" s="43">
        <f t="shared" si="322"/>
        <v>5.7377049180327866</v>
      </c>
      <c r="G1780" s="44">
        <f t="shared" si="316"/>
        <v>5</v>
      </c>
      <c r="H1780" s="44">
        <f t="shared" si="317"/>
        <v>0.73770491803278659</v>
      </c>
      <c r="I1780" cm="1">
        <f t="array" ref="I1780">INT(F1780)+IF(100-SUM(INT(F$1770:F$1783))&gt;=RANK(H1780,H$1770:H$1783)+COUNTIF(H$1770:H1780,H1780)-1,1,0)</f>
        <v>6</v>
      </c>
      <c r="J1780" t="b">
        <f t="shared" si="318"/>
        <v>0</v>
      </c>
      <c r="K1780" t="str">
        <f t="shared" si="319"/>
        <v/>
      </c>
      <c r="L1780" s="71">
        <v>8</v>
      </c>
      <c r="M1780">
        <f t="shared" ref="M1780" si="325">L1780*I1780</f>
        <v>48</v>
      </c>
      <c r="N1780" s="71" t="b">
        <v>0</v>
      </c>
      <c r="O1780" t="b">
        <f t="shared" ref="O1780" si="326">IF(J1780=TRUE,IF(D1780="Hydropsychidae", FALSE, TRUE), FALSE)</f>
        <v>0</v>
      </c>
      <c r="P1780" s="72" t="b">
        <v>0</v>
      </c>
    </row>
    <row r="1781" spans="1:16">
      <c r="A1781" s="9" t="s">
        <v>2905</v>
      </c>
      <c r="B1781" s="83">
        <v>191</v>
      </c>
      <c r="C1781" s="34" t="s">
        <v>94</v>
      </c>
      <c r="D1781" s="34" t="s">
        <v>94</v>
      </c>
      <c r="E1781" s="83">
        <v>9</v>
      </c>
      <c r="F1781" s="43">
        <f t="shared" si="322"/>
        <v>7.3770491803278686</v>
      </c>
      <c r="G1781" s="44">
        <f t="shared" si="316"/>
        <v>7</v>
      </c>
      <c r="H1781" s="44">
        <f t="shared" si="317"/>
        <v>0.3770491803278686</v>
      </c>
      <c r="I1781" cm="1">
        <f t="array" ref="I1781">INT(F1781)+IF(100-SUM(INT(F$1770:F$1783))&gt;=RANK(H1781,H$1770:H$1783)+COUNTIF(H$1770:H1781,H1781)-1,1,0)</f>
        <v>7</v>
      </c>
      <c r="J1781" t="b">
        <f t="shared" si="318"/>
        <v>0</v>
      </c>
      <c r="K1781" t="str">
        <f t="shared" si="319"/>
        <v/>
      </c>
      <c r="L1781">
        <f>_xlfn.XLOOKUP(D1781,BugList!C:C,BugList!N:N)</f>
        <v>8</v>
      </c>
      <c r="M1781">
        <f t="shared" si="320"/>
        <v>56</v>
      </c>
      <c r="N1781" t="b">
        <f>_xlfn.XLOOKUP(D1781,BugList!C:C,BugList!L:L)</f>
        <v>0</v>
      </c>
      <c r="O1781" t="b">
        <f t="shared" si="321"/>
        <v>0</v>
      </c>
      <c r="P1781" s="18" t="b">
        <f>SUMPRODUCT(COUNTIF(_xlfn.XLOOKUP(D1781,BugList!C:C,BugList!P:P), "*SC*"))&gt;0</f>
        <v>0</v>
      </c>
    </row>
    <row r="1782" spans="1:16">
      <c r="A1782" s="9" t="s">
        <v>2905</v>
      </c>
      <c r="B1782" s="83">
        <v>191</v>
      </c>
      <c r="C1782" s="34" t="s">
        <v>195</v>
      </c>
      <c r="D1782" s="34" t="s">
        <v>113</v>
      </c>
      <c r="E1782" s="83">
        <v>2</v>
      </c>
      <c r="F1782" s="43">
        <f t="shared" si="322"/>
        <v>1.639344262295082</v>
      </c>
      <c r="G1782" s="44">
        <f t="shared" si="316"/>
        <v>1</v>
      </c>
      <c r="H1782" s="44">
        <f t="shared" si="317"/>
        <v>0.63934426229508201</v>
      </c>
      <c r="I1782" cm="1">
        <f t="array" ref="I1782">INT(F1782)+IF(100-SUM(INT(F$1770:F$1783))&gt;=RANK(H1782,H$1770:H$1783)+COUNTIF(H$1770:H1782,H1782)-1,1,0)</f>
        <v>2</v>
      </c>
      <c r="J1782" t="b">
        <f t="shared" si="318"/>
        <v>0</v>
      </c>
      <c r="K1782" t="str">
        <f t="shared" si="319"/>
        <v/>
      </c>
      <c r="L1782">
        <f>_xlfn.XLOOKUP(D1782,BugList!C:C,BugList!N:N)</f>
        <v>1</v>
      </c>
      <c r="M1782">
        <f t="shared" si="320"/>
        <v>2</v>
      </c>
      <c r="N1782" t="b">
        <f>_xlfn.XLOOKUP(D1782,BugList!C:C,BugList!L:L)</f>
        <v>1</v>
      </c>
      <c r="O1782" t="b">
        <f t="shared" si="321"/>
        <v>0</v>
      </c>
      <c r="P1782" s="18" t="b">
        <f>SUMPRODUCT(COUNTIF(_xlfn.XLOOKUP(D1782,BugList!C:C,BugList!P:P), "*SC*"))&gt;0</f>
        <v>0</v>
      </c>
    </row>
    <row r="1783" spans="1:16">
      <c r="A1783" s="9" t="s">
        <v>2905</v>
      </c>
      <c r="B1783" s="83">
        <v>191</v>
      </c>
      <c r="C1783" s="34" t="s">
        <v>119</v>
      </c>
      <c r="D1783" s="34" t="s">
        <v>87</v>
      </c>
      <c r="E1783" s="83">
        <v>1</v>
      </c>
      <c r="F1783" s="43">
        <f t="shared" si="322"/>
        <v>0.81967213114754101</v>
      </c>
      <c r="G1783" s="44">
        <f t="shared" si="316"/>
        <v>0</v>
      </c>
      <c r="H1783" s="44">
        <f t="shared" si="317"/>
        <v>0.81967213114754101</v>
      </c>
      <c r="I1783" cm="1">
        <f t="array" ref="I1783">INT(F1783)+IF(100-SUM(INT(F$1770:F$1783))&gt;=RANK(H1783,H$1770:H$1783)+COUNTIF(H$1770:H1783,H1783)-1,1,0)</f>
        <v>1</v>
      </c>
      <c r="J1783" t="b">
        <f t="shared" si="318"/>
        <v>0</v>
      </c>
      <c r="K1783" t="str">
        <f t="shared" si="319"/>
        <v/>
      </c>
      <c r="L1783">
        <f>_xlfn.XLOOKUP(D1783,BugList!C:C,BugList!N:N)</f>
        <v>4</v>
      </c>
      <c r="M1783">
        <f t="shared" si="320"/>
        <v>4</v>
      </c>
      <c r="N1783" t="b">
        <f>_xlfn.XLOOKUP(D1783,BugList!C:C,BugList!L:L)</f>
        <v>0</v>
      </c>
      <c r="O1783" t="b">
        <f t="shared" si="321"/>
        <v>0</v>
      </c>
      <c r="P1783" s="18" t="b">
        <f>SUMPRODUCT(COUNTIF(_xlfn.XLOOKUP(D1783,BugList!C:C,BugList!P:P), "*SC*"))&gt;0</f>
        <v>0</v>
      </c>
    </row>
    <row r="1784" spans="1:16">
      <c r="A1784" s="9" t="s">
        <v>2906</v>
      </c>
      <c r="B1784" s="83">
        <v>215</v>
      </c>
      <c r="C1784" s="34" t="s">
        <v>200</v>
      </c>
      <c r="D1784" s="34" t="s">
        <v>98</v>
      </c>
      <c r="E1784" s="83">
        <v>29</v>
      </c>
      <c r="F1784" s="43">
        <f t="shared" si="322"/>
        <v>20.138888888888889</v>
      </c>
      <c r="G1784" s="44">
        <f t="shared" si="316"/>
        <v>20</v>
      </c>
      <c r="H1784" s="44">
        <f t="shared" si="317"/>
        <v>0.13888888888888928</v>
      </c>
      <c r="I1784" cm="1">
        <f t="array" ref="I1784">INT(F1784)+IF(100-SUM(INT(F$1784:F$1801))&gt;=RANK(H1784,H$1784:H$1801)+COUNTIF(H$1784:H1784,H1784)-1,1,0)</f>
        <v>20</v>
      </c>
      <c r="J1784" t="b">
        <f t="shared" si="318"/>
        <v>0</v>
      </c>
      <c r="K1784" t="str">
        <f t="shared" si="319"/>
        <v/>
      </c>
      <c r="L1784">
        <f>_xlfn.XLOOKUP(D1784,BugList!C:C,BugList!N:N)</f>
        <v>4</v>
      </c>
      <c r="M1784">
        <f t="shared" si="320"/>
        <v>80</v>
      </c>
      <c r="N1784" t="b">
        <f>_xlfn.XLOOKUP(D1784,BugList!C:C,BugList!L:L)</f>
        <v>1</v>
      </c>
      <c r="O1784" t="b">
        <f t="shared" si="321"/>
        <v>0</v>
      </c>
      <c r="P1784" s="18" t="b">
        <f>SUMPRODUCT(COUNTIF(_xlfn.XLOOKUP(D1784,BugList!C:C,BugList!P:P), "*SC*"))&gt;0</f>
        <v>1</v>
      </c>
    </row>
    <row r="1785" spans="1:16">
      <c r="A1785" s="9" t="s">
        <v>2906</v>
      </c>
      <c r="B1785" s="83">
        <v>215</v>
      </c>
      <c r="C1785" s="34" t="s">
        <v>200</v>
      </c>
      <c r="D1785" s="34" t="s">
        <v>100</v>
      </c>
      <c r="E1785" s="83">
        <v>14</v>
      </c>
      <c r="F1785" s="43">
        <f t="shared" si="322"/>
        <v>9.7222222222222232</v>
      </c>
      <c r="G1785" s="44">
        <f t="shared" si="316"/>
        <v>9</v>
      </c>
      <c r="H1785" s="44">
        <f t="shared" si="317"/>
        <v>0.72222222222222321</v>
      </c>
      <c r="I1785" cm="1">
        <f t="array" ref="I1785">INT(F1785)+IF(100-SUM(INT(F$1784:F$1801))&gt;=RANK(H1785,H$1784:H$1801)+COUNTIF(H$1784:H1785,H1785)-1,1,0)</f>
        <v>10</v>
      </c>
      <c r="J1785" t="b">
        <f t="shared" si="318"/>
        <v>0</v>
      </c>
      <c r="K1785" t="str">
        <f t="shared" si="319"/>
        <v/>
      </c>
      <c r="L1785">
        <f>_xlfn.XLOOKUP(D1785,BugList!C:C,BugList!N:N)</f>
        <v>4</v>
      </c>
      <c r="M1785">
        <f t="shared" si="320"/>
        <v>40</v>
      </c>
      <c r="N1785" t="b">
        <f>_xlfn.XLOOKUP(D1785,BugList!C:C,BugList!L:L)</f>
        <v>1</v>
      </c>
      <c r="O1785" t="b">
        <f t="shared" si="321"/>
        <v>0</v>
      </c>
      <c r="P1785" s="18" t="b">
        <f>SUMPRODUCT(COUNTIF(_xlfn.XLOOKUP(D1785,BugList!C:C,BugList!P:P), "*SC*"))&gt;0</f>
        <v>1</v>
      </c>
    </row>
    <row r="1786" spans="1:16">
      <c r="A1786" s="9" t="s">
        <v>2906</v>
      </c>
      <c r="B1786" s="83">
        <v>215</v>
      </c>
      <c r="C1786" s="34" t="s">
        <v>194</v>
      </c>
      <c r="D1786" s="34" t="s">
        <v>108</v>
      </c>
      <c r="E1786" s="83">
        <v>4</v>
      </c>
      <c r="F1786" s="43">
        <f t="shared" si="322"/>
        <v>2.7777777777777777</v>
      </c>
      <c r="G1786" s="44">
        <f t="shared" si="316"/>
        <v>2</v>
      </c>
      <c r="H1786" s="44">
        <f t="shared" si="317"/>
        <v>0.77777777777777768</v>
      </c>
      <c r="I1786" cm="1">
        <f t="array" ref="I1786">INT(F1786)+IF(100-SUM(INT(F$1784:F$1801))&gt;=RANK(H1786,H$1784:H$1801)+COUNTIF(H$1784:H1786,H1786)-1,1,0)</f>
        <v>3</v>
      </c>
      <c r="J1786" t="b">
        <f t="shared" si="318"/>
        <v>0</v>
      </c>
      <c r="K1786" t="str">
        <f t="shared" si="319"/>
        <v/>
      </c>
      <c r="L1786">
        <f>_xlfn.XLOOKUP(D1786,BugList!C:C,BugList!N:N)</f>
        <v>3</v>
      </c>
      <c r="M1786">
        <f t="shared" si="320"/>
        <v>9</v>
      </c>
      <c r="N1786" t="b">
        <f>_xlfn.XLOOKUP(D1786,BugList!C:C,BugList!L:L)</f>
        <v>1</v>
      </c>
      <c r="O1786" t="b">
        <f t="shared" si="321"/>
        <v>0</v>
      </c>
      <c r="P1786" s="18" t="b">
        <f>SUMPRODUCT(COUNTIF(_xlfn.XLOOKUP(D1786,BugList!C:C,BugList!P:P), "*SC*"))&gt;0</f>
        <v>0</v>
      </c>
    </row>
    <row r="1787" spans="1:16">
      <c r="A1787" s="9" t="s">
        <v>2906</v>
      </c>
      <c r="B1787" s="83">
        <v>215</v>
      </c>
      <c r="C1787" s="34" t="s">
        <v>199</v>
      </c>
      <c r="D1787" s="34" t="s">
        <v>96</v>
      </c>
      <c r="E1787" s="83">
        <v>1</v>
      </c>
      <c r="F1787" s="43">
        <f t="shared" si="322"/>
        <v>0.69444444444444442</v>
      </c>
      <c r="G1787" s="44">
        <f t="shared" si="316"/>
        <v>0</v>
      </c>
      <c r="H1787" s="44">
        <f t="shared" si="317"/>
        <v>0.69444444444444442</v>
      </c>
      <c r="I1787" cm="1">
        <f t="array" ref="I1787">INT(F1787)+IF(100-SUM(INT(F$1784:F$1801))&gt;=RANK(H1787,H$1784:H$1801)+COUNTIF(H$1784:H1787,H1787)-1,1,0)</f>
        <v>1</v>
      </c>
      <c r="J1787" t="b">
        <f t="shared" si="318"/>
        <v>1</v>
      </c>
      <c r="K1787" t="str">
        <f t="shared" si="319"/>
        <v>Ephemeroptera</v>
      </c>
      <c r="L1787">
        <f>_xlfn.XLOOKUP(D1787,BugList!C:C,BugList!N:N)</f>
        <v>4</v>
      </c>
      <c r="M1787">
        <f t="shared" si="320"/>
        <v>4</v>
      </c>
      <c r="N1787" t="b">
        <f>_xlfn.XLOOKUP(D1787,BugList!C:C,BugList!L:L)</f>
        <v>1</v>
      </c>
      <c r="O1787" t="b">
        <f t="shared" si="321"/>
        <v>1</v>
      </c>
      <c r="P1787" s="18" t="b">
        <f>SUMPRODUCT(COUNTIF(_xlfn.XLOOKUP(D1787,BugList!C:C,BugList!P:P), "*SC*"))&gt;0</f>
        <v>1</v>
      </c>
    </row>
    <row r="1788" spans="1:16">
      <c r="A1788" s="9" t="s">
        <v>2906</v>
      </c>
      <c r="B1788" s="83">
        <v>215</v>
      </c>
      <c r="C1788" s="34" t="s">
        <v>199</v>
      </c>
      <c r="D1788" s="34" t="s">
        <v>111</v>
      </c>
      <c r="E1788" s="83">
        <v>1</v>
      </c>
      <c r="F1788" s="43">
        <f t="shared" si="322"/>
        <v>0.69444444444444442</v>
      </c>
      <c r="G1788" s="44">
        <f t="shared" si="316"/>
        <v>0</v>
      </c>
      <c r="H1788" s="44">
        <f t="shared" si="317"/>
        <v>0.69444444444444442</v>
      </c>
      <c r="I1788" cm="1">
        <f t="array" ref="I1788">INT(F1788)+IF(100-SUM(INT(F$1784:F$1801))&gt;=RANK(H1788,H$1784:H$1801)+COUNTIF(H$1784:H1788,H1788)-1,1,0)</f>
        <v>1</v>
      </c>
      <c r="J1788" t="b">
        <f t="shared" si="318"/>
        <v>1</v>
      </c>
      <c r="K1788" t="str">
        <f t="shared" si="319"/>
        <v>Ephemeroptera</v>
      </c>
      <c r="L1788">
        <f>_xlfn.XLOOKUP(D1788,BugList!C:C,BugList!N:N)</f>
        <v>4</v>
      </c>
      <c r="M1788">
        <f t="shared" si="320"/>
        <v>4</v>
      </c>
      <c r="N1788" t="b">
        <f>_xlfn.XLOOKUP(D1788,BugList!C:C,BugList!L:L)</f>
        <v>1</v>
      </c>
      <c r="O1788" t="b">
        <f t="shared" si="321"/>
        <v>1</v>
      </c>
      <c r="P1788" s="18" t="b">
        <f>SUMPRODUCT(COUNTIF(_xlfn.XLOOKUP(D1788,BugList!C:C,BugList!P:P), "*SC*"))&gt;0</f>
        <v>0</v>
      </c>
    </row>
    <row r="1789" spans="1:16">
      <c r="A1789" s="9" t="s">
        <v>2906</v>
      </c>
      <c r="B1789" s="83">
        <v>215</v>
      </c>
      <c r="C1789" s="84" t="s">
        <v>199</v>
      </c>
      <c r="D1789" s="84" t="s">
        <v>963</v>
      </c>
      <c r="E1789" s="83">
        <v>2</v>
      </c>
      <c r="F1789" s="43">
        <f t="shared" si="322"/>
        <v>1.3888888888888888</v>
      </c>
      <c r="G1789" s="44">
        <f t="shared" si="316"/>
        <v>1</v>
      </c>
      <c r="H1789" s="44">
        <f t="shared" si="317"/>
        <v>0.38888888888888884</v>
      </c>
      <c r="I1789" cm="1">
        <f t="array" ref="I1789">INT(F1789)+IF(100-SUM(INT(F$1784:F$1801))&gt;=RANK(H1789,H$1784:H$1801)+COUNTIF(H$1784:H1789,H1789)-1,1,0)</f>
        <v>1</v>
      </c>
      <c r="J1789" t="b">
        <f t="shared" si="318"/>
        <v>1</v>
      </c>
      <c r="K1789" t="str">
        <f t="shared" si="319"/>
        <v>Ephemeroptera</v>
      </c>
      <c r="L1789">
        <f>_xlfn.XLOOKUP(D1789,BugList!C:C,BugList!N:N)</f>
        <v>2</v>
      </c>
      <c r="M1789">
        <f t="shared" si="320"/>
        <v>2</v>
      </c>
      <c r="N1789" t="b">
        <f>_xlfn.XLOOKUP(D1789,BugList!C:C,BugList!L:L)</f>
        <v>1</v>
      </c>
      <c r="O1789" t="b">
        <f t="shared" si="321"/>
        <v>1</v>
      </c>
      <c r="P1789" s="18" t="b">
        <f>SUMPRODUCT(COUNTIF(_xlfn.XLOOKUP(D1789,BugList!C:C,BugList!P:P), "*SC*"))&gt;0</f>
        <v>0</v>
      </c>
    </row>
    <row r="1790" spans="1:16">
      <c r="A1790" s="9" t="s">
        <v>2906</v>
      </c>
      <c r="B1790" s="83">
        <v>215</v>
      </c>
      <c r="C1790" s="34" t="s">
        <v>199</v>
      </c>
      <c r="D1790" s="34" t="s">
        <v>969</v>
      </c>
      <c r="E1790" s="83">
        <v>12</v>
      </c>
      <c r="F1790" s="43">
        <f t="shared" si="322"/>
        <v>8.3333333333333321</v>
      </c>
      <c r="G1790" s="44">
        <f t="shared" si="316"/>
        <v>8</v>
      </c>
      <c r="H1790" s="44">
        <f t="shared" si="317"/>
        <v>0.33333333333333215</v>
      </c>
      <c r="I1790" cm="1">
        <f t="array" ref="I1790">INT(F1790)+IF(100-SUM(INT(F$1784:F$1801))&gt;=RANK(H1790,H$1784:H$1801)+COUNTIF(H$1784:H1790,H1790)-1,1,0)</f>
        <v>8</v>
      </c>
      <c r="J1790" t="b">
        <f t="shared" si="318"/>
        <v>1</v>
      </c>
      <c r="K1790" t="str">
        <f t="shared" si="319"/>
        <v>Ephemeroptera</v>
      </c>
      <c r="L1790">
        <f>_xlfn.XLOOKUP(D1790,BugList!C:C,BugList!N:N)</f>
        <v>7</v>
      </c>
      <c r="M1790">
        <f t="shared" si="320"/>
        <v>56</v>
      </c>
      <c r="N1790" t="b">
        <f>_xlfn.XLOOKUP(D1790,BugList!C:C,BugList!L:L)</f>
        <v>1</v>
      </c>
      <c r="O1790" t="b">
        <f t="shared" si="321"/>
        <v>1</v>
      </c>
      <c r="P1790" s="18" t="b">
        <f>SUMPRODUCT(COUNTIF(_xlfn.XLOOKUP(D1790,BugList!C:C,BugList!P:P), "*SC*"))&gt;0</f>
        <v>0</v>
      </c>
    </row>
    <row r="1791" spans="1:16">
      <c r="A1791" s="9" t="s">
        <v>2906</v>
      </c>
      <c r="B1791" s="83">
        <v>215</v>
      </c>
      <c r="C1791" s="34" t="s">
        <v>199</v>
      </c>
      <c r="D1791" s="34" t="s">
        <v>1004</v>
      </c>
      <c r="E1791" s="83">
        <v>15</v>
      </c>
      <c r="F1791" s="43">
        <f t="shared" si="322"/>
        <v>10.416666666666668</v>
      </c>
      <c r="G1791" s="44">
        <f t="shared" si="316"/>
        <v>10</v>
      </c>
      <c r="H1791" s="44">
        <f t="shared" si="317"/>
        <v>0.41666666666666785</v>
      </c>
      <c r="I1791" cm="1">
        <f t="array" ref="I1791">INT(F1791)+IF(100-SUM(INT(F$1784:F$1801))&gt;=RANK(H1791,H$1784:H$1801)+COUNTIF(H$1784:H1791,H1791)-1,1,0)</f>
        <v>10</v>
      </c>
      <c r="J1791" t="b">
        <f t="shared" si="318"/>
        <v>1</v>
      </c>
      <c r="K1791" t="str">
        <f t="shared" si="319"/>
        <v>Ephemeroptera</v>
      </c>
      <c r="L1791">
        <f>_xlfn.XLOOKUP(D1791,BugList!C:C,BugList!N:N)</f>
        <v>4</v>
      </c>
      <c r="M1791">
        <f t="shared" si="320"/>
        <v>40</v>
      </c>
      <c r="N1791" t="b">
        <f>_xlfn.XLOOKUP(D1791,BugList!C:C,BugList!L:L)</f>
        <v>1</v>
      </c>
      <c r="O1791" t="b">
        <f t="shared" si="321"/>
        <v>1</v>
      </c>
      <c r="P1791" s="18" t="b">
        <f>SUMPRODUCT(COUNTIF(_xlfn.XLOOKUP(D1791,BugList!C:C,BugList!P:P), "*SC*"))&gt;0</f>
        <v>0</v>
      </c>
    </row>
    <row r="1792" spans="1:16">
      <c r="A1792" s="9" t="s">
        <v>2906</v>
      </c>
      <c r="B1792" s="83">
        <v>215</v>
      </c>
      <c r="C1792" s="34" t="s">
        <v>195</v>
      </c>
      <c r="D1792" s="34" t="s">
        <v>162</v>
      </c>
      <c r="E1792" s="83">
        <v>1</v>
      </c>
      <c r="F1792" s="43">
        <f t="shared" si="322"/>
        <v>0.69444444444444442</v>
      </c>
      <c r="G1792" s="44">
        <f t="shared" si="316"/>
        <v>0</v>
      </c>
      <c r="H1792" s="44">
        <f t="shared" si="317"/>
        <v>0.69444444444444442</v>
      </c>
      <c r="I1792" cm="1">
        <f t="array" ref="I1792">INT(F1792)+IF(100-SUM(INT(F$1784:F$1801))&gt;=RANK(H1792,H$1784:H$1801)+COUNTIF(H$1784:H1792,H1792)-1,1,0)</f>
        <v>1</v>
      </c>
      <c r="J1792" t="b">
        <f t="shared" si="318"/>
        <v>0</v>
      </c>
      <c r="K1792" t="str">
        <f t="shared" si="319"/>
        <v/>
      </c>
      <c r="L1792">
        <f>_xlfn.XLOOKUP(D1792,BugList!C:C,BugList!N:N)</f>
        <v>3</v>
      </c>
      <c r="M1792">
        <f t="shared" si="320"/>
        <v>3</v>
      </c>
      <c r="N1792" t="b">
        <f>_xlfn.XLOOKUP(D1792,BugList!C:C,BugList!L:L)</f>
        <v>1</v>
      </c>
      <c r="O1792" t="b">
        <f t="shared" si="321"/>
        <v>0</v>
      </c>
      <c r="P1792" s="18" t="b">
        <f>SUMPRODUCT(COUNTIF(_xlfn.XLOOKUP(D1792,BugList!C:C,BugList!P:P), "*SC*"))&gt;0</f>
        <v>0</v>
      </c>
    </row>
    <row r="1793" spans="1:16">
      <c r="A1793" s="9" t="s">
        <v>2906</v>
      </c>
      <c r="B1793" s="83">
        <v>215</v>
      </c>
      <c r="C1793" s="34" t="s">
        <v>195</v>
      </c>
      <c r="D1793" s="34" t="s">
        <v>97</v>
      </c>
      <c r="E1793" s="83">
        <v>1</v>
      </c>
      <c r="F1793" s="43">
        <f t="shared" si="322"/>
        <v>0.69444444444444442</v>
      </c>
      <c r="G1793" s="44">
        <f t="shared" si="316"/>
        <v>0</v>
      </c>
      <c r="H1793" s="44">
        <f t="shared" si="317"/>
        <v>0.69444444444444442</v>
      </c>
      <c r="I1793" cm="1">
        <f t="array" ref="I1793">INT(F1793)+IF(100-SUM(INT(F$1784:F$1801))&gt;=RANK(H1793,H$1784:H$1801)+COUNTIF(H$1784:H1793,H1793)-1,1,0)</f>
        <v>1</v>
      </c>
      <c r="J1793" t="b">
        <f t="shared" si="318"/>
        <v>0</v>
      </c>
      <c r="K1793" t="str">
        <f t="shared" si="319"/>
        <v/>
      </c>
      <c r="L1793">
        <f>_xlfn.XLOOKUP(D1793,BugList!C:C,BugList!N:N)</f>
        <v>9</v>
      </c>
      <c r="M1793">
        <f t="shared" si="320"/>
        <v>9</v>
      </c>
      <c r="N1793" t="b">
        <f>_xlfn.XLOOKUP(D1793,BugList!C:C,BugList!L:L)</f>
        <v>1</v>
      </c>
      <c r="O1793" t="b">
        <f t="shared" si="321"/>
        <v>0</v>
      </c>
      <c r="P1793" s="18" t="b">
        <f>SUMPRODUCT(COUNTIF(_xlfn.XLOOKUP(D1793,BugList!C:C,BugList!P:P), "*SC*"))&gt;0</f>
        <v>0</v>
      </c>
    </row>
    <row r="1794" spans="1:16">
      <c r="A1794" s="9" t="s">
        <v>2906</v>
      </c>
      <c r="B1794" s="83">
        <v>215</v>
      </c>
      <c r="C1794" s="34" t="s">
        <v>195</v>
      </c>
      <c r="D1794" s="34" t="s">
        <v>113</v>
      </c>
      <c r="E1794" s="83">
        <v>1</v>
      </c>
      <c r="F1794" s="43">
        <f t="shared" si="322"/>
        <v>0.69444444444444442</v>
      </c>
      <c r="G1794" s="44">
        <f t="shared" ref="G1794:G1857" si="327">INT(F1794)</f>
        <v>0</v>
      </c>
      <c r="H1794" s="44">
        <f t="shared" ref="H1794:H1857" si="328">F1794-G1794</f>
        <v>0.69444444444444442</v>
      </c>
      <c r="I1794" cm="1">
        <f t="array" ref="I1794">INT(F1794)+IF(100-SUM(INT(F$1784:F$1801))&gt;=RANK(H1794,H$1784:H$1801)+COUNTIF(H$1784:H1794,H1794)-1,1,0)</f>
        <v>1</v>
      </c>
      <c r="J1794" t="b">
        <f t="shared" ref="J1794:J1857" si="329">IF(OR(C1794="Ephemeroptera", C1794 ="Plecoptera", C1794= "Trichoptera"), TRUE, FALSE)</f>
        <v>0</v>
      </c>
      <c r="K1794" t="str">
        <f t="shared" ref="K1794:K1857" si="330">IF(J1794=TRUE,C1794,"")</f>
        <v/>
      </c>
      <c r="L1794">
        <f>_xlfn.XLOOKUP(D1794,BugList!C:C,BugList!N:N)</f>
        <v>1</v>
      </c>
      <c r="M1794">
        <f t="shared" ref="M1794:M1857" si="331">L1794*I1794</f>
        <v>1</v>
      </c>
      <c r="N1794" t="b">
        <f>_xlfn.XLOOKUP(D1794,BugList!C:C,BugList!L:L)</f>
        <v>1</v>
      </c>
      <c r="O1794" t="b">
        <f t="shared" ref="O1794:O1857" si="332">IF(J1794=TRUE,IF(D1794="Hydropsychidae", FALSE, TRUE), FALSE)</f>
        <v>0</v>
      </c>
      <c r="P1794" s="18" t="b">
        <f>SUMPRODUCT(COUNTIF(_xlfn.XLOOKUP(D1794,BugList!C:C,BugList!P:P), "*SC*"))&gt;0</f>
        <v>0</v>
      </c>
    </row>
    <row r="1795" spans="1:16">
      <c r="A1795" s="9" t="s">
        <v>2906</v>
      </c>
      <c r="B1795" s="83">
        <v>215</v>
      </c>
      <c r="C1795" s="84" t="s">
        <v>198</v>
      </c>
      <c r="D1795" s="84" t="s">
        <v>179</v>
      </c>
      <c r="E1795" s="83">
        <v>2</v>
      </c>
      <c r="F1795" s="43">
        <f t="shared" si="322"/>
        <v>1.3888888888888888</v>
      </c>
      <c r="G1795" s="44">
        <f t="shared" si="327"/>
        <v>1</v>
      </c>
      <c r="H1795" s="44">
        <f t="shared" si="328"/>
        <v>0.38888888888888884</v>
      </c>
      <c r="I1795" cm="1">
        <f t="array" ref="I1795">INT(F1795)+IF(100-SUM(INT(F$1784:F$1801))&gt;=RANK(H1795,H$1784:H$1801)+COUNTIF(H$1784:H1795,H1795)-1,1,0)</f>
        <v>1</v>
      </c>
      <c r="J1795" t="b">
        <f t="shared" si="329"/>
        <v>1</v>
      </c>
      <c r="K1795" t="str">
        <f t="shared" si="330"/>
        <v>Trichoptera</v>
      </c>
      <c r="L1795">
        <f>_xlfn.XLOOKUP(D1795,BugList!C:C,BugList!N:N)</f>
        <v>1</v>
      </c>
      <c r="M1795">
        <f t="shared" si="331"/>
        <v>1</v>
      </c>
      <c r="N1795" t="b">
        <f>_xlfn.XLOOKUP(D1795,BugList!C:C,BugList!L:L)</f>
        <v>1</v>
      </c>
      <c r="O1795" t="b">
        <f t="shared" si="332"/>
        <v>1</v>
      </c>
      <c r="P1795" s="18" t="b">
        <f>SUMPRODUCT(COUNTIF(_xlfn.XLOOKUP(D1795,BugList!C:C,BugList!P:P), "*SC*"))&gt;0</f>
        <v>0</v>
      </c>
    </row>
    <row r="1796" spans="1:16">
      <c r="A1796" s="9" t="s">
        <v>2906</v>
      </c>
      <c r="B1796" s="83">
        <v>215</v>
      </c>
      <c r="C1796" s="34" t="s">
        <v>198</v>
      </c>
      <c r="D1796" s="34" t="s">
        <v>89</v>
      </c>
      <c r="E1796" s="83">
        <v>25</v>
      </c>
      <c r="F1796" s="43">
        <f t="shared" si="322"/>
        <v>17.361111111111111</v>
      </c>
      <c r="G1796" s="44">
        <f t="shared" si="327"/>
        <v>17</v>
      </c>
      <c r="H1796" s="44">
        <f t="shared" si="328"/>
        <v>0.36111111111111072</v>
      </c>
      <c r="I1796" cm="1">
        <f t="array" ref="I1796">INT(F1796)+IF(100-SUM(INT(F$1784:F$1801))&gt;=RANK(H1796,H$1784:H$1801)+COUNTIF(H$1784:H1796,H1796)-1,1,0)</f>
        <v>17</v>
      </c>
      <c r="J1796" t="b">
        <f t="shared" si="329"/>
        <v>1</v>
      </c>
      <c r="K1796" t="str">
        <f t="shared" si="330"/>
        <v>Trichoptera</v>
      </c>
      <c r="L1796">
        <f>_xlfn.XLOOKUP(D1796,BugList!C:C,BugList!N:N)</f>
        <v>4</v>
      </c>
      <c r="M1796">
        <f t="shared" si="331"/>
        <v>68</v>
      </c>
      <c r="N1796" t="b">
        <f>_xlfn.XLOOKUP(D1796,BugList!C:C,BugList!L:L)</f>
        <v>1</v>
      </c>
      <c r="O1796" t="b">
        <f t="shared" si="332"/>
        <v>0</v>
      </c>
      <c r="P1796" s="18" t="b">
        <f>SUMPRODUCT(COUNTIF(_xlfn.XLOOKUP(D1796,BugList!C:C,BugList!P:P), "*SC*"))&gt;0</f>
        <v>0</v>
      </c>
    </row>
    <row r="1797" spans="1:16">
      <c r="A1797" s="9" t="s">
        <v>2906</v>
      </c>
      <c r="B1797" s="83">
        <v>215</v>
      </c>
      <c r="C1797" s="34" t="s">
        <v>198</v>
      </c>
      <c r="D1797" s="34" t="s">
        <v>1263</v>
      </c>
      <c r="E1797" s="83">
        <v>8</v>
      </c>
      <c r="F1797" s="43">
        <f t="shared" si="322"/>
        <v>5.5555555555555554</v>
      </c>
      <c r="G1797" s="44">
        <f t="shared" si="327"/>
        <v>5</v>
      </c>
      <c r="H1797" s="44">
        <f t="shared" si="328"/>
        <v>0.55555555555555536</v>
      </c>
      <c r="I1797" cm="1">
        <f t="array" ref="I1797">INT(F1797)+IF(100-SUM(INT(F$1784:F$1801))&gt;=RANK(H1797,H$1784:H$1801)+COUNTIF(H$1784:H1797,H1797)-1,1,0)</f>
        <v>5</v>
      </c>
      <c r="J1797" t="b">
        <f t="shared" si="329"/>
        <v>1</v>
      </c>
      <c r="K1797" t="str">
        <f t="shared" si="330"/>
        <v>Trichoptera</v>
      </c>
      <c r="L1797">
        <f>_xlfn.XLOOKUP(D1797,BugList!C:C,BugList!N:N)</f>
        <v>4</v>
      </c>
      <c r="M1797">
        <f t="shared" si="331"/>
        <v>20</v>
      </c>
      <c r="N1797" t="b">
        <f>_xlfn.XLOOKUP(D1797,BugList!C:C,BugList!L:L)</f>
        <v>1</v>
      </c>
      <c r="O1797" t="b">
        <f t="shared" si="332"/>
        <v>1</v>
      </c>
      <c r="P1797" s="18" t="b">
        <f>SUMPRODUCT(COUNTIF(_xlfn.XLOOKUP(D1797,BugList!C:C,BugList!P:P), "*SC*"))&gt;0</f>
        <v>0</v>
      </c>
    </row>
    <row r="1798" spans="1:16">
      <c r="A1798" s="9" t="s">
        <v>2906</v>
      </c>
      <c r="B1798" s="83">
        <v>215</v>
      </c>
      <c r="C1798" s="34" t="s">
        <v>201</v>
      </c>
      <c r="D1798" s="34" t="s">
        <v>85</v>
      </c>
      <c r="E1798" s="83">
        <v>21</v>
      </c>
      <c r="F1798" s="43">
        <f t="shared" si="322"/>
        <v>14.583333333333334</v>
      </c>
      <c r="G1798" s="44">
        <f t="shared" si="327"/>
        <v>14</v>
      </c>
      <c r="H1798" s="44">
        <f t="shared" si="328"/>
        <v>0.58333333333333393</v>
      </c>
      <c r="I1798" cm="1">
        <f t="array" ref="I1798">INT(F1798)+IF(100-SUM(INT(F$1784:F$1801))&gt;=RANK(H1798,H$1784:H$1801)+COUNTIF(H$1784:H1798,H1798)-1,1,0)</f>
        <v>15</v>
      </c>
      <c r="J1798" t="b">
        <f t="shared" si="329"/>
        <v>0</v>
      </c>
      <c r="K1798" t="str">
        <f t="shared" si="330"/>
        <v/>
      </c>
      <c r="L1798">
        <f>_xlfn.XLOOKUP(D1798,BugList!C:C,BugList!N:N)</f>
        <v>4</v>
      </c>
      <c r="M1798">
        <f t="shared" si="331"/>
        <v>60</v>
      </c>
      <c r="N1798" t="b">
        <f>_xlfn.XLOOKUP(D1798,BugList!C:C,BugList!L:L)</f>
        <v>0</v>
      </c>
      <c r="O1798" t="b">
        <f t="shared" si="332"/>
        <v>0</v>
      </c>
      <c r="P1798" s="18" t="b">
        <f>SUMPRODUCT(COUNTIF(_xlfn.XLOOKUP(D1798,BugList!C:C,BugList!P:P), "*SC*"))&gt;0</f>
        <v>0</v>
      </c>
    </row>
    <row r="1799" spans="1:16">
      <c r="A1799" s="9" t="s">
        <v>2906</v>
      </c>
      <c r="B1799" s="83">
        <v>215</v>
      </c>
      <c r="C1799" s="34" t="s">
        <v>2315</v>
      </c>
      <c r="D1799" s="34" t="s">
        <v>2315</v>
      </c>
      <c r="E1799" s="83">
        <v>4</v>
      </c>
      <c r="F1799" s="43">
        <f t="shared" si="322"/>
        <v>2.7777777777777777</v>
      </c>
      <c r="G1799" s="44">
        <f t="shared" si="327"/>
        <v>2</v>
      </c>
      <c r="H1799" s="44">
        <f t="shared" si="328"/>
        <v>0.77777777777777768</v>
      </c>
      <c r="I1799" cm="1">
        <f t="array" ref="I1799">INT(F1799)+IF(100-SUM(INT(F$1784:F$1801))&gt;=RANK(H1799,H$1784:H$1801)+COUNTIF(H$1784:H1799,H1799)-1,1,0)</f>
        <v>3</v>
      </c>
      <c r="J1799" t="b">
        <f t="shared" si="329"/>
        <v>0</v>
      </c>
      <c r="K1799" t="str">
        <f t="shared" si="330"/>
        <v/>
      </c>
      <c r="L1799">
        <f>_xlfn.XLOOKUP(D1799,BugList!C:C,BugList!N:N)</f>
        <v>7</v>
      </c>
      <c r="M1799">
        <f t="shared" si="331"/>
        <v>21</v>
      </c>
      <c r="N1799" t="b">
        <f>_xlfn.XLOOKUP(D1799,BugList!C:C,BugList!L:L)</f>
        <v>0</v>
      </c>
      <c r="O1799" t="b">
        <f t="shared" si="332"/>
        <v>0</v>
      </c>
      <c r="P1799" s="18" t="b">
        <f>SUMPRODUCT(COUNTIF(_xlfn.XLOOKUP(D1799,BugList!C:C,BugList!P:P), "*SC*"))&gt;0</f>
        <v>1</v>
      </c>
    </row>
    <row r="1800" spans="1:16">
      <c r="A1800" s="9" t="s">
        <v>2906</v>
      </c>
      <c r="B1800" s="83">
        <v>215</v>
      </c>
      <c r="C1800" s="34" t="s">
        <v>205</v>
      </c>
      <c r="D1800" s="34" t="s">
        <v>206</v>
      </c>
      <c r="E1800" s="83">
        <v>2</v>
      </c>
      <c r="F1800" s="43">
        <f t="shared" si="322"/>
        <v>1.3888888888888888</v>
      </c>
      <c r="G1800" s="44">
        <f t="shared" si="327"/>
        <v>1</v>
      </c>
      <c r="H1800" s="44">
        <f t="shared" si="328"/>
        <v>0.38888888888888884</v>
      </c>
      <c r="I1800" cm="1">
        <f t="array" ref="I1800">INT(F1800)+IF(100-SUM(INT(F$1784:F$1801))&gt;=RANK(H1800,H$1784:H$1801)+COUNTIF(H$1784:H1800,H1800)-1,1,0)</f>
        <v>1</v>
      </c>
      <c r="J1800" t="b">
        <f t="shared" si="329"/>
        <v>0</v>
      </c>
      <c r="K1800" t="str">
        <f t="shared" si="330"/>
        <v/>
      </c>
      <c r="L1800" s="71">
        <v>8</v>
      </c>
      <c r="M1800">
        <f t="shared" si="331"/>
        <v>8</v>
      </c>
      <c r="N1800" s="71" t="b">
        <v>0</v>
      </c>
      <c r="O1800" t="b">
        <f t="shared" si="332"/>
        <v>0</v>
      </c>
      <c r="P1800" s="72" t="b">
        <v>0</v>
      </c>
    </row>
    <row r="1801" spans="1:16">
      <c r="A1801" s="9" t="s">
        <v>2906</v>
      </c>
      <c r="B1801" s="83">
        <v>215</v>
      </c>
      <c r="C1801" s="34" t="s">
        <v>94</v>
      </c>
      <c r="D1801" s="34" t="s">
        <v>94</v>
      </c>
      <c r="E1801" s="83">
        <v>1</v>
      </c>
      <c r="F1801" s="43">
        <f t="shared" si="322"/>
        <v>0.69444444444444442</v>
      </c>
      <c r="G1801" s="44">
        <f t="shared" si="327"/>
        <v>0</v>
      </c>
      <c r="H1801" s="44">
        <f t="shared" si="328"/>
        <v>0.69444444444444442</v>
      </c>
      <c r="I1801" cm="1">
        <f t="array" ref="I1801">INT(F1801)+IF(100-SUM(INT(F$1784:F$1801))&gt;=RANK(H1801,H$1784:H$1801)+COUNTIF(H$1784:H1801,H1801)-1,1,0)</f>
        <v>1</v>
      </c>
      <c r="J1801" t="b">
        <f t="shared" si="329"/>
        <v>0</v>
      </c>
      <c r="K1801" t="str">
        <f t="shared" si="330"/>
        <v/>
      </c>
      <c r="L1801">
        <f>_xlfn.XLOOKUP(D1801,BugList!C:C,BugList!N:N)</f>
        <v>8</v>
      </c>
      <c r="M1801">
        <f t="shared" si="331"/>
        <v>8</v>
      </c>
      <c r="N1801" t="b">
        <f>_xlfn.XLOOKUP(D1801,BugList!C:C,BugList!L:L)</f>
        <v>0</v>
      </c>
      <c r="O1801" t="b">
        <f t="shared" si="332"/>
        <v>0</v>
      </c>
      <c r="P1801" s="18" t="b">
        <f>SUMPRODUCT(COUNTIF(_xlfn.XLOOKUP(D1801,BugList!C:C,BugList!P:P), "*SC*"))&gt;0</f>
        <v>0</v>
      </c>
    </row>
    <row r="1802" spans="1:16">
      <c r="A1802" s="9" t="s">
        <v>2907</v>
      </c>
      <c r="B1802" s="83">
        <v>227</v>
      </c>
      <c r="C1802" s="34" t="s">
        <v>200</v>
      </c>
      <c r="D1802" s="34" t="s">
        <v>98</v>
      </c>
      <c r="E1802" s="83">
        <v>7</v>
      </c>
      <c r="F1802" s="43">
        <f t="shared" si="322"/>
        <v>6.5420560747663545</v>
      </c>
      <c r="G1802" s="44">
        <f t="shared" si="327"/>
        <v>6</v>
      </c>
      <c r="H1802" s="44">
        <f t="shared" si="328"/>
        <v>0.54205607476635453</v>
      </c>
      <c r="I1802" cm="1">
        <f t="array" ref="I1802">INT(F1802)+IF(100-SUM(INT(F$1802:F$1815))&gt;=RANK(H1802,H$1802:H$1815)+COUNTIF(H$1802:H1802,H1802)-1,1,0)</f>
        <v>6</v>
      </c>
      <c r="J1802" t="b">
        <f t="shared" si="329"/>
        <v>0</v>
      </c>
      <c r="K1802" t="str">
        <f t="shared" si="330"/>
        <v/>
      </c>
      <c r="L1802">
        <f>_xlfn.XLOOKUP(D1802,BugList!C:C,BugList!N:N)</f>
        <v>4</v>
      </c>
      <c r="M1802">
        <f t="shared" si="331"/>
        <v>24</v>
      </c>
      <c r="N1802" t="b">
        <f>_xlfn.XLOOKUP(D1802,BugList!C:C,BugList!L:L)</f>
        <v>1</v>
      </c>
      <c r="O1802" t="b">
        <f t="shared" si="332"/>
        <v>0</v>
      </c>
      <c r="P1802" s="18" t="b">
        <f>SUMPRODUCT(COUNTIF(_xlfn.XLOOKUP(D1802,BugList!C:C,BugList!P:P), "*SC*"))&gt;0</f>
        <v>1</v>
      </c>
    </row>
    <row r="1803" spans="1:16">
      <c r="A1803" s="9" t="s">
        <v>2907</v>
      </c>
      <c r="B1803" s="83">
        <v>227</v>
      </c>
      <c r="C1803" s="34" t="s">
        <v>200</v>
      </c>
      <c r="D1803" s="34" t="s">
        <v>1563</v>
      </c>
      <c r="E1803" s="83">
        <v>1</v>
      </c>
      <c r="F1803" s="43">
        <f t="shared" si="322"/>
        <v>0.93457943925233633</v>
      </c>
      <c r="G1803" s="44">
        <f t="shared" si="327"/>
        <v>0</v>
      </c>
      <c r="H1803" s="44">
        <f t="shared" si="328"/>
        <v>0.93457943925233633</v>
      </c>
      <c r="I1803" cm="1">
        <f t="array" ref="I1803">INT(F1803)+IF(100-SUM(INT(F$1802:F$1815))&gt;=RANK(H1803,H$1802:H$1815)+COUNTIF(H$1802:H1803,H1803)-1,1,0)</f>
        <v>1</v>
      </c>
      <c r="J1803" t="b">
        <f t="shared" si="329"/>
        <v>0</v>
      </c>
      <c r="K1803" t="str">
        <f t="shared" si="330"/>
        <v/>
      </c>
      <c r="L1803">
        <f>_xlfn.XLOOKUP(D1803,BugList!C:C,BugList!N:N)</f>
        <v>5</v>
      </c>
      <c r="M1803">
        <f t="shared" si="331"/>
        <v>5</v>
      </c>
      <c r="N1803" t="b">
        <f>_xlfn.XLOOKUP(D1803,BugList!C:C,BugList!L:L)</f>
        <v>1</v>
      </c>
      <c r="O1803" t="b">
        <f t="shared" si="332"/>
        <v>0</v>
      </c>
      <c r="P1803" s="18" t="b">
        <f>SUMPRODUCT(COUNTIF(_xlfn.XLOOKUP(D1803,BugList!C:C,BugList!P:P), "*SC*"))&gt;0</f>
        <v>0</v>
      </c>
    </row>
    <row r="1804" spans="1:16">
      <c r="A1804" s="9" t="s">
        <v>2907</v>
      </c>
      <c r="B1804" s="83">
        <v>227</v>
      </c>
      <c r="C1804" s="34" t="s">
        <v>200</v>
      </c>
      <c r="D1804" s="34" t="s">
        <v>100</v>
      </c>
      <c r="E1804" s="83">
        <v>36</v>
      </c>
      <c r="F1804" s="43">
        <f t="shared" si="322"/>
        <v>33.644859813084111</v>
      </c>
      <c r="G1804" s="44">
        <f t="shared" si="327"/>
        <v>33</v>
      </c>
      <c r="H1804" s="44">
        <f t="shared" si="328"/>
        <v>0.64485981308411056</v>
      </c>
      <c r="I1804" cm="1">
        <f t="array" ref="I1804">INT(F1804)+IF(100-SUM(INT(F$1802:F$1815))&gt;=RANK(H1804,H$1802:H$1815)+COUNTIF(H$1802:H1804,H1804)-1,1,0)</f>
        <v>34</v>
      </c>
      <c r="J1804" t="b">
        <f t="shared" si="329"/>
        <v>0</v>
      </c>
      <c r="K1804" t="str">
        <f t="shared" si="330"/>
        <v/>
      </c>
      <c r="L1804">
        <f>_xlfn.XLOOKUP(D1804,BugList!C:C,BugList!N:N)</f>
        <v>4</v>
      </c>
      <c r="M1804">
        <f t="shared" si="331"/>
        <v>136</v>
      </c>
      <c r="N1804" t="b">
        <f>_xlfn.XLOOKUP(D1804,BugList!C:C,BugList!L:L)</f>
        <v>1</v>
      </c>
      <c r="O1804" t="b">
        <f t="shared" si="332"/>
        <v>0</v>
      </c>
      <c r="P1804" s="18" t="b">
        <f>SUMPRODUCT(COUNTIF(_xlfn.XLOOKUP(D1804,BugList!C:C,BugList!P:P), "*SC*"))&gt;0</f>
        <v>1</v>
      </c>
    </row>
    <row r="1805" spans="1:16">
      <c r="A1805" s="9" t="s">
        <v>2907</v>
      </c>
      <c r="B1805" s="83">
        <v>227</v>
      </c>
      <c r="C1805" s="34" t="s">
        <v>199</v>
      </c>
      <c r="D1805" s="34" t="s">
        <v>111</v>
      </c>
      <c r="E1805" s="83">
        <v>7</v>
      </c>
      <c r="F1805" s="43">
        <f t="shared" si="322"/>
        <v>6.5420560747663545</v>
      </c>
      <c r="G1805" s="44">
        <f t="shared" si="327"/>
        <v>6</v>
      </c>
      <c r="H1805" s="44">
        <f t="shared" si="328"/>
        <v>0.54205607476635453</v>
      </c>
      <c r="I1805" cm="1">
        <f t="array" ref="I1805">INT(F1805)+IF(100-SUM(INT(F$1802:F$1815))&gt;=RANK(H1805,H$1802:H$1815)+COUNTIF(H$1802:H1805,H1805)-1,1,0)</f>
        <v>6</v>
      </c>
      <c r="J1805" t="b">
        <f t="shared" si="329"/>
        <v>1</v>
      </c>
      <c r="K1805" t="str">
        <f t="shared" si="330"/>
        <v>Ephemeroptera</v>
      </c>
      <c r="L1805">
        <f>_xlfn.XLOOKUP(D1805,BugList!C:C,BugList!N:N)</f>
        <v>4</v>
      </c>
      <c r="M1805">
        <f t="shared" si="331"/>
        <v>24</v>
      </c>
      <c r="N1805" t="b">
        <f>_xlfn.XLOOKUP(D1805,BugList!C:C,BugList!L:L)</f>
        <v>1</v>
      </c>
      <c r="O1805" t="b">
        <f t="shared" si="332"/>
        <v>1</v>
      </c>
      <c r="P1805" s="18" t="b">
        <f>SUMPRODUCT(COUNTIF(_xlfn.XLOOKUP(D1805,BugList!C:C,BugList!P:P), "*SC*"))&gt;0</f>
        <v>0</v>
      </c>
    </row>
    <row r="1806" spans="1:16">
      <c r="A1806" s="9" t="s">
        <v>2907</v>
      </c>
      <c r="B1806" s="83">
        <v>227</v>
      </c>
      <c r="C1806" s="34" t="s">
        <v>195</v>
      </c>
      <c r="D1806" s="34" t="s">
        <v>97</v>
      </c>
      <c r="E1806" s="83">
        <v>3</v>
      </c>
      <c r="F1806" s="43">
        <f t="shared" si="322"/>
        <v>2.8037383177570092</v>
      </c>
      <c r="G1806" s="44">
        <f t="shared" si="327"/>
        <v>2</v>
      </c>
      <c r="H1806" s="44">
        <f t="shared" si="328"/>
        <v>0.80373831775700921</v>
      </c>
      <c r="I1806" cm="1">
        <f t="array" ref="I1806">INT(F1806)+IF(100-SUM(INT(F$1802:F$1815))&gt;=RANK(H1806,H$1802:H$1815)+COUNTIF(H$1802:H1806,H1806)-1,1,0)</f>
        <v>3</v>
      </c>
      <c r="J1806" t="b">
        <f t="shared" si="329"/>
        <v>0</v>
      </c>
      <c r="K1806" t="str">
        <f t="shared" si="330"/>
        <v/>
      </c>
      <c r="L1806">
        <f>_xlfn.XLOOKUP(D1806,BugList!C:C,BugList!N:N)</f>
        <v>9</v>
      </c>
      <c r="M1806">
        <f t="shared" si="331"/>
        <v>27</v>
      </c>
      <c r="N1806" t="b">
        <f>_xlfn.XLOOKUP(D1806,BugList!C:C,BugList!L:L)</f>
        <v>1</v>
      </c>
      <c r="O1806" t="b">
        <f t="shared" si="332"/>
        <v>0</v>
      </c>
      <c r="P1806" s="18" t="b">
        <f>SUMPRODUCT(COUNTIF(_xlfn.XLOOKUP(D1806,BugList!C:C,BugList!P:P), "*SC*"))&gt;0</f>
        <v>0</v>
      </c>
    </row>
    <row r="1807" spans="1:16">
      <c r="A1807" s="9" t="s">
        <v>2907</v>
      </c>
      <c r="B1807" s="83">
        <v>227</v>
      </c>
      <c r="C1807" s="34" t="s">
        <v>195</v>
      </c>
      <c r="D1807" s="34" t="s">
        <v>113</v>
      </c>
      <c r="E1807" s="83">
        <v>1</v>
      </c>
      <c r="F1807" s="43">
        <f t="shared" ref="F1807:F1870" si="333">(E1807/(SUMIFS(E:E,A:A,A1807))*100)</f>
        <v>0.93457943925233633</v>
      </c>
      <c r="G1807" s="44">
        <f t="shared" si="327"/>
        <v>0</v>
      </c>
      <c r="H1807" s="44">
        <f t="shared" si="328"/>
        <v>0.93457943925233633</v>
      </c>
      <c r="I1807" cm="1">
        <f t="array" ref="I1807">INT(F1807)+IF(100-SUM(INT(F$1802:F$1815))&gt;=RANK(H1807,H$1802:H$1815)+COUNTIF(H$1802:H1807,H1807)-1,1,0)</f>
        <v>1</v>
      </c>
      <c r="J1807" t="b">
        <f t="shared" si="329"/>
        <v>0</v>
      </c>
      <c r="K1807" t="str">
        <f t="shared" si="330"/>
        <v/>
      </c>
      <c r="L1807">
        <f>_xlfn.XLOOKUP(D1807,BugList!C:C,BugList!N:N)</f>
        <v>1</v>
      </c>
      <c r="M1807">
        <f t="shared" si="331"/>
        <v>1</v>
      </c>
      <c r="N1807" t="b">
        <f>_xlfn.XLOOKUP(D1807,BugList!C:C,BugList!L:L)</f>
        <v>1</v>
      </c>
      <c r="O1807" t="b">
        <f t="shared" si="332"/>
        <v>0</v>
      </c>
      <c r="P1807" s="18" t="b">
        <f>SUMPRODUCT(COUNTIF(_xlfn.XLOOKUP(D1807,BugList!C:C,BugList!P:P), "*SC*"))&gt;0</f>
        <v>0</v>
      </c>
    </row>
    <row r="1808" spans="1:16">
      <c r="A1808" s="9" t="s">
        <v>2907</v>
      </c>
      <c r="B1808" s="83">
        <v>227</v>
      </c>
      <c r="C1808" s="34" t="s">
        <v>211</v>
      </c>
      <c r="D1808" s="34" t="s">
        <v>87</v>
      </c>
      <c r="E1808" s="83">
        <v>4</v>
      </c>
      <c r="F1808" s="43">
        <f t="shared" si="333"/>
        <v>3.7383177570093453</v>
      </c>
      <c r="G1808" s="44">
        <f t="shared" si="327"/>
        <v>3</v>
      </c>
      <c r="H1808" s="44">
        <f t="shared" si="328"/>
        <v>0.73831775700934532</v>
      </c>
      <c r="I1808" cm="1">
        <f t="array" ref="I1808">INT(F1808)+IF(100-SUM(INT(F$1802:F$1815))&gt;=RANK(H1808,H$1802:H$1815)+COUNTIF(H$1802:H1808,H1808)-1,1,0)</f>
        <v>4</v>
      </c>
      <c r="J1808" t="b">
        <f t="shared" si="329"/>
        <v>0</v>
      </c>
      <c r="K1808" t="str">
        <f t="shared" si="330"/>
        <v/>
      </c>
      <c r="L1808">
        <f>_xlfn.XLOOKUP(D1808,BugList!C:C,BugList!N:N)</f>
        <v>4</v>
      </c>
      <c r="M1808">
        <f t="shared" si="331"/>
        <v>16</v>
      </c>
      <c r="N1808" t="b">
        <f>_xlfn.XLOOKUP(D1808,BugList!C:C,BugList!L:L)</f>
        <v>0</v>
      </c>
      <c r="O1808" t="b">
        <f t="shared" si="332"/>
        <v>0</v>
      </c>
      <c r="P1808" s="18" t="b">
        <f>SUMPRODUCT(COUNTIF(_xlfn.XLOOKUP(D1808,BugList!C:C,BugList!P:P), "*SC*"))&gt;0</f>
        <v>0</v>
      </c>
    </row>
    <row r="1809" spans="1:16">
      <c r="A1809" s="9" t="s">
        <v>2907</v>
      </c>
      <c r="B1809" s="83">
        <v>227</v>
      </c>
      <c r="C1809" s="34" t="s">
        <v>198</v>
      </c>
      <c r="D1809" s="34" t="s">
        <v>89</v>
      </c>
      <c r="E1809" s="83">
        <v>30</v>
      </c>
      <c r="F1809" s="43">
        <f t="shared" si="333"/>
        <v>28.037383177570092</v>
      </c>
      <c r="G1809" s="44">
        <f t="shared" si="327"/>
        <v>28</v>
      </c>
      <c r="H1809" s="44">
        <f t="shared" si="328"/>
        <v>3.738317757009213E-2</v>
      </c>
      <c r="I1809" cm="1">
        <f t="array" ref="I1809">INT(F1809)+IF(100-SUM(INT(F$1802:F$1815))&gt;=RANK(H1809,H$1802:H$1815)+COUNTIF(H$1802:H1809,H1809)-1,1,0)</f>
        <v>28</v>
      </c>
      <c r="J1809" t="b">
        <f t="shared" si="329"/>
        <v>1</v>
      </c>
      <c r="K1809" t="str">
        <f t="shared" si="330"/>
        <v>Trichoptera</v>
      </c>
      <c r="L1809">
        <f>_xlfn.XLOOKUP(D1809,BugList!C:C,BugList!N:N)</f>
        <v>4</v>
      </c>
      <c r="M1809">
        <f t="shared" si="331"/>
        <v>112</v>
      </c>
      <c r="N1809" t="b">
        <f>_xlfn.XLOOKUP(D1809,BugList!C:C,BugList!L:L)</f>
        <v>1</v>
      </c>
      <c r="O1809" t="b">
        <f t="shared" si="332"/>
        <v>0</v>
      </c>
      <c r="P1809" s="18" t="b">
        <f>SUMPRODUCT(COUNTIF(_xlfn.XLOOKUP(D1809,BugList!C:C,BugList!P:P), "*SC*"))&gt;0</f>
        <v>0</v>
      </c>
    </row>
    <row r="1810" spans="1:16">
      <c r="A1810" s="9" t="s">
        <v>2907</v>
      </c>
      <c r="B1810" s="83">
        <v>227</v>
      </c>
      <c r="C1810" s="34" t="s">
        <v>198</v>
      </c>
      <c r="D1810" s="34" t="s">
        <v>107</v>
      </c>
      <c r="E1810" s="83">
        <v>8</v>
      </c>
      <c r="F1810" s="43">
        <f t="shared" si="333"/>
        <v>7.4766355140186906</v>
      </c>
      <c r="G1810" s="44">
        <f t="shared" si="327"/>
        <v>7</v>
      </c>
      <c r="H1810" s="44">
        <f t="shared" si="328"/>
        <v>0.47663551401869064</v>
      </c>
      <c r="I1810" cm="1">
        <f t="array" ref="I1810">INT(F1810)+IF(100-SUM(INT(F$1802:F$1815))&gt;=RANK(H1810,H$1802:H$1815)+COUNTIF(H$1802:H1810,H1810)-1,1,0)</f>
        <v>7</v>
      </c>
      <c r="J1810" t="b">
        <f t="shared" si="329"/>
        <v>1</v>
      </c>
      <c r="K1810" t="str">
        <f t="shared" si="330"/>
        <v>Trichoptera</v>
      </c>
      <c r="L1810">
        <f>_xlfn.XLOOKUP(D1810,BugList!C:C,BugList!N:N)</f>
        <v>3</v>
      </c>
      <c r="M1810">
        <f t="shared" si="331"/>
        <v>21</v>
      </c>
      <c r="N1810" t="b">
        <f>_xlfn.XLOOKUP(D1810,BugList!C:C,BugList!L:L)</f>
        <v>1</v>
      </c>
      <c r="O1810" t="b">
        <f t="shared" si="332"/>
        <v>1</v>
      </c>
      <c r="P1810" s="18" t="b">
        <f>SUMPRODUCT(COUNTIF(_xlfn.XLOOKUP(D1810,BugList!C:C,BugList!P:P), "*SC*"))&gt;0</f>
        <v>0</v>
      </c>
    </row>
    <row r="1811" spans="1:16">
      <c r="A1811" s="9" t="s">
        <v>2907</v>
      </c>
      <c r="B1811" s="83">
        <v>227</v>
      </c>
      <c r="C1811" s="34" t="s">
        <v>204</v>
      </c>
      <c r="D1811" s="34" t="s">
        <v>84</v>
      </c>
      <c r="E1811" s="83">
        <v>2</v>
      </c>
      <c r="F1811" s="43">
        <f t="shared" si="333"/>
        <v>1.8691588785046727</v>
      </c>
      <c r="G1811" s="44">
        <f t="shared" si="327"/>
        <v>1</v>
      </c>
      <c r="H1811" s="44">
        <f t="shared" si="328"/>
        <v>0.86915887850467266</v>
      </c>
      <c r="I1811" cm="1">
        <f t="array" ref="I1811">INT(F1811)+IF(100-SUM(INT(F$1802:F$1815))&gt;=RANK(H1811,H$1802:H$1815)+COUNTIF(H$1802:H1811,H1811)-1,1,0)</f>
        <v>2</v>
      </c>
      <c r="J1811" t="b">
        <f t="shared" si="329"/>
        <v>0</v>
      </c>
      <c r="K1811" t="str">
        <f t="shared" si="330"/>
        <v/>
      </c>
      <c r="L1811">
        <f>_xlfn.XLOOKUP(D1811,BugList!C:C,BugList!N:N)</f>
        <v>8</v>
      </c>
      <c r="M1811">
        <f t="shared" si="331"/>
        <v>16</v>
      </c>
      <c r="N1811" t="b">
        <f>_xlfn.XLOOKUP(D1811,BugList!C:C,BugList!L:L)</f>
        <v>0</v>
      </c>
      <c r="O1811" t="b">
        <f t="shared" si="332"/>
        <v>0</v>
      </c>
      <c r="P1811" s="18" t="b">
        <f>SUMPRODUCT(COUNTIF(_xlfn.XLOOKUP(D1811,BugList!C:C,BugList!P:P), "*SC*"))&gt;0</f>
        <v>0</v>
      </c>
    </row>
    <row r="1812" spans="1:16">
      <c r="A1812" s="9" t="s">
        <v>2907</v>
      </c>
      <c r="B1812" s="83">
        <v>227</v>
      </c>
      <c r="C1812" s="34" t="s">
        <v>201</v>
      </c>
      <c r="D1812" s="34" t="s">
        <v>85</v>
      </c>
      <c r="E1812" s="83">
        <v>5</v>
      </c>
      <c r="F1812" s="43">
        <f t="shared" si="333"/>
        <v>4.6728971962616823</v>
      </c>
      <c r="G1812" s="44">
        <f t="shared" si="327"/>
        <v>4</v>
      </c>
      <c r="H1812" s="44">
        <f t="shared" si="328"/>
        <v>0.67289719626168232</v>
      </c>
      <c r="I1812" cm="1">
        <f t="array" ref="I1812">INT(F1812)+IF(100-SUM(INT(F$1802:F$1815))&gt;=RANK(H1812,H$1802:H$1815)+COUNTIF(H$1802:H1812,H1812)-1,1,0)</f>
        <v>5</v>
      </c>
      <c r="J1812" t="b">
        <f t="shared" si="329"/>
        <v>0</v>
      </c>
      <c r="K1812" t="str">
        <f t="shared" si="330"/>
        <v/>
      </c>
      <c r="L1812">
        <f>_xlfn.XLOOKUP(D1812,BugList!C:C,BugList!N:N)</f>
        <v>4</v>
      </c>
      <c r="M1812">
        <f t="shared" si="331"/>
        <v>20</v>
      </c>
      <c r="N1812" t="b">
        <f>_xlfn.XLOOKUP(D1812,BugList!C:C,BugList!L:L)</f>
        <v>0</v>
      </c>
      <c r="O1812" t="b">
        <f t="shared" si="332"/>
        <v>0</v>
      </c>
      <c r="P1812" s="18" t="b">
        <f>SUMPRODUCT(COUNTIF(_xlfn.XLOOKUP(D1812,BugList!C:C,BugList!P:P), "*SC*"))&gt;0</f>
        <v>0</v>
      </c>
    </row>
    <row r="1813" spans="1:16">
      <c r="A1813" s="9" t="s">
        <v>2907</v>
      </c>
      <c r="B1813" s="83">
        <v>227</v>
      </c>
      <c r="C1813" s="34" t="s">
        <v>210</v>
      </c>
      <c r="D1813" s="34" t="s">
        <v>210</v>
      </c>
      <c r="E1813" s="83">
        <v>1</v>
      </c>
      <c r="F1813" s="43">
        <f t="shared" si="333"/>
        <v>0.93457943925233633</v>
      </c>
      <c r="G1813" s="44">
        <f t="shared" si="327"/>
        <v>0</v>
      </c>
      <c r="H1813" s="44">
        <f t="shared" si="328"/>
        <v>0.93457943925233633</v>
      </c>
      <c r="I1813" cm="1">
        <f t="array" ref="I1813">INT(F1813)+IF(100-SUM(INT(F$1802:F$1815))&gt;=RANK(H1813,H$1802:H$1815)+COUNTIF(H$1802:H1813,H1813)-1,1,0)</f>
        <v>1</v>
      </c>
      <c r="J1813" t="b">
        <f t="shared" si="329"/>
        <v>0</v>
      </c>
      <c r="K1813" t="str">
        <f t="shared" si="330"/>
        <v/>
      </c>
      <c r="L1813" s="71">
        <v>8</v>
      </c>
      <c r="M1813">
        <f t="shared" si="331"/>
        <v>8</v>
      </c>
      <c r="N1813" s="71" t="b">
        <v>0</v>
      </c>
      <c r="O1813" t="b">
        <f t="shared" si="332"/>
        <v>0</v>
      </c>
      <c r="P1813" s="72" t="b">
        <v>0</v>
      </c>
    </row>
    <row r="1814" spans="1:16">
      <c r="A1814" s="9" t="s">
        <v>2907</v>
      </c>
      <c r="B1814" s="83">
        <v>227</v>
      </c>
      <c r="C1814" s="34" t="s">
        <v>2315</v>
      </c>
      <c r="D1814" s="34" t="s">
        <v>2315</v>
      </c>
      <c r="E1814" s="83">
        <v>1</v>
      </c>
      <c r="F1814" s="43">
        <f t="shared" si="333"/>
        <v>0.93457943925233633</v>
      </c>
      <c r="G1814" s="44">
        <f t="shared" si="327"/>
        <v>0</v>
      </c>
      <c r="H1814" s="44">
        <f t="shared" si="328"/>
        <v>0.93457943925233633</v>
      </c>
      <c r="I1814" cm="1">
        <f t="array" ref="I1814">INT(F1814)+IF(100-SUM(INT(F$1802:F$1815))&gt;=RANK(H1814,H$1802:H$1815)+COUNTIF(H$1802:H1814,H1814)-1,1,0)</f>
        <v>1</v>
      </c>
      <c r="J1814" t="b">
        <f t="shared" si="329"/>
        <v>0</v>
      </c>
      <c r="K1814" t="str">
        <f t="shared" si="330"/>
        <v/>
      </c>
      <c r="L1814">
        <f>_xlfn.XLOOKUP(D1814,BugList!C:C,BugList!N:N)</f>
        <v>7</v>
      </c>
      <c r="M1814">
        <f t="shared" si="331"/>
        <v>7</v>
      </c>
      <c r="N1814" t="b">
        <f>_xlfn.XLOOKUP(D1814,BugList!C:C,BugList!L:L)</f>
        <v>0</v>
      </c>
      <c r="O1814" t="b">
        <f t="shared" si="332"/>
        <v>0</v>
      </c>
      <c r="P1814" s="18" t="b">
        <f>SUMPRODUCT(COUNTIF(_xlfn.XLOOKUP(D1814,BugList!C:C,BugList!P:P), "*SC*"))&gt;0</f>
        <v>1</v>
      </c>
    </row>
    <row r="1815" spans="1:16">
      <c r="A1815" s="9" t="s">
        <v>2907</v>
      </c>
      <c r="B1815" s="83">
        <v>227</v>
      </c>
      <c r="C1815" s="34" t="s">
        <v>205</v>
      </c>
      <c r="D1815" s="34" t="s">
        <v>206</v>
      </c>
      <c r="E1815" s="83">
        <v>1</v>
      </c>
      <c r="F1815" s="43">
        <f t="shared" si="333"/>
        <v>0.93457943925233633</v>
      </c>
      <c r="G1815" s="44">
        <f t="shared" si="327"/>
        <v>0</v>
      </c>
      <c r="H1815" s="44">
        <f t="shared" si="328"/>
        <v>0.93457943925233633</v>
      </c>
      <c r="I1815" cm="1">
        <f t="array" ref="I1815">INT(F1815)+IF(100-SUM(INT(F$1802:F$1815))&gt;=RANK(H1815,H$1802:H$1815)+COUNTIF(H$1802:H1815,H1815)-1,1,0)</f>
        <v>1</v>
      </c>
      <c r="J1815" t="b">
        <f t="shared" si="329"/>
        <v>0</v>
      </c>
      <c r="K1815" t="str">
        <f t="shared" si="330"/>
        <v/>
      </c>
      <c r="L1815" s="71">
        <v>8</v>
      </c>
      <c r="M1815">
        <f t="shared" si="331"/>
        <v>8</v>
      </c>
      <c r="N1815" s="71" t="b">
        <v>0</v>
      </c>
      <c r="O1815" t="b">
        <f t="shared" si="332"/>
        <v>0</v>
      </c>
      <c r="P1815" s="72" t="b">
        <v>0</v>
      </c>
    </row>
    <row r="1816" spans="1:16">
      <c r="A1816" s="9" t="s">
        <v>2908</v>
      </c>
      <c r="B1816" s="83">
        <v>263</v>
      </c>
      <c r="C1816" s="34" t="s">
        <v>200</v>
      </c>
      <c r="D1816" s="34" t="s">
        <v>98</v>
      </c>
      <c r="E1816" s="83">
        <v>1</v>
      </c>
      <c r="F1816" s="43">
        <f t="shared" si="333"/>
        <v>0.84033613445378152</v>
      </c>
      <c r="G1816" s="44">
        <f t="shared" si="327"/>
        <v>0</v>
      </c>
      <c r="H1816" s="44">
        <f t="shared" si="328"/>
        <v>0.84033613445378152</v>
      </c>
      <c r="I1816" cm="1">
        <f t="array" ref="I1816">INT(F1816)+IF(100-SUM(INT(F$1816:F$1831))&gt;=RANK(H1816,H$1816:H$1831)+COUNTIF(H$1816:H1816,H1816)-1,1,0)</f>
        <v>1</v>
      </c>
      <c r="J1816" t="b">
        <f t="shared" si="329"/>
        <v>0</v>
      </c>
      <c r="K1816" t="str">
        <f t="shared" si="330"/>
        <v/>
      </c>
      <c r="L1816">
        <f>_xlfn.XLOOKUP(D1816,BugList!C:C,BugList!N:N)</f>
        <v>4</v>
      </c>
      <c r="M1816">
        <f t="shared" si="331"/>
        <v>4</v>
      </c>
      <c r="N1816" t="b">
        <f>_xlfn.XLOOKUP(D1816,BugList!C:C,BugList!L:L)</f>
        <v>1</v>
      </c>
      <c r="O1816" t="b">
        <f t="shared" si="332"/>
        <v>0</v>
      </c>
      <c r="P1816" s="18" t="b">
        <f>SUMPRODUCT(COUNTIF(_xlfn.XLOOKUP(D1816,BugList!C:C,BugList!P:P), "*SC*"))&gt;0</f>
        <v>1</v>
      </c>
    </row>
    <row r="1817" spans="1:16">
      <c r="A1817" s="9" t="s">
        <v>2908</v>
      </c>
      <c r="B1817" s="83">
        <v>263</v>
      </c>
      <c r="C1817" s="34" t="s">
        <v>200</v>
      </c>
      <c r="D1817" s="34" t="s">
        <v>1563</v>
      </c>
      <c r="E1817" s="83">
        <v>17</v>
      </c>
      <c r="F1817" s="43">
        <f t="shared" si="333"/>
        <v>14.285714285714285</v>
      </c>
      <c r="G1817" s="44">
        <f t="shared" si="327"/>
        <v>14</v>
      </c>
      <c r="H1817" s="44">
        <f t="shared" si="328"/>
        <v>0.2857142857142847</v>
      </c>
      <c r="I1817" cm="1">
        <f t="array" ref="I1817">INT(F1817)+IF(100-SUM(INT(F$1816:F$1831))&gt;=RANK(H1817,H$1816:H$1831)+COUNTIF(H$1816:H1817,H1817)-1,1,0)</f>
        <v>14</v>
      </c>
      <c r="J1817" t="b">
        <f t="shared" si="329"/>
        <v>0</v>
      </c>
      <c r="K1817" t="str">
        <f t="shared" si="330"/>
        <v/>
      </c>
      <c r="L1817">
        <f>_xlfn.XLOOKUP(D1817,BugList!C:C,BugList!N:N)</f>
        <v>5</v>
      </c>
      <c r="M1817">
        <f t="shared" si="331"/>
        <v>70</v>
      </c>
      <c r="N1817" t="b">
        <f>_xlfn.XLOOKUP(D1817,BugList!C:C,BugList!L:L)</f>
        <v>1</v>
      </c>
      <c r="O1817" t="b">
        <f t="shared" si="332"/>
        <v>0</v>
      </c>
      <c r="P1817" s="18" t="b">
        <f>SUMPRODUCT(COUNTIF(_xlfn.XLOOKUP(D1817,BugList!C:C,BugList!P:P), "*SC*"))&gt;0</f>
        <v>0</v>
      </c>
    </row>
    <row r="1818" spans="1:16">
      <c r="A1818" s="9" t="s">
        <v>2908</v>
      </c>
      <c r="B1818" s="83">
        <v>263</v>
      </c>
      <c r="C1818" s="34" t="s">
        <v>200</v>
      </c>
      <c r="D1818" s="34" t="s">
        <v>100</v>
      </c>
      <c r="E1818" s="83">
        <v>7</v>
      </c>
      <c r="F1818" s="43">
        <f t="shared" si="333"/>
        <v>5.8823529411764701</v>
      </c>
      <c r="G1818" s="44">
        <f t="shared" si="327"/>
        <v>5</v>
      </c>
      <c r="H1818" s="44">
        <f t="shared" si="328"/>
        <v>0.88235294117647012</v>
      </c>
      <c r="I1818" cm="1">
        <f t="array" ref="I1818">INT(F1818)+IF(100-SUM(INT(F$1816:F$1831))&gt;=RANK(H1818,H$1816:H$1831)+COUNTIF(H$1816:H1818,H1818)-1,1,0)</f>
        <v>6</v>
      </c>
      <c r="J1818" t="b">
        <f t="shared" si="329"/>
        <v>0</v>
      </c>
      <c r="K1818" t="str">
        <f t="shared" si="330"/>
        <v/>
      </c>
      <c r="L1818">
        <f>_xlfn.XLOOKUP(D1818,BugList!C:C,BugList!N:N)</f>
        <v>4</v>
      </c>
      <c r="M1818">
        <f t="shared" si="331"/>
        <v>24</v>
      </c>
      <c r="N1818" t="b">
        <f>_xlfn.XLOOKUP(D1818,BugList!C:C,BugList!L:L)</f>
        <v>1</v>
      </c>
      <c r="O1818" t="b">
        <f t="shared" si="332"/>
        <v>0</v>
      </c>
      <c r="P1818" s="18" t="b">
        <f>SUMPRODUCT(COUNTIF(_xlfn.XLOOKUP(D1818,BugList!C:C,BugList!P:P), "*SC*"))&gt;0</f>
        <v>1</v>
      </c>
    </row>
    <row r="1819" spans="1:16">
      <c r="A1819" s="9" t="s">
        <v>2908</v>
      </c>
      <c r="B1819" s="83">
        <v>263</v>
      </c>
      <c r="C1819" s="34" t="s">
        <v>194</v>
      </c>
      <c r="D1819" s="34" t="s">
        <v>108</v>
      </c>
      <c r="E1819" s="83">
        <v>1</v>
      </c>
      <c r="F1819" s="43">
        <f t="shared" si="333"/>
        <v>0.84033613445378152</v>
      </c>
      <c r="G1819" s="44">
        <f t="shared" si="327"/>
        <v>0</v>
      </c>
      <c r="H1819" s="44">
        <f t="shared" si="328"/>
        <v>0.84033613445378152</v>
      </c>
      <c r="I1819" cm="1">
        <f t="array" ref="I1819">INT(F1819)+IF(100-SUM(INT(F$1816:F$1831))&gt;=RANK(H1819,H$1816:H$1831)+COUNTIF(H$1816:H1819,H1819)-1,1,0)</f>
        <v>1</v>
      </c>
      <c r="J1819" t="b">
        <f t="shared" si="329"/>
        <v>0</v>
      </c>
      <c r="K1819" t="str">
        <f t="shared" si="330"/>
        <v/>
      </c>
      <c r="L1819">
        <f>_xlfn.XLOOKUP(D1819,BugList!C:C,BugList!N:N)</f>
        <v>3</v>
      </c>
      <c r="M1819">
        <f t="shared" si="331"/>
        <v>3</v>
      </c>
      <c r="N1819" t="b">
        <f>_xlfn.XLOOKUP(D1819,BugList!C:C,BugList!L:L)</f>
        <v>1</v>
      </c>
      <c r="O1819" t="b">
        <f t="shared" si="332"/>
        <v>0</v>
      </c>
      <c r="P1819" s="18" t="b">
        <f>SUMPRODUCT(COUNTIF(_xlfn.XLOOKUP(D1819,BugList!C:C,BugList!P:P), "*SC*"))&gt;0</f>
        <v>0</v>
      </c>
    </row>
    <row r="1820" spans="1:16">
      <c r="A1820" s="9" t="s">
        <v>2908</v>
      </c>
      <c r="B1820" s="83">
        <v>263</v>
      </c>
      <c r="C1820" s="34" t="s">
        <v>199</v>
      </c>
      <c r="D1820" s="34" t="s">
        <v>111</v>
      </c>
      <c r="E1820" s="83">
        <v>8</v>
      </c>
      <c r="F1820" s="43">
        <f t="shared" si="333"/>
        <v>6.7226890756302522</v>
      </c>
      <c r="G1820" s="44">
        <f t="shared" si="327"/>
        <v>6</v>
      </c>
      <c r="H1820" s="44">
        <f t="shared" si="328"/>
        <v>0.7226890756302522</v>
      </c>
      <c r="I1820" cm="1">
        <f t="array" ref="I1820">INT(F1820)+IF(100-SUM(INT(F$1816:F$1831))&gt;=RANK(H1820,H$1816:H$1831)+COUNTIF(H$1816:H1820,H1820)-1,1,0)</f>
        <v>7</v>
      </c>
      <c r="J1820" t="b">
        <f t="shared" si="329"/>
        <v>1</v>
      </c>
      <c r="K1820" t="str">
        <f t="shared" si="330"/>
        <v>Ephemeroptera</v>
      </c>
      <c r="L1820">
        <f>_xlfn.XLOOKUP(D1820,BugList!C:C,BugList!N:N)</f>
        <v>4</v>
      </c>
      <c r="M1820">
        <f t="shared" si="331"/>
        <v>28</v>
      </c>
      <c r="N1820" t="b">
        <f>_xlfn.XLOOKUP(D1820,BugList!C:C,BugList!L:L)</f>
        <v>1</v>
      </c>
      <c r="O1820" t="b">
        <f t="shared" si="332"/>
        <v>1</v>
      </c>
      <c r="P1820" s="18" t="b">
        <f>SUMPRODUCT(COUNTIF(_xlfn.XLOOKUP(D1820,BugList!C:C,BugList!P:P), "*SC*"))&gt;0</f>
        <v>0</v>
      </c>
    </row>
    <row r="1821" spans="1:16">
      <c r="A1821" s="9" t="s">
        <v>2908</v>
      </c>
      <c r="B1821" s="83">
        <v>263</v>
      </c>
      <c r="C1821" s="34" t="s">
        <v>195</v>
      </c>
      <c r="D1821" s="34" t="s">
        <v>97</v>
      </c>
      <c r="E1821" s="83">
        <v>4</v>
      </c>
      <c r="F1821" s="43">
        <f t="shared" si="333"/>
        <v>3.3613445378151261</v>
      </c>
      <c r="G1821" s="44">
        <f t="shared" si="327"/>
        <v>3</v>
      </c>
      <c r="H1821" s="44">
        <f t="shared" si="328"/>
        <v>0.3613445378151261</v>
      </c>
      <c r="I1821" cm="1">
        <f t="array" ref="I1821">INT(F1821)+IF(100-SUM(INT(F$1816:F$1831))&gt;=RANK(H1821,H$1816:H$1831)+COUNTIF(H$1816:H1821,H1821)-1,1,0)</f>
        <v>3</v>
      </c>
      <c r="J1821" t="b">
        <f t="shared" si="329"/>
        <v>0</v>
      </c>
      <c r="K1821" t="str">
        <f t="shared" si="330"/>
        <v/>
      </c>
      <c r="L1821">
        <f>_xlfn.XLOOKUP(D1821,BugList!C:C,BugList!N:N)</f>
        <v>9</v>
      </c>
      <c r="M1821">
        <f t="shared" si="331"/>
        <v>27</v>
      </c>
      <c r="N1821" t="b">
        <f>_xlfn.XLOOKUP(D1821,BugList!C:C,BugList!L:L)</f>
        <v>1</v>
      </c>
      <c r="O1821" t="b">
        <f t="shared" si="332"/>
        <v>0</v>
      </c>
      <c r="P1821" s="18" t="b">
        <f>SUMPRODUCT(COUNTIF(_xlfn.XLOOKUP(D1821,BugList!C:C,BugList!P:P), "*SC*"))&gt;0</f>
        <v>0</v>
      </c>
    </row>
    <row r="1822" spans="1:16">
      <c r="A1822" s="9" t="s">
        <v>2908</v>
      </c>
      <c r="B1822" s="83">
        <v>263</v>
      </c>
      <c r="C1822" s="34" t="s">
        <v>195</v>
      </c>
      <c r="D1822" s="34" t="s">
        <v>113</v>
      </c>
      <c r="E1822" s="83">
        <v>3</v>
      </c>
      <c r="F1822" s="43">
        <f t="shared" si="333"/>
        <v>2.5210084033613445</v>
      </c>
      <c r="G1822" s="44">
        <f t="shared" si="327"/>
        <v>2</v>
      </c>
      <c r="H1822" s="44">
        <f t="shared" si="328"/>
        <v>0.52100840336134446</v>
      </c>
      <c r="I1822" cm="1">
        <f t="array" ref="I1822">INT(F1822)+IF(100-SUM(INT(F$1816:F$1831))&gt;=RANK(H1822,H$1816:H$1831)+COUNTIF(H$1816:H1822,H1822)-1,1,0)</f>
        <v>2</v>
      </c>
      <c r="J1822" t="b">
        <f t="shared" si="329"/>
        <v>0</v>
      </c>
      <c r="K1822" t="str">
        <f t="shared" si="330"/>
        <v/>
      </c>
      <c r="L1822">
        <f>_xlfn.XLOOKUP(D1822,BugList!C:C,BugList!N:N)</f>
        <v>1</v>
      </c>
      <c r="M1822">
        <f t="shared" si="331"/>
        <v>2</v>
      </c>
      <c r="N1822" t="b">
        <f>_xlfn.XLOOKUP(D1822,BugList!C:C,BugList!L:L)</f>
        <v>1</v>
      </c>
      <c r="O1822" t="b">
        <f t="shared" si="332"/>
        <v>0</v>
      </c>
      <c r="P1822" s="18" t="b">
        <f>SUMPRODUCT(COUNTIF(_xlfn.XLOOKUP(D1822,BugList!C:C,BugList!P:P), "*SC*"))&gt;0</f>
        <v>0</v>
      </c>
    </row>
    <row r="1823" spans="1:16">
      <c r="A1823" s="9" t="s">
        <v>2908</v>
      </c>
      <c r="B1823" s="83">
        <v>263</v>
      </c>
      <c r="C1823" s="34" t="s">
        <v>2741</v>
      </c>
      <c r="D1823" s="34" t="s">
        <v>87</v>
      </c>
      <c r="E1823" s="83">
        <v>1</v>
      </c>
      <c r="F1823" s="43">
        <f t="shared" si="333"/>
        <v>0.84033613445378152</v>
      </c>
      <c r="G1823" s="44">
        <f t="shared" si="327"/>
        <v>0</v>
      </c>
      <c r="H1823" s="44">
        <f t="shared" si="328"/>
        <v>0.84033613445378152</v>
      </c>
      <c r="I1823" cm="1">
        <f t="array" ref="I1823">INT(F1823)+IF(100-SUM(INT(F$1816:F$1831))&gt;=RANK(H1823,H$1816:H$1831)+COUNTIF(H$1816:H1823,H1823)-1,1,0)</f>
        <v>1</v>
      </c>
      <c r="J1823" t="b">
        <f t="shared" si="329"/>
        <v>0</v>
      </c>
      <c r="K1823" t="str">
        <f t="shared" si="330"/>
        <v/>
      </c>
      <c r="L1823">
        <f>_xlfn.XLOOKUP(D1823,BugList!C:C,BugList!N:N)</f>
        <v>4</v>
      </c>
      <c r="M1823">
        <f t="shared" si="331"/>
        <v>4</v>
      </c>
      <c r="N1823" t="b">
        <f>_xlfn.XLOOKUP(D1823,BugList!C:C,BugList!L:L)</f>
        <v>0</v>
      </c>
      <c r="O1823" t="b">
        <f t="shared" si="332"/>
        <v>0</v>
      </c>
      <c r="P1823" s="18" t="b">
        <f>SUMPRODUCT(COUNTIF(_xlfn.XLOOKUP(D1823,BugList!C:C,BugList!P:P), "*SC*"))&gt;0</f>
        <v>0</v>
      </c>
    </row>
    <row r="1824" spans="1:16">
      <c r="A1824" s="9" t="s">
        <v>2908</v>
      </c>
      <c r="B1824" s="83">
        <v>263</v>
      </c>
      <c r="C1824" s="34" t="s">
        <v>212</v>
      </c>
      <c r="D1824" s="34" t="s">
        <v>1174</v>
      </c>
      <c r="E1824" s="83">
        <v>11</v>
      </c>
      <c r="F1824" s="43">
        <f t="shared" si="333"/>
        <v>9.2436974789915975</v>
      </c>
      <c r="G1824" s="44">
        <f t="shared" si="327"/>
        <v>9</v>
      </c>
      <c r="H1824" s="44">
        <f t="shared" si="328"/>
        <v>0.24369747899159755</v>
      </c>
      <c r="I1824" cm="1">
        <f t="array" ref="I1824">INT(F1824)+IF(100-SUM(INT(F$1816:F$1831))&gt;=RANK(H1824,H$1816:H$1831)+COUNTIF(H$1816:H1824,H1824)-1,1,0)</f>
        <v>9</v>
      </c>
      <c r="J1824" t="b">
        <f t="shared" si="329"/>
        <v>0</v>
      </c>
      <c r="K1824" t="str">
        <f t="shared" si="330"/>
        <v/>
      </c>
      <c r="L1824">
        <f>_xlfn.XLOOKUP(D1824,BugList!C:C,BugList!N:N)</f>
        <v>9</v>
      </c>
      <c r="M1824">
        <f t="shared" si="331"/>
        <v>81</v>
      </c>
      <c r="N1824" t="b">
        <f>_xlfn.XLOOKUP(D1824,BugList!C:C,BugList!L:L)</f>
        <v>1</v>
      </c>
      <c r="O1824" t="b">
        <f t="shared" si="332"/>
        <v>0</v>
      </c>
      <c r="P1824" s="18" t="b">
        <f>SUMPRODUCT(COUNTIF(_xlfn.XLOOKUP(D1824,BugList!C:C,BugList!P:P), "*SC*"))&gt;0</f>
        <v>0</v>
      </c>
    </row>
    <row r="1825" spans="1:16">
      <c r="A1825" s="9" t="s">
        <v>2908</v>
      </c>
      <c r="B1825" s="83">
        <v>263</v>
      </c>
      <c r="C1825" s="84" t="s">
        <v>198</v>
      </c>
      <c r="D1825" s="84" t="s">
        <v>179</v>
      </c>
      <c r="E1825" s="83">
        <v>1</v>
      </c>
      <c r="F1825" s="43">
        <f t="shared" si="333"/>
        <v>0.84033613445378152</v>
      </c>
      <c r="G1825" s="44">
        <f t="shared" si="327"/>
        <v>0</v>
      </c>
      <c r="H1825" s="44">
        <f t="shared" si="328"/>
        <v>0.84033613445378152</v>
      </c>
      <c r="I1825" cm="1">
        <f t="array" ref="I1825">INT(F1825)+IF(100-SUM(INT(F$1816:F$1831))&gt;=RANK(H1825,H$1816:H$1831)+COUNTIF(H$1816:H1825,H1825)-1,1,0)</f>
        <v>1</v>
      </c>
      <c r="J1825" t="b">
        <f t="shared" si="329"/>
        <v>1</v>
      </c>
      <c r="K1825" t="str">
        <f t="shared" si="330"/>
        <v>Trichoptera</v>
      </c>
      <c r="L1825">
        <f>_xlfn.XLOOKUP(D1825,BugList!C:C,BugList!N:N)</f>
        <v>1</v>
      </c>
      <c r="M1825">
        <f t="shared" si="331"/>
        <v>1</v>
      </c>
      <c r="N1825" t="b">
        <f>_xlfn.XLOOKUP(D1825,BugList!C:C,BugList!L:L)</f>
        <v>1</v>
      </c>
      <c r="O1825" t="b">
        <f t="shared" si="332"/>
        <v>1</v>
      </c>
      <c r="P1825" s="18" t="b">
        <f>SUMPRODUCT(COUNTIF(_xlfn.XLOOKUP(D1825,BugList!C:C,BugList!P:P), "*SC*"))&gt;0</f>
        <v>0</v>
      </c>
    </row>
    <row r="1826" spans="1:16">
      <c r="A1826" s="9" t="s">
        <v>2908</v>
      </c>
      <c r="B1826" s="83">
        <v>263</v>
      </c>
      <c r="C1826" s="34" t="s">
        <v>198</v>
      </c>
      <c r="D1826" s="34" t="s">
        <v>89</v>
      </c>
      <c r="E1826" s="83">
        <v>20</v>
      </c>
      <c r="F1826" s="43">
        <f t="shared" si="333"/>
        <v>16.806722689075631</v>
      </c>
      <c r="G1826" s="44">
        <f t="shared" si="327"/>
        <v>16</v>
      </c>
      <c r="H1826" s="44">
        <f t="shared" si="328"/>
        <v>0.80672268907563094</v>
      </c>
      <c r="I1826" cm="1">
        <f t="array" ref="I1826">INT(F1826)+IF(100-SUM(INT(F$1816:F$1831))&gt;=RANK(H1826,H$1816:H$1831)+COUNTIF(H$1816:H1826,H1826)-1,1,0)</f>
        <v>17</v>
      </c>
      <c r="J1826" t="b">
        <f t="shared" si="329"/>
        <v>1</v>
      </c>
      <c r="K1826" t="str">
        <f t="shared" si="330"/>
        <v>Trichoptera</v>
      </c>
      <c r="L1826">
        <f>_xlfn.XLOOKUP(D1826,BugList!C:C,BugList!N:N)</f>
        <v>4</v>
      </c>
      <c r="M1826">
        <f t="shared" si="331"/>
        <v>68</v>
      </c>
      <c r="N1826" t="b">
        <f>_xlfn.XLOOKUP(D1826,BugList!C:C,BugList!L:L)</f>
        <v>1</v>
      </c>
      <c r="O1826" t="b">
        <f t="shared" si="332"/>
        <v>0</v>
      </c>
      <c r="P1826" s="18" t="b">
        <f>SUMPRODUCT(COUNTIF(_xlfn.XLOOKUP(D1826,BugList!C:C,BugList!P:P), "*SC*"))&gt;0</f>
        <v>0</v>
      </c>
    </row>
    <row r="1827" spans="1:16">
      <c r="A1827" s="9" t="s">
        <v>2908</v>
      </c>
      <c r="B1827" s="83">
        <v>263</v>
      </c>
      <c r="C1827" s="34" t="s">
        <v>198</v>
      </c>
      <c r="D1827" s="34" t="s">
        <v>107</v>
      </c>
      <c r="E1827" s="83">
        <v>2</v>
      </c>
      <c r="F1827" s="43">
        <f t="shared" si="333"/>
        <v>1.680672268907563</v>
      </c>
      <c r="G1827" s="44">
        <f t="shared" si="327"/>
        <v>1</v>
      </c>
      <c r="H1827" s="44">
        <f t="shared" si="328"/>
        <v>0.68067226890756305</v>
      </c>
      <c r="I1827" cm="1">
        <f t="array" ref="I1827">INT(F1827)+IF(100-SUM(INT(F$1816:F$1831))&gt;=RANK(H1827,H$1816:H$1831)+COUNTIF(H$1816:H1827,H1827)-1,1,0)</f>
        <v>2</v>
      </c>
      <c r="J1827" t="b">
        <f t="shared" si="329"/>
        <v>1</v>
      </c>
      <c r="K1827" t="str">
        <f t="shared" si="330"/>
        <v>Trichoptera</v>
      </c>
      <c r="L1827">
        <f>_xlfn.XLOOKUP(D1827,BugList!C:C,BugList!N:N)</f>
        <v>3</v>
      </c>
      <c r="M1827">
        <f t="shared" si="331"/>
        <v>6</v>
      </c>
      <c r="N1827" t="b">
        <f>_xlfn.XLOOKUP(D1827,BugList!C:C,BugList!L:L)</f>
        <v>1</v>
      </c>
      <c r="O1827" t="b">
        <f t="shared" si="332"/>
        <v>1</v>
      </c>
      <c r="P1827" s="18" t="b">
        <f>SUMPRODUCT(COUNTIF(_xlfn.XLOOKUP(D1827,BugList!C:C,BugList!P:P), "*SC*"))&gt;0</f>
        <v>0</v>
      </c>
    </row>
    <row r="1828" spans="1:16">
      <c r="A1828" s="9" t="s">
        <v>2908</v>
      </c>
      <c r="B1828" s="83">
        <v>263</v>
      </c>
      <c r="C1828" s="34" t="s">
        <v>204</v>
      </c>
      <c r="D1828" s="34" t="s">
        <v>84</v>
      </c>
      <c r="E1828" s="83">
        <v>14</v>
      </c>
      <c r="F1828" s="43">
        <f t="shared" si="333"/>
        <v>11.76470588235294</v>
      </c>
      <c r="G1828" s="44">
        <f t="shared" si="327"/>
        <v>11</v>
      </c>
      <c r="H1828" s="44">
        <f t="shared" si="328"/>
        <v>0.76470588235294024</v>
      </c>
      <c r="I1828" cm="1">
        <f t="array" ref="I1828">INT(F1828)+IF(100-SUM(INT(F$1816:F$1831))&gt;=RANK(H1828,H$1816:H$1831)+COUNTIF(H$1816:H1828,H1828)-1,1,0)</f>
        <v>12</v>
      </c>
      <c r="J1828" t="b">
        <f t="shared" si="329"/>
        <v>0</v>
      </c>
      <c r="K1828" t="str">
        <f t="shared" si="330"/>
        <v/>
      </c>
      <c r="L1828">
        <f>_xlfn.XLOOKUP(D1828,BugList!C:C,BugList!N:N)</f>
        <v>8</v>
      </c>
      <c r="M1828">
        <f t="shared" si="331"/>
        <v>96</v>
      </c>
      <c r="N1828" t="b">
        <f>_xlfn.XLOOKUP(D1828,BugList!C:C,BugList!L:L)</f>
        <v>0</v>
      </c>
      <c r="O1828" t="b">
        <f t="shared" si="332"/>
        <v>0</v>
      </c>
      <c r="P1828" s="18" t="b">
        <f>SUMPRODUCT(COUNTIF(_xlfn.XLOOKUP(D1828,BugList!C:C,BugList!P:P), "*SC*"))&gt;0</f>
        <v>0</v>
      </c>
    </row>
    <row r="1829" spans="1:16">
      <c r="A1829" s="9" t="s">
        <v>2908</v>
      </c>
      <c r="B1829" s="83">
        <v>263</v>
      </c>
      <c r="C1829" s="34" t="s">
        <v>201</v>
      </c>
      <c r="D1829" s="34" t="s">
        <v>85</v>
      </c>
      <c r="E1829" s="83">
        <v>22</v>
      </c>
      <c r="F1829" s="43">
        <f t="shared" si="333"/>
        <v>18.487394957983195</v>
      </c>
      <c r="G1829" s="44">
        <f t="shared" si="327"/>
        <v>18</v>
      </c>
      <c r="H1829" s="44">
        <f t="shared" si="328"/>
        <v>0.4873949579831951</v>
      </c>
      <c r="I1829" cm="1">
        <f t="array" ref="I1829">INT(F1829)+IF(100-SUM(INT(F$1816:F$1831))&gt;=RANK(H1829,H$1816:H$1831)+COUNTIF(H$1816:H1829,H1829)-1,1,0)</f>
        <v>18</v>
      </c>
      <c r="J1829" t="b">
        <f t="shared" si="329"/>
        <v>0</v>
      </c>
      <c r="K1829" t="str">
        <f t="shared" si="330"/>
        <v/>
      </c>
      <c r="L1829">
        <f>_xlfn.XLOOKUP(D1829,BugList!C:C,BugList!N:N)</f>
        <v>4</v>
      </c>
      <c r="M1829">
        <f t="shared" si="331"/>
        <v>72</v>
      </c>
      <c r="N1829" t="b">
        <f>_xlfn.XLOOKUP(D1829,BugList!C:C,BugList!L:L)</f>
        <v>0</v>
      </c>
      <c r="O1829" t="b">
        <f t="shared" si="332"/>
        <v>0</v>
      </c>
      <c r="P1829" s="18" t="b">
        <f>SUMPRODUCT(COUNTIF(_xlfn.XLOOKUP(D1829,BugList!C:C,BugList!P:P), "*SC*"))&gt;0</f>
        <v>0</v>
      </c>
    </row>
    <row r="1830" spans="1:16">
      <c r="A1830" s="9" t="s">
        <v>2908</v>
      </c>
      <c r="B1830" s="83">
        <v>263</v>
      </c>
      <c r="C1830" s="34" t="s">
        <v>205</v>
      </c>
      <c r="D1830" s="34" t="s">
        <v>206</v>
      </c>
      <c r="E1830" s="83">
        <v>1</v>
      </c>
      <c r="F1830" s="43">
        <f t="shared" si="333"/>
        <v>0.84033613445378152</v>
      </c>
      <c r="G1830" s="44">
        <f t="shared" si="327"/>
        <v>0</v>
      </c>
      <c r="H1830" s="44">
        <f t="shared" si="328"/>
        <v>0.84033613445378152</v>
      </c>
      <c r="I1830" cm="1">
        <f t="array" ref="I1830">INT(F1830)+IF(100-SUM(INT(F$1816:F$1831))&gt;=RANK(H1830,H$1816:H$1831)+COUNTIF(H$1816:H1830,H1830)-1,1,0)</f>
        <v>1</v>
      </c>
      <c r="J1830" t="b">
        <f t="shared" si="329"/>
        <v>0</v>
      </c>
      <c r="K1830" t="str">
        <f t="shared" si="330"/>
        <v/>
      </c>
      <c r="L1830" s="71">
        <v>8</v>
      </c>
      <c r="M1830">
        <f t="shared" ref="M1830" si="334">L1830*I1830</f>
        <v>8</v>
      </c>
      <c r="N1830" s="71" t="b">
        <v>0</v>
      </c>
      <c r="O1830" t="b">
        <f t="shared" ref="O1830" si="335">IF(J1830=TRUE,IF(D1830="Hydropsychidae", FALSE, TRUE), FALSE)</f>
        <v>0</v>
      </c>
      <c r="P1830" s="72" t="b">
        <v>0</v>
      </c>
    </row>
    <row r="1831" spans="1:16">
      <c r="A1831" s="9" t="s">
        <v>2908</v>
      </c>
      <c r="B1831" s="83">
        <v>263</v>
      </c>
      <c r="C1831" s="34" t="s">
        <v>94</v>
      </c>
      <c r="D1831" s="34" t="s">
        <v>94</v>
      </c>
      <c r="E1831" s="83">
        <v>6</v>
      </c>
      <c r="F1831" s="43">
        <f t="shared" si="333"/>
        <v>5.0420168067226889</v>
      </c>
      <c r="G1831" s="44">
        <f t="shared" si="327"/>
        <v>5</v>
      </c>
      <c r="H1831" s="44">
        <f t="shared" si="328"/>
        <v>4.2016806722688926E-2</v>
      </c>
      <c r="I1831" cm="1">
        <f t="array" ref="I1831">INT(F1831)+IF(100-SUM(INT(F$1816:F$1831))&gt;=RANK(H1831,H$1816:H$1831)+COUNTIF(H$1816:H1831,H1831)-1,1,0)</f>
        <v>5</v>
      </c>
      <c r="J1831" t="b">
        <f t="shared" si="329"/>
        <v>0</v>
      </c>
      <c r="K1831" t="str">
        <f t="shared" si="330"/>
        <v/>
      </c>
      <c r="L1831">
        <f>_xlfn.XLOOKUP(D1831,BugList!C:C,BugList!N:N)</f>
        <v>8</v>
      </c>
      <c r="M1831">
        <f t="shared" si="331"/>
        <v>40</v>
      </c>
      <c r="N1831" t="b">
        <f>_xlfn.XLOOKUP(D1831,BugList!C:C,BugList!L:L)</f>
        <v>0</v>
      </c>
      <c r="O1831" t="b">
        <f t="shared" si="332"/>
        <v>0</v>
      </c>
      <c r="P1831" s="18" t="b">
        <f>SUMPRODUCT(COUNTIF(_xlfn.XLOOKUP(D1831,BugList!C:C,BugList!P:P), "*SC*"))&gt;0</f>
        <v>0</v>
      </c>
    </row>
    <row r="1832" spans="1:16">
      <c r="A1832" s="9" t="s">
        <v>2909</v>
      </c>
      <c r="B1832" s="83">
        <v>289</v>
      </c>
      <c r="C1832" s="34" t="s">
        <v>200</v>
      </c>
      <c r="D1832" s="34" t="s">
        <v>98</v>
      </c>
      <c r="E1832" s="83">
        <v>8</v>
      </c>
      <c r="F1832" s="43">
        <f t="shared" si="333"/>
        <v>7.4074074074074066</v>
      </c>
      <c r="G1832" s="44">
        <f t="shared" si="327"/>
        <v>7</v>
      </c>
      <c r="H1832" s="44">
        <f t="shared" si="328"/>
        <v>0.40740740740740655</v>
      </c>
      <c r="I1832" cm="1">
        <f t="array" ref="I1832">INT(F1832)+IF(100-SUM(INT(F$1832:F$1845))&gt;=RANK(H1832,H$1832:H$1845)+COUNTIF(H$1832:H1832,H1832)-1,1,0)</f>
        <v>7</v>
      </c>
      <c r="J1832" t="b">
        <f t="shared" si="329"/>
        <v>0</v>
      </c>
      <c r="K1832" t="str">
        <f t="shared" si="330"/>
        <v/>
      </c>
      <c r="L1832">
        <f>_xlfn.XLOOKUP(D1832,BugList!C:C,BugList!N:N)</f>
        <v>4</v>
      </c>
      <c r="M1832">
        <f t="shared" si="331"/>
        <v>28</v>
      </c>
      <c r="N1832" t="b">
        <f>_xlfn.XLOOKUP(D1832,BugList!C:C,BugList!L:L)</f>
        <v>1</v>
      </c>
      <c r="O1832" t="b">
        <f t="shared" si="332"/>
        <v>0</v>
      </c>
      <c r="P1832" s="18" t="b">
        <f>SUMPRODUCT(COUNTIF(_xlfn.XLOOKUP(D1832,BugList!C:C,BugList!P:P), "*SC*"))&gt;0</f>
        <v>1</v>
      </c>
    </row>
    <row r="1833" spans="1:16">
      <c r="A1833" s="9" t="s">
        <v>2909</v>
      </c>
      <c r="B1833" s="83">
        <v>289</v>
      </c>
      <c r="C1833" s="34" t="s">
        <v>200</v>
      </c>
      <c r="D1833" s="34" t="s">
        <v>100</v>
      </c>
      <c r="E1833" s="83">
        <v>17</v>
      </c>
      <c r="F1833" s="43">
        <f t="shared" si="333"/>
        <v>15.74074074074074</v>
      </c>
      <c r="G1833" s="44">
        <f t="shared" si="327"/>
        <v>15</v>
      </c>
      <c r="H1833" s="44">
        <f t="shared" si="328"/>
        <v>0.74074074074074048</v>
      </c>
      <c r="I1833" cm="1">
        <f t="array" ref="I1833">INT(F1833)+IF(100-SUM(INT(F$1832:F$1845))&gt;=RANK(H1833,H$1832:H$1845)+COUNTIF(H$1832:H1833,H1833)-1,1,0)</f>
        <v>16</v>
      </c>
      <c r="J1833" t="b">
        <f t="shared" si="329"/>
        <v>0</v>
      </c>
      <c r="K1833" t="str">
        <f t="shared" si="330"/>
        <v/>
      </c>
      <c r="L1833">
        <f>_xlfn.XLOOKUP(D1833,BugList!C:C,BugList!N:N)</f>
        <v>4</v>
      </c>
      <c r="M1833">
        <f t="shared" si="331"/>
        <v>64</v>
      </c>
      <c r="N1833" t="b">
        <f>_xlfn.XLOOKUP(D1833,BugList!C:C,BugList!L:L)</f>
        <v>1</v>
      </c>
      <c r="O1833" t="b">
        <f t="shared" si="332"/>
        <v>0</v>
      </c>
      <c r="P1833" s="18" t="b">
        <f>SUMPRODUCT(COUNTIF(_xlfn.XLOOKUP(D1833,BugList!C:C,BugList!P:P), "*SC*"))&gt;0</f>
        <v>1</v>
      </c>
    </row>
    <row r="1834" spans="1:16">
      <c r="A1834" s="9" t="s">
        <v>2909</v>
      </c>
      <c r="B1834" s="83">
        <v>289</v>
      </c>
      <c r="C1834" s="34" t="s">
        <v>194</v>
      </c>
      <c r="D1834" s="34" t="s">
        <v>90</v>
      </c>
      <c r="E1834" s="83">
        <v>18</v>
      </c>
      <c r="F1834" s="43">
        <f t="shared" si="333"/>
        <v>16.666666666666664</v>
      </c>
      <c r="G1834" s="44">
        <f t="shared" si="327"/>
        <v>16</v>
      </c>
      <c r="H1834" s="44">
        <f t="shared" si="328"/>
        <v>0.6666666666666643</v>
      </c>
      <c r="I1834" cm="1">
        <f t="array" ref="I1834">INT(F1834)+IF(100-SUM(INT(F$1832:F$1845))&gt;=RANK(H1834,H$1832:H$1845)+COUNTIF(H$1832:H1834,H1834)-1,1,0)</f>
        <v>17</v>
      </c>
      <c r="J1834" t="b">
        <f t="shared" si="329"/>
        <v>0</v>
      </c>
      <c r="K1834" t="str">
        <f t="shared" si="330"/>
        <v/>
      </c>
      <c r="L1834">
        <f>_xlfn.XLOOKUP(D1834,BugList!C:C,BugList!N:N)</f>
        <v>6</v>
      </c>
      <c r="M1834">
        <f t="shared" si="331"/>
        <v>102</v>
      </c>
      <c r="N1834" t="b">
        <f>_xlfn.XLOOKUP(D1834,BugList!C:C,BugList!L:L)</f>
        <v>1</v>
      </c>
      <c r="O1834" t="b">
        <f t="shared" si="332"/>
        <v>0</v>
      </c>
      <c r="P1834" s="18" t="b">
        <f>SUMPRODUCT(COUNTIF(_xlfn.XLOOKUP(D1834,BugList!C:C,BugList!P:P), "*SC*"))&gt;0</f>
        <v>0</v>
      </c>
    </row>
    <row r="1835" spans="1:16">
      <c r="A1835" s="9" t="s">
        <v>2909</v>
      </c>
      <c r="B1835" s="83">
        <v>289</v>
      </c>
      <c r="C1835" s="34" t="s">
        <v>194</v>
      </c>
      <c r="D1835" s="34" t="s">
        <v>108</v>
      </c>
      <c r="E1835" s="83">
        <v>2</v>
      </c>
      <c r="F1835" s="43">
        <f t="shared" si="333"/>
        <v>1.8518518518518516</v>
      </c>
      <c r="G1835" s="44">
        <f t="shared" si="327"/>
        <v>1</v>
      </c>
      <c r="H1835" s="44">
        <f t="shared" si="328"/>
        <v>0.85185185185185164</v>
      </c>
      <c r="I1835" cm="1">
        <f t="array" ref="I1835">INT(F1835)+IF(100-SUM(INT(F$1832:F$1845))&gt;=RANK(H1835,H$1832:H$1845)+COUNTIF(H$1832:H1835,H1835)-1,1,0)</f>
        <v>2</v>
      </c>
      <c r="J1835" t="b">
        <f t="shared" si="329"/>
        <v>0</v>
      </c>
      <c r="K1835" t="str">
        <f t="shared" si="330"/>
        <v/>
      </c>
      <c r="L1835">
        <f>_xlfn.XLOOKUP(D1835,BugList!C:C,BugList!N:N)</f>
        <v>3</v>
      </c>
      <c r="M1835">
        <f t="shared" si="331"/>
        <v>6</v>
      </c>
      <c r="N1835" t="b">
        <f>_xlfn.XLOOKUP(D1835,BugList!C:C,BugList!L:L)</f>
        <v>1</v>
      </c>
      <c r="O1835" t="b">
        <f t="shared" si="332"/>
        <v>0</v>
      </c>
      <c r="P1835" s="18" t="b">
        <f>SUMPRODUCT(COUNTIF(_xlfn.XLOOKUP(D1835,BugList!C:C,BugList!P:P), "*SC*"))&gt;0</f>
        <v>0</v>
      </c>
    </row>
    <row r="1836" spans="1:16">
      <c r="A1836" s="9" t="s">
        <v>2909</v>
      </c>
      <c r="B1836" s="83">
        <v>289</v>
      </c>
      <c r="C1836" s="34" t="s">
        <v>199</v>
      </c>
      <c r="D1836" s="34" t="s">
        <v>111</v>
      </c>
      <c r="E1836" s="83">
        <v>15</v>
      </c>
      <c r="F1836" s="43">
        <f t="shared" si="333"/>
        <v>13.888888888888889</v>
      </c>
      <c r="G1836" s="44">
        <f t="shared" si="327"/>
        <v>13</v>
      </c>
      <c r="H1836" s="44">
        <f t="shared" si="328"/>
        <v>0.88888888888888928</v>
      </c>
      <c r="I1836" cm="1">
        <f t="array" ref="I1836">INT(F1836)+IF(100-SUM(INT(F$1832:F$1845))&gt;=RANK(H1836,H$1832:H$1845)+COUNTIF(H$1832:H1836,H1836)-1,1,0)</f>
        <v>14</v>
      </c>
      <c r="J1836" t="b">
        <f t="shared" si="329"/>
        <v>1</v>
      </c>
      <c r="K1836" t="str">
        <f t="shared" si="330"/>
        <v>Ephemeroptera</v>
      </c>
      <c r="L1836">
        <f>_xlfn.XLOOKUP(D1836,BugList!C:C,BugList!N:N)</f>
        <v>4</v>
      </c>
      <c r="M1836">
        <f t="shared" si="331"/>
        <v>56</v>
      </c>
      <c r="N1836" t="b">
        <f>_xlfn.XLOOKUP(D1836,BugList!C:C,BugList!L:L)</f>
        <v>1</v>
      </c>
      <c r="O1836" t="b">
        <f t="shared" si="332"/>
        <v>1</v>
      </c>
      <c r="P1836" s="18" t="b">
        <f>SUMPRODUCT(COUNTIF(_xlfn.XLOOKUP(D1836,BugList!C:C,BugList!P:P), "*SC*"))&gt;0</f>
        <v>0</v>
      </c>
    </row>
    <row r="1837" spans="1:16">
      <c r="A1837" s="9" t="s">
        <v>2909</v>
      </c>
      <c r="B1837" s="83">
        <v>289</v>
      </c>
      <c r="C1837" s="34" t="s">
        <v>195</v>
      </c>
      <c r="D1837" s="34" t="s">
        <v>97</v>
      </c>
      <c r="E1837" s="83">
        <v>1</v>
      </c>
      <c r="F1837" s="43">
        <f t="shared" si="333"/>
        <v>0.92592592592592582</v>
      </c>
      <c r="G1837" s="44">
        <f t="shared" si="327"/>
        <v>0</v>
      </c>
      <c r="H1837" s="44">
        <f t="shared" si="328"/>
        <v>0.92592592592592582</v>
      </c>
      <c r="I1837" cm="1">
        <f t="array" ref="I1837">INT(F1837)+IF(100-SUM(INT(F$1832:F$1845))&gt;=RANK(H1837,H$1832:H$1845)+COUNTIF(H$1832:H1837,H1837)-1,1,0)</f>
        <v>1</v>
      </c>
      <c r="J1837" t="b">
        <f t="shared" si="329"/>
        <v>0</v>
      </c>
      <c r="K1837" t="str">
        <f t="shared" si="330"/>
        <v/>
      </c>
      <c r="L1837">
        <f>_xlfn.XLOOKUP(D1837,BugList!C:C,BugList!N:N)</f>
        <v>9</v>
      </c>
      <c r="M1837">
        <f t="shared" si="331"/>
        <v>9</v>
      </c>
      <c r="N1837" t="b">
        <f>_xlfn.XLOOKUP(D1837,BugList!C:C,BugList!L:L)</f>
        <v>1</v>
      </c>
      <c r="O1837" t="b">
        <f t="shared" si="332"/>
        <v>0</v>
      </c>
      <c r="P1837" s="18" t="b">
        <f>SUMPRODUCT(COUNTIF(_xlfn.XLOOKUP(D1837,BugList!C:C,BugList!P:P), "*SC*"))&gt;0</f>
        <v>0</v>
      </c>
    </row>
    <row r="1838" spans="1:16">
      <c r="A1838" s="9" t="s">
        <v>2909</v>
      </c>
      <c r="B1838" s="83">
        <v>289</v>
      </c>
      <c r="C1838" s="34" t="s">
        <v>195</v>
      </c>
      <c r="D1838" s="34" t="s">
        <v>113</v>
      </c>
      <c r="E1838" s="83">
        <v>1</v>
      </c>
      <c r="F1838" s="43">
        <f t="shared" si="333"/>
        <v>0.92592592592592582</v>
      </c>
      <c r="G1838" s="44">
        <f t="shared" si="327"/>
        <v>0</v>
      </c>
      <c r="H1838" s="44">
        <f t="shared" si="328"/>
        <v>0.92592592592592582</v>
      </c>
      <c r="I1838" cm="1">
        <f t="array" ref="I1838">INT(F1838)+IF(100-SUM(INT(F$1832:F$1845))&gt;=RANK(H1838,H$1832:H$1845)+COUNTIF(H$1832:H1838,H1838)-1,1,0)</f>
        <v>1</v>
      </c>
      <c r="J1838" t="b">
        <f t="shared" si="329"/>
        <v>0</v>
      </c>
      <c r="K1838" t="str">
        <f t="shared" si="330"/>
        <v/>
      </c>
      <c r="L1838">
        <f>_xlfn.XLOOKUP(D1838,BugList!C:C,BugList!N:N)</f>
        <v>1</v>
      </c>
      <c r="M1838">
        <f t="shared" si="331"/>
        <v>1</v>
      </c>
      <c r="N1838" t="b">
        <f>_xlfn.XLOOKUP(D1838,BugList!C:C,BugList!L:L)</f>
        <v>1</v>
      </c>
      <c r="O1838" t="b">
        <f t="shared" si="332"/>
        <v>0</v>
      </c>
      <c r="P1838" s="18" t="b">
        <f>SUMPRODUCT(COUNTIF(_xlfn.XLOOKUP(D1838,BugList!C:C,BugList!P:P), "*SC*"))&gt;0</f>
        <v>0</v>
      </c>
    </row>
    <row r="1839" spans="1:16">
      <c r="A1839" s="9" t="s">
        <v>2909</v>
      </c>
      <c r="B1839" s="83">
        <v>289</v>
      </c>
      <c r="C1839" s="34" t="s">
        <v>197</v>
      </c>
      <c r="D1839" s="34" t="s">
        <v>106</v>
      </c>
      <c r="E1839" s="83">
        <v>6</v>
      </c>
      <c r="F1839" s="43">
        <f t="shared" si="333"/>
        <v>5.5555555555555554</v>
      </c>
      <c r="G1839" s="44">
        <f t="shared" si="327"/>
        <v>5</v>
      </c>
      <c r="H1839" s="44">
        <f t="shared" si="328"/>
        <v>0.55555555555555536</v>
      </c>
      <c r="I1839" cm="1">
        <f t="array" ref="I1839">INT(F1839)+IF(100-SUM(INT(F$1832:F$1845))&gt;=RANK(H1839,H$1832:H$1845)+COUNTIF(H$1832:H1839,H1839)-1,1,0)</f>
        <v>5</v>
      </c>
      <c r="J1839" t="b">
        <f t="shared" si="329"/>
        <v>1</v>
      </c>
      <c r="K1839" t="str">
        <f t="shared" si="330"/>
        <v>Plecoptera</v>
      </c>
      <c r="L1839">
        <f>_xlfn.XLOOKUP(D1839,BugList!C:C,BugList!N:N)</f>
        <v>2</v>
      </c>
      <c r="M1839">
        <f t="shared" si="331"/>
        <v>10</v>
      </c>
      <c r="N1839" t="b">
        <f>_xlfn.XLOOKUP(D1839,BugList!C:C,BugList!L:L)</f>
        <v>1</v>
      </c>
      <c r="O1839" t="b">
        <f t="shared" si="332"/>
        <v>1</v>
      </c>
      <c r="P1839" s="18" t="b">
        <f>SUMPRODUCT(COUNTIF(_xlfn.XLOOKUP(D1839,BugList!C:C,BugList!P:P), "*SC*"))&gt;0</f>
        <v>0</v>
      </c>
    </row>
    <row r="1840" spans="1:16">
      <c r="A1840" s="9" t="s">
        <v>2909</v>
      </c>
      <c r="B1840" s="83">
        <v>289</v>
      </c>
      <c r="C1840" s="34" t="s">
        <v>198</v>
      </c>
      <c r="D1840" s="34" t="s">
        <v>107</v>
      </c>
      <c r="E1840" s="83">
        <v>3</v>
      </c>
      <c r="F1840" s="43">
        <f t="shared" si="333"/>
        <v>2.7777777777777777</v>
      </c>
      <c r="G1840" s="44">
        <f t="shared" si="327"/>
        <v>2</v>
      </c>
      <c r="H1840" s="44">
        <f t="shared" si="328"/>
        <v>0.77777777777777768</v>
      </c>
      <c r="I1840" cm="1">
        <f t="array" ref="I1840">INT(F1840)+IF(100-SUM(INT(F$1832:F$1845))&gt;=RANK(H1840,H$1832:H$1845)+COUNTIF(H$1832:H1840,H1840)-1,1,0)</f>
        <v>3</v>
      </c>
      <c r="J1840" t="b">
        <f t="shared" si="329"/>
        <v>1</v>
      </c>
      <c r="K1840" t="str">
        <f t="shared" si="330"/>
        <v>Trichoptera</v>
      </c>
      <c r="L1840">
        <f>_xlfn.XLOOKUP(D1840,BugList!C:C,BugList!N:N)</f>
        <v>3</v>
      </c>
      <c r="M1840">
        <f t="shared" si="331"/>
        <v>9</v>
      </c>
      <c r="N1840" t="b">
        <f>_xlfn.XLOOKUP(D1840,BugList!C:C,BugList!L:L)</f>
        <v>1</v>
      </c>
      <c r="O1840" t="b">
        <f t="shared" si="332"/>
        <v>1</v>
      </c>
      <c r="P1840" s="18" t="b">
        <f>SUMPRODUCT(COUNTIF(_xlfn.XLOOKUP(D1840,BugList!C:C,BugList!P:P), "*SC*"))&gt;0</f>
        <v>0</v>
      </c>
    </row>
    <row r="1841" spans="1:16">
      <c r="A1841" s="9" t="s">
        <v>2909</v>
      </c>
      <c r="B1841" s="83">
        <v>289</v>
      </c>
      <c r="C1841" s="34" t="s">
        <v>198</v>
      </c>
      <c r="D1841" s="34" t="s">
        <v>89</v>
      </c>
      <c r="E1841" s="83">
        <v>10</v>
      </c>
      <c r="F1841" s="43">
        <f t="shared" si="333"/>
        <v>9.2592592592592595</v>
      </c>
      <c r="G1841" s="44">
        <f t="shared" si="327"/>
        <v>9</v>
      </c>
      <c r="H1841" s="44">
        <f t="shared" si="328"/>
        <v>0.25925925925925952</v>
      </c>
      <c r="I1841" cm="1">
        <f t="array" ref="I1841">INT(F1841)+IF(100-SUM(INT(F$1832:F$1845))&gt;=RANK(H1841,H$1832:H$1845)+COUNTIF(H$1832:H1841,H1841)-1,1,0)</f>
        <v>9</v>
      </c>
      <c r="J1841" t="b">
        <f t="shared" si="329"/>
        <v>1</v>
      </c>
      <c r="K1841" t="str">
        <f t="shared" si="330"/>
        <v>Trichoptera</v>
      </c>
      <c r="L1841">
        <f>_xlfn.XLOOKUP(D1841,BugList!C:C,BugList!N:N)</f>
        <v>4</v>
      </c>
      <c r="M1841">
        <f t="shared" si="331"/>
        <v>36</v>
      </c>
      <c r="N1841" t="b">
        <f>_xlfn.XLOOKUP(D1841,BugList!C:C,BugList!L:L)</f>
        <v>1</v>
      </c>
      <c r="O1841" t="b">
        <f t="shared" si="332"/>
        <v>0</v>
      </c>
      <c r="P1841" s="18" t="b">
        <f>SUMPRODUCT(COUNTIF(_xlfn.XLOOKUP(D1841,BugList!C:C,BugList!P:P), "*SC*"))&gt;0</f>
        <v>0</v>
      </c>
    </row>
    <row r="1842" spans="1:16">
      <c r="A1842" s="9" t="s">
        <v>2909</v>
      </c>
      <c r="B1842" s="83">
        <v>289</v>
      </c>
      <c r="C1842" s="34" t="s">
        <v>201</v>
      </c>
      <c r="D1842" s="34" t="s">
        <v>85</v>
      </c>
      <c r="E1842" s="83">
        <v>3</v>
      </c>
      <c r="F1842" s="43">
        <f t="shared" si="333"/>
        <v>2.7777777777777777</v>
      </c>
      <c r="G1842" s="44">
        <f t="shared" si="327"/>
        <v>2</v>
      </c>
      <c r="H1842" s="44">
        <f t="shared" si="328"/>
        <v>0.77777777777777768</v>
      </c>
      <c r="I1842" cm="1">
        <f t="array" ref="I1842">INT(F1842)+IF(100-SUM(INT(F$1832:F$1845))&gt;=RANK(H1842,H$1832:H$1845)+COUNTIF(H$1832:H1842,H1842)-1,1,0)</f>
        <v>3</v>
      </c>
      <c r="J1842" t="b">
        <f t="shared" si="329"/>
        <v>0</v>
      </c>
      <c r="K1842" t="str">
        <f t="shared" si="330"/>
        <v/>
      </c>
      <c r="L1842">
        <f>_xlfn.XLOOKUP(D1842,BugList!C:C,BugList!N:N)</f>
        <v>4</v>
      </c>
      <c r="M1842">
        <f t="shared" si="331"/>
        <v>12</v>
      </c>
      <c r="N1842" t="b">
        <f>_xlfn.XLOOKUP(D1842,BugList!C:C,BugList!L:L)</f>
        <v>0</v>
      </c>
      <c r="O1842" t="b">
        <f t="shared" si="332"/>
        <v>0</v>
      </c>
      <c r="P1842" s="18" t="b">
        <f>SUMPRODUCT(COUNTIF(_xlfn.XLOOKUP(D1842,BugList!C:C,BugList!P:P), "*SC*"))&gt;0</f>
        <v>0</v>
      </c>
    </row>
    <row r="1843" spans="1:16">
      <c r="A1843" s="9" t="s">
        <v>2909</v>
      </c>
      <c r="B1843" s="83">
        <v>289</v>
      </c>
      <c r="C1843" s="34" t="s">
        <v>205</v>
      </c>
      <c r="D1843" s="34" t="s">
        <v>206</v>
      </c>
      <c r="E1843" s="83">
        <v>1</v>
      </c>
      <c r="F1843" s="43">
        <f t="shared" si="333"/>
        <v>0.92592592592592582</v>
      </c>
      <c r="G1843" s="44">
        <f t="shared" si="327"/>
        <v>0</v>
      </c>
      <c r="H1843" s="44">
        <f t="shared" si="328"/>
        <v>0.92592592592592582</v>
      </c>
      <c r="I1843" cm="1">
        <f t="array" ref="I1843">INT(F1843)+IF(100-SUM(INT(F$1832:F$1845))&gt;=RANK(H1843,H$1832:H$1845)+COUNTIF(H$1832:H1843,H1843)-1,1,0)</f>
        <v>1</v>
      </c>
      <c r="J1843" t="b">
        <f t="shared" si="329"/>
        <v>0</v>
      </c>
      <c r="K1843" t="str">
        <f t="shared" si="330"/>
        <v/>
      </c>
      <c r="L1843" s="71">
        <v>8</v>
      </c>
      <c r="M1843">
        <f t="shared" si="331"/>
        <v>8</v>
      </c>
      <c r="N1843" s="71" t="b">
        <v>0</v>
      </c>
      <c r="O1843" t="b">
        <f t="shared" si="332"/>
        <v>0</v>
      </c>
      <c r="P1843" s="72" t="b">
        <v>0</v>
      </c>
    </row>
    <row r="1844" spans="1:16">
      <c r="A1844" s="9" t="s">
        <v>2909</v>
      </c>
      <c r="B1844" s="83">
        <v>289</v>
      </c>
      <c r="C1844" s="34" t="s">
        <v>94</v>
      </c>
      <c r="D1844" s="34" t="s">
        <v>94</v>
      </c>
      <c r="E1844" s="83">
        <v>22</v>
      </c>
      <c r="F1844" s="43">
        <f t="shared" si="333"/>
        <v>20.37037037037037</v>
      </c>
      <c r="G1844" s="44">
        <f t="shared" si="327"/>
        <v>20</v>
      </c>
      <c r="H1844" s="44">
        <f t="shared" si="328"/>
        <v>0.37037037037037024</v>
      </c>
      <c r="I1844" cm="1">
        <f t="array" ref="I1844">INT(F1844)+IF(100-SUM(INT(F$1832:F$1845))&gt;=RANK(H1844,H$1832:H$1845)+COUNTIF(H$1832:H1844,H1844)-1,1,0)</f>
        <v>20</v>
      </c>
      <c r="J1844" t="b">
        <f t="shared" si="329"/>
        <v>0</v>
      </c>
      <c r="K1844" t="str">
        <f t="shared" si="330"/>
        <v/>
      </c>
      <c r="L1844">
        <f>_xlfn.XLOOKUP(D1844,BugList!C:C,BugList!N:N)</f>
        <v>8</v>
      </c>
      <c r="M1844">
        <f t="shared" si="331"/>
        <v>160</v>
      </c>
      <c r="N1844" t="b">
        <f>_xlfn.XLOOKUP(D1844,BugList!C:C,BugList!L:L)</f>
        <v>0</v>
      </c>
      <c r="O1844" t="b">
        <f t="shared" si="332"/>
        <v>0</v>
      </c>
      <c r="P1844" s="18" t="b">
        <f>SUMPRODUCT(COUNTIF(_xlfn.XLOOKUP(D1844,BugList!C:C,BugList!P:P), "*SC*"))&gt;0</f>
        <v>0</v>
      </c>
    </row>
    <row r="1845" spans="1:16">
      <c r="A1845" s="9" t="s">
        <v>2909</v>
      </c>
      <c r="B1845" s="83">
        <v>289</v>
      </c>
      <c r="C1845" s="34" t="s">
        <v>2315</v>
      </c>
      <c r="D1845" s="34" t="s">
        <v>166</v>
      </c>
      <c r="E1845" s="83">
        <v>1</v>
      </c>
      <c r="F1845" s="43">
        <f t="shared" si="333"/>
        <v>0.92592592592592582</v>
      </c>
      <c r="G1845" s="44">
        <f t="shared" si="327"/>
        <v>0</v>
      </c>
      <c r="H1845" s="44">
        <f t="shared" si="328"/>
        <v>0.92592592592592582</v>
      </c>
      <c r="I1845" cm="1">
        <f t="array" ref="I1845">INT(F1845)+IF(100-SUM(INT(F$1832:F$1845))&gt;=RANK(H1845,H$1832:H$1845)+COUNTIF(H$1832:H1845,H1845)-1,1,0)</f>
        <v>1</v>
      </c>
      <c r="J1845" t="b">
        <f t="shared" si="329"/>
        <v>0</v>
      </c>
      <c r="K1845" t="str">
        <f t="shared" si="330"/>
        <v/>
      </c>
      <c r="L1845">
        <f>_xlfn.XLOOKUP(D1845,BugList!C:C,BugList!N:N)</f>
        <v>6</v>
      </c>
      <c r="M1845">
        <f t="shared" si="331"/>
        <v>6</v>
      </c>
      <c r="N1845" t="b">
        <f>_xlfn.XLOOKUP(D1845,BugList!C:C,BugList!L:L)</f>
        <v>0</v>
      </c>
      <c r="O1845" t="b">
        <f t="shared" si="332"/>
        <v>0</v>
      </c>
      <c r="P1845" s="18" t="b">
        <f>SUMPRODUCT(COUNTIF(_xlfn.XLOOKUP(D1845,BugList!C:C,BugList!P:P), "*SC*"))&gt;0</f>
        <v>1</v>
      </c>
    </row>
    <row r="1846" spans="1:16">
      <c r="A1846" s="9" t="s">
        <v>2910</v>
      </c>
      <c r="B1846" s="83">
        <v>301</v>
      </c>
      <c r="C1846" s="34" t="s">
        <v>200</v>
      </c>
      <c r="D1846" s="34" t="s">
        <v>98</v>
      </c>
      <c r="E1846" s="83">
        <v>20</v>
      </c>
      <c r="F1846" s="43">
        <f t="shared" si="333"/>
        <v>18.181818181818183</v>
      </c>
      <c r="G1846" s="44">
        <f t="shared" si="327"/>
        <v>18</v>
      </c>
      <c r="H1846" s="44">
        <f t="shared" si="328"/>
        <v>0.18181818181818343</v>
      </c>
      <c r="I1846" cm="1">
        <f t="array" ref="I1846">INT(F1846)+IF(100-SUM(INT(F$1846:F$1857))&gt;=RANK(H1846,H$1846:H$1857)+COUNTIF(H$1846:H1846,H1846)-1,1,0)</f>
        <v>18</v>
      </c>
      <c r="J1846" t="b">
        <f t="shared" si="329"/>
        <v>0</v>
      </c>
      <c r="K1846" t="str">
        <f t="shared" si="330"/>
        <v/>
      </c>
      <c r="L1846">
        <f>_xlfn.XLOOKUP(D1846,BugList!C:C,BugList!N:N)</f>
        <v>4</v>
      </c>
      <c r="M1846">
        <f t="shared" si="331"/>
        <v>72</v>
      </c>
      <c r="N1846" t="b">
        <f>_xlfn.XLOOKUP(D1846,BugList!C:C,BugList!L:L)</f>
        <v>1</v>
      </c>
      <c r="O1846" t="b">
        <f t="shared" si="332"/>
        <v>0</v>
      </c>
      <c r="P1846" s="18" t="b">
        <f>SUMPRODUCT(COUNTIF(_xlfn.XLOOKUP(D1846,BugList!C:C,BugList!P:P), "*SC*"))&gt;0</f>
        <v>1</v>
      </c>
    </row>
    <row r="1847" spans="1:16">
      <c r="A1847" s="9" t="s">
        <v>2910</v>
      </c>
      <c r="B1847" s="83">
        <v>301</v>
      </c>
      <c r="C1847" s="34" t="s">
        <v>200</v>
      </c>
      <c r="D1847" s="34" t="s">
        <v>100</v>
      </c>
      <c r="E1847" s="83">
        <v>55</v>
      </c>
      <c r="F1847" s="43">
        <f t="shared" si="333"/>
        <v>50</v>
      </c>
      <c r="G1847" s="44">
        <f t="shared" si="327"/>
        <v>50</v>
      </c>
      <c r="H1847" s="44">
        <f t="shared" si="328"/>
        <v>0</v>
      </c>
      <c r="I1847" cm="1">
        <f t="array" ref="I1847">INT(F1847)+IF(100-SUM(INT(F$1846:F$1857))&gt;=RANK(H1847,H$1846:H$1857)+COUNTIF(H$1846:H1847,H1847)-1,1,0)</f>
        <v>50</v>
      </c>
      <c r="J1847" t="b">
        <f t="shared" si="329"/>
        <v>0</v>
      </c>
      <c r="K1847" t="str">
        <f t="shared" si="330"/>
        <v/>
      </c>
      <c r="L1847">
        <f>_xlfn.XLOOKUP(D1847,BugList!C:C,BugList!N:N)</f>
        <v>4</v>
      </c>
      <c r="M1847">
        <f t="shared" si="331"/>
        <v>200</v>
      </c>
      <c r="N1847" t="b">
        <f>_xlfn.XLOOKUP(D1847,BugList!C:C,BugList!L:L)</f>
        <v>1</v>
      </c>
      <c r="O1847" t="b">
        <f t="shared" si="332"/>
        <v>0</v>
      </c>
      <c r="P1847" s="18" t="b">
        <f>SUMPRODUCT(COUNTIF(_xlfn.XLOOKUP(D1847,BugList!C:C,BugList!P:P), "*SC*"))&gt;0</f>
        <v>1</v>
      </c>
    </row>
    <row r="1848" spans="1:16">
      <c r="A1848" s="9" t="s">
        <v>2910</v>
      </c>
      <c r="B1848" s="83">
        <v>301</v>
      </c>
      <c r="C1848" s="34" t="s">
        <v>194</v>
      </c>
      <c r="D1848" s="34" t="s">
        <v>108</v>
      </c>
      <c r="E1848" s="83">
        <v>1</v>
      </c>
      <c r="F1848" s="43">
        <f t="shared" si="333"/>
        <v>0.90909090909090906</v>
      </c>
      <c r="G1848" s="44">
        <f t="shared" si="327"/>
        <v>0</v>
      </c>
      <c r="H1848" s="44">
        <f t="shared" si="328"/>
        <v>0.90909090909090906</v>
      </c>
      <c r="I1848" cm="1">
        <f t="array" ref="I1848">INT(F1848)+IF(100-SUM(INT(F$1846:F$1857))&gt;=RANK(H1848,H$1846:H$1857)+COUNTIF(H$1846:H1848,H1848)-1,1,0)</f>
        <v>1</v>
      </c>
      <c r="J1848" t="b">
        <f t="shared" si="329"/>
        <v>0</v>
      </c>
      <c r="K1848" t="str">
        <f t="shared" si="330"/>
        <v/>
      </c>
      <c r="L1848">
        <f>_xlfn.XLOOKUP(D1848,BugList!C:C,BugList!N:N)</f>
        <v>3</v>
      </c>
      <c r="M1848">
        <f t="shared" si="331"/>
        <v>3</v>
      </c>
      <c r="N1848" t="b">
        <f>_xlfn.XLOOKUP(D1848,BugList!C:C,BugList!L:L)</f>
        <v>1</v>
      </c>
      <c r="O1848" t="b">
        <f t="shared" si="332"/>
        <v>0</v>
      </c>
      <c r="P1848" s="18" t="b">
        <f>SUMPRODUCT(COUNTIF(_xlfn.XLOOKUP(D1848,BugList!C:C,BugList!P:P), "*SC*"))&gt;0</f>
        <v>0</v>
      </c>
    </row>
    <row r="1849" spans="1:16">
      <c r="A1849" s="9" t="s">
        <v>2910</v>
      </c>
      <c r="B1849" s="83">
        <v>301</v>
      </c>
      <c r="C1849" s="34" t="s">
        <v>199</v>
      </c>
      <c r="D1849" s="34" t="s">
        <v>111</v>
      </c>
      <c r="E1849" s="83">
        <v>2</v>
      </c>
      <c r="F1849" s="43">
        <f t="shared" si="333"/>
        <v>1.8181818181818181</v>
      </c>
      <c r="G1849" s="44">
        <f t="shared" si="327"/>
        <v>1</v>
      </c>
      <c r="H1849" s="44">
        <f t="shared" si="328"/>
        <v>0.81818181818181812</v>
      </c>
      <c r="I1849" cm="1">
        <f t="array" ref="I1849">INT(F1849)+IF(100-SUM(INT(F$1846:F$1857))&gt;=RANK(H1849,H$1846:H$1857)+COUNTIF(H$1846:H1849,H1849)-1,1,0)</f>
        <v>2</v>
      </c>
      <c r="J1849" t="b">
        <f t="shared" si="329"/>
        <v>1</v>
      </c>
      <c r="K1849" t="str">
        <f t="shared" si="330"/>
        <v>Ephemeroptera</v>
      </c>
      <c r="L1849">
        <f>_xlfn.XLOOKUP(D1849,BugList!C:C,BugList!N:N)</f>
        <v>4</v>
      </c>
      <c r="M1849">
        <f t="shared" si="331"/>
        <v>8</v>
      </c>
      <c r="N1849" t="b">
        <f>_xlfn.XLOOKUP(D1849,BugList!C:C,BugList!L:L)</f>
        <v>1</v>
      </c>
      <c r="O1849" t="b">
        <f t="shared" si="332"/>
        <v>1</v>
      </c>
      <c r="P1849" s="18" t="b">
        <f>SUMPRODUCT(COUNTIF(_xlfn.XLOOKUP(D1849,BugList!C:C,BugList!P:P), "*SC*"))&gt;0</f>
        <v>0</v>
      </c>
    </row>
    <row r="1850" spans="1:16">
      <c r="A1850" s="9" t="s">
        <v>2910</v>
      </c>
      <c r="B1850" s="83">
        <v>301</v>
      </c>
      <c r="C1850" s="34" t="s">
        <v>195</v>
      </c>
      <c r="D1850" s="34" t="s">
        <v>113</v>
      </c>
      <c r="E1850" s="83">
        <v>1</v>
      </c>
      <c r="F1850" s="43">
        <f t="shared" si="333"/>
        <v>0.90909090909090906</v>
      </c>
      <c r="G1850" s="44">
        <f t="shared" si="327"/>
        <v>0</v>
      </c>
      <c r="H1850" s="44">
        <f t="shared" si="328"/>
        <v>0.90909090909090906</v>
      </c>
      <c r="I1850" cm="1">
        <f t="array" ref="I1850">INT(F1850)+IF(100-SUM(INT(F$1846:F$1857))&gt;=RANK(H1850,H$1846:H$1857)+COUNTIF(H$1846:H1850,H1850)-1,1,0)</f>
        <v>1</v>
      </c>
      <c r="J1850" t="b">
        <f t="shared" si="329"/>
        <v>0</v>
      </c>
      <c r="K1850" t="str">
        <f t="shared" si="330"/>
        <v/>
      </c>
      <c r="L1850">
        <f>_xlfn.XLOOKUP(D1850,BugList!C:C,BugList!N:N)</f>
        <v>1</v>
      </c>
      <c r="M1850">
        <f t="shared" si="331"/>
        <v>1</v>
      </c>
      <c r="N1850" t="b">
        <f>_xlfn.XLOOKUP(D1850,BugList!C:C,BugList!L:L)</f>
        <v>1</v>
      </c>
      <c r="O1850" t="b">
        <f t="shared" si="332"/>
        <v>0</v>
      </c>
      <c r="P1850" s="18" t="b">
        <f>SUMPRODUCT(COUNTIF(_xlfn.XLOOKUP(D1850,BugList!C:C,BugList!P:P), "*SC*"))&gt;0</f>
        <v>0</v>
      </c>
    </row>
    <row r="1851" spans="1:16">
      <c r="A1851" s="9" t="s">
        <v>2910</v>
      </c>
      <c r="B1851" s="83">
        <v>301</v>
      </c>
      <c r="C1851" s="34" t="s">
        <v>195</v>
      </c>
      <c r="D1851" s="34" t="s">
        <v>97</v>
      </c>
      <c r="E1851" s="83">
        <v>1</v>
      </c>
      <c r="F1851" s="43">
        <f t="shared" si="333"/>
        <v>0.90909090909090906</v>
      </c>
      <c r="G1851" s="44">
        <f t="shared" si="327"/>
        <v>0</v>
      </c>
      <c r="H1851" s="44">
        <f t="shared" si="328"/>
        <v>0.90909090909090906</v>
      </c>
      <c r="I1851" cm="1">
        <f t="array" ref="I1851">INT(F1851)+IF(100-SUM(INT(F$1846:F$1857))&gt;=RANK(H1851,H$1846:H$1857)+COUNTIF(H$1846:H1851,H1851)-1,1,0)</f>
        <v>1</v>
      </c>
      <c r="J1851" t="b">
        <f t="shared" si="329"/>
        <v>0</v>
      </c>
      <c r="K1851" t="str">
        <f t="shared" si="330"/>
        <v/>
      </c>
      <c r="L1851">
        <f>_xlfn.XLOOKUP(D1851,BugList!C:C,BugList!N:N)</f>
        <v>9</v>
      </c>
      <c r="M1851">
        <f t="shared" si="331"/>
        <v>9</v>
      </c>
      <c r="N1851" t="b">
        <f>_xlfn.XLOOKUP(D1851,BugList!C:C,BugList!L:L)</f>
        <v>1</v>
      </c>
      <c r="O1851" t="b">
        <f t="shared" si="332"/>
        <v>0</v>
      </c>
      <c r="P1851" s="18" t="b">
        <f>SUMPRODUCT(COUNTIF(_xlfn.XLOOKUP(D1851,BugList!C:C,BugList!P:P), "*SC*"))&gt;0</f>
        <v>0</v>
      </c>
    </row>
    <row r="1852" spans="1:16">
      <c r="A1852" s="9" t="s">
        <v>2910</v>
      </c>
      <c r="B1852" s="83">
        <v>301</v>
      </c>
      <c r="C1852" s="34" t="s">
        <v>211</v>
      </c>
      <c r="D1852" s="34" t="s">
        <v>87</v>
      </c>
      <c r="E1852" s="83">
        <v>3</v>
      </c>
      <c r="F1852" s="43">
        <f t="shared" si="333"/>
        <v>2.7272727272727271</v>
      </c>
      <c r="G1852" s="44">
        <f t="shared" si="327"/>
        <v>2</v>
      </c>
      <c r="H1852" s="44">
        <f t="shared" si="328"/>
        <v>0.72727272727272707</v>
      </c>
      <c r="I1852" cm="1">
        <f t="array" ref="I1852">INT(F1852)+IF(100-SUM(INT(F$1846:F$1857))&gt;=RANK(H1852,H$1846:H$1857)+COUNTIF(H$1846:H1852,H1852)-1,1,0)</f>
        <v>3</v>
      </c>
      <c r="J1852" t="b">
        <f t="shared" si="329"/>
        <v>0</v>
      </c>
      <c r="K1852" t="str">
        <f t="shared" si="330"/>
        <v/>
      </c>
      <c r="L1852">
        <f>_xlfn.XLOOKUP(D1852,BugList!C:C,BugList!N:N)</f>
        <v>4</v>
      </c>
      <c r="M1852">
        <f t="shared" si="331"/>
        <v>12</v>
      </c>
      <c r="N1852" t="b">
        <f>_xlfn.XLOOKUP(D1852,BugList!C:C,BugList!L:L)</f>
        <v>0</v>
      </c>
      <c r="O1852" t="b">
        <f t="shared" si="332"/>
        <v>0</v>
      </c>
      <c r="P1852" s="18" t="b">
        <f>SUMPRODUCT(COUNTIF(_xlfn.XLOOKUP(D1852,BugList!C:C,BugList!P:P), "*SC*"))&gt;0</f>
        <v>0</v>
      </c>
    </row>
    <row r="1853" spans="1:16">
      <c r="A1853" s="9" t="s">
        <v>2910</v>
      </c>
      <c r="B1853" s="83">
        <v>301</v>
      </c>
      <c r="C1853" s="34" t="s">
        <v>198</v>
      </c>
      <c r="D1853" s="34" t="s">
        <v>89</v>
      </c>
      <c r="E1853" s="83">
        <v>20</v>
      </c>
      <c r="F1853" s="43">
        <f t="shared" si="333"/>
        <v>18.181818181818183</v>
      </c>
      <c r="G1853" s="44">
        <f t="shared" si="327"/>
        <v>18</v>
      </c>
      <c r="H1853" s="44">
        <f t="shared" si="328"/>
        <v>0.18181818181818343</v>
      </c>
      <c r="I1853" cm="1">
        <f t="array" ref="I1853">INT(F1853)+IF(100-SUM(INT(F$1846:F$1857))&gt;=RANK(H1853,H$1846:H$1857)+COUNTIF(H$1846:H1853,H1853)-1,1,0)</f>
        <v>18</v>
      </c>
      <c r="J1853" t="b">
        <f t="shared" si="329"/>
        <v>1</v>
      </c>
      <c r="K1853" t="str">
        <f t="shared" si="330"/>
        <v>Trichoptera</v>
      </c>
      <c r="L1853">
        <f>_xlfn.XLOOKUP(D1853,BugList!C:C,BugList!N:N)</f>
        <v>4</v>
      </c>
      <c r="M1853">
        <f t="shared" si="331"/>
        <v>72</v>
      </c>
      <c r="N1853" t="b">
        <f>_xlfn.XLOOKUP(D1853,BugList!C:C,BugList!L:L)</f>
        <v>1</v>
      </c>
      <c r="O1853" t="b">
        <f t="shared" si="332"/>
        <v>0</v>
      </c>
      <c r="P1853" s="18" t="b">
        <f>SUMPRODUCT(COUNTIF(_xlfn.XLOOKUP(D1853,BugList!C:C,BugList!P:P), "*SC*"))&gt;0</f>
        <v>0</v>
      </c>
    </row>
    <row r="1854" spans="1:16">
      <c r="A1854" s="9" t="s">
        <v>2910</v>
      </c>
      <c r="B1854" s="83">
        <v>301</v>
      </c>
      <c r="C1854" s="34" t="s">
        <v>204</v>
      </c>
      <c r="D1854" s="34" t="s">
        <v>84</v>
      </c>
      <c r="E1854" s="83">
        <v>1</v>
      </c>
      <c r="F1854" s="43">
        <f t="shared" si="333"/>
        <v>0.90909090909090906</v>
      </c>
      <c r="G1854" s="44">
        <f t="shared" si="327"/>
        <v>0</v>
      </c>
      <c r="H1854" s="44">
        <f t="shared" si="328"/>
        <v>0.90909090909090906</v>
      </c>
      <c r="I1854" cm="1">
        <f t="array" ref="I1854">INT(F1854)+IF(100-SUM(INT(F$1846:F$1857))&gt;=RANK(H1854,H$1846:H$1857)+COUNTIF(H$1846:H1854,H1854)-1,1,0)</f>
        <v>1</v>
      </c>
      <c r="J1854" t="b">
        <f t="shared" si="329"/>
        <v>0</v>
      </c>
      <c r="K1854" t="str">
        <f t="shared" si="330"/>
        <v/>
      </c>
      <c r="L1854">
        <f>_xlfn.XLOOKUP(D1854,BugList!C:C,BugList!N:N)</f>
        <v>8</v>
      </c>
      <c r="M1854">
        <f t="shared" si="331"/>
        <v>8</v>
      </c>
      <c r="N1854" t="b">
        <f>_xlfn.XLOOKUP(D1854,BugList!C:C,BugList!L:L)</f>
        <v>0</v>
      </c>
      <c r="O1854" t="b">
        <f t="shared" si="332"/>
        <v>0</v>
      </c>
      <c r="P1854" s="18" t="b">
        <f>SUMPRODUCT(COUNTIF(_xlfn.XLOOKUP(D1854,BugList!C:C,BugList!P:P), "*SC*"))&gt;0</f>
        <v>0</v>
      </c>
    </row>
    <row r="1855" spans="1:16">
      <c r="A1855" s="9" t="s">
        <v>2910</v>
      </c>
      <c r="B1855" s="83">
        <v>301</v>
      </c>
      <c r="C1855" s="34" t="s">
        <v>201</v>
      </c>
      <c r="D1855" s="34" t="s">
        <v>85</v>
      </c>
      <c r="E1855" s="83">
        <v>4</v>
      </c>
      <c r="F1855" s="43">
        <f t="shared" si="333"/>
        <v>3.6363636363636362</v>
      </c>
      <c r="G1855" s="44">
        <f t="shared" si="327"/>
        <v>3</v>
      </c>
      <c r="H1855" s="44">
        <f t="shared" si="328"/>
        <v>0.63636363636363624</v>
      </c>
      <c r="I1855" cm="1">
        <f t="array" ref="I1855">INT(F1855)+IF(100-SUM(INT(F$1846:F$1857))&gt;=RANK(H1855,H$1846:H$1857)+COUNTIF(H$1846:H1855,H1855)-1,1,0)</f>
        <v>3</v>
      </c>
      <c r="J1855" t="b">
        <f t="shared" si="329"/>
        <v>0</v>
      </c>
      <c r="K1855" t="str">
        <f t="shared" si="330"/>
        <v/>
      </c>
      <c r="L1855">
        <f>_xlfn.XLOOKUP(D1855,BugList!C:C,BugList!N:N)</f>
        <v>4</v>
      </c>
      <c r="M1855">
        <f t="shared" si="331"/>
        <v>12</v>
      </c>
      <c r="N1855" t="b">
        <f>_xlfn.XLOOKUP(D1855,BugList!C:C,BugList!L:L)</f>
        <v>0</v>
      </c>
      <c r="O1855" t="b">
        <f t="shared" si="332"/>
        <v>0</v>
      </c>
      <c r="P1855" s="18" t="b">
        <f>SUMPRODUCT(COUNTIF(_xlfn.XLOOKUP(D1855,BugList!C:C,BugList!P:P), "*SC*"))&gt;0</f>
        <v>0</v>
      </c>
    </row>
    <row r="1856" spans="1:16">
      <c r="A1856" s="9" t="s">
        <v>2910</v>
      </c>
      <c r="B1856" s="83">
        <v>301</v>
      </c>
      <c r="C1856" s="34" t="s">
        <v>205</v>
      </c>
      <c r="D1856" s="34" t="s">
        <v>206</v>
      </c>
      <c r="E1856" s="83">
        <v>1</v>
      </c>
      <c r="F1856" s="43">
        <f t="shared" si="333"/>
        <v>0.90909090909090906</v>
      </c>
      <c r="G1856" s="44">
        <f t="shared" si="327"/>
        <v>0</v>
      </c>
      <c r="H1856" s="44">
        <f t="shared" si="328"/>
        <v>0.90909090909090906</v>
      </c>
      <c r="I1856" cm="1">
        <f t="array" ref="I1856">INT(F1856)+IF(100-SUM(INT(F$1846:F$1857))&gt;=RANK(H1856,H$1846:H$1857)+COUNTIF(H$1846:H1856,H1856)-1,1,0)</f>
        <v>1</v>
      </c>
      <c r="J1856" t="b">
        <f t="shared" si="329"/>
        <v>0</v>
      </c>
      <c r="K1856" t="str">
        <f t="shared" si="330"/>
        <v/>
      </c>
      <c r="L1856" s="71">
        <v>8</v>
      </c>
      <c r="M1856">
        <f t="shared" si="331"/>
        <v>8</v>
      </c>
      <c r="N1856" s="71" t="b">
        <v>0</v>
      </c>
      <c r="O1856" t="b">
        <f t="shared" si="332"/>
        <v>0</v>
      </c>
      <c r="P1856" s="72" t="b">
        <v>0</v>
      </c>
    </row>
    <row r="1857" spans="1:16">
      <c r="A1857" s="9" t="s">
        <v>2910</v>
      </c>
      <c r="B1857" s="83">
        <v>301</v>
      </c>
      <c r="C1857" s="34" t="s">
        <v>94</v>
      </c>
      <c r="D1857" s="34" t="s">
        <v>94</v>
      </c>
      <c r="E1857" s="83">
        <v>1</v>
      </c>
      <c r="F1857" s="43">
        <f t="shared" si="333"/>
        <v>0.90909090909090906</v>
      </c>
      <c r="G1857" s="44">
        <f t="shared" si="327"/>
        <v>0</v>
      </c>
      <c r="H1857" s="44">
        <f t="shared" si="328"/>
        <v>0.90909090909090906</v>
      </c>
      <c r="I1857" cm="1">
        <f t="array" ref="I1857">INT(F1857)+IF(100-SUM(INT(F$1846:F$1857))&gt;=RANK(H1857,H$1846:H$1857)+COUNTIF(H$1846:H1857,H1857)-1,1,0)</f>
        <v>1</v>
      </c>
      <c r="J1857" t="b">
        <f t="shared" si="329"/>
        <v>0</v>
      </c>
      <c r="K1857" t="str">
        <f t="shared" si="330"/>
        <v/>
      </c>
      <c r="L1857">
        <f>_xlfn.XLOOKUP(D1857,BugList!C:C,BugList!N:N)</f>
        <v>8</v>
      </c>
      <c r="M1857">
        <f t="shared" si="331"/>
        <v>8</v>
      </c>
      <c r="N1857" t="b">
        <f>_xlfn.XLOOKUP(D1857,BugList!C:C,BugList!L:L)</f>
        <v>0</v>
      </c>
      <c r="O1857" t="b">
        <f t="shared" si="332"/>
        <v>0</v>
      </c>
      <c r="P1857" s="18" t="b">
        <f>SUMPRODUCT(COUNTIF(_xlfn.XLOOKUP(D1857,BugList!C:C,BugList!P:P), "*SC*"))&gt;0</f>
        <v>0</v>
      </c>
    </row>
    <row r="1858" spans="1:16">
      <c r="A1858" s="9" t="s">
        <v>2911</v>
      </c>
      <c r="B1858" s="83">
        <v>304</v>
      </c>
      <c r="C1858" s="34" t="s">
        <v>200</v>
      </c>
      <c r="D1858" s="34" t="s">
        <v>98</v>
      </c>
      <c r="E1858" s="83">
        <v>2</v>
      </c>
      <c r="F1858" s="43">
        <f t="shared" si="333"/>
        <v>1.9607843137254901</v>
      </c>
      <c r="G1858" s="44">
        <f t="shared" ref="G1858:G1920" si="336">INT(F1858)</f>
        <v>1</v>
      </c>
      <c r="H1858" s="44">
        <f t="shared" ref="H1858:H1920" si="337">F1858-G1858</f>
        <v>0.96078431372549011</v>
      </c>
      <c r="I1858" cm="1">
        <f t="array" ref="I1858">INT(F1858)+IF(100-SUM(INT(F$1858:F$1869))&gt;=RANK(H1858,H$1858:H$1869)+COUNTIF(H$1858:H1858,H1858)-1,1,0)</f>
        <v>2</v>
      </c>
      <c r="J1858" t="b">
        <f t="shared" ref="J1858:J1920" si="338">IF(OR(C1858="Ephemeroptera", C1858 ="Plecoptera", C1858= "Trichoptera"), TRUE, FALSE)</f>
        <v>0</v>
      </c>
      <c r="K1858" t="str">
        <f t="shared" ref="K1858:K1920" si="339">IF(J1858=TRUE,C1858,"")</f>
        <v/>
      </c>
      <c r="L1858">
        <f>_xlfn.XLOOKUP(D1858,BugList!C:C,BugList!N:N)</f>
        <v>4</v>
      </c>
      <c r="M1858">
        <f t="shared" ref="M1858:M1920" si="340">L1858*I1858</f>
        <v>8</v>
      </c>
      <c r="N1858" t="b">
        <f>_xlfn.XLOOKUP(D1858,BugList!C:C,BugList!L:L)</f>
        <v>1</v>
      </c>
      <c r="O1858" t="b">
        <f t="shared" ref="O1858:O1920" si="341">IF(J1858=TRUE,IF(D1858="Hydropsychidae", FALSE, TRUE), FALSE)</f>
        <v>0</v>
      </c>
      <c r="P1858" s="18" t="b">
        <f>SUMPRODUCT(COUNTIF(_xlfn.XLOOKUP(D1858,BugList!C:C,BugList!P:P), "*SC*"))&gt;0</f>
        <v>1</v>
      </c>
    </row>
    <row r="1859" spans="1:16">
      <c r="A1859" s="9" t="s">
        <v>2911</v>
      </c>
      <c r="B1859" s="83">
        <v>304</v>
      </c>
      <c r="C1859" s="34" t="s">
        <v>200</v>
      </c>
      <c r="D1859" s="34" t="s">
        <v>100</v>
      </c>
      <c r="E1859" s="83">
        <v>15</v>
      </c>
      <c r="F1859" s="43">
        <f t="shared" si="333"/>
        <v>14.705882352941178</v>
      </c>
      <c r="G1859" s="44">
        <f t="shared" si="336"/>
        <v>14</v>
      </c>
      <c r="H1859" s="44">
        <f t="shared" si="337"/>
        <v>0.70588235294117752</v>
      </c>
      <c r="I1859" cm="1">
        <f t="array" ref="I1859">INT(F1859)+IF(100-SUM(INT(F$1858:F$1869))&gt;=RANK(H1859,H$1858:H$1869)+COUNTIF(H$1858:H1859,H1859)-1,1,0)</f>
        <v>15</v>
      </c>
      <c r="J1859" t="b">
        <f t="shared" si="338"/>
        <v>0</v>
      </c>
      <c r="K1859" t="str">
        <f t="shared" si="339"/>
        <v/>
      </c>
      <c r="L1859">
        <f>_xlfn.XLOOKUP(D1859,BugList!C:C,BugList!N:N)</f>
        <v>4</v>
      </c>
      <c r="M1859">
        <f t="shared" si="340"/>
        <v>60</v>
      </c>
      <c r="N1859" t="b">
        <f>_xlfn.XLOOKUP(D1859,BugList!C:C,BugList!L:L)</f>
        <v>1</v>
      </c>
      <c r="O1859" t="b">
        <f t="shared" si="341"/>
        <v>0</v>
      </c>
      <c r="P1859" s="18" t="b">
        <f>SUMPRODUCT(COUNTIF(_xlfn.XLOOKUP(D1859,BugList!C:C,BugList!P:P), "*SC*"))&gt;0</f>
        <v>1</v>
      </c>
    </row>
    <row r="1860" spans="1:16">
      <c r="A1860" s="9" t="s">
        <v>2911</v>
      </c>
      <c r="B1860" s="83">
        <v>304</v>
      </c>
      <c r="C1860" s="34" t="s">
        <v>194</v>
      </c>
      <c r="D1860" s="34" t="s">
        <v>126</v>
      </c>
      <c r="E1860" s="83">
        <v>6</v>
      </c>
      <c r="F1860" s="43">
        <f t="shared" si="333"/>
        <v>5.8823529411764701</v>
      </c>
      <c r="G1860" s="44">
        <f t="shared" si="336"/>
        <v>5</v>
      </c>
      <c r="H1860" s="44">
        <f t="shared" si="337"/>
        <v>0.88235294117647012</v>
      </c>
      <c r="I1860" cm="1">
        <f t="array" ref="I1860">INT(F1860)+IF(100-SUM(INT(F$1858:F$1869))&gt;=RANK(H1860,H$1858:H$1869)+COUNTIF(H$1858:H1860,H1860)-1,1,0)</f>
        <v>6</v>
      </c>
      <c r="J1860" t="b">
        <f t="shared" si="338"/>
        <v>0</v>
      </c>
      <c r="K1860" t="str">
        <f t="shared" si="339"/>
        <v/>
      </c>
      <c r="L1860">
        <f>_xlfn.XLOOKUP(D1860,BugList!C:C,BugList!N:N)</f>
        <v>8</v>
      </c>
      <c r="M1860">
        <f t="shared" si="340"/>
        <v>48</v>
      </c>
      <c r="N1860" t="b">
        <f>_xlfn.XLOOKUP(D1860,BugList!C:C,BugList!L:L)</f>
        <v>1</v>
      </c>
      <c r="O1860" t="b">
        <f t="shared" si="341"/>
        <v>0</v>
      </c>
      <c r="P1860" s="18" t="b">
        <f>SUMPRODUCT(COUNTIF(_xlfn.XLOOKUP(D1860,BugList!C:C,BugList!P:P), "*SC*"))&gt;0</f>
        <v>0</v>
      </c>
    </row>
    <row r="1861" spans="1:16">
      <c r="A1861" s="9" t="s">
        <v>2911</v>
      </c>
      <c r="B1861" s="83">
        <v>304</v>
      </c>
      <c r="C1861" s="34" t="s">
        <v>194</v>
      </c>
      <c r="D1861" s="34" t="s">
        <v>90</v>
      </c>
      <c r="E1861" s="83">
        <v>5</v>
      </c>
      <c r="F1861" s="43">
        <f t="shared" si="333"/>
        <v>4.9019607843137258</v>
      </c>
      <c r="G1861" s="44">
        <f t="shared" si="336"/>
        <v>4</v>
      </c>
      <c r="H1861" s="44">
        <f t="shared" si="337"/>
        <v>0.90196078431372584</v>
      </c>
      <c r="I1861" cm="1">
        <f t="array" ref="I1861">INT(F1861)+IF(100-SUM(INT(F$1858:F$1869))&gt;=RANK(H1861,H$1858:H$1869)+COUNTIF(H$1858:H1861,H1861)-1,1,0)</f>
        <v>5</v>
      </c>
      <c r="J1861" t="b">
        <f t="shared" si="338"/>
        <v>0</v>
      </c>
      <c r="K1861" t="str">
        <f t="shared" si="339"/>
        <v/>
      </c>
      <c r="L1861">
        <f>_xlfn.XLOOKUP(D1861,BugList!C:C,BugList!N:N)</f>
        <v>6</v>
      </c>
      <c r="M1861">
        <f t="shared" si="340"/>
        <v>30</v>
      </c>
      <c r="N1861" t="b">
        <f>_xlfn.XLOOKUP(D1861,BugList!C:C,BugList!L:L)</f>
        <v>1</v>
      </c>
      <c r="O1861" t="b">
        <f t="shared" si="341"/>
        <v>0</v>
      </c>
      <c r="P1861" s="18" t="b">
        <f>SUMPRODUCT(COUNTIF(_xlfn.XLOOKUP(D1861,BugList!C:C,BugList!P:P), "*SC*"))&gt;0</f>
        <v>0</v>
      </c>
    </row>
    <row r="1862" spans="1:16">
      <c r="A1862" s="9" t="s">
        <v>2911</v>
      </c>
      <c r="B1862" s="83">
        <v>304</v>
      </c>
      <c r="C1862" s="34" t="s">
        <v>194</v>
      </c>
      <c r="D1862" s="34" t="s">
        <v>108</v>
      </c>
      <c r="E1862" s="83">
        <v>5</v>
      </c>
      <c r="F1862" s="43">
        <f t="shared" si="333"/>
        <v>4.9019607843137258</v>
      </c>
      <c r="G1862" s="44">
        <f t="shared" si="336"/>
        <v>4</v>
      </c>
      <c r="H1862" s="44">
        <f t="shared" si="337"/>
        <v>0.90196078431372584</v>
      </c>
      <c r="I1862" cm="1">
        <f t="array" ref="I1862">INT(F1862)+IF(100-SUM(INT(F$1858:F$1869))&gt;=RANK(H1862,H$1858:H$1869)+COUNTIF(H$1858:H1862,H1862)-1,1,0)</f>
        <v>5</v>
      </c>
      <c r="J1862" t="b">
        <f t="shared" si="338"/>
        <v>0</v>
      </c>
      <c r="K1862" t="str">
        <f t="shared" si="339"/>
        <v/>
      </c>
      <c r="L1862">
        <f>_xlfn.XLOOKUP(D1862,BugList!C:C,BugList!N:N)</f>
        <v>3</v>
      </c>
      <c r="M1862">
        <f t="shared" si="340"/>
        <v>15</v>
      </c>
      <c r="N1862" t="b">
        <f>_xlfn.XLOOKUP(D1862,BugList!C:C,BugList!L:L)</f>
        <v>1</v>
      </c>
      <c r="O1862" t="b">
        <f t="shared" si="341"/>
        <v>0</v>
      </c>
      <c r="P1862" s="18" t="b">
        <f>SUMPRODUCT(COUNTIF(_xlfn.XLOOKUP(D1862,BugList!C:C,BugList!P:P), "*SC*"))&gt;0</f>
        <v>0</v>
      </c>
    </row>
    <row r="1863" spans="1:16">
      <c r="A1863" s="9" t="s">
        <v>2911</v>
      </c>
      <c r="B1863" s="83">
        <v>304</v>
      </c>
      <c r="C1863" s="34" t="s">
        <v>199</v>
      </c>
      <c r="D1863" s="34" t="s">
        <v>111</v>
      </c>
      <c r="E1863" s="83">
        <v>3</v>
      </c>
      <c r="F1863" s="43">
        <f t="shared" si="333"/>
        <v>2.9411764705882351</v>
      </c>
      <c r="G1863" s="44">
        <f t="shared" si="336"/>
        <v>2</v>
      </c>
      <c r="H1863" s="44">
        <f t="shared" si="337"/>
        <v>0.94117647058823506</v>
      </c>
      <c r="I1863" cm="1">
        <f t="array" ref="I1863">INT(F1863)+IF(100-SUM(INT(F$1858:F$1869))&gt;=RANK(H1863,H$1858:H$1869)+COUNTIF(H$1858:H1863,H1863)-1,1,0)</f>
        <v>3</v>
      </c>
      <c r="J1863" t="b">
        <f t="shared" si="338"/>
        <v>1</v>
      </c>
      <c r="K1863" t="str">
        <f t="shared" si="339"/>
        <v>Ephemeroptera</v>
      </c>
      <c r="L1863">
        <f>_xlfn.XLOOKUP(D1863,BugList!C:C,BugList!N:N)</f>
        <v>4</v>
      </c>
      <c r="M1863">
        <f t="shared" si="340"/>
        <v>12</v>
      </c>
      <c r="N1863" t="b">
        <f>_xlfn.XLOOKUP(D1863,BugList!C:C,BugList!L:L)</f>
        <v>1</v>
      </c>
      <c r="O1863" t="b">
        <f t="shared" si="341"/>
        <v>1</v>
      </c>
      <c r="P1863" s="18" t="b">
        <f>SUMPRODUCT(COUNTIF(_xlfn.XLOOKUP(D1863,BugList!C:C,BugList!P:P), "*SC*"))&gt;0</f>
        <v>0</v>
      </c>
    </row>
    <row r="1864" spans="1:16">
      <c r="A1864" s="9" t="s">
        <v>2911</v>
      </c>
      <c r="B1864" s="83">
        <v>304</v>
      </c>
      <c r="C1864" s="34" t="s">
        <v>211</v>
      </c>
      <c r="D1864" s="34" t="s">
        <v>87</v>
      </c>
      <c r="E1864" s="83">
        <v>1</v>
      </c>
      <c r="F1864" s="43">
        <f t="shared" si="333"/>
        <v>0.98039215686274506</v>
      </c>
      <c r="G1864" s="44">
        <f t="shared" si="336"/>
        <v>0</v>
      </c>
      <c r="H1864" s="44">
        <f t="shared" si="337"/>
        <v>0.98039215686274506</v>
      </c>
      <c r="I1864" cm="1">
        <f t="array" ref="I1864">INT(F1864)+IF(100-SUM(INT(F$1858:F$1869))&gt;=RANK(H1864,H$1858:H$1869)+COUNTIF(H$1858:H1864,H1864)-1,1,0)</f>
        <v>1</v>
      </c>
      <c r="J1864" t="b">
        <f t="shared" si="338"/>
        <v>0</v>
      </c>
      <c r="K1864" t="str">
        <f t="shared" si="339"/>
        <v/>
      </c>
      <c r="L1864">
        <f>_xlfn.XLOOKUP(D1864,BugList!C:C,BugList!N:N)</f>
        <v>4</v>
      </c>
      <c r="M1864">
        <f t="shared" si="340"/>
        <v>4</v>
      </c>
      <c r="N1864" t="b">
        <f>_xlfn.XLOOKUP(D1864,BugList!C:C,BugList!L:L)</f>
        <v>0</v>
      </c>
      <c r="O1864" t="b">
        <f t="shared" si="341"/>
        <v>0</v>
      </c>
      <c r="P1864" s="18" t="b">
        <f>SUMPRODUCT(COUNTIF(_xlfn.XLOOKUP(D1864,BugList!C:C,BugList!P:P), "*SC*"))&gt;0</f>
        <v>0</v>
      </c>
    </row>
    <row r="1865" spans="1:16">
      <c r="A1865" s="9" t="s">
        <v>2911</v>
      </c>
      <c r="B1865" s="83">
        <v>304</v>
      </c>
      <c r="C1865" s="34" t="s">
        <v>198</v>
      </c>
      <c r="D1865" s="34" t="s">
        <v>89</v>
      </c>
      <c r="E1865" s="83">
        <v>29</v>
      </c>
      <c r="F1865" s="43">
        <f t="shared" si="333"/>
        <v>28.431372549019606</v>
      </c>
      <c r="G1865" s="44">
        <f t="shared" si="336"/>
        <v>28</v>
      </c>
      <c r="H1865" s="44">
        <f t="shared" si="337"/>
        <v>0.43137254901960631</v>
      </c>
      <c r="I1865" cm="1">
        <f t="array" ref="I1865">INT(F1865)+IF(100-SUM(INT(F$1858:F$1869))&gt;=RANK(H1865,H$1858:H$1869)+COUNTIF(H$1858:H1865,H1865)-1,1,0)</f>
        <v>28</v>
      </c>
      <c r="J1865" t="b">
        <f t="shared" si="338"/>
        <v>1</v>
      </c>
      <c r="K1865" t="str">
        <f t="shared" si="339"/>
        <v>Trichoptera</v>
      </c>
      <c r="L1865">
        <f>_xlfn.XLOOKUP(D1865,BugList!C:C,BugList!N:N)</f>
        <v>4</v>
      </c>
      <c r="M1865">
        <f t="shared" si="340"/>
        <v>112</v>
      </c>
      <c r="N1865" t="b">
        <f>_xlfn.XLOOKUP(D1865,BugList!C:C,BugList!L:L)</f>
        <v>1</v>
      </c>
      <c r="O1865" t="b">
        <f t="shared" si="341"/>
        <v>0</v>
      </c>
      <c r="P1865" s="18" t="b">
        <f>SUMPRODUCT(COUNTIF(_xlfn.XLOOKUP(D1865,BugList!C:C,BugList!P:P), "*SC*"))&gt;0</f>
        <v>0</v>
      </c>
    </row>
    <row r="1866" spans="1:16">
      <c r="A1866" s="9" t="s">
        <v>2911</v>
      </c>
      <c r="B1866" s="83">
        <v>304</v>
      </c>
      <c r="C1866" s="34" t="s">
        <v>198</v>
      </c>
      <c r="D1866" s="34" t="s">
        <v>107</v>
      </c>
      <c r="E1866" s="83">
        <v>31</v>
      </c>
      <c r="F1866" s="43">
        <f t="shared" si="333"/>
        <v>30.392156862745097</v>
      </c>
      <c r="G1866" s="44">
        <f t="shared" si="336"/>
        <v>30</v>
      </c>
      <c r="H1866" s="44">
        <f t="shared" si="337"/>
        <v>0.39215686274509665</v>
      </c>
      <c r="I1866" cm="1">
        <f t="array" ref="I1866">INT(F1866)+IF(100-SUM(INT(F$1858:F$1869))&gt;=RANK(H1866,H$1858:H$1869)+COUNTIF(H$1858:H1866,H1866)-1,1,0)</f>
        <v>30</v>
      </c>
      <c r="J1866" t="b">
        <f t="shared" si="338"/>
        <v>1</v>
      </c>
      <c r="K1866" t="str">
        <f t="shared" si="339"/>
        <v>Trichoptera</v>
      </c>
      <c r="L1866">
        <f>_xlfn.XLOOKUP(D1866,BugList!C:C,BugList!N:N)</f>
        <v>3</v>
      </c>
      <c r="M1866">
        <f t="shared" si="340"/>
        <v>90</v>
      </c>
      <c r="N1866" t="b">
        <f>_xlfn.XLOOKUP(D1866,BugList!C:C,BugList!L:L)</f>
        <v>1</v>
      </c>
      <c r="O1866" t="b">
        <f t="shared" si="341"/>
        <v>1</v>
      </c>
      <c r="P1866" s="18" t="b">
        <f>SUMPRODUCT(COUNTIF(_xlfn.XLOOKUP(D1866,BugList!C:C,BugList!P:P), "*SC*"))&gt;0</f>
        <v>0</v>
      </c>
    </row>
    <row r="1867" spans="1:16">
      <c r="A1867" s="9" t="s">
        <v>2911</v>
      </c>
      <c r="B1867" s="83">
        <v>304</v>
      </c>
      <c r="C1867" s="34" t="s">
        <v>201</v>
      </c>
      <c r="D1867" s="34" t="s">
        <v>85</v>
      </c>
      <c r="E1867" s="83">
        <v>1</v>
      </c>
      <c r="F1867" s="43">
        <f t="shared" si="333"/>
        <v>0.98039215686274506</v>
      </c>
      <c r="G1867" s="44">
        <f t="shared" si="336"/>
        <v>0</v>
      </c>
      <c r="H1867" s="44">
        <f t="shared" si="337"/>
        <v>0.98039215686274506</v>
      </c>
      <c r="I1867" cm="1">
        <f t="array" ref="I1867">INT(F1867)+IF(100-SUM(INT(F$1858:F$1869))&gt;=RANK(H1867,H$1858:H$1869)+COUNTIF(H$1858:H1867,H1867)-1,1,0)</f>
        <v>1</v>
      </c>
      <c r="J1867" t="b">
        <f t="shared" si="338"/>
        <v>0</v>
      </c>
      <c r="K1867" t="str">
        <f t="shared" si="339"/>
        <v/>
      </c>
      <c r="L1867">
        <f>_xlfn.XLOOKUP(D1867,BugList!C:C,BugList!N:N)</f>
        <v>4</v>
      </c>
      <c r="M1867">
        <f t="shared" si="340"/>
        <v>4</v>
      </c>
      <c r="N1867" t="b">
        <f>_xlfn.XLOOKUP(D1867,BugList!C:C,BugList!L:L)</f>
        <v>0</v>
      </c>
      <c r="O1867" t="b">
        <f t="shared" si="341"/>
        <v>0</v>
      </c>
      <c r="P1867" s="18" t="b">
        <f>SUMPRODUCT(COUNTIF(_xlfn.XLOOKUP(D1867,BugList!C:C,BugList!P:P), "*SC*"))&gt;0</f>
        <v>0</v>
      </c>
    </row>
    <row r="1868" spans="1:16">
      <c r="A1868" s="9" t="s">
        <v>2911</v>
      </c>
      <c r="B1868" s="83">
        <v>304</v>
      </c>
      <c r="C1868" s="34" t="s">
        <v>205</v>
      </c>
      <c r="D1868" s="34" t="s">
        <v>206</v>
      </c>
      <c r="E1868" s="83">
        <v>1</v>
      </c>
      <c r="F1868" s="43">
        <f t="shared" si="333"/>
        <v>0.98039215686274506</v>
      </c>
      <c r="G1868" s="44">
        <f t="shared" si="336"/>
        <v>0</v>
      </c>
      <c r="H1868" s="44">
        <f t="shared" si="337"/>
        <v>0.98039215686274506</v>
      </c>
      <c r="I1868" cm="1">
        <f t="array" ref="I1868">INT(F1868)+IF(100-SUM(INT(F$1858:F$1869))&gt;=RANK(H1868,H$1858:H$1869)+COUNTIF(H$1858:H1868,H1868)-1,1,0)</f>
        <v>1</v>
      </c>
      <c r="J1868" t="b">
        <f t="shared" si="338"/>
        <v>0</v>
      </c>
      <c r="K1868" t="str">
        <f t="shared" si="339"/>
        <v/>
      </c>
      <c r="L1868" s="71">
        <v>8</v>
      </c>
      <c r="M1868">
        <f t="shared" si="340"/>
        <v>8</v>
      </c>
      <c r="N1868" s="71" t="b">
        <v>0</v>
      </c>
      <c r="O1868" t="b">
        <f t="shared" si="341"/>
        <v>0</v>
      </c>
      <c r="P1868" s="72" t="b">
        <v>0</v>
      </c>
    </row>
    <row r="1869" spans="1:16">
      <c r="A1869" s="9" t="s">
        <v>2911</v>
      </c>
      <c r="B1869" s="83">
        <v>304</v>
      </c>
      <c r="C1869" s="34" t="s">
        <v>94</v>
      </c>
      <c r="D1869" s="34" t="s">
        <v>94</v>
      </c>
      <c r="E1869" s="83">
        <v>3</v>
      </c>
      <c r="F1869" s="43">
        <f t="shared" si="333"/>
        <v>2.9411764705882351</v>
      </c>
      <c r="G1869" s="44">
        <f t="shared" si="336"/>
        <v>2</v>
      </c>
      <c r="H1869" s="44">
        <f t="shared" si="337"/>
        <v>0.94117647058823506</v>
      </c>
      <c r="I1869" cm="1">
        <f t="array" ref="I1869">INT(F1869)+IF(100-SUM(INT(F$1858:F$1869))&gt;=RANK(H1869,H$1858:H$1869)+COUNTIF(H$1858:H1869,H1869)-1,1,0)</f>
        <v>3</v>
      </c>
      <c r="J1869" t="b">
        <f t="shared" si="338"/>
        <v>0</v>
      </c>
      <c r="K1869" t="str">
        <f t="shared" si="339"/>
        <v/>
      </c>
      <c r="L1869">
        <f>_xlfn.XLOOKUP(D1869,BugList!C:C,BugList!N:N)</f>
        <v>8</v>
      </c>
      <c r="M1869">
        <f t="shared" si="340"/>
        <v>24</v>
      </c>
      <c r="N1869" t="b">
        <f>_xlfn.XLOOKUP(D1869,BugList!C:C,BugList!L:L)</f>
        <v>0</v>
      </c>
      <c r="O1869" t="b">
        <f t="shared" si="341"/>
        <v>0</v>
      </c>
      <c r="P1869" s="18" t="b">
        <f>SUMPRODUCT(COUNTIF(_xlfn.XLOOKUP(D1869,BugList!C:C,BugList!P:P), "*SC*"))&gt;0</f>
        <v>0</v>
      </c>
    </row>
    <row r="1870" spans="1:16">
      <c r="A1870" s="9" t="s">
        <v>2912</v>
      </c>
      <c r="B1870" s="83">
        <v>316</v>
      </c>
      <c r="C1870" s="34" t="s">
        <v>200</v>
      </c>
      <c r="D1870" s="34" t="s">
        <v>98</v>
      </c>
      <c r="E1870" s="83">
        <v>8</v>
      </c>
      <c r="F1870" s="43">
        <f t="shared" si="333"/>
        <v>7.9207920792079207</v>
      </c>
      <c r="G1870" s="44">
        <f t="shared" si="336"/>
        <v>7</v>
      </c>
      <c r="H1870" s="44">
        <f t="shared" si="337"/>
        <v>0.92079207920792072</v>
      </c>
      <c r="I1870" cm="1">
        <f t="array" ref="I1870">INT(F1870)+IF(100-SUM(INT(F$1870:F$1881))&gt;=RANK(H1870,H$1870:H$1881)+COUNTIF(H$1870:H1870,H1870)-1,1,0)</f>
        <v>8</v>
      </c>
      <c r="J1870" t="b">
        <f t="shared" si="338"/>
        <v>0</v>
      </c>
      <c r="K1870" t="str">
        <f t="shared" si="339"/>
        <v/>
      </c>
      <c r="L1870">
        <f>_xlfn.XLOOKUP(D1870,BugList!C:C,BugList!N:N)</f>
        <v>4</v>
      </c>
      <c r="M1870">
        <f t="shared" si="340"/>
        <v>32</v>
      </c>
      <c r="N1870" t="b">
        <f>_xlfn.XLOOKUP(D1870,BugList!C:C,BugList!L:L)</f>
        <v>1</v>
      </c>
      <c r="O1870" t="b">
        <f t="shared" si="341"/>
        <v>0</v>
      </c>
      <c r="P1870" s="18" t="b">
        <f>SUMPRODUCT(COUNTIF(_xlfn.XLOOKUP(D1870,BugList!C:C,BugList!P:P), "*SC*"))&gt;0</f>
        <v>1</v>
      </c>
    </row>
    <row r="1871" spans="1:16">
      <c r="A1871" s="9" t="s">
        <v>2912</v>
      </c>
      <c r="B1871" s="83">
        <v>316</v>
      </c>
      <c r="C1871" s="34" t="s">
        <v>200</v>
      </c>
      <c r="D1871" s="34" t="s">
        <v>100</v>
      </c>
      <c r="E1871" s="83">
        <v>42</v>
      </c>
      <c r="F1871" s="43">
        <f t="shared" ref="F1871:F1934" si="342">(E1871/(SUMIFS(E:E,A:A,A1871))*100)</f>
        <v>41.584158415841586</v>
      </c>
      <c r="G1871" s="44">
        <f t="shared" si="336"/>
        <v>41</v>
      </c>
      <c r="H1871" s="44">
        <f t="shared" si="337"/>
        <v>0.58415841584158557</v>
      </c>
      <c r="I1871" cm="1">
        <f t="array" ref="I1871">INT(F1871)+IF(100-SUM(INT(F$1870:F$1881))&gt;=RANK(H1871,H$1870:H$1881)+COUNTIF(H$1870:H1871,H1871)-1,1,0)</f>
        <v>41</v>
      </c>
      <c r="J1871" t="b">
        <f t="shared" si="338"/>
        <v>0</v>
      </c>
      <c r="K1871" t="str">
        <f t="shared" si="339"/>
        <v/>
      </c>
      <c r="L1871">
        <f>_xlfn.XLOOKUP(D1871,BugList!C:C,BugList!N:N)</f>
        <v>4</v>
      </c>
      <c r="M1871">
        <f t="shared" si="340"/>
        <v>164</v>
      </c>
      <c r="N1871" t="b">
        <f>_xlfn.XLOOKUP(D1871,BugList!C:C,BugList!L:L)</f>
        <v>1</v>
      </c>
      <c r="O1871" t="b">
        <f t="shared" si="341"/>
        <v>0</v>
      </c>
      <c r="P1871" s="18" t="b">
        <f>SUMPRODUCT(COUNTIF(_xlfn.XLOOKUP(D1871,BugList!C:C,BugList!P:P), "*SC*"))&gt;0</f>
        <v>1</v>
      </c>
    </row>
    <row r="1872" spans="1:16">
      <c r="A1872" s="9" t="s">
        <v>2912</v>
      </c>
      <c r="B1872" s="83">
        <v>316</v>
      </c>
      <c r="C1872" s="34" t="s">
        <v>194</v>
      </c>
      <c r="D1872" s="34" t="s">
        <v>90</v>
      </c>
      <c r="E1872" s="83">
        <v>22</v>
      </c>
      <c r="F1872" s="43">
        <f t="shared" si="342"/>
        <v>21.782178217821784</v>
      </c>
      <c r="G1872" s="44">
        <f t="shared" si="336"/>
        <v>21</v>
      </c>
      <c r="H1872" s="44">
        <f t="shared" si="337"/>
        <v>0.78217821782178376</v>
      </c>
      <c r="I1872" cm="1">
        <f t="array" ref="I1872">INT(F1872)+IF(100-SUM(INT(F$1870:F$1881))&gt;=RANK(H1872,H$1870:H$1881)+COUNTIF(H$1870:H1872,H1872)-1,1,0)</f>
        <v>22</v>
      </c>
      <c r="J1872" t="b">
        <f t="shared" si="338"/>
        <v>0</v>
      </c>
      <c r="K1872" t="str">
        <f t="shared" si="339"/>
        <v/>
      </c>
      <c r="L1872">
        <f>_xlfn.XLOOKUP(D1872,BugList!C:C,BugList!N:N)</f>
        <v>6</v>
      </c>
      <c r="M1872">
        <f t="shared" si="340"/>
        <v>132</v>
      </c>
      <c r="N1872" t="b">
        <f>_xlfn.XLOOKUP(D1872,BugList!C:C,BugList!L:L)</f>
        <v>1</v>
      </c>
      <c r="O1872" t="b">
        <f t="shared" si="341"/>
        <v>0</v>
      </c>
      <c r="P1872" s="18" t="b">
        <f>SUMPRODUCT(COUNTIF(_xlfn.XLOOKUP(D1872,BugList!C:C,BugList!P:P), "*SC*"))&gt;0</f>
        <v>0</v>
      </c>
    </row>
    <row r="1873" spans="1:16">
      <c r="A1873" s="9" t="s">
        <v>2912</v>
      </c>
      <c r="B1873" s="83">
        <v>316</v>
      </c>
      <c r="C1873" s="34" t="s">
        <v>194</v>
      </c>
      <c r="D1873" s="34" t="s">
        <v>101</v>
      </c>
      <c r="E1873" s="83">
        <v>1</v>
      </c>
      <c r="F1873" s="43">
        <f t="shared" si="342"/>
        <v>0.99009900990099009</v>
      </c>
      <c r="G1873" s="44">
        <f t="shared" si="336"/>
        <v>0</v>
      </c>
      <c r="H1873" s="44">
        <f t="shared" si="337"/>
        <v>0.99009900990099009</v>
      </c>
      <c r="I1873" cm="1">
        <f t="array" ref="I1873">INT(F1873)+IF(100-SUM(INT(F$1870:F$1881))&gt;=RANK(H1873,H$1870:H$1881)+COUNTIF(H$1870:H1873,H1873)-1,1,0)</f>
        <v>1</v>
      </c>
      <c r="J1873" t="b">
        <f t="shared" si="338"/>
        <v>0</v>
      </c>
      <c r="K1873" t="str">
        <f t="shared" si="339"/>
        <v/>
      </c>
      <c r="L1873">
        <f>_xlfn.XLOOKUP(D1873,BugList!C:C,BugList!N:N)</f>
        <v>6</v>
      </c>
      <c r="M1873">
        <f t="shared" si="340"/>
        <v>6</v>
      </c>
      <c r="N1873" t="b">
        <f>_xlfn.XLOOKUP(D1873,BugList!C:C,BugList!L:L)</f>
        <v>1</v>
      </c>
      <c r="O1873" t="b">
        <f t="shared" si="341"/>
        <v>0</v>
      </c>
      <c r="P1873" s="18" t="b">
        <f>SUMPRODUCT(COUNTIF(_xlfn.XLOOKUP(D1873,BugList!C:C,BugList!P:P), "*SC*"))&gt;0</f>
        <v>0</v>
      </c>
    </row>
    <row r="1874" spans="1:16">
      <c r="A1874" s="9" t="s">
        <v>2912</v>
      </c>
      <c r="B1874" s="83">
        <v>316</v>
      </c>
      <c r="C1874" s="34" t="s">
        <v>194</v>
      </c>
      <c r="D1874" s="34" t="s">
        <v>108</v>
      </c>
      <c r="E1874" s="83">
        <v>1</v>
      </c>
      <c r="F1874" s="43">
        <f t="shared" si="342"/>
        <v>0.99009900990099009</v>
      </c>
      <c r="G1874" s="44">
        <f t="shared" si="336"/>
        <v>0</v>
      </c>
      <c r="H1874" s="44">
        <f t="shared" si="337"/>
        <v>0.99009900990099009</v>
      </c>
      <c r="I1874" cm="1">
        <f t="array" ref="I1874">INT(F1874)+IF(100-SUM(INT(F$1870:F$1881))&gt;=RANK(H1874,H$1870:H$1881)+COUNTIF(H$1870:H1874,H1874)-1,1,0)</f>
        <v>1</v>
      </c>
      <c r="J1874" t="b">
        <f t="shared" si="338"/>
        <v>0</v>
      </c>
      <c r="K1874" t="str">
        <f t="shared" si="339"/>
        <v/>
      </c>
      <c r="L1874">
        <f>_xlfn.XLOOKUP(D1874,BugList!C:C,BugList!N:N)</f>
        <v>3</v>
      </c>
      <c r="M1874">
        <f t="shared" si="340"/>
        <v>3</v>
      </c>
      <c r="N1874" t="b">
        <f>_xlfn.XLOOKUP(D1874,BugList!C:C,BugList!L:L)</f>
        <v>1</v>
      </c>
      <c r="O1874" t="b">
        <f t="shared" si="341"/>
        <v>0</v>
      </c>
      <c r="P1874" s="18" t="b">
        <f>SUMPRODUCT(COUNTIF(_xlfn.XLOOKUP(D1874,BugList!C:C,BugList!P:P), "*SC*"))&gt;0</f>
        <v>0</v>
      </c>
    </row>
    <row r="1875" spans="1:16">
      <c r="A1875" s="9" t="s">
        <v>2912</v>
      </c>
      <c r="B1875" s="83">
        <v>316</v>
      </c>
      <c r="C1875" s="34" t="s">
        <v>199</v>
      </c>
      <c r="D1875" s="34" t="s">
        <v>111</v>
      </c>
      <c r="E1875" s="83">
        <v>7</v>
      </c>
      <c r="F1875" s="43">
        <f t="shared" si="342"/>
        <v>6.9306930693069315</v>
      </c>
      <c r="G1875" s="44">
        <f t="shared" si="336"/>
        <v>6</v>
      </c>
      <c r="H1875" s="44">
        <f t="shared" si="337"/>
        <v>0.93069306930693152</v>
      </c>
      <c r="I1875" cm="1">
        <f t="array" ref="I1875">INT(F1875)+IF(100-SUM(INT(F$1870:F$1881))&gt;=RANK(H1875,H$1870:H$1881)+COUNTIF(H$1870:H1875,H1875)-1,1,0)</f>
        <v>7</v>
      </c>
      <c r="J1875" t="b">
        <f t="shared" si="338"/>
        <v>1</v>
      </c>
      <c r="K1875" t="str">
        <f t="shared" si="339"/>
        <v>Ephemeroptera</v>
      </c>
      <c r="L1875">
        <f>_xlfn.XLOOKUP(D1875,BugList!C:C,BugList!N:N)</f>
        <v>4</v>
      </c>
      <c r="M1875">
        <f t="shared" si="340"/>
        <v>28</v>
      </c>
      <c r="N1875" t="b">
        <f>_xlfn.XLOOKUP(D1875,BugList!C:C,BugList!L:L)</f>
        <v>1</v>
      </c>
      <c r="O1875" t="b">
        <f t="shared" si="341"/>
        <v>1</v>
      </c>
      <c r="P1875" s="18" t="b">
        <f>SUMPRODUCT(COUNTIF(_xlfn.XLOOKUP(D1875,BugList!C:C,BugList!P:P), "*SC*"))&gt;0</f>
        <v>0</v>
      </c>
    </row>
    <row r="1876" spans="1:16">
      <c r="A1876" s="9" t="s">
        <v>2912</v>
      </c>
      <c r="B1876" s="83">
        <v>316</v>
      </c>
      <c r="C1876" s="34" t="s">
        <v>195</v>
      </c>
      <c r="D1876" s="34" t="s">
        <v>97</v>
      </c>
      <c r="E1876" s="83">
        <v>3</v>
      </c>
      <c r="F1876" s="43">
        <f t="shared" si="342"/>
        <v>2.9702970297029703</v>
      </c>
      <c r="G1876" s="44">
        <f t="shared" si="336"/>
        <v>2</v>
      </c>
      <c r="H1876" s="44">
        <f t="shared" si="337"/>
        <v>0.97029702970297027</v>
      </c>
      <c r="I1876" cm="1">
        <f t="array" ref="I1876">INT(F1876)+IF(100-SUM(INT(F$1870:F$1881))&gt;=RANK(H1876,H$1870:H$1881)+COUNTIF(H$1870:H1876,H1876)-1,1,0)</f>
        <v>3</v>
      </c>
      <c r="J1876" t="b">
        <f t="shared" si="338"/>
        <v>0</v>
      </c>
      <c r="K1876" t="str">
        <f t="shared" si="339"/>
        <v/>
      </c>
      <c r="L1876">
        <f>_xlfn.XLOOKUP(D1876,BugList!C:C,BugList!N:N)</f>
        <v>9</v>
      </c>
      <c r="M1876">
        <f t="shared" si="340"/>
        <v>27</v>
      </c>
      <c r="N1876" t="b">
        <f>_xlfn.XLOOKUP(D1876,BugList!C:C,BugList!L:L)</f>
        <v>1</v>
      </c>
      <c r="O1876" t="b">
        <f t="shared" si="341"/>
        <v>0</v>
      </c>
      <c r="P1876" s="18" t="b">
        <f>SUMPRODUCT(COUNTIF(_xlfn.XLOOKUP(D1876,BugList!C:C,BugList!P:P), "*SC*"))&gt;0</f>
        <v>0</v>
      </c>
    </row>
    <row r="1877" spans="1:16">
      <c r="A1877" s="9" t="s">
        <v>2912</v>
      </c>
      <c r="B1877" s="83">
        <v>316</v>
      </c>
      <c r="C1877" s="34" t="s">
        <v>197</v>
      </c>
      <c r="D1877" s="34" t="s">
        <v>106</v>
      </c>
      <c r="E1877" s="83">
        <v>1</v>
      </c>
      <c r="F1877" s="43">
        <f t="shared" si="342"/>
        <v>0.99009900990099009</v>
      </c>
      <c r="G1877" s="44">
        <f t="shared" si="336"/>
        <v>0</v>
      </c>
      <c r="H1877" s="44">
        <f t="shared" si="337"/>
        <v>0.99009900990099009</v>
      </c>
      <c r="I1877" cm="1">
        <f t="array" ref="I1877">INT(F1877)+IF(100-SUM(INT(F$1870:F$1881))&gt;=RANK(H1877,H$1870:H$1881)+COUNTIF(H$1870:H1877,H1877)-1,1,0)</f>
        <v>1</v>
      </c>
      <c r="J1877" t="b">
        <f t="shared" si="338"/>
        <v>1</v>
      </c>
      <c r="K1877" t="str">
        <f t="shared" si="339"/>
        <v>Plecoptera</v>
      </c>
      <c r="L1877">
        <f>_xlfn.XLOOKUP(D1877,BugList!C:C,BugList!N:N)</f>
        <v>2</v>
      </c>
      <c r="M1877">
        <f t="shared" si="340"/>
        <v>2</v>
      </c>
      <c r="N1877" t="b">
        <f>_xlfn.XLOOKUP(D1877,BugList!C:C,BugList!L:L)</f>
        <v>1</v>
      </c>
      <c r="O1877" t="b">
        <f t="shared" si="341"/>
        <v>1</v>
      </c>
      <c r="P1877" s="18" t="b">
        <f>SUMPRODUCT(COUNTIF(_xlfn.XLOOKUP(D1877,BugList!C:C,BugList!P:P), "*SC*"))&gt;0</f>
        <v>0</v>
      </c>
    </row>
    <row r="1878" spans="1:16">
      <c r="A1878" s="9" t="s">
        <v>2912</v>
      </c>
      <c r="B1878" s="83">
        <v>316</v>
      </c>
      <c r="C1878" s="34" t="s">
        <v>198</v>
      </c>
      <c r="D1878" s="34" t="s">
        <v>89</v>
      </c>
      <c r="E1878" s="83">
        <v>8</v>
      </c>
      <c r="F1878" s="43">
        <f t="shared" si="342"/>
        <v>7.9207920792079207</v>
      </c>
      <c r="G1878" s="44">
        <f t="shared" si="336"/>
        <v>7</v>
      </c>
      <c r="H1878" s="44">
        <f t="shared" si="337"/>
        <v>0.92079207920792072</v>
      </c>
      <c r="I1878" cm="1">
        <f t="array" ref="I1878">INT(F1878)+IF(100-SUM(INT(F$1870:F$1881))&gt;=RANK(H1878,H$1870:H$1881)+COUNTIF(H$1870:H1878,H1878)-1,1,0)</f>
        <v>8</v>
      </c>
      <c r="J1878" t="b">
        <f t="shared" si="338"/>
        <v>1</v>
      </c>
      <c r="K1878" t="str">
        <f t="shared" si="339"/>
        <v>Trichoptera</v>
      </c>
      <c r="L1878">
        <f>_xlfn.XLOOKUP(D1878,BugList!C:C,BugList!N:N)</f>
        <v>4</v>
      </c>
      <c r="M1878">
        <f t="shared" si="340"/>
        <v>32</v>
      </c>
      <c r="N1878" t="b">
        <f>_xlfn.XLOOKUP(D1878,BugList!C:C,BugList!L:L)</f>
        <v>1</v>
      </c>
      <c r="O1878" t="b">
        <f t="shared" si="341"/>
        <v>0</v>
      </c>
      <c r="P1878" s="18" t="b">
        <f>SUMPRODUCT(COUNTIF(_xlfn.XLOOKUP(D1878,BugList!C:C,BugList!P:P), "*SC*"))&gt;0</f>
        <v>0</v>
      </c>
    </row>
    <row r="1879" spans="1:16">
      <c r="A1879" s="9" t="s">
        <v>2912</v>
      </c>
      <c r="B1879" s="83">
        <v>316</v>
      </c>
      <c r="C1879" s="34" t="s">
        <v>198</v>
      </c>
      <c r="D1879" s="34" t="s">
        <v>107</v>
      </c>
      <c r="E1879" s="83">
        <v>4</v>
      </c>
      <c r="F1879" s="43">
        <f t="shared" si="342"/>
        <v>3.9603960396039604</v>
      </c>
      <c r="G1879" s="44">
        <f t="shared" si="336"/>
        <v>3</v>
      </c>
      <c r="H1879" s="44">
        <f t="shared" si="337"/>
        <v>0.96039603960396036</v>
      </c>
      <c r="I1879" cm="1">
        <f t="array" ref="I1879">INT(F1879)+IF(100-SUM(INT(F$1870:F$1881))&gt;=RANK(H1879,H$1870:H$1881)+COUNTIF(H$1870:H1879,H1879)-1,1,0)</f>
        <v>4</v>
      </c>
      <c r="J1879" t="b">
        <f t="shared" si="338"/>
        <v>1</v>
      </c>
      <c r="K1879" t="str">
        <f t="shared" si="339"/>
        <v>Trichoptera</v>
      </c>
      <c r="L1879">
        <f>_xlfn.XLOOKUP(D1879,BugList!C:C,BugList!N:N)</f>
        <v>3</v>
      </c>
      <c r="M1879">
        <f t="shared" si="340"/>
        <v>12</v>
      </c>
      <c r="N1879" t="b">
        <f>_xlfn.XLOOKUP(D1879,BugList!C:C,BugList!L:L)</f>
        <v>1</v>
      </c>
      <c r="O1879" t="b">
        <f t="shared" si="341"/>
        <v>1</v>
      </c>
      <c r="P1879" s="18" t="b">
        <f>SUMPRODUCT(COUNTIF(_xlfn.XLOOKUP(D1879,BugList!C:C,BugList!P:P), "*SC*"))&gt;0</f>
        <v>0</v>
      </c>
    </row>
    <row r="1880" spans="1:16">
      <c r="A1880" s="9" t="s">
        <v>2912</v>
      </c>
      <c r="B1880" s="83">
        <v>316</v>
      </c>
      <c r="C1880" s="34" t="s">
        <v>201</v>
      </c>
      <c r="D1880" s="34" t="s">
        <v>85</v>
      </c>
      <c r="E1880" s="83">
        <v>1</v>
      </c>
      <c r="F1880" s="43">
        <f t="shared" si="342"/>
        <v>0.99009900990099009</v>
      </c>
      <c r="G1880" s="44">
        <f t="shared" si="336"/>
        <v>0</v>
      </c>
      <c r="H1880" s="44">
        <f t="shared" si="337"/>
        <v>0.99009900990099009</v>
      </c>
      <c r="I1880" cm="1">
        <f t="array" ref="I1880">INT(F1880)+IF(100-SUM(INT(F$1870:F$1881))&gt;=RANK(H1880,H$1870:H$1881)+COUNTIF(H$1870:H1880,H1880)-1,1,0)</f>
        <v>1</v>
      </c>
      <c r="J1880" t="b">
        <f t="shared" si="338"/>
        <v>0</v>
      </c>
      <c r="K1880" t="str">
        <f t="shared" si="339"/>
        <v/>
      </c>
      <c r="L1880">
        <f>_xlfn.XLOOKUP(D1880,BugList!C:C,BugList!N:N)</f>
        <v>4</v>
      </c>
      <c r="M1880">
        <f t="shared" si="340"/>
        <v>4</v>
      </c>
      <c r="N1880" t="b">
        <f>_xlfn.XLOOKUP(D1880,BugList!C:C,BugList!L:L)</f>
        <v>0</v>
      </c>
      <c r="O1880" t="b">
        <f t="shared" si="341"/>
        <v>0</v>
      </c>
      <c r="P1880" s="18" t="b">
        <f>SUMPRODUCT(COUNTIF(_xlfn.XLOOKUP(D1880,BugList!C:C,BugList!P:P), "*SC*"))&gt;0</f>
        <v>0</v>
      </c>
    </row>
    <row r="1881" spans="1:16">
      <c r="A1881" s="9" t="s">
        <v>2912</v>
      </c>
      <c r="B1881" s="83">
        <v>316</v>
      </c>
      <c r="C1881" s="34" t="s">
        <v>94</v>
      </c>
      <c r="D1881" s="34" t="s">
        <v>94</v>
      </c>
      <c r="E1881" s="83">
        <v>3</v>
      </c>
      <c r="F1881" s="43">
        <f t="shared" si="342"/>
        <v>2.9702970297029703</v>
      </c>
      <c r="G1881" s="44">
        <f t="shared" si="336"/>
        <v>2</v>
      </c>
      <c r="H1881" s="44">
        <f t="shared" si="337"/>
        <v>0.97029702970297027</v>
      </c>
      <c r="I1881" cm="1">
        <f t="array" ref="I1881">INT(F1881)+IF(100-SUM(INT(F$1870:F$1881))&gt;=RANK(H1881,H$1870:H$1881)+COUNTIF(H$1870:H1881,H1881)-1,1,0)</f>
        <v>3</v>
      </c>
      <c r="J1881" t="b">
        <f t="shared" si="338"/>
        <v>0</v>
      </c>
      <c r="K1881" t="str">
        <f t="shared" si="339"/>
        <v/>
      </c>
      <c r="L1881">
        <f>_xlfn.XLOOKUP(D1881,BugList!C:C,BugList!N:N)</f>
        <v>8</v>
      </c>
      <c r="M1881">
        <f t="shared" si="340"/>
        <v>24</v>
      </c>
      <c r="N1881" t="b">
        <f>_xlfn.XLOOKUP(D1881,BugList!C:C,BugList!L:L)</f>
        <v>0</v>
      </c>
      <c r="O1881" t="b">
        <f t="shared" si="341"/>
        <v>0</v>
      </c>
      <c r="P1881" s="18" t="b">
        <f>SUMPRODUCT(COUNTIF(_xlfn.XLOOKUP(D1881,BugList!C:C,BugList!P:P), "*SC*"))&gt;0</f>
        <v>0</v>
      </c>
    </row>
    <row r="1882" spans="1:16">
      <c r="A1882" s="9" t="s">
        <v>2913</v>
      </c>
      <c r="B1882" s="83">
        <v>324</v>
      </c>
      <c r="C1882" s="34" t="s">
        <v>200</v>
      </c>
      <c r="D1882" s="34" t="s">
        <v>98</v>
      </c>
      <c r="E1882" s="83">
        <v>33</v>
      </c>
      <c r="F1882" s="43">
        <f t="shared" si="342"/>
        <v>31.73076923076923</v>
      </c>
      <c r="G1882" s="44">
        <f t="shared" si="336"/>
        <v>31</v>
      </c>
      <c r="H1882" s="44">
        <f t="shared" si="337"/>
        <v>0.73076923076922995</v>
      </c>
      <c r="I1882" cm="1">
        <f t="array" ref="I1882">INT(F1882)+IF(100-SUM(INT(F$1882:F$1895))&gt;=RANK(H1882,H$1882:H$1895)+COUNTIF(H$1882:H1882,H1882)-1,1,0)</f>
        <v>31</v>
      </c>
      <c r="J1882" t="b">
        <f t="shared" si="338"/>
        <v>0</v>
      </c>
      <c r="K1882" t="str">
        <f t="shared" si="339"/>
        <v/>
      </c>
      <c r="L1882">
        <f>_xlfn.XLOOKUP(D1882,BugList!C:C,BugList!N:N)</f>
        <v>4</v>
      </c>
      <c r="M1882">
        <f t="shared" si="340"/>
        <v>124</v>
      </c>
      <c r="N1882" t="b">
        <f>_xlfn.XLOOKUP(D1882,BugList!C:C,BugList!L:L)</f>
        <v>1</v>
      </c>
      <c r="O1882" t="b">
        <f t="shared" si="341"/>
        <v>0</v>
      </c>
      <c r="P1882" s="18" t="b">
        <f>SUMPRODUCT(COUNTIF(_xlfn.XLOOKUP(D1882,BugList!C:C,BugList!P:P), "*SC*"))&gt;0</f>
        <v>1</v>
      </c>
    </row>
    <row r="1883" spans="1:16">
      <c r="A1883" s="9" t="s">
        <v>2913</v>
      </c>
      <c r="B1883" s="83">
        <v>324</v>
      </c>
      <c r="C1883" s="34" t="s">
        <v>200</v>
      </c>
      <c r="D1883" s="34" t="s">
        <v>100</v>
      </c>
      <c r="E1883" s="83">
        <v>19</v>
      </c>
      <c r="F1883" s="43">
        <f t="shared" si="342"/>
        <v>18.269230769230766</v>
      </c>
      <c r="G1883" s="44">
        <f t="shared" si="336"/>
        <v>18</v>
      </c>
      <c r="H1883" s="44">
        <f t="shared" si="337"/>
        <v>0.2692307692307665</v>
      </c>
      <c r="I1883" cm="1">
        <f t="array" ref="I1883">INT(F1883)+IF(100-SUM(INT(F$1882:F$1895))&gt;=RANK(H1883,H$1882:H$1895)+COUNTIF(H$1882:H1883,H1883)-1,1,0)</f>
        <v>18</v>
      </c>
      <c r="J1883" t="b">
        <f t="shared" si="338"/>
        <v>0</v>
      </c>
      <c r="K1883" t="str">
        <f t="shared" si="339"/>
        <v/>
      </c>
      <c r="L1883">
        <f>_xlfn.XLOOKUP(D1883,BugList!C:C,BugList!N:N)</f>
        <v>4</v>
      </c>
      <c r="M1883">
        <f t="shared" si="340"/>
        <v>72</v>
      </c>
      <c r="N1883" t="b">
        <f>_xlfn.XLOOKUP(D1883,BugList!C:C,BugList!L:L)</f>
        <v>1</v>
      </c>
      <c r="O1883" t="b">
        <f t="shared" si="341"/>
        <v>0</v>
      </c>
      <c r="P1883" s="18" t="b">
        <f>SUMPRODUCT(COUNTIF(_xlfn.XLOOKUP(D1883,BugList!C:C,BugList!P:P), "*SC*"))&gt;0</f>
        <v>1</v>
      </c>
    </row>
    <row r="1884" spans="1:16">
      <c r="A1884" s="9" t="s">
        <v>2913</v>
      </c>
      <c r="B1884" s="83">
        <v>324</v>
      </c>
      <c r="C1884" s="34" t="s">
        <v>194</v>
      </c>
      <c r="D1884" s="34" t="s">
        <v>126</v>
      </c>
      <c r="E1884" s="83">
        <v>7</v>
      </c>
      <c r="F1884" s="43">
        <f t="shared" si="342"/>
        <v>6.7307692307692308</v>
      </c>
      <c r="G1884" s="44">
        <f t="shared" si="336"/>
        <v>6</v>
      </c>
      <c r="H1884" s="44">
        <f t="shared" si="337"/>
        <v>0.73076923076923084</v>
      </c>
      <c r="I1884" cm="1">
        <f t="array" ref="I1884">INT(F1884)+IF(100-SUM(INT(F$1882:F$1895))&gt;=RANK(H1884,H$1882:H$1895)+COUNTIF(H$1882:H1884,H1884)-1,1,0)</f>
        <v>7</v>
      </c>
      <c r="J1884" t="b">
        <f t="shared" si="338"/>
        <v>0</v>
      </c>
      <c r="K1884" t="str">
        <f t="shared" si="339"/>
        <v/>
      </c>
      <c r="L1884">
        <f>_xlfn.XLOOKUP(D1884,BugList!C:C,BugList!N:N)</f>
        <v>8</v>
      </c>
      <c r="M1884">
        <f t="shared" si="340"/>
        <v>56</v>
      </c>
      <c r="N1884" t="b">
        <f>_xlfn.XLOOKUP(D1884,BugList!C:C,BugList!L:L)</f>
        <v>1</v>
      </c>
      <c r="O1884" t="b">
        <f t="shared" si="341"/>
        <v>0</v>
      </c>
      <c r="P1884" s="18" t="b">
        <f>SUMPRODUCT(COUNTIF(_xlfn.XLOOKUP(D1884,BugList!C:C,BugList!P:P), "*SC*"))&gt;0</f>
        <v>0</v>
      </c>
    </row>
    <row r="1885" spans="1:16">
      <c r="A1885" s="9" t="s">
        <v>2913</v>
      </c>
      <c r="B1885" s="83">
        <v>324</v>
      </c>
      <c r="C1885" s="34" t="s">
        <v>194</v>
      </c>
      <c r="D1885" s="34" t="s">
        <v>90</v>
      </c>
      <c r="E1885" s="83">
        <v>1</v>
      </c>
      <c r="F1885" s="43">
        <f t="shared" si="342"/>
        <v>0.96153846153846156</v>
      </c>
      <c r="G1885" s="44">
        <f t="shared" si="336"/>
        <v>0</v>
      </c>
      <c r="H1885" s="44">
        <f t="shared" si="337"/>
        <v>0.96153846153846156</v>
      </c>
      <c r="I1885" cm="1">
        <f t="array" ref="I1885">INT(F1885)+IF(100-SUM(INT(F$1882:F$1895))&gt;=RANK(H1885,H$1882:H$1895)+COUNTIF(H$1882:H1885,H1885)-1,1,0)</f>
        <v>1</v>
      </c>
      <c r="J1885" t="b">
        <f t="shared" si="338"/>
        <v>0</v>
      </c>
      <c r="K1885" t="str">
        <f t="shared" si="339"/>
        <v/>
      </c>
      <c r="L1885">
        <f>_xlfn.XLOOKUP(D1885,BugList!C:C,BugList!N:N)</f>
        <v>6</v>
      </c>
      <c r="M1885">
        <f t="shared" si="340"/>
        <v>6</v>
      </c>
      <c r="N1885" t="b">
        <f>_xlfn.XLOOKUP(D1885,BugList!C:C,BugList!L:L)</f>
        <v>1</v>
      </c>
      <c r="O1885" t="b">
        <f t="shared" si="341"/>
        <v>0</v>
      </c>
      <c r="P1885" s="18" t="b">
        <f>SUMPRODUCT(COUNTIF(_xlfn.XLOOKUP(D1885,BugList!C:C,BugList!P:P), "*SC*"))&gt;0</f>
        <v>0</v>
      </c>
    </row>
    <row r="1886" spans="1:16">
      <c r="A1886" s="9" t="s">
        <v>2913</v>
      </c>
      <c r="B1886" s="83">
        <v>324</v>
      </c>
      <c r="C1886" s="34" t="s">
        <v>194</v>
      </c>
      <c r="D1886" s="34" t="s">
        <v>108</v>
      </c>
      <c r="E1886" s="83">
        <v>5</v>
      </c>
      <c r="F1886" s="43">
        <f t="shared" si="342"/>
        <v>4.8076923076923084</v>
      </c>
      <c r="G1886" s="44">
        <f t="shared" si="336"/>
        <v>4</v>
      </c>
      <c r="H1886" s="44">
        <f t="shared" si="337"/>
        <v>0.80769230769230838</v>
      </c>
      <c r="I1886" cm="1">
        <f t="array" ref="I1886">INT(F1886)+IF(100-SUM(INT(F$1882:F$1895))&gt;=RANK(H1886,H$1882:H$1895)+COUNTIF(H$1882:H1886,H1886)-1,1,0)</f>
        <v>5</v>
      </c>
      <c r="J1886" t="b">
        <f t="shared" si="338"/>
        <v>0</v>
      </c>
      <c r="K1886" t="str">
        <f t="shared" si="339"/>
        <v/>
      </c>
      <c r="L1886">
        <f>_xlfn.XLOOKUP(D1886,BugList!C:C,BugList!N:N)</f>
        <v>3</v>
      </c>
      <c r="M1886">
        <f t="shared" si="340"/>
        <v>15</v>
      </c>
      <c r="N1886" t="b">
        <f>_xlfn.XLOOKUP(D1886,BugList!C:C,BugList!L:L)</f>
        <v>1</v>
      </c>
      <c r="O1886" t="b">
        <f t="shared" si="341"/>
        <v>0</v>
      </c>
      <c r="P1886" s="18" t="b">
        <f>SUMPRODUCT(COUNTIF(_xlfn.XLOOKUP(D1886,BugList!C:C,BugList!P:P), "*SC*"))&gt;0</f>
        <v>0</v>
      </c>
    </row>
    <row r="1887" spans="1:16">
      <c r="A1887" s="9" t="s">
        <v>2913</v>
      </c>
      <c r="B1887" s="83">
        <v>324</v>
      </c>
      <c r="C1887" s="34" t="s">
        <v>199</v>
      </c>
      <c r="D1887" s="34" t="s">
        <v>111</v>
      </c>
      <c r="E1887" s="83">
        <v>5</v>
      </c>
      <c r="F1887" s="43">
        <f t="shared" si="342"/>
        <v>4.8076923076923084</v>
      </c>
      <c r="G1887" s="44">
        <f t="shared" si="336"/>
        <v>4</v>
      </c>
      <c r="H1887" s="44">
        <f t="shared" si="337"/>
        <v>0.80769230769230838</v>
      </c>
      <c r="I1887" cm="1">
        <f t="array" ref="I1887">INT(F1887)+IF(100-SUM(INT(F$1882:F$1895))&gt;=RANK(H1887,H$1882:H$1895)+COUNTIF(H$1882:H1887,H1887)-1,1,0)</f>
        <v>5</v>
      </c>
      <c r="J1887" t="b">
        <f t="shared" si="338"/>
        <v>1</v>
      </c>
      <c r="K1887" t="str">
        <f t="shared" si="339"/>
        <v>Ephemeroptera</v>
      </c>
      <c r="L1887">
        <f>_xlfn.XLOOKUP(D1887,BugList!C:C,BugList!N:N)</f>
        <v>4</v>
      </c>
      <c r="M1887">
        <f t="shared" si="340"/>
        <v>20</v>
      </c>
      <c r="N1887" t="b">
        <f>_xlfn.XLOOKUP(D1887,BugList!C:C,BugList!L:L)</f>
        <v>1</v>
      </c>
      <c r="O1887" t="b">
        <f t="shared" si="341"/>
        <v>1</v>
      </c>
      <c r="P1887" s="18" t="b">
        <f>SUMPRODUCT(COUNTIF(_xlfn.XLOOKUP(D1887,BugList!C:C,BugList!P:P), "*SC*"))&gt;0</f>
        <v>0</v>
      </c>
    </row>
    <row r="1888" spans="1:16">
      <c r="A1888" s="9" t="s">
        <v>2913</v>
      </c>
      <c r="B1888" s="83">
        <v>324</v>
      </c>
      <c r="C1888" s="34" t="s">
        <v>1483</v>
      </c>
      <c r="D1888" s="34" t="s">
        <v>174</v>
      </c>
      <c r="E1888" s="83">
        <v>1</v>
      </c>
      <c r="F1888" s="43">
        <f t="shared" si="342"/>
        <v>0.96153846153846156</v>
      </c>
      <c r="G1888" s="44">
        <f t="shared" si="336"/>
        <v>0</v>
      </c>
      <c r="H1888" s="44">
        <f t="shared" si="337"/>
        <v>0.96153846153846156</v>
      </c>
      <c r="I1888" cm="1">
        <f t="array" ref="I1888">INT(F1888)+IF(100-SUM(INT(F$1882:F$1895))&gt;=RANK(H1888,H$1882:H$1895)+COUNTIF(H$1882:H1888,H1888)-1,1,0)</f>
        <v>1</v>
      </c>
      <c r="J1888" t="b">
        <f t="shared" si="338"/>
        <v>0</v>
      </c>
      <c r="K1888" t="str">
        <f t="shared" si="339"/>
        <v/>
      </c>
      <c r="L1888">
        <f>_xlfn.XLOOKUP(D1888,BugList!C:C,BugList!N:N)</f>
        <v>5</v>
      </c>
      <c r="M1888">
        <f t="shared" si="340"/>
        <v>5</v>
      </c>
      <c r="N1888" t="b">
        <f>_xlfn.XLOOKUP(D1888,BugList!C:C,BugList!L:L)</f>
        <v>1</v>
      </c>
      <c r="O1888" t="b">
        <f t="shared" si="341"/>
        <v>0</v>
      </c>
      <c r="P1888" s="18" t="b">
        <f>SUMPRODUCT(COUNTIF(_xlfn.XLOOKUP(D1888,BugList!C:C,BugList!P:P), "*SC*"))&gt;0</f>
        <v>0</v>
      </c>
    </row>
    <row r="1889" spans="1:16">
      <c r="A1889" s="9" t="s">
        <v>2913</v>
      </c>
      <c r="B1889" s="83">
        <v>324</v>
      </c>
      <c r="C1889" s="34" t="s">
        <v>195</v>
      </c>
      <c r="D1889" s="34" t="s">
        <v>112</v>
      </c>
      <c r="E1889" s="83">
        <v>1</v>
      </c>
      <c r="F1889" s="43">
        <f t="shared" si="342"/>
        <v>0.96153846153846156</v>
      </c>
      <c r="G1889" s="44">
        <f t="shared" si="336"/>
        <v>0</v>
      </c>
      <c r="H1889" s="44">
        <f t="shared" si="337"/>
        <v>0.96153846153846156</v>
      </c>
      <c r="I1889" cm="1">
        <f t="array" ref="I1889">INT(F1889)+IF(100-SUM(INT(F$1882:F$1895))&gt;=RANK(H1889,H$1882:H$1895)+COUNTIF(H$1882:H1889,H1889)-1,1,0)</f>
        <v>1</v>
      </c>
      <c r="J1889" t="b">
        <f t="shared" si="338"/>
        <v>0</v>
      </c>
      <c r="K1889" t="str">
        <f t="shared" si="339"/>
        <v/>
      </c>
      <c r="L1889">
        <f>_xlfn.XLOOKUP(D1889,BugList!C:C,BugList!N:N)</f>
        <v>5</v>
      </c>
      <c r="M1889">
        <f t="shared" si="340"/>
        <v>5</v>
      </c>
      <c r="N1889" t="b">
        <f>_xlfn.XLOOKUP(D1889,BugList!C:C,BugList!L:L)</f>
        <v>1</v>
      </c>
      <c r="O1889" t="b">
        <f t="shared" si="341"/>
        <v>0</v>
      </c>
      <c r="P1889" s="18" t="b">
        <f>SUMPRODUCT(COUNTIF(_xlfn.XLOOKUP(D1889,BugList!C:C,BugList!P:P), "*SC*"))&gt;0</f>
        <v>0</v>
      </c>
    </row>
    <row r="1890" spans="1:16">
      <c r="A1890" s="9" t="s">
        <v>2913</v>
      </c>
      <c r="B1890" s="83">
        <v>324</v>
      </c>
      <c r="C1890" s="34" t="s">
        <v>195</v>
      </c>
      <c r="D1890" s="34" t="s">
        <v>113</v>
      </c>
      <c r="E1890" s="83">
        <v>2</v>
      </c>
      <c r="F1890" s="43">
        <f t="shared" si="342"/>
        <v>1.9230769230769231</v>
      </c>
      <c r="G1890" s="44">
        <f t="shared" si="336"/>
        <v>1</v>
      </c>
      <c r="H1890" s="44">
        <f t="shared" si="337"/>
        <v>0.92307692307692313</v>
      </c>
      <c r="I1890" cm="1">
        <f t="array" ref="I1890">INT(F1890)+IF(100-SUM(INT(F$1882:F$1895))&gt;=RANK(H1890,H$1882:H$1895)+COUNTIF(H$1882:H1890,H1890)-1,1,0)</f>
        <v>2</v>
      </c>
      <c r="J1890" t="b">
        <f t="shared" si="338"/>
        <v>0</v>
      </c>
      <c r="K1890" t="str">
        <f t="shared" si="339"/>
        <v/>
      </c>
      <c r="L1890">
        <f>_xlfn.XLOOKUP(D1890,BugList!C:C,BugList!N:N)</f>
        <v>1</v>
      </c>
      <c r="M1890">
        <f t="shared" si="340"/>
        <v>2</v>
      </c>
      <c r="N1890" t="b">
        <f>_xlfn.XLOOKUP(D1890,BugList!C:C,BugList!L:L)</f>
        <v>1</v>
      </c>
      <c r="O1890" t="b">
        <f t="shared" si="341"/>
        <v>0</v>
      </c>
      <c r="P1890" s="18" t="b">
        <f>SUMPRODUCT(COUNTIF(_xlfn.XLOOKUP(D1890,BugList!C:C,BugList!P:P), "*SC*"))&gt;0</f>
        <v>0</v>
      </c>
    </row>
    <row r="1891" spans="1:16">
      <c r="A1891" s="9" t="s">
        <v>2913</v>
      </c>
      <c r="B1891" s="83">
        <v>324</v>
      </c>
      <c r="C1891" s="34" t="s">
        <v>198</v>
      </c>
      <c r="D1891" s="34" t="s">
        <v>89</v>
      </c>
      <c r="E1891" s="83">
        <v>18</v>
      </c>
      <c r="F1891" s="43">
        <f t="shared" si="342"/>
        <v>17.307692307692307</v>
      </c>
      <c r="G1891" s="44">
        <f t="shared" si="336"/>
        <v>17</v>
      </c>
      <c r="H1891" s="44">
        <f t="shared" si="337"/>
        <v>0.3076923076923066</v>
      </c>
      <c r="I1891" cm="1">
        <f t="array" ref="I1891">INT(F1891)+IF(100-SUM(INT(F$1882:F$1895))&gt;=RANK(H1891,H$1882:H$1895)+COUNTIF(H$1882:H1891,H1891)-1,1,0)</f>
        <v>17</v>
      </c>
      <c r="J1891" t="b">
        <f t="shared" si="338"/>
        <v>1</v>
      </c>
      <c r="K1891" t="str">
        <f t="shared" si="339"/>
        <v>Trichoptera</v>
      </c>
      <c r="L1891">
        <f>_xlfn.XLOOKUP(D1891,BugList!C:C,BugList!N:N)</f>
        <v>4</v>
      </c>
      <c r="M1891">
        <f t="shared" si="340"/>
        <v>68</v>
      </c>
      <c r="N1891" t="b">
        <f>_xlfn.XLOOKUP(D1891,BugList!C:C,BugList!L:L)</f>
        <v>1</v>
      </c>
      <c r="O1891" t="b">
        <f t="shared" si="341"/>
        <v>0</v>
      </c>
      <c r="P1891" s="18" t="b">
        <f>SUMPRODUCT(COUNTIF(_xlfn.XLOOKUP(D1891,BugList!C:C,BugList!P:P), "*SC*"))&gt;0</f>
        <v>0</v>
      </c>
    </row>
    <row r="1892" spans="1:16">
      <c r="A1892" s="9" t="s">
        <v>2913</v>
      </c>
      <c r="B1892" s="83">
        <v>324</v>
      </c>
      <c r="C1892" s="34" t="s">
        <v>198</v>
      </c>
      <c r="D1892" s="34" t="s">
        <v>1263</v>
      </c>
      <c r="E1892" s="83">
        <v>1</v>
      </c>
      <c r="F1892" s="43">
        <f t="shared" si="342"/>
        <v>0.96153846153846156</v>
      </c>
      <c r="G1892" s="44">
        <f t="shared" si="336"/>
        <v>0</v>
      </c>
      <c r="H1892" s="44">
        <f t="shared" si="337"/>
        <v>0.96153846153846156</v>
      </c>
      <c r="I1892" cm="1">
        <f t="array" ref="I1892">INT(F1892)+IF(100-SUM(INT(F$1882:F$1895))&gt;=RANK(H1892,H$1882:H$1895)+COUNTIF(H$1882:H1892,H1892)-1,1,0)</f>
        <v>1</v>
      </c>
      <c r="J1892" t="b">
        <f t="shared" si="338"/>
        <v>1</v>
      </c>
      <c r="K1892" t="str">
        <f t="shared" si="339"/>
        <v>Trichoptera</v>
      </c>
      <c r="L1892">
        <f>_xlfn.XLOOKUP(D1892,BugList!C:C,BugList!N:N)</f>
        <v>4</v>
      </c>
      <c r="M1892">
        <f t="shared" si="340"/>
        <v>4</v>
      </c>
      <c r="N1892" t="b">
        <f>_xlfn.XLOOKUP(D1892,BugList!C:C,BugList!L:L)</f>
        <v>1</v>
      </c>
      <c r="O1892" t="b">
        <f t="shared" si="341"/>
        <v>1</v>
      </c>
      <c r="P1892" s="18" t="b">
        <f>SUMPRODUCT(COUNTIF(_xlfn.XLOOKUP(D1892,BugList!C:C,BugList!P:P), "*SC*"))&gt;0</f>
        <v>0</v>
      </c>
    </row>
    <row r="1893" spans="1:16">
      <c r="A1893" s="9" t="s">
        <v>2913</v>
      </c>
      <c r="B1893" s="83">
        <v>324</v>
      </c>
      <c r="C1893" s="34" t="s">
        <v>204</v>
      </c>
      <c r="D1893" s="34" t="s">
        <v>84</v>
      </c>
      <c r="E1893" s="83">
        <v>2</v>
      </c>
      <c r="F1893" s="43">
        <f t="shared" si="342"/>
        <v>1.9230769230769231</v>
      </c>
      <c r="G1893" s="44">
        <f t="shared" si="336"/>
        <v>1</v>
      </c>
      <c r="H1893" s="44">
        <f t="shared" si="337"/>
        <v>0.92307692307692313</v>
      </c>
      <c r="I1893" cm="1">
        <f t="array" ref="I1893">INT(F1893)+IF(100-SUM(INT(F$1882:F$1895))&gt;=RANK(H1893,H$1882:H$1895)+COUNTIF(H$1882:H1893,H1893)-1,1,0)</f>
        <v>2</v>
      </c>
      <c r="J1893" t="b">
        <f t="shared" si="338"/>
        <v>0</v>
      </c>
      <c r="K1893" t="str">
        <f t="shared" si="339"/>
        <v/>
      </c>
      <c r="L1893">
        <f>_xlfn.XLOOKUP(D1893,BugList!C:C,BugList!N:N)</f>
        <v>8</v>
      </c>
      <c r="M1893">
        <f t="shared" si="340"/>
        <v>16</v>
      </c>
      <c r="N1893" t="b">
        <f>_xlfn.XLOOKUP(D1893,BugList!C:C,BugList!L:L)</f>
        <v>0</v>
      </c>
      <c r="O1893" t="b">
        <f t="shared" si="341"/>
        <v>0</v>
      </c>
      <c r="P1893" s="18" t="b">
        <f>SUMPRODUCT(COUNTIF(_xlfn.XLOOKUP(D1893,BugList!C:C,BugList!P:P), "*SC*"))&gt;0</f>
        <v>0</v>
      </c>
    </row>
    <row r="1894" spans="1:16">
      <c r="A1894" s="9" t="s">
        <v>2913</v>
      </c>
      <c r="B1894" s="83">
        <v>324</v>
      </c>
      <c r="C1894" s="34" t="s">
        <v>201</v>
      </c>
      <c r="D1894" s="34" t="s">
        <v>85</v>
      </c>
      <c r="E1894" s="83">
        <v>4</v>
      </c>
      <c r="F1894" s="43">
        <f t="shared" si="342"/>
        <v>3.8461538461538463</v>
      </c>
      <c r="G1894" s="44">
        <f t="shared" si="336"/>
        <v>3</v>
      </c>
      <c r="H1894" s="44">
        <f t="shared" si="337"/>
        <v>0.84615384615384626</v>
      </c>
      <c r="I1894" cm="1">
        <f t="array" ref="I1894">INT(F1894)+IF(100-SUM(INT(F$1882:F$1895))&gt;=RANK(H1894,H$1882:H$1895)+COUNTIF(H$1882:H1894,H1894)-1,1,0)</f>
        <v>4</v>
      </c>
      <c r="J1894" t="b">
        <f t="shared" si="338"/>
        <v>0</v>
      </c>
      <c r="K1894" t="str">
        <f t="shared" si="339"/>
        <v/>
      </c>
      <c r="L1894">
        <f>_xlfn.XLOOKUP(D1894,BugList!C:C,BugList!N:N)</f>
        <v>4</v>
      </c>
      <c r="M1894">
        <f t="shared" si="340"/>
        <v>16</v>
      </c>
      <c r="N1894" t="b">
        <f>_xlfn.XLOOKUP(D1894,BugList!C:C,BugList!L:L)</f>
        <v>0</v>
      </c>
      <c r="O1894" t="b">
        <f t="shared" si="341"/>
        <v>0</v>
      </c>
      <c r="P1894" s="18" t="b">
        <f>SUMPRODUCT(COUNTIF(_xlfn.XLOOKUP(D1894,BugList!C:C,BugList!P:P), "*SC*"))&gt;0</f>
        <v>0</v>
      </c>
    </row>
    <row r="1895" spans="1:16">
      <c r="A1895" s="9" t="s">
        <v>2913</v>
      </c>
      <c r="B1895" s="83">
        <v>324</v>
      </c>
      <c r="C1895" s="34" t="s">
        <v>94</v>
      </c>
      <c r="D1895" s="34" t="s">
        <v>94</v>
      </c>
      <c r="E1895" s="83">
        <v>5</v>
      </c>
      <c r="F1895" s="43">
        <f t="shared" si="342"/>
        <v>4.8076923076923084</v>
      </c>
      <c r="G1895" s="44">
        <f t="shared" si="336"/>
        <v>4</v>
      </c>
      <c r="H1895" s="44">
        <f t="shared" si="337"/>
        <v>0.80769230769230838</v>
      </c>
      <c r="I1895" cm="1">
        <f t="array" ref="I1895">INT(F1895)+IF(100-SUM(INT(F$1882:F$1895))&gt;=RANK(H1895,H$1882:H$1895)+COUNTIF(H$1882:H1895,H1895)-1,1,0)</f>
        <v>5</v>
      </c>
      <c r="J1895" t="b">
        <f t="shared" si="338"/>
        <v>0</v>
      </c>
      <c r="K1895" t="str">
        <f t="shared" si="339"/>
        <v/>
      </c>
      <c r="L1895">
        <f>_xlfn.XLOOKUP(D1895,BugList!C:C,BugList!N:N)</f>
        <v>8</v>
      </c>
      <c r="M1895">
        <f t="shared" si="340"/>
        <v>40</v>
      </c>
      <c r="N1895" t="b">
        <f>_xlfn.XLOOKUP(D1895,BugList!C:C,BugList!L:L)</f>
        <v>0</v>
      </c>
      <c r="O1895" t="b">
        <f t="shared" si="341"/>
        <v>0</v>
      </c>
      <c r="P1895" s="18" t="b">
        <f>SUMPRODUCT(COUNTIF(_xlfn.XLOOKUP(D1895,BugList!C:C,BugList!P:P), "*SC*"))&gt;0</f>
        <v>0</v>
      </c>
    </row>
    <row r="1896" spans="1:16">
      <c r="A1896" s="9" t="s">
        <v>2914</v>
      </c>
      <c r="B1896" s="83">
        <v>342</v>
      </c>
      <c r="C1896" s="34" t="s">
        <v>200</v>
      </c>
      <c r="D1896" s="34" t="s">
        <v>98</v>
      </c>
      <c r="E1896" s="83">
        <v>14</v>
      </c>
      <c r="F1896" s="43">
        <f t="shared" si="342"/>
        <v>11.475409836065573</v>
      </c>
      <c r="G1896" s="44">
        <f t="shared" si="336"/>
        <v>11</v>
      </c>
      <c r="H1896" s="44">
        <f t="shared" si="337"/>
        <v>0.47540983606557319</v>
      </c>
      <c r="I1896" cm="1">
        <f t="array" ref="I1896">INT(F1896)+IF(100-SUM(INT(F$1896:F$1908))&gt;=RANK(H1896,H$1896:H$1908)+COUNTIF(H$1896:H1896,H1896)-1,1,0)</f>
        <v>11</v>
      </c>
      <c r="J1896" t="b">
        <f t="shared" si="338"/>
        <v>0</v>
      </c>
      <c r="K1896" t="str">
        <f t="shared" si="339"/>
        <v/>
      </c>
      <c r="L1896">
        <f>_xlfn.XLOOKUP(D1896,BugList!C:C,BugList!N:N)</f>
        <v>4</v>
      </c>
      <c r="M1896">
        <f t="shared" si="340"/>
        <v>44</v>
      </c>
      <c r="N1896" t="b">
        <f>_xlfn.XLOOKUP(D1896,BugList!C:C,BugList!L:L)</f>
        <v>1</v>
      </c>
      <c r="O1896" t="b">
        <f t="shared" si="341"/>
        <v>0</v>
      </c>
      <c r="P1896" s="18" t="b">
        <f>SUMPRODUCT(COUNTIF(_xlfn.XLOOKUP(D1896,BugList!C:C,BugList!P:P), "*SC*"))&gt;0</f>
        <v>1</v>
      </c>
    </row>
    <row r="1897" spans="1:16">
      <c r="A1897" s="9" t="s">
        <v>2914</v>
      </c>
      <c r="B1897" s="83">
        <v>342</v>
      </c>
      <c r="C1897" s="34" t="s">
        <v>200</v>
      </c>
      <c r="D1897" s="34" t="s">
        <v>100</v>
      </c>
      <c r="E1897" s="83">
        <v>50</v>
      </c>
      <c r="F1897" s="43">
        <f t="shared" si="342"/>
        <v>40.983606557377051</v>
      </c>
      <c r="G1897" s="44">
        <f t="shared" si="336"/>
        <v>40</v>
      </c>
      <c r="H1897" s="44">
        <f t="shared" si="337"/>
        <v>0.98360655737705116</v>
      </c>
      <c r="I1897" cm="1">
        <f t="array" ref="I1897">INT(F1897)+IF(100-SUM(INT(F$1896:F$1908))&gt;=RANK(H1897,H$1896:H$1908)+COUNTIF(H$1896:H1897,H1897)-1,1,0)</f>
        <v>41</v>
      </c>
      <c r="J1897" t="b">
        <f t="shared" si="338"/>
        <v>0</v>
      </c>
      <c r="K1897" t="str">
        <f t="shared" si="339"/>
        <v/>
      </c>
      <c r="L1897">
        <f>_xlfn.XLOOKUP(D1897,BugList!C:C,BugList!N:N)</f>
        <v>4</v>
      </c>
      <c r="M1897">
        <f t="shared" si="340"/>
        <v>164</v>
      </c>
      <c r="N1897" t="b">
        <f>_xlfn.XLOOKUP(D1897,BugList!C:C,BugList!L:L)</f>
        <v>1</v>
      </c>
      <c r="O1897" t="b">
        <f t="shared" si="341"/>
        <v>0</v>
      </c>
      <c r="P1897" s="18" t="b">
        <f>SUMPRODUCT(COUNTIF(_xlfn.XLOOKUP(D1897,BugList!C:C,BugList!P:P), "*SC*"))&gt;0</f>
        <v>1</v>
      </c>
    </row>
    <row r="1898" spans="1:16">
      <c r="A1898" s="9" t="s">
        <v>2914</v>
      </c>
      <c r="B1898" s="83">
        <v>342</v>
      </c>
      <c r="C1898" s="34" t="s">
        <v>194</v>
      </c>
      <c r="D1898" s="34" t="s">
        <v>126</v>
      </c>
      <c r="E1898" s="83">
        <v>3</v>
      </c>
      <c r="F1898" s="43">
        <f t="shared" si="342"/>
        <v>2.459016393442623</v>
      </c>
      <c r="G1898" s="44">
        <f t="shared" si="336"/>
        <v>2</v>
      </c>
      <c r="H1898" s="44">
        <f t="shared" si="337"/>
        <v>0.45901639344262302</v>
      </c>
      <c r="I1898" cm="1">
        <f t="array" ref="I1898">INT(F1898)+IF(100-SUM(INT(F$1896:F$1908))&gt;=RANK(H1898,H$1896:H$1908)+COUNTIF(H$1896:H1898,H1898)-1,1,0)</f>
        <v>2</v>
      </c>
      <c r="J1898" t="b">
        <f t="shared" si="338"/>
        <v>0</v>
      </c>
      <c r="K1898" t="str">
        <f t="shared" si="339"/>
        <v/>
      </c>
      <c r="L1898">
        <f>_xlfn.XLOOKUP(D1898,BugList!C:C,BugList!N:N)</f>
        <v>8</v>
      </c>
      <c r="M1898">
        <f t="shared" si="340"/>
        <v>16</v>
      </c>
      <c r="N1898" t="b">
        <f>_xlfn.XLOOKUP(D1898,BugList!C:C,BugList!L:L)</f>
        <v>1</v>
      </c>
      <c r="O1898" t="b">
        <f t="shared" si="341"/>
        <v>0</v>
      </c>
      <c r="P1898" s="18" t="b">
        <f>SUMPRODUCT(COUNTIF(_xlfn.XLOOKUP(D1898,BugList!C:C,BugList!P:P), "*SC*"))&gt;0</f>
        <v>0</v>
      </c>
    </row>
    <row r="1899" spans="1:16">
      <c r="A1899" s="9" t="s">
        <v>2914</v>
      </c>
      <c r="B1899" s="83">
        <v>342</v>
      </c>
      <c r="C1899" s="34" t="s">
        <v>194</v>
      </c>
      <c r="D1899" s="34" t="s">
        <v>131</v>
      </c>
      <c r="E1899" s="83">
        <v>1</v>
      </c>
      <c r="F1899" s="43">
        <f t="shared" si="342"/>
        <v>0.81967213114754101</v>
      </c>
      <c r="G1899" s="44">
        <f t="shared" si="336"/>
        <v>0</v>
      </c>
      <c r="H1899" s="44">
        <f t="shared" si="337"/>
        <v>0.81967213114754101</v>
      </c>
      <c r="I1899" cm="1">
        <f t="array" ref="I1899">INT(F1899)+IF(100-SUM(INT(F$1896:F$1908))&gt;=RANK(H1899,H$1896:H$1908)+COUNTIF(H$1896:H1899,H1899)-1,1,0)</f>
        <v>1</v>
      </c>
      <c r="J1899" t="b">
        <f t="shared" si="338"/>
        <v>0</v>
      </c>
      <c r="K1899" t="str">
        <f t="shared" si="339"/>
        <v/>
      </c>
      <c r="L1899">
        <f>_xlfn.XLOOKUP(D1899,BugList!C:C,BugList!N:N)</f>
        <v>6</v>
      </c>
      <c r="M1899">
        <f t="shared" si="340"/>
        <v>6</v>
      </c>
      <c r="N1899" t="b">
        <f>_xlfn.XLOOKUP(D1899,BugList!C:C,BugList!L:L)</f>
        <v>1</v>
      </c>
      <c r="O1899" t="b">
        <f t="shared" si="341"/>
        <v>0</v>
      </c>
      <c r="P1899" s="18" t="b">
        <f>SUMPRODUCT(COUNTIF(_xlfn.XLOOKUP(D1899,BugList!C:C,BugList!P:P), "*SC*"))&gt;0</f>
        <v>0</v>
      </c>
    </row>
    <row r="1900" spans="1:16">
      <c r="A1900" s="9" t="s">
        <v>2914</v>
      </c>
      <c r="B1900" s="83">
        <v>342</v>
      </c>
      <c r="C1900" s="34" t="s">
        <v>194</v>
      </c>
      <c r="D1900" s="34" t="s">
        <v>101</v>
      </c>
      <c r="E1900" s="83">
        <v>1</v>
      </c>
      <c r="F1900" s="43">
        <f t="shared" si="342"/>
        <v>0.81967213114754101</v>
      </c>
      <c r="G1900" s="44">
        <f t="shared" si="336"/>
        <v>0</v>
      </c>
      <c r="H1900" s="44">
        <f t="shared" si="337"/>
        <v>0.81967213114754101</v>
      </c>
      <c r="I1900" cm="1">
        <f t="array" ref="I1900">INT(F1900)+IF(100-SUM(INT(F$1896:F$1908))&gt;=RANK(H1900,H$1896:H$1908)+COUNTIF(H$1896:H1900,H1900)-1,1,0)</f>
        <v>1</v>
      </c>
      <c r="J1900" t="b">
        <f t="shared" si="338"/>
        <v>0</v>
      </c>
      <c r="K1900" t="str">
        <f t="shared" si="339"/>
        <v/>
      </c>
      <c r="L1900">
        <f>_xlfn.XLOOKUP(D1900,BugList!C:C,BugList!N:N)</f>
        <v>6</v>
      </c>
      <c r="M1900">
        <f t="shared" si="340"/>
        <v>6</v>
      </c>
      <c r="N1900" t="b">
        <f>_xlfn.XLOOKUP(D1900,BugList!C:C,BugList!L:L)</f>
        <v>1</v>
      </c>
      <c r="O1900" t="b">
        <f t="shared" si="341"/>
        <v>0</v>
      </c>
      <c r="P1900" s="18" t="b">
        <f>SUMPRODUCT(COUNTIF(_xlfn.XLOOKUP(D1900,BugList!C:C,BugList!P:P), "*SC*"))&gt;0</f>
        <v>0</v>
      </c>
    </row>
    <row r="1901" spans="1:16">
      <c r="A1901" s="9" t="s">
        <v>2914</v>
      </c>
      <c r="B1901" s="83">
        <v>342</v>
      </c>
      <c r="C1901" s="34" t="s">
        <v>199</v>
      </c>
      <c r="D1901" s="34" t="s">
        <v>111</v>
      </c>
      <c r="E1901" s="83">
        <v>5</v>
      </c>
      <c r="F1901" s="43">
        <f t="shared" si="342"/>
        <v>4.0983606557377046</v>
      </c>
      <c r="G1901" s="44">
        <f t="shared" si="336"/>
        <v>4</v>
      </c>
      <c r="H1901" s="44">
        <f t="shared" si="337"/>
        <v>9.8360655737704583E-2</v>
      </c>
      <c r="I1901" cm="1">
        <f t="array" ref="I1901">INT(F1901)+IF(100-SUM(INT(F$1896:F$1908))&gt;=RANK(H1901,H$1896:H$1908)+COUNTIF(H$1896:H1901,H1901)-1,1,0)</f>
        <v>4</v>
      </c>
      <c r="J1901" t="b">
        <f t="shared" si="338"/>
        <v>1</v>
      </c>
      <c r="K1901" t="str">
        <f t="shared" si="339"/>
        <v>Ephemeroptera</v>
      </c>
      <c r="L1901">
        <f>_xlfn.XLOOKUP(D1901,BugList!C:C,BugList!N:N)</f>
        <v>4</v>
      </c>
      <c r="M1901">
        <f t="shared" si="340"/>
        <v>16</v>
      </c>
      <c r="N1901" t="b">
        <f>_xlfn.XLOOKUP(D1901,BugList!C:C,BugList!L:L)</f>
        <v>1</v>
      </c>
      <c r="O1901" t="b">
        <f t="shared" si="341"/>
        <v>1</v>
      </c>
      <c r="P1901" s="18" t="b">
        <f>SUMPRODUCT(COUNTIF(_xlfn.XLOOKUP(D1901,BugList!C:C,BugList!P:P), "*SC*"))&gt;0</f>
        <v>0</v>
      </c>
    </row>
    <row r="1902" spans="1:16">
      <c r="A1902" s="9" t="s">
        <v>2914</v>
      </c>
      <c r="B1902" s="83">
        <v>342</v>
      </c>
      <c r="C1902" s="34" t="s">
        <v>195</v>
      </c>
      <c r="D1902" s="34" t="s">
        <v>112</v>
      </c>
      <c r="E1902" s="83">
        <v>1</v>
      </c>
      <c r="F1902" s="43">
        <f t="shared" si="342"/>
        <v>0.81967213114754101</v>
      </c>
      <c r="G1902" s="44">
        <f t="shared" si="336"/>
        <v>0</v>
      </c>
      <c r="H1902" s="44">
        <f t="shared" si="337"/>
        <v>0.81967213114754101</v>
      </c>
      <c r="I1902" cm="1">
        <f t="array" ref="I1902">INT(F1902)+IF(100-SUM(INT(F$1896:F$1908))&gt;=RANK(H1902,H$1896:H$1908)+COUNTIF(H$1896:H1902,H1902)-1,1,0)</f>
        <v>1</v>
      </c>
      <c r="J1902" t="b">
        <f t="shared" si="338"/>
        <v>0</v>
      </c>
      <c r="K1902" t="str">
        <f t="shared" si="339"/>
        <v/>
      </c>
      <c r="L1902">
        <f>_xlfn.XLOOKUP(D1902,BugList!C:C,BugList!N:N)</f>
        <v>5</v>
      </c>
      <c r="M1902">
        <f t="shared" si="340"/>
        <v>5</v>
      </c>
      <c r="N1902" t="b">
        <f>_xlfn.XLOOKUP(D1902,BugList!C:C,BugList!L:L)</f>
        <v>1</v>
      </c>
      <c r="O1902" t="b">
        <f t="shared" si="341"/>
        <v>0</v>
      </c>
      <c r="P1902" s="18" t="b">
        <f>SUMPRODUCT(COUNTIF(_xlfn.XLOOKUP(D1902,BugList!C:C,BugList!P:P), "*SC*"))&gt;0</f>
        <v>0</v>
      </c>
    </row>
    <row r="1903" spans="1:16">
      <c r="A1903" s="9" t="s">
        <v>2914</v>
      </c>
      <c r="B1903" s="83">
        <v>342</v>
      </c>
      <c r="C1903" s="34" t="s">
        <v>195</v>
      </c>
      <c r="D1903" s="34" t="s">
        <v>113</v>
      </c>
      <c r="E1903" s="83">
        <v>2</v>
      </c>
      <c r="F1903" s="43">
        <f t="shared" si="342"/>
        <v>1.639344262295082</v>
      </c>
      <c r="G1903" s="44">
        <f t="shared" si="336"/>
        <v>1</v>
      </c>
      <c r="H1903" s="44">
        <f t="shared" si="337"/>
        <v>0.63934426229508201</v>
      </c>
      <c r="I1903" cm="1">
        <f t="array" ref="I1903">INT(F1903)+IF(100-SUM(INT(F$1896:F$1908))&gt;=RANK(H1903,H$1896:H$1908)+COUNTIF(H$1896:H1903,H1903)-1,1,0)</f>
        <v>2</v>
      </c>
      <c r="J1903" t="b">
        <f t="shared" si="338"/>
        <v>0</v>
      </c>
      <c r="K1903" t="str">
        <f t="shared" si="339"/>
        <v/>
      </c>
      <c r="L1903">
        <f>_xlfn.XLOOKUP(D1903,BugList!C:C,BugList!N:N)</f>
        <v>1</v>
      </c>
      <c r="M1903">
        <f t="shared" si="340"/>
        <v>2</v>
      </c>
      <c r="N1903" t="b">
        <f>_xlfn.XLOOKUP(D1903,BugList!C:C,BugList!L:L)</f>
        <v>1</v>
      </c>
      <c r="O1903" t="b">
        <f t="shared" si="341"/>
        <v>0</v>
      </c>
      <c r="P1903" s="18" t="b">
        <f>SUMPRODUCT(COUNTIF(_xlfn.XLOOKUP(D1903,BugList!C:C,BugList!P:P), "*SC*"))&gt;0</f>
        <v>0</v>
      </c>
    </row>
    <row r="1904" spans="1:16">
      <c r="A1904" s="9" t="s">
        <v>2914</v>
      </c>
      <c r="B1904" s="83">
        <v>342</v>
      </c>
      <c r="C1904" s="34" t="s">
        <v>211</v>
      </c>
      <c r="D1904" s="34" t="s">
        <v>87</v>
      </c>
      <c r="E1904" s="83">
        <v>4</v>
      </c>
      <c r="F1904" s="43">
        <f t="shared" si="342"/>
        <v>3.278688524590164</v>
      </c>
      <c r="G1904" s="44">
        <f t="shared" si="336"/>
        <v>3</v>
      </c>
      <c r="H1904" s="44">
        <f t="shared" si="337"/>
        <v>0.27868852459016402</v>
      </c>
      <c r="I1904" cm="1">
        <f t="array" ref="I1904">INT(F1904)+IF(100-SUM(INT(F$1896:F$1908))&gt;=RANK(H1904,H$1896:H$1908)+COUNTIF(H$1896:H1904,H1904)-1,1,0)</f>
        <v>3</v>
      </c>
      <c r="J1904" t="b">
        <f t="shared" si="338"/>
        <v>0</v>
      </c>
      <c r="K1904" t="str">
        <f t="shared" si="339"/>
        <v/>
      </c>
      <c r="L1904">
        <f>_xlfn.XLOOKUP(D1904,BugList!C:C,BugList!N:N)</f>
        <v>4</v>
      </c>
      <c r="M1904">
        <f t="shared" si="340"/>
        <v>12</v>
      </c>
      <c r="N1904" t="b">
        <f>_xlfn.XLOOKUP(D1904,BugList!C:C,BugList!L:L)</f>
        <v>0</v>
      </c>
      <c r="O1904" t="b">
        <f t="shared" si="341"/>
        <v>0</v>
      </c>
      <c r="P1904" s="18" t="b">
        <f>SUMPRODUCT(COUNTIF(_xlfn.XLOOKUP(D1904,BugList!C:C,BugList!P:P), "*SC*"))&gt;0</f>
        <v>0</v>
      </c>
    </row>
    <row r="1905" spans="1:16">
      <c r="A1905" s="9" t="s">
        <v>2914</v>
      </c>
      <c r="B1905" s="83">
        <v>342</v>
      </c>
      <c r="C1905" s="34" t="s">
        <v>198</v>
      </c>
      <c r="D1905" s="34" t="s">
        <v>89</v>
      </c>
      <c r="E1905" s="83">
        <v>25</v>
      </c>
      <c r="F1905" s="43">
        <f t="shared" si="342"/>
        <v>20.491803278688526</v>
      </c>
      <c r="G1905" s="44">
        <f t="shared" si="336"/>
        <v>20</v>
      </c>
      <c r="H1905" s="44">
        <f t="shared" si="337"/>
        <v>0.49180327868852558</v>
      </c>
      <c r="I1905" cm="1">
        <f t="array" ref="I1905">INT(F1905)+IF(100-SUM(INT(F$1896:F$1908))&gt;=RANK(H1905,H$1896:H$1908)+COUNTIF(H$1896:H1905,H1905)-1,1,0)</f>
        <v>20</v>
      </c>
      <c r="J1905" t="b">
        <f t="shared" si="338"/>
        <v>1</v>
      </c>
      <c r="K1905" t="str">
        <f t="shared" si="339"/>
        <v>Trichoptera</v>
      </c>
      <c r="L1905">
        <f>_xlfn.XLOOKUP(D1905,BugList!C:C,BugList!N:N)</f>
        <v>4</v>
      </c>
      <c r="M1905">
        <f t="shared" si="340"/>
        <v>80</v>
      </c>
      <c r="N1905" t="b">
        <f>_xlfn.XLOOKUP(D1905,BugList!C:C,BugList!L:L)</f>
        <v>1</v>
      </c>
      <c r="O1905" t="b">
        <f t="shared" si="341"/>
        <v>0</v>
      </c>
      <c r="P1905" s="18" t="b">
        <f>SUMPRODUCT(COUNTIF(_xlfn.XLOOKUP(D1905,BugList!C:C,BugList!P:P), "*SC*"))&gt;0</f>
        <v>0</v>
      </c>
    </row>
    <row r="1906" spans="1:16">
      <c r="A1906" s="9" t="s">
        <v>2914</v>
      </c>
      <c r="B1906" s="83">
        <v>342</v>
      </c>
      <c r="C1906" s="34" t="s">
        <v>198</v>
      </c>
      <c r="D1906" s="34" t="s">
        <v>107</v>
      </c>
      <c r="E1906" s="83">
        <v>13</v>
      </c>
      <c r="F1906" s="43">
        <f t="shared" si="342"/>
        <v>10.655737704918032</v>
      </c>
      <c r="G1906" s="44">
        <f t="shared" si="336"/>
        <v>10</v>
      </c>
      <c r="H1906" s="44">
        <f t="shared" si="337"/>
        <v>0.65573770491803174</v>
      </c>
      <c r="I1906" cm="1">
        <f t="array" ref="I1906">INT(F1906)+IF(100-SUM(INT(F$1896:F$1908))&gt;=RANK(H1906,H$1896:H$1908)+COUNTIF(H$1896:H1906,H1906)-1,1,0)</f>
        <v>11</v>
      </c>
      <c r="J1906" t="b">
        <f t="shared" si="338"/>
        <v>1</v>
      </c>
      <c r="K1906" t="str">
        <f t="shared" si="339"/>
        <v>Trichoptera</v>
      </c>
      <c r="L1906">
        <f>_xlfn.XLOOKUP(D1906,BugList!C:C,BugList!N:N)</f>
        <v>3</v>
      </c>
      <c r="M1906">
        <f t="shared" si="340"/>
        <v>33</v>
      </c>
      <c r="N1906" t="b">
        <f>_xlfn.XLOOKUP(D1906,BugList!C:C,BugList!L:L)</f>
        <v>1</v>
      </c>
      <c r="O1906" t="b">
        <f t="shared" si="341"/>
        <v>1</v>
      </c>
      <c r="P1906" s="18" t="b">
        <f>SUMPRODUCT(COUNTIF(_xlfn.XLOOKUP(D1906,BugList!C:C,BugList!P:P), "*SC*"))&gt;0</f>
        <v>0</v>
      </c>
    </row>
    <row r="1907" spans="1:16">
      <c r="A1907" s="9" t="s">
        <v>2914</v>
      </c>
      <c r="B1907" s="83">
        <v>342</v>
      </c>
      <c r="C1907" s="34" t="s">
        <v>201</v>
      </c>
      <c r="D1907" s="34" t="s">
        <v>85</v>
      </c>
      <c r="E1907" s="83">
        <v>1</v>
      </c>
      <c r="F1907" s="43">
        <f t="shared" si="342"/>
        <v>0.81967213114754101</v>
      </c>
      <c r="G1907" s="44">
        <f t="shared" si="336"/>
        <v>0</v>
      </c>
      <c r="H1907" s="44">
        <f t="shared" si="337"/>
        <v>0.81967213114754101</v>
      </c>
      <c r="I1907" cm="1">
        <f t="array" ref="I1907">INT(F1907)+IF(100-SUM(INT(F$1896:F$1908))&gt;=RANK(H1907,H$1896:H$1908)+COUNTIF(H$1896:H1907,H1907)-1,1,0)</f>
        <v>1</v>
      </c>
      <c r="J1907" t="b">
        <f t="shared" si="338"/>
        <v>0</v>
      </c>
      <c r="K1907" t="str">
        <f t="shared" si="339"/>
        <v/>
      </c>
      <c r="L1907">
        <f>_xlfn.XLOOKUP(D1907,BugList!C:C,BugList!N:N)</f>
        <v>4</v>
      </c>
      <c r="M1907">
        <f t="shared" si="340"/>
        <v>4</v>
      </c>
      <c r="N1907" t="b">
        <f>_xlfn.XLOOKUP(D1907,BugList!C:C,BugList!L:L)</f>
        <v>0</v>
      </c>
      <c r="O1907" t="b">
        <f t="shared" si="341"/>
        <v>0</v>
      </c>
      <c r="P1907" s="18" t="b">
        <f>SUMPRODUCT(COUNTIF(_xlfn.XLOOKUP(D1907,BugList!C:C,BugList!P:P), "*SC*"))&gt;0</f>
        <v>0</v>
      </c>
    </row>
    <row r="1908" spans="1:16">
      <c r="A1908" s="9" t="s">
        <v>2914</v>
      </c>
      <c r="B1908" s="83">
        <v>342</v>
      </c>
      <c r="C1908" s="34" t="s">
        <v>94</v>
      </c>
      <c r="D1908" s="34" t="s">
        <v>94</v>
      </c>
      <c r="E1908" s="83">
        <v>2</v>
      </c>
      <c r="F1908" s="43">
        <f t="shared" si="342"/>
        <v>1.639344262295082</v>
      </c>
      <c r="G1908" s="44">
        <f t="shared" si="336"/>
        <v>1</v>
      </c>
      <c r="H1908" s="44">
        <f t="shared" si="337"/>
        <v>0.63934426229508201</v>
      </c>
      <c r="I1908" cm="1">
        <f t="array" ref="I1908">INT(F1908)+IF(100-SUM(INT(F$1896:F$1908))&gt;=RANK(H1908,H$1896:H$1908)+COUNTIF(H$1896:H1908,H1908)-1,1,0)</f>
        <v>2</v>
      </c>
      <c r="J1908" t="b">
        <f t="shared" si="338"/>
        <v>0</v>
      </c>
      <c r="K1908" t="str">
        <f t="shared" si="339"/>
        <v/>
      </c>
      <c r="L1908">
        <f>_xlfn.XLOOKUP(D1908,BugList!C:C,BugList!N:N)</f>
        <v>8</v>
      </c>
      <c r="M1908">
        <f t="shared" si="340"/>
        <v>16</v>
      </c>
      <c r="N1908" t="b">
        <f>_xlfn.XLOOKUP(D1908,BugList!C:C,BugList!L:L)</f>
        <v>0</v>
      </c>
      <c r="O1908" t="b">
        <f t="shared" si="341"/>
        <v>0</v>
      </c>
      <c r="P1908" s="18" t="b">
        <f>SUMPRODUCT(COUNTIF(_xlfn.XLOOKUP(D1908,BugList!C:C,BugList!P:P), "*SC*"))&gt;0</f>
        <v>0</v>
      </c>
    </row>
    <row r="1909" spans="1:16">
      <c r="A1909" s="9" t="s">
        <v>2915</v>
      </c>
      <c r="B1909" s="83">
        <v>358</v>
      </c>
      <c r="C1909" s="34" t="s">
        <v>200</v>
      </c>
      <c r="D1909" s="34" t="s">
        <v>98</v>
      </c>
      <c r="E1909" s="83">
        <v>1</v>
      </c>
      <c r="F1909" s="43">
        <f t="shared" si="342"/>
        <v>0.74626865671641784</v>
      </c>
      <c r="G1909" s="44">
        <f t="shared" si="336"/>
        <v>0</v>
      </c>
      <c r="H1909" s="44">
        <f t="shared" si="337"/>
        <v>0.74626865671641784</v>
      </c>
      <c r="I1909" cm="1">
        <f t="array" ref="I1909">INT(F1909)+IF(100-SUM(INT(F$1909:F$1917))&gt;=RANK(H1909,H$1909:H$1917)+COUNTIF(H$1909:H1909,H1909)-1,1,0)</f>
        <v>1</v>
      </c>
      <c r="J1909" t="b">
        <f t="shared" si="338"/>
        <v>0</v>
      </c>
      <c r="K1909" t="str">
        <f t="shared" si="339"/>
        <v/>
      </c>
      <c r="L1909">
        <f>_xlfn.XLOOKUP(D1909,BugList!C:C,BugList!N:N)</f>
        <v>4</v>
      </c>
      <c r="M1909">
        <f t="shared" si="340"/>
        <v>4</v>
      </c>
      <c r="N1909" t="b">
        <f>_xlfn.XLOOKUP(D1909,BugList!C:C,BugList!L:L)</f>
        <v>1</v>
      </c>
      <c r="O1909" t="b">
        <f t="shared" si="341"/>
        <v>0</v>
      </c>
      <c r="P1909" s="18" t="b">
        <f>SUMPRODUCT(COUNTIF(_xlfn.XLOOKUP(D1909,BugList!C:C,BugList!P:P), "*SC*"))&gt;0</f>
        <v>1</v>
      </c>
    </row>
    <row r="1910" spans="1:16">
      <c r="A1910" s="9" t="s">
        <v>2915</v>
      </c>
      <c r="B1910" s="83">
        <v>358</v>
      </c>
      <c r="C1910" s="34" t="s">
        <v>200</v>
      </c>
      <c r="D1910" s="34" t="s">
        <v>100</v>
      </c>
      <c r="E1910" s="83">
        <v>4</v>
      </c>
      <c r="F1910" s="43">
        <f t="shared" si="342"/>
        <v>2.9850746268656714</v>
      </c>
      <c r="G1910" s="44">
        <f t="shared" si="336"/>
        <v>2</v>
      </c>
      <c r="H1910" s="44">
        <f t="shared" si="337"/>
        <v>0.98507462686567138</v>
      </c>
      <c r="I1910" cm="1">
        <f t="array" ref="I1910">INT(F1910)+IF(100-SUM(INT(F$1909:F$1917))&gt;=RANK(H1910,H$1909:H$1917)+COUNTIF(H$1909:H1910,H1910)-1,1,0)</f>
        <v>3</v>
      </c>
      <c r="J1910" t="b">
        <f t="shared" si="338"/>
        <v>0</v>
      </c>
      <c r="K1910" t="str">
        <f t="shared" si="339"/>
        <v/>
      </c>
      <c r="L1910">
        <f>_xlfn.XLOOKUP(D1910,BugList!C:C,BugList!N:N)</f>
        <v>4</v>
      </c>
      <c r="M1910">
        <f t="shared" si="340"/>
        <v>12</v>
      </c>
      <c r="N1910" t="b">
        <f>_xlfn.XLOOKUP(D1910,BugList!C:C,BugList!L:L)</f>
        <v>1</v>
      </c>
      <c r="O1910" t="b">
        <f t="shared" si="341"/>
        <v>0</v>
      </c>
      <c r="P1910" s="18" t="b">
        <f>SUMPRODUCT(COUNTIF(_xlfn.XLOOKUP(D1910,BugList!C:C,BugList!P:P), "*SC*"))&gt;0</f>
        <v>1</v>
      </c>
    </row>
    <row r="1911" spans="1:16">
      <c r="A1911" s="9" t="s">
        <v>2915</v>
      </c>
      <c r="B1911" s="83">
        <v>358</v>
      </c>
      <c r="C1911" s="34" t="s">
        <v>194</v>
      </c>
      <c r="D1911" s="34" t="s">
        <v>90</v>
      </c>
      <c r="E1911" s="83">
        <v>48</v>
      </c>
      <c r="F1911" s="43">
        <f t="shared" si="342"/>
        <v>35.820895522388057</v>
      </c>
      <c r="G1911" s="44">
        <f t="shared" si="336"/>
        <v>35</v>
      </c>
      <c r="H1911" s="44">
        <f t="shared" si="337"/>
        <v>0.82089552238805652</v>
      </c>
      <c r="I1911" cm="1">
        <f t="array" ref="I1911">INT(F1911)+IF(100-SUM(INT(F$1909:F$1917))&gt;=RANK(H1911,H$1909:H$1917)+COUNTIF(H$1909:H1911,H1911)-1,1,0)</f>
        <v>36</v>
      </c>
      <c r="J1911" t="b">
        <f t="shared" si="338"/>
        <v>0</v>
      </c>
      <c r="K1911" t="str">
        <f t="shared" si="339"/>
        <v/>
      </c>
      <c r="L1911">
        <f>_xlfn.XLOOKUP(D1911,BugList!C:C,BugList!N:N)</f>
        <v>6</v>
      </c>
      <c r="M1911">
        <f t="shared" si="340"/>
        <v>216</v>
      </c>
      <c r="N1911" t="b">
        <f>_xlfn.XLOOKUP(D1911,BugList!C:C,BugList!L:L)</f>
        <v>1</v>
      </c>
      <c r="O1911" t="b">
        <f t="shared" si="341"/>
        <v>0</v>
      </c>
      <c r="P1911" s="18" t="b">
        <f>SUMPRODUCT(COUNTIF(_xlfn.XLOOKUP(D1911,BugList!C:C,BugList!P:P), "*SC*"))&gt;0</f>
        <v>0</v>
      </c>
    </row>
    <row r="1912" spans="1:16">
      <c r="A1912" s="9" t="s">
        <v>2915</v>
      </c>
      <c r="B1912" s="83">
        <v>358</v>
      </c>
      <c r="C1912" s="34" t="s">
        <v>194</v>
      </c>
      <c r="D1912" s="34" t="s">
        <v>101</v>
      </c>
      <c r="E1912" s="83">
        <v>53</v>
      </c>
      <c r="F1912" s="43">
        <f t="shared" si="342"/>
        <v>39.552238805970148</v>
      </c>
      <c r="G1912" s="44">
        <f t="shared" si="336"/>
        <v>39</v>
      </c>
      <c r="H1912" s="44">
        <f t="shared" si="337"/>
        <v>0.55223880597014841</v>
      </c>
      <c r="I1912" cm="1">
        <f t="array" ref="I1912">INT(F1912)+IF(100-SUM(INT(F$1909:F$1917))&gt;=RANK(H1912,H$1909:H$1917)+COUNTIF(H$1909:H1912,H1912)-1,1,0)</f>
        <v>39</v>
      </c>
      <c r="J1912" t="b">
        <f t="shared" si="338"/>
        <v>0</v>
      </c>
      <c r="K1912" t="str">
        <f t="shared" si="339"/>
        <v/>
      </c>
      <c r="L1912">
        <f>_xlfn.XLOOKUP(D1912,BugList!C:C,BugList!N:N)</f>
        <v>6</v>
      </c>
      <c r="M1912">
        <f t="shared" si="340"/>
        <v>234</v>
      </c>
      <c r="N1912" t="b">
        <f>_xlfn.XLOOKUP(D1912,BugList!C:C,BugList!L:L)</f>
        <v>1</v>
      </c>
      <c r="O1912" t="b">
        <f t="shared" si="341"/>
        <v>0</v>
      </c>
      <c r="P1912" s="18" t="b">
        <f>SUMPRODUCT(COUNTIF(_xlfn.XLOOKUP(D1912,BugList!C:C,BugList!P:P), "*SC*"))&gt;0</f>
        <v>0</v>
      </c>
    </row>
    <row r="1913" spans="1:16">
      <c r="A1913" s="9" t="s">
        <v>2915</v>
      </c>
      <c r="B1913" s="83">
        <v>358</v>
      </c>
      <c r="C1913" s="34" t="s">
        <v>199</v>
      </c>
      <c r="D1913" s="34" t="s">
        <v>111</v>
      </c>
      <c r="E1913" s="83">
        <v>7</v>
      </c>
      <c r="F1913" s="43">
        <f t="shared" si="342"/>
        <v>5.2238805970149249</v>
      </c>
      <c r="G1913" s="44">
        <f t="shared" si="336"/>
        <v>5</v>
      </c>
      <c r="H1913" s="44">
        <f t="shared" si="337"/>
        <v>0.22388059701492491</v>
      </c>
      <c r="I1913" cm="1">
        <f t="array" ref="I1913">INT(F1913)+IF(100-SUM(INT(F$1909:F$1917))&gt;=RANK(H1913,H$1909:H$1917)+COUNTIF(H$1909:H1913,H1913)-1,1,0)</f>
        <v>5</v>
      </c>
      <c r="J1913" t="b">
        <f t="shared" si="338"/>
        <v>1</v>
      </c>
      <c r="K1913" t="str">
        <f t="shared" si="339"/>
        <v>Ephemeroptera</v>
      </c>
      <c r="L1913">
        <f>_xlfn.XLOOKUP(D1913,BugList!C:C,BugList!N:N)</f>
        <v>4</v>
      </c>
      <c r="M1913">
        <f t="shared" si="340"/>
        <v>20</v>
      </c>
      <c r="N1913" t="b">
        <f>_xlfn.XLOOKUP(D1913,BugList!C:C,BugList!L:L)</f>
        <v>1</v>
      </c>
      <c r="O1913" t="b">
        <f t="shared" si="341"/>
        <v>1</v>
      </c>
      <c r="P1913" s="18" t="b">
        <f>SUMPRODUCT(COUNTIF(_xlfn.XLOOKUP(D1913,BugList!C:C,BugList!P:P), "*SC*"))&gt;0</f>
        <v>0</v>
      </c>
    </row>
    <row r="1914" spans="1:16">
      <c r="A1914" s="9" t="s">
        <v>2915</v>
      </c>
      <c r="B1914" s="83">
        <v>358</v>
      </c>
      <c r="C1914" s="34" t="s">
        <v>198</v>
      </c>
      <c r="D1914" s="34" t="s">
        <v>89</v>
      </c>
      <c r="E1914" s="83">
        <v>9</v>
      </c>
      <c r="F1914" s="43">
        <f t="shared" si="342"/>
        <v>6.7164179104477615</v>
      </c>
      <c r="G1914" s="44">
        <f t="shared" si="336"/>
        <v>6</v>
      </c>
      <c r="H1914" s="44">
        <f t="shared" si="337"/>
        <v>0.71641791044776149</v>
      </c>
      <c r="I1914" cm="1">
        <f t="array" ref="I1914">INT(F1914)+IF(100-SUM(INT(F$1909:F$1917))&gt;=RANK(H1914,H$1909:H$1917)+COUNTIF(H$1909:H1914,H1914)-1,1,0)</f>
        <v>7</v>
      </c>
      <c r="J1914" t="b">
        <f t="shared" si="338"/>
        <v>1</v>
      </c>
      <c r="K1914" t="str">
        <f t="shared" si="339"/>
        <v>Trichoptera</v>
      </c>
      <c r="L1914">
        <f>_xlfn.XLOOKUP(D1914,BugList!C:C,BugList!N:N)</f>
        <v>4</v>
      </c>
      <c r="M1914">
        <f t="shared" si="340"/>
        <v>28</v>
      </c>
      <c r="N1914" t="b">
        <f>_xlfn.XLOOKUP(D1914,BugList!C:C,BugList!L:L)</f>
        <v>1</v>
      </c>
      <c r="O1914" t="b">
        <f t="shared" si="341"/>
        <v>0</v>
      </c>
      <c r="P1914" s="18" t="b">
        <f>SUMPRODUCT(COUNTIF(_xlfn.XLOOKUP(D1914,BugList!C:C,BugList!P:P), "*SC*"))&gt;0</f>
        <v>0</v>
      </c>
    </row>
    <row r="1915" spans="1:16">
      <c r="A1915" s="9" t="s">
        <v>2915</v>
      </c>
      <c r="B1915" s="83">
        <v>358</v>
      </c>
      <c r="C1915" s="34" t="s">
        <v>198</v>
      </c>
      <c r="D1915" s="34" t="s">
        <v>1263</v>
      </c>
      <c r="E1915" s="83">
        <v>1</v>
      </c>
      <c r="F1915" s="43">
        <f t="shared" si="342"/>
        <v>0.74626865671641784</v>
      </c>
      <c r="G1915" s="44">
        <f t="shared" si="336"/>
        <v>0</v>
      </c>
      <c r="H1915" s="44">
        <f t="shared" si="337"/>
        <v>0.74626865671641784</v>
      </c>
      <c r="I1915" cm="1">
        <f t="array" ref="I1915">INT(F1915)+IF(100-SUM(INT(F$1909:F$1917))&gt;=RANK(H1915,H$1909:H$1917)+COUNTIF(H$1909:H1915,H1915)-1,1,0)</f>
        <v>1</v>
      </c>
      <c r="J1915" t="b">
        <f t="shared" si="338"/>
        <v>1</v>
      </c>
      <c r="K1915" t="str">
        <f t="shared" si="339"/>
        <v>Trichoptera</v>
      </c>
      <c r="L1915">
        <f>_xlfn.XLOOKUP(D1915,BugList!C:C,BugList!N:N)</f>
        <v>4</v>
      </c>
      <c r="M1915">
        <f t="shared" si="340"/>
        <v>4</v>
      </c>
      <c r="N1915" t="b">
        <f>_xlfn.XLOOKUP(D1915,BugList!C:C,BugList!L:L)</f>
        <v>1</v>
      </c>
      <c r="O1915" t="b">
        <f t="shared" si="341"/>
        <v>1</v>
      </c>
      <c r="P1915" s="18" t="b">
        <f>SUMPRODUCT(COUNTIF(_xlfn.XLOOKUP(D1915,BugList!C:C,BugList!P:P), "*SC*"))&gt;0</f>
        <v>0</v>
      </c>
    </row>
    <row r="1916" spans="1:16">
      <c r="A1916" s="9" t="s">
        <v>2915</v>
      </c>
      <c r="B1916" s="83">
        <v>358</v>
      </c>
      <c r="C1916" s="34" t="s">
        <v>198</v>
      </c>
      <c r="D1916" s="34" t="s">
        <v>107</v>
      </c>
      <c r="E1916" s="83">
        <v>10</v>
      </c>
      <c r="F1916" s="43">
        <f t="shared" si="342"/>
        <v>7.4626865671641784</v>
      </c>
      <c r="G1916" s="44">
        <f t="shared" si="336"/>
        <v>7</v>
      </c>
      <c r="H1916" s="44">
        <f t="shared" si="337"/>
        <v>0.46268656716417844</v>
      </c>
      <c r="I1916" cm="1">
        <f t="array" ref="I1916">INT(F1916)+IF(100-SUM(INT(F$1909:F$1917))&gt;=RANK(H1916,H$1909:H$1917)+COUNTIF(H$1909:H1916,H1916)-1,1,0)</f>
        <v>7</v>
      </c>
      <c r="J1916" t="b">
        <f t="shared" si="338"/>
        <v>1</v>
      </c>
      <c r="K1916" t="str">
        <f t="shared" si="339"/>
        <v>Trichoptera</v>
      </c>
      <c r="L1916">
        <f>_xlfn.XLOOKUP(D1916,BugList!C:C,BugList!N:N)</f>
        <v>3</v>
      </c>
      <c r="M1916">
        <f t="shared" si="340"/>
        <v>21</v>
      </c>
      <c r="N1916" t="b">
        <f>_xlfn.XLOOKUP(D1916,BugList!C:C,BugList!L:L)</f>
        <v>1</v>
      </c>
      <c r="O1916" t="b">
        <f t="shared" si="341"/>
        <v>1</v>
      </c>
      <c r="P1916" s="18" t="b">
        <f>SUMPRODUCT(COUNTIF(_xlfn.XLOOKUP(D1916,BugList!C:C,BugList!P:P), "*SC*"))&gt;0</f>
        <v>0</v>
      </c>
    </row>
    <row r="1917" spans="1:16">
      <c r="A1917" s="9" t="s">
        <v>2915</v>
      </c>
      <c r="B1917" s="83">
        <v>358</v>
      </c>
      <c r="C1917" s="34" t="s">
        <v>201</v>
      </c>
      <c r="D1917" s="34" t="s">
        <v>85</v>
      </c>
      <c r="E1917" s="83">
        <v>1</v>
      </c>
      <c r="F1917" s="43">
        <f t="shared" si="342"/>
        <v>0.74626865671641784</v>
      </c>
      <c r="G1917" s="44">
        <f t="shared" si="336"/>
        <v>0</v>
      </c>
      <c r="H1917" s="44">
        <f t="shared" si="337"/>
        <v>0.74626865671641784</v>
      </c>
      <c r="I1917" cm="1">
        <f t="array" ref="I1917">INT(F1917)+IF(100-SUM(INT(F$1909:F$1917))&gt;=RANK(H1917,H$1909:H$1917)+COUNTIF(H$1909:H1917,H1917)-1,1,0)</f>
        <v>1</v>
      </c>
      <c r="J1917" t="b">
        <f t="shared" si="338"/>
        <v>0</v>
      </c>
      <c r="K1917" t="str">
        <f t="shared" si="339"/>
        <v/>
      </c>
      <c r="L1917">
        <f>_xlfn.XLOOKUP(D1917,BugList!C:C,BugList!N:N)</f>
        <v>4</v>
      </c>
      <c r="M1917">
        <f t="shared" si="340"/>
        <v>4</v>
      </c>
      <c r="N1917" t="b">
        <f>_xlfn.XLOOKUP(D1917,BugList!C:C,BugList!L:L)</f>
        <v>0</v>
      </c>
      <c r="O1917" t="b">
        <f t="shared" si="341"/>
        <v>0</v>
      </c>
      <c r="P1917" s="18" t="b">
        <f>SUMPRODUCT(COUNTIF(_xlfn.XLOOKUP(D1917,BugList!C:C,BugList!P:P), "*SC*"))&gt;0</f>
        <v>0</v>
      </c>
    </row>
    <row r="1918" spans="1:16">
      <c r="A1918" s="9" t="s">
        <v>2916</v>
      </c>
      <c r="B1918" s="83">
        <v>373</v>
      </c>
      <c r="C1918" s="34" t="s">
        <v>200</v>
      </c>
      <c r="D1918" s="34" t="s">
        <v>98</v>
      </c>
      <c r="E1918" s="83">
        <v>32</v>
      </c>
      <c r="F1918" s="43">
        <f t="shared" si="342"/>
        <v>26.666666666666668</v>
      </c>
      <c r="G1918" s="44">
        <f t="shared" si="336"/>
        <v>26</v>
      </c>
      <c r="H1918" s="44">
        <f t="shared" si="337"/>
        <v>0.66666666666666785</v>
      </c>
      <c r="I1918" cm="1">
        <f t="array" ref="I1918">INT(F1918)+IF(100-SUM(INT(F$1918:F$1930))&gt;=RANK(H1918,H$1918:H$1930)+COUNTIF(H$1918:H1918,H1918)-1,1,0)</f>
        <v>27</v>
      </c>
      <c r="J1918" t="b">
        <f t="shared" si="338"/>
        <v>0</v>
      </c>
      <c r="K1918" t="str">
        <f t="shared" si="339"/>
        <v/>
      </c>
      <c r="L1918">
        <f>_xlfn.XLOOKUP(D1918,BugList!C:C,BugList!N:N)</f>
        <v>4</v>
      </c>
      <c r="M1918">
        <f t="shared" si="340"/>
        <v>108</v>
      </c>
      <c r="N1918" t="b">
        <f>_xlfn.XLOOKUP(D1918,BugList!C:C,BugList!L:L)</f>
        <v>1</v>
      </c>
      <c r="O1918" t="b">
        <f t="shared" si="341"/>
        <v>0</v>
      </c>
      <c r="P1918" s="18" t="b">
        <f>SUMPRODUCT(COUNTIF(_xlfn.XLOOKUP(D1918,BugList!C:C,BugList!P:P), "*SC*"))&gt;0</f>
        <v>1</v>
      </c>
    </row>
    <row r="1919" spans="1:16">
      <c r="A1919" s="9" t="s">
        <v>2916</v>
      </c>
      <c r="B1919" s="83">
        <v>373</v>
      </c>
      <c r="C1919" s="34" t="s">
        <v>200</v>
      </c>
      <c r="D1919" s="34" t="s">
        <v>100</v>
      </c>
      <c r="E1919" s="83">
        <v>31</v>
      </c>
      <c r="F1919" s="43">
        <f t="shared" si="342"/>
        <v>25.833333333333336</v>
      </c>
      <c r="G1919" s="44">
        <f t="shared" si="336"/>
        <v>25</v>
      </c>
      <c r="H1919" s="44">
        <f t="shared" si="337"/>
        <v>0.8333333333333357</v>
      </c>
      <c r="I1919" cm="1">
        <f t="array" ref="I1919">INT(F1919)+IF(100-SUM(INT(F$1918:F$1930))&gt;=RANK(H1919,H$1918:H$1930)+COUNTIF(H$1918:H1919,H1919)-1,1,0)</f>
        <v>26</v>
      </c>
      <c r="J1919" t="b">
        <f t="shared" si="338"/>
        <v>0</v>
      </c>
      <c r="K1919" t="str">
        <f t="shared" si="339"/>
        <v/>
      </c>
      <c r="L1919">
        <f>_xlfn.XLOOKUP(D1919,BugList!C:C,BugList!N:N)</f>
        <v>4</v>
      </c>
      <c r="M1919">
        <f t="shared" si="340"/>
        <v>104</v>
      </c>
      <c r="N1919" t="b">
        <f>_xlfn.XLOOKUP(D1919,BugList!C:C,BugList!L:L)</f>
        <v>1</v>
      </c>
      <c r="O1919" t="b">
        <f t="shared" si="341"/>
        <v>0</v>
      </c>
      <c r="P1919" s="18" t="b">
        <f>SUMPRODUCT(COUNTIF(_xlfn.XLOOKUP(D1919,BugList!C:C,BugList!P:P), "*SC*"))&gt;0</f>
        <v>1</v>
      </c>
    </row>
    <row r="1920" spans="1:16">
      <c r="A1920" s="9" t="s">
        <v>2916</v>
      </c>
      <c r="B1920" s="83">
        <v>373</v>
      </c>
      <c r="C1920" s="34" t="s">
        <v>194</v>
      </c>
      <c r="D1920" s="34" t="s">
        <v>126</v>
      </c>
      <c r="E1920" s="83">
        <v>2</v>
      </c>
      <c r="F1920" s="43">
        <f t="shared" si="342"/>
        <v>1.6666666666666667</v>
      </c>
      <c r="G1920" s="44">
        <f t="shared" si="336"/>
        <v>1</v>
      </c>
      <c r="H1920" s="44">
        <f t="shared" si="337"/>
        <v>0.66666666666666674</v>
      </c>
      <c r="I1920" cm="1">
        <f t="array" ref="I1920">INT(F1920)+IF(100-SUM(INT(F$1918:F$1930))&gt;=RANK(H1920,H$1918:H$1930)+COUNTIF(H$1918:H1920,H1920)-1,1,0)</f>
        <v>2</v>
      </c>
      <c r="J1920" t="b">
        <f t="shared" si="338"/>
        <v>0</v>
      </c>
      <c r="K1920" t="str">
        <f t="shared" si="339"/>
        <v/>
      </c>
      <c r="L1920">
        <f>_xlfn.XLOOKUP(D1920,BugList!C:C,BugList!N:N)</f>
        <v>8</v>
      </c>
      <c r="M1920">
        <f t="shared" si="340"/>
        <v>16</v>
      </c>
      <c r="N1920" t="b">
        <f>_xlfn.XLOOKUP(D1920,BugList!C:C,BugList!L:L)</f>
        <v>1</v>
      </c>
      <c r="O1920" t="b">
        <f t="shared" si="341"/>
        <v>0</v>
      </c>
      <c r="P1920" s="18" t="b">
        <f>SUMPRODUCT(COUNTIF(_xlfn.XLOOKUP(D1920,BugList!C:C,BugList!P:P), "*SC*"))&gt;0</f>
        <v>0</v>
      </c>
    </row>
    <row r="1921" spans="1:16">
      <c r="A1921" s="9" t="s">
        <v>2916</v>
      </c>
      <c r="B1921" s="83">
        <v>373</v>
      </c>
      <c r="C1921" s="34" t="s">
        <v>194</v>
      </c>
      <c r="D1921" s="34" t="s">
        <v>131</v>
      </c>
      <c r="E1921" s="83">
        <v>2</v>
      </c>
      <c r="F1921" s="43">
        <f t="shared" si="342"/>
        <v>1.6666666666666667</v>
      </c>
      <c r="G1921" s="44">
        <f t="shared" ref="G1921:G1984" si="343">INT(F1921)</f>
        <v>1</v>
      </c>
      <c r="H1921" s="44">
        <f t="shared" ref="H1921:H1984" si="344">F1921-G1921</f>
        <v>0.66666666666666674</v>
      </c>
      <c r="I1921" cm="1">
        <f t="array" ref="I1921">INT(F1921)+IF(100-SUM(INT(F$1918:F$1930))&gt;=RANK(H1921,H$1918:H$1930)+COUNTIF(H$1918:H1921,H1921)-1,1,0)</f>
        <v>2</v>
      </c>
      <c r="J1921" t="b">
        <f t="shared" ref="J1921:J1984" si="345">IF(OR(C1921="Ephemeroptera", C1921 ="Plecoptera", C1921= "Trichoptera"), TRUE, FALSE)</f>
        <v>0</v>
      </c>
      <c r="K1921" t="str">
        <f t="shared" ref="K1921:K1984" si="346">IF(J1921=TRUE,C1921,"")</f>
        <v/>
      </c>
      <c r="L1921">
        <f>_xlfn.XLOOKUP(D1921,BugList!C:C,BugList!N:N)</f>
        <v>6</v>
      </c>
      <c r="M1921">
        <f t="shared" ref="M1921:M1984" si="347">L1921*I1921</f>
        <v>12</v>
      </c>
      <c r="N1921" t="b">
        <f>_xlfn.XLOOKUP(D1921,BugList!C:C,BugList!L:L)</f>
        <v>1</v>
      </c>
      <c r="O1921" t="b">
        <f t="shared" ref="O1921:O1984" si="348">IF(J1921=TRUE,IF(D1921="Hydropsychidae", FALSE, TRUE), FALSE)</f>
        <v>0</v>
      </c>
      <c r="P1921" s="18" t="b">
        <f>SUMPRODUCT(COUNTIF(_xlfn.XLOOKUP(D1921,BugList!C:C,BugList!P:P), "*SC*"))&gt;0</f>
        <v>0</v>
      </c>
    </row>
    <row r="1922" spans="1:16">
      <c r="A1922" s="9" t="s">
        <v>2916</v>
      </c>
      <c r="B1922" s="83">
        <v>373</v>
      </c>
      <c r="C1922" s="34" t="s">
        <v>194</v>
      </c>
      <c r="D1922" s="34" t="s">
        <v>101</v>
      </c>
      <c r="E1922" s="83">
        <v>1</v>
      </c>
      <c r="F1922" s="43">
        <f t="shared" si="342"/>
        <v>0.83333333333333337</v>
      </c>
      <c r="G1922" s="44">
        <f t="shared" si="343"/>
        <v>0</v>
      </c>
      <c r="H1922" s="44">
        <f t="shared" si="344"/>
        <v>0.83333333333333337</v>
      </c>
      <c r="I1922" cm="1">
        <f t="array" ref="I1922">INT(F1922)+IF(100-SUM(INT(F$1918:F$1930))&gt;=RANK(H1922,H$1918:H$1930)+COUNTIF(H$1918:H1922,H1922)-1,1,0)</f>
        <v>1</v>
      </c>
      <c r="J1922" t="b">
        <f t="shared" si="345"/>
        <v>0</v>
      </c>
      <c r="K1922" t="str">
        <f t="shared" si="346"/>
        <v/>
      </c>
      <c r="L1922">
        <f>_xlfn.XLOOKUP(D1922,BugList!C:C,BugList!N:N)</f>
        <v>6</v>
      </c>
      <c r="M1922">
        <f t="shared" si="347"/>
        <v>6</v>
      </c>
      <c r="N1922" t="b">
        <f>_xlfn.XLOOKUP(D1922,BugList!C:C,BugList!L:L)</f>
        <v>1</v>
      </c>
      <c r="O1922" t="b">
        <f t="shared" si="348"/>
        <v>0</v>
      </c>
      <c r="P1922" s="18" t="b">
        <f>SUMPRODUCT(COUNTIF(_xlfn.XLOOKUP(D1922,BugList!C:C,BugList!P:P), "*SC*"))&gt;0</f>
        <v>0</v>
      </c>
    </row>
    <row r="1923" spans="1:16">
      <c r="A1923" s="9" t="s">
        <v>2916</v>
      </c>
      <c r="B1923" s="83">
        <v>373</v>
      </c>
      <c r="C1923" s="34" t="s">
        <v>199</v>
      </c>
      <c r="D1923" s="34" t="s">
        <v>111</v>
      </c>
      <c r="E1923" s="83">
        <v>2</v>
      </c>
      <c r="F1923" s="43">
        <f t="shared" si="342"/>
        <v>1.6666666666666667</v>
      </c>
      <c r="G1923" s="44">
        <f t="shared" si="343"/>
        <v>1</v>
      </c>
      <c r="H1923" s="44">
        <f t="shared" si="344"/>
        <v>0.66666666666666674</v>
      </c>
      <c r="I1923" cm="1">
        <f t="array" ref="I1923">INT(F1923)+IF(100-SUM(INT(F$1918:F$1930))&gt;=RANK(H1923,H$1918:H$1930)+COUNTIF(H$1918:H1923,H1923)-1,1,0)</f>
        <v>1</v>
      </c>
      <c r="J1923" t="b">
        <f t="shared" si="345"/>
        <v>1</v>
      </c>
      <c r="K1923" t="str">
        <f t="shared" si="346"/>
        <v>Ephemeroptera</v>
      </c>
      <c r="L1923">
        <f>_xlfn.XLOOKUP(D1923,BugList!C:C,BugList!N:N)</f>
        <v>4</v>
      </c>
      <c r="M1923">
        <f t="shared" si="347"/>
        <v>4</v>
      </c>
      <c r="N1923" t="b">
        <f>_xlfn.XLOOKUP(D1923,BugList!C:C,BugList!L:L)</f>
        <v>1</v>
      </c>
      <c r="O1923" t="b">
        <f t="shared" si="348"/>
        <v>1</v>
      </c>
      <c r="P1923" s="18" t="b">
        <f>SUMPRODUCT(COUNTIF(_xlfn.XLOOKUP(D1923,BugList!C:C,BugList!P:P), "*SC*"))&gt;0</f>
        <v>0</v>
      </c>
    </row>
    <row r="1924" spans="1:16">
      <c r="A1924" s="9" t="s">
        <v>2916</v>
      </c>
      <c r="B1924" s="83">
        <v>373</v>
      </c>
      <c r="C1924" s="34" t="s">
        <v>195</v>
      </c>
      <c r="D1924" s="34" t="s">
        <v>162</v>
      </c>
      <c r="E1924" s="83">
        <v>1</v>
      </c>
      <c r="F1924" s="43">
        <f t="shared" si="342"/>
        <v>0.83333333333333337</v>
      </c>
      <c r="G1924" s="44">
        <f t="shared" si="343"/>
        <v>0</v>
      </c>
      <c r="H1924" s="44">
        <f t="shared" si="344"/>
        <v>0.83333333333333337</v>
      </c>
      <c r="I1924" cm="1">
        <f t="array" ref="I1924">INT(F1924)+IF(100-SUM(INT(F$1918:F$1930))&gt;=RANK(H1924,H$1918:H$1930)+COUNTIF(H$1918:H1924,H1924)-1,1,0)</f>
        <v>1</v>
      </c>
      <c r="J1924" t="b">
        <f t="shared" si="345"/>
        <v>0</v>
      </c>
      <c r="K1924" t="str">
        <f t="shared" si="346"/>
        <v/>
      </c>
      <c r="L1924">
        <f>_xlfn.XLOOKUP(D1924,BugList!C:C,BugList!N:N)</f>
        <v>3</v>
      </c>
      <c r="M1924">
        <f t="shared" si="347"/>
        <v>3</v>
      </c>
      <c r="N1924" t="b">
        <f>_xlfn.XLOOKUP(D1924,BugList!C:C,BugList!L:L)</f>
        <v>1</v>
      </c>
      <c r="O1924" t="b">
        <f t="shared" si="348"/>
        <v>0</v>
      </c>
      <c r="P1924" s="18" t="b">
        <f>SUMPRODUCT(COUNTIF(_xlfn.XLOOKUP(D1924,BugList!C:C,BugList!P:P), "*SC*"))&gt;0</f>
        <v>0</v>
      </c>
    </row>
    <row r="1925" spans="1:16">
      <c r="A1925" s="9" t="s">
        <v>2916</v>
      </c>
      <c r="B1925" s="83">
        <v>373</v>
      </c>
      <c r="C1925" s="34" t="s">
        <v>198</v>
      </c>
      <c r="D1925" s="34" t="s">
        <v>177</v>
      </c>
      <c r="E1925" s="83">
        <v>1</v>
      </c>
      <c r="F1925" s="43">
        <f t="shared" si="342"/>
        <v>0.83333333333333337</v>
      </c>
      <c r="G1925" s="44">
        <f t="shared" si="343"/>
        <v>0</v>
      </c>
      <c r="H1925" s="44">
        <f t="shared" si="344"/>
        <v>0.83333333333333337</v>
      </c>
      <c r="I1925" cm="1">
        <f t="array" ref="I1925">INT(F1925)+IF(100-SUM(INT(F$1918:F$1930))&gt;=RANK(H1925,H$1918:H$1930)+COUNTIF(H$1918:H1925,H1925)-1,1,0)</f>
        <v>1</v>
      </c>
      <c r="J1925" t="b">
        <f t="shared" si="345"/>
        <v>1</v>
      </c>
      <c r="K1925" t="str">
        <f t="shared" si="346"/>
        <v>Trichoptera</v>
      </c>
      <c r="L1925">
        <f>_xlfn.XLOOKUP(D1925,BugList!C:C,BugList!N:N)</f>
        <v>0</v>
      </c>
      <c r="M1925">
        <f t="shared" si="347"/>
        <v>0</v>
      </c>
      <c r="N1925" t="b">
        <f>_xlfn.XLOOKUP(D1925,BugList!C:C,BugList!L:L)</f>
        <v>1</v>
      </c>
      <c r="O1925" t="b">
        <f t="shared" si="348"/>
        <v>1</v>
      </c>
      <c r="P1925" s="18" t="b">
        <f>SUMPRODUCT(COUNTIF(_xlfn.XLOOKUP(D1925,BugList!C:C,BugList!P:P), "*SC*"))&gt;0</f>
        <v>1</v>
      </c>
    </row>
    <row r="1926" spans="1:16">
      <c r="A1926" s="9" t="s">
        <v>2916</v>
      </c>
      <c r="B1926" s="83">
        <v>373</v>
      </c>
      <c r="C1926" s="34" t="s">
        <v>198</v>
      </c>
      <c r="D1926" s="34" t="s">
        <v>89</v>
      </c>
      <c r="E1926" s="83">
        <v>26</v>
      </c>
      <c r="F1926" s="43">
        <f t="shared" si="342"/>
        <v>21.666666666666668</v>
      </c>
      <c r="G1926" s="44">
        <f t="shared" si="343"/>
        <v>21</v>
      </c>
      <c r="H1926" s="44">
        <f t="shared" si="344"/>
        <v>0.66666666666666785</v>
      </c>
      <c r="I1926" cm="1">
        <f t="array" ref="I1926">INT(F1926)+IF(100-SUM(INT(F$1918:F$1930))&gt;=RANK(H1926,H$1918:H$1930)+COUNTIF(H$1918:H1926,H1926)-1,1,0)</f>
        <v>22</v>
      </c>
      <c r="J1926" t="b">
        <f t="shared" si="345"/>
        <v>1</v>
      </c>
      <c r="K1926" t="str">
        <f t="shared" si="346"/>
        <v>Trichoptera</v>
      </c>
      <c r="L1926">
        <f>_xlfn.XLOOKUP(D1926,BugList!C:C,BugList!N:N)</f>
        <v>4</v>
      </c>
      <c r="M1926">
        <f t="shared" si="347"/>
        <v>88</v>
      </c>
      <c r="N1926" t="b">
        <f>_xlfn.XLOOKUP(D1926,BugList!C:C,BugList!L:L)</f>
        <v>1</v>
      </c>
      <c r="O1926" t="b">
        <f t="shared" si="348"/>
        <v>0</v>
      </c>
      <c r="P1926" s="18" t="b">
        <f>SUMPRODUCT(COUNTIF(_xlfn.XLOOKUP(D1926,BugList!C:C,BugList!P:P), "*SC*"))&gt;0</f>
        <v>0</v>
      </c>
    </row>
    <row r="1927" spans="1:16">
      <c r="A1927" s="9" t="s">
        <v>2916</v>
      </c>
      <c r="B1927" s="83">
        <v>373</v>
      </c>
      <c r="C1927" s="34" t="s">
        <v>198</v>
      </c>
      <c r="D1927" s="34" t="s">
        <v>107</v>
      </c>
      <c r="E1927" s="83">
        <v>15</v>
      </c>
      <c r="F1927" s="43">
        <f t="shared" si="342"/>
        <v>12.5</v>
      </c>
      <c r="G1927" s="44">
        <f t="shared" si="343"/>
        <v>12</v>
      </c>
      <c r="H1927" s="44">
        <f t="shared" si="344"/>
        <v>0.5</v>
      </c>
      <c r="I1927" cm="1">
        <f t="array" ref="I1927">INT(F1927)+IF(100-SUM(INT(F$1918:F$1930))&gt;=RANK(H1927,H$1918:H$1930)+COUNTIF(H$1918:H1927,H1927)-1,1,0)</f>
        <v>12</v>
      </c>
      <c r="J1927" t="b">
        <f t="shared" si="345"/>
        <v>1</v>
      </c>
      <c r="K1927" t="str">
        <f t="shared" si="346"/>
        <v>Trichoptera</v>
      </c>
      <c r="L1927">
        <f>_xlfn.XLOOKUP(D1927,BugList!C:C,BugList!N:N)</f>
        <v>3</v>
      </c>
      <c r="M1927">
        <f t="shared" si="347"/>
        <v>36</v>
      </c>
      <c r="N1927" t="b">
        <f>_xlfn.XLOOKUP(D1927,BugList!C:C,BugList!L:L)</f>
        <v>1</v>
      </c>
      <c r="O1927" t="b">
        <f t="shared" si="348"/>
        <v>1</v>
      </c>
      <c r="P1927" s="18" t="b">
        <f>SUMPRODUCT(COUNTIF(_xlfn.XLOOKUP(D1927,BugList!C:C,BugList!P:P), "*SC*"))&gt;0</f>
        <v>0</v>
      </c>
    </row>
    <row r="1928" spans="1:16">
      <c r="A1928" s="9" t="s">
        <v>2916</v>
      </c>
      <c r="B1928" s="83">
        <v>373</v>
      </c>
      <c r="C1928" s="34" t="s">
        <v>204</v>
      </c>
      <c r="D1928" s="34" t="s">
        <v>84</v>
      </c>
      <c r="E1928" s="83">
        <v>2</v>
      </c>
      <c r="F1928" s="43">
        <f t="shared" si="342"/>
        <v>1.6666666666666667</v>
      </c>
      <c r="G1928" s="44">
        <f t="shared" si="343"/>
        <v>1</v>
      </c>
      <c r="H1928" s="44">
        <f t="shared" si="344"/>
        <v>0.66666666666666674</v>
      </c>
      <c r="I1928" cm="1">
        <f t="array" ref="I1928">INT(F1928)+IF(100-SUM(INT(F$1918:F$1930))&gt;=RANK(H1928,H$1918:H$1930)+COUNTIF(H$1918:H1928,H1928)-1,1,0)</f>
        <v>1</v>
      </c>
      <c r="J1928" t="b">
        <f t="shared" si="345"/>
        <v>0</v>
      </c>
      <c r="K1928" t="str">
        <f t="shared" si="346"/>
        <v/>
      </c>
      <c r="L1928">
        <f>_xlfn.XLOOKUP(D1928,BugList!C:C,BugList!N:N)</f>
        <v>8</v>
      </c>
      <c r="M1928">
        <f t="shared" si="347"/>
        <v>8</v>
      </c>
      <c r="N1928" t="b">
        <f>_xlfn.XLOOKUP(D1928,BugList!C:C,BugList!L:L)</f>
        <v>0</v>
      </c>
      <c r="O1928" t="b">
        <f t="shared" si="348"/>
        <v>0</v>
      </c>
      <c r="P1928" s="18" t="b">
        <f>SUMPRODUCT(COUNTIF(_xlfn.XLOOKUP(D1928,BugList!C:C,BugList!P:P), "*SC*"))&gt;0</f>
        <v>0</v>
      </c>
    </row>
    <row r="1929" spans="1:16">
      <c r="A1929" s="9" t="s">
        <v>2916</v>
      </c>
      <c r="B1929" s="83">
        <v>373</v>
      </c>
      <c r="C1929" s="34" t="s">
        <v>202</v>
      </c>
      <c r="D1929" s="34" t="s">
        <v>169</v>
      </c>
      <c r="E1929" s="83">
        <v>1</v>
      </c>
      <c r="F1929" s="43">
        <f t="shared" si="342"/>
        <v>0.83333333333333337</v>
      </c>
      <c r="G1929" s="44">
        <f t="shared" si="343"/>
        <v>0</v>
      </c>
      <c r="H1929" s="44">
        <f t="shared" si="344"/>
        <v>0.83333333333333337</v>
      </c>
      <c r="I1929" cm="1">
        <f t="array" ref="I1929">INT(F1929)+IF(100-SUM(INT(F$1918:F$1930))&gt;=RANK(H1929,H$1918:H$1930)+COUNTIF(H$1918:H1929,H1929)-1,1,0)</f>
        <v>1</v>
      </c>
      <c r="J1929" t="b">
        <f t="shared" si="345"/>
        <v>0</v>
      </c>
      <c r="K1929" t="str">
        <f t="shared" si="346"/>
        <v/>
      </c>
      <c r="L1929">
        <f>_xlfn.XLOOKUP(D1929,BugList!C:C,BugList!N:N)</f>
        <v>5</v>
      </c>
      <c r="M1929">
        <f t="shared" si="347"/>
        <v>5</v>
      </c>
      <c r="N1929" t="b">
        <f>_xlfn.XLOOKUP(D1929,BugList!C:C,BugList!L:L)</f>
        <v>0</v>
      </c>
      <c r="O1929" t="b">
        <f t="shared" si="348"/>
        <v>0</v>
      </c>
      <c r="P1929" s="18" t="b">
        <f>SUMPRODUCT(COUNTIF(_xlfn.XLOOKUP(D1929,BugList!C:C,BugList!P:P), "*SC*"))&gt;0</f>
        <v>0</v>
      </c>
    </row>
    <row r="1930" spans="1:16">
      <c r="A1930" s="9" t="s">
        <v>2916</v>
      </c>
      <c r="B1930" s="83">
        <v>373</v>
      </c>
      <c r="C1930" s="34" t="s">
        <v>94</v>
      </c>
      <c r="D1930" s="34" t="s">
        <v>94</v>
      </c>
      <c r="E1930" s="83">
        <v>4</v>
      </c>
      <c r="F1930" s="43">
        <f t="shared" si="342"/>
        <v>3.3333333333333335</v>
      </c>
      <c r="G1930" s="44">
        <f t="shared" si="343"/>
        <v>3</v>
      </c>
      <c r="H1930" s="44">
        <f t="shared" si="344"/>
        <v>0.33333333333333348</v>
      </c>
      <c r="I1930" cm="1">
        <f t="array" ref="I1930">INT(F1930)+IF(100-SUM(INT(F$1918:F$1930))&gt;=RANK(H1930,H$1918:H$1930)+COUNTIF(H$1918:H1930,H1930)-1,1,0)</f>
        <v>3</v>
      </c>
      <c r="J1930" t="b">
        <f t="shared" si="345"/>
        <v>0</v>
      </c>
      <c r="K1930" t="str">
        <f t="shared" si="346"/>
        <v/>
      </c>
      <c r="L1930">
        <f>_xlfn.XLOOKUP(D1930,BugList!C:C,BugList!N:N)</f>
        <v>8</v>
      </c>
      <c r="M1930">
        <f t="shared" si="347"/>
        <v>24</v>
      </c>
      <c r="N1930" t="b">
        <f>_xlfn.XLOOKUP(D1930,BugList!C:C,BugList!L:L)</f>
        <v>0</v>
      </c>
      <c r="O1930" t="b">
        <f t="shared" si="348"/>
        <v>0</v>
      </c>
      <c r="P1930" s="18" t="b">
        <f>SUMPRODUCT(COUNTIF(_xlfn.XLOOKUP(D1930,BugList!C:C,BugList!P:P), "*SC*"))&gt;0</f>
        <v>0</v>
      </c>
    </row>
    <row r="1931" spans="1:16">
      <c r="A1931" s="9" t="s">
        <v>2917</v>
      </c>
      <c r="B1931" s="83">
        <v>385</v>
      </c>
      <c r="C1931" s="34" t="s">
        <v>200</v>
      </c>
      <c r="D1931" s="34" t="s">
        <v>98</v>
      </c>
      <c r="E1931" s="83">
        <v>12</v>
      </c>
      <c r="F1931" s="43">
        <f t="shared" si="342"/>
        <v>11.214953271028037</v>
      </c>
      <c r="G1931" s="44">
        <f t="shared" si="343"/>
        <v>11</v>
      </c>
      <c r="H1931" s="44">
        <f t="shared" si="344"/>
        <v>0.21495327102803685</v>
      </c>
      <c r="I1931" cm="1">
        <f t="array" ref="I1931">INT(F1931)+IF(100-SUM(INT(F$1931:F$1941))&gt;=RANK(H1931,H$1931:H$1941)+COUNTIF(H$1931:H1931,H1931)-1,1,0)</f>
        <v>11</v>
      </c>
      <c r="J1931" t="b">
        <f t="shared" si="345"/>
        <v>0</v>
      </c>
      <c r="K1931" t="str">
        <f t="shared" si="346"/>
        <v/>
      </c>
      <c r="L1931">
        <f>_xlfn.XLOOKUP(D1931,BugList!C:C,BugList!N:N)</f>
        <v>4</v>
      </c>
      <c r="M1931">
        <f t="shared" si="347"/>
        <v>44</v>
      </c>
      <c r="N1931" t="b">
        <f>_xlfn.XLOOKUP(D1931,BugList!C:C,BugList!L:L)</f>
        <v>1</v>
      </c>
      <c r="O1931" t="b">
        <f t="shared" si="348"/>
        <v>0</v>
      </c>
      <c r="P1931" s="18" t="b">
        <f>SUMPRODUCT(COUNTIF(_xlfn.XLOOKUP(D1931,BugList!C:C,BugList!P:P), "*SC*"))&gt;0</f>
        <v>1</v>
      </c>
    </row>
    <row r="1932" spans="1:16">
      <c r="A1932" s="9" t="s">
        <v>2917</v>
      </c>
      <c r="B1932" s="83">
        <v>385</v>
      </c>
      <c r="C1932" s="34" t="s">
        <v>200</v>
      </c>
      <c r="D1932" s="34" t="s">
        <v>100</v>
      </c>
      <c r="E1932" s="83">
        <v>13</v>
      </c>
      <c r="F1932" s="43">
        <f t="shared" si="342"/>
        <v>12.149532710280374</v>
      </c>
      <c r="G1932" s="44">
        <f t="shared" si="343"/>
        <v>12</v>
      </c>
      <c r="H1932" s="44">
        <f t="shared" si="344"/>
        <v>0.14953271028037385</v>
      </c>
      <c r="I1932" cm="1">
        <f t="array" ref="I1932">INT(F1932)+IF(100-SUM(INT(F$1931:F$1941))&gt;=RANK(H1932,H$1931:H$1941)+COUNTIF(H$1931:H1932,H1932)-1,1,0)</f>
        <v>12</v>
      </c>
      <c r="J1932" t="b">
        <f t="shared" si="345"/>
        <v>0</v>
      </c>
      <c r="K1932" t="str">
        <f t="shared" si="346"/>
        <v/>
      </c>
      <c r="L1932">
        <f>_xlfn.XLOOKUP(D1932,BugList!C:C,BugList!N:N)</f>
        <v>4</v>
      </c>
      <c r="M1932">
        <f t="shared" si="347"/>
        <v>48</v>
      </c>
      <c r="N1932" t="b">
        <f>_xlfn.XLOOKUP(D1932,BugList!C:C,BugList!L:L)</f>
        <v>1</v>
      </c>
      <c r="O1932" t="b">
        <f t="shared" si="348"/>
        <v>0</v>
      </c>
      <c r="P1932" s="18" t="b">
        <f>SUMPRODUCT(COUNTIF(_xlfn.XLOOKUP(D1932,BugList!C:C,BugList!P:P), "*SC*"))&gt;0</f>
        <v>1</v>
      </c>
    </row>
    <row r="1933" spans="1:16">
      <c r="A1933" s="9" t="s">
        <v>2917</v>
      </c>
      <c r="B1933" s="83">
        <v>385</v>
      </c>
      <c r="C1933" s="34" t="s">
        <v>194</v>
      </c>
      <c r="D1933" s="34" t="s">
        <v>90</v>
      </c>
      <c r="E1933" s="83">
        <v>37</v>
      </c>
      <c r="F1933" s="43">
        <f t="shared" si="342"/>
        <v>34.579439252336449</v>
      </c>
      <c r="G1933" s="44">
        <f t="shared" si="343"/>
        <v>34</v>
      </c>
      <c r="H1933" s="44">
        <f t="shared" si="344"/>
        <v>0.57943925233644933</v>
      </c>
      <c r="I1933" cm="1">
        <f t="array" ref="I1933">INT(F1933)+IF(100-SUM(INT(F$1931:F$1941))&gt;=RANK(H1933,H$1931:H$1941)+COUNTIF(H$1931:H1933,H1933)-1,1,0)</f>
        <v>35</v>
      </c>
      <c r="J1933" t="b">
        <f t="shared" si="345"/>
        <v>0</v>
      </c>
      <c r="K1933" t="str">
        <f t="shared" si="346"/>
        <v/>
      </c>
      <c r="L1933">
        <f>_xlfn.XLOOKUP(D1933,BugList!C:C,BugList!N:N)</f>
        <v>6</v>
      </c>
      <c r="M1933">
        <f t="shared" si="347"/>
        <v>210</v>
      </c>
      <c r="N1933" t="b">
        <f>_xlfn.XLOOKUP(D1933,BugList!C:C,BugList!L:L)</f>
        <v>1</v>
      </c>
      <c r="O1933" t="b">
        <f t="shared" si="348"/>
        <v>0</v>
      </c>
      <c r="P1933" s="18" t="b">
        <f>SUMPRODUCT(COUNTIF(_xlfn.XLOOKUP(D1933,BugList!C:C,BugList!P:P), "*SC*"))&gt;0</f>
        <v>0</v>
      </c>
    </row>
    <row r="1934" spans="1:16">
      <c r="A1934" s="9" t="s">
        <v>2917</v>
      </c>
      <c r="B1934" s="83">
        <v>385</v>
      </c>
      <c r="C1934" s="34" t="s">
        <v>194</v>
      </c>
      <c r="D1934" s="34" t="s">
        <v>108</v>
      </c>
      <c r="E1934" s="83">
        <v>2</v>
      </c>
      <c r="F1934" s="43">
        <f t="shared" si="342"/>
        <v>1.8691588785046727</v>
      </c>
      <c r="G1934" s="44">
        <f t="shared" si="343"/>
        <v>1</v>
      </c>
      <c r="H1934" s="44">
        <f t="shared" si="344"/>
        <v>0.86915887850467266</v>
      </c>
      <c r="I1934" cm="1">
        <f t="array" ref="I1934">INT(F1934)+IF(100-SUM(INT(F$1931:F$1941))&gt;=RANK(H1934,H$1931:H$1941)+COUNTIF(H$1931:H1934,H1934)-1,1,0)</f>
        <v>2</v>
      </c>
      <c r="J1934" t="b">
        <f t="shared" si="345"/>
        <v>0</v>
      </c>
      <c r="K1934" t="str">
        <f t="shared" si="346"/>
        <v/>
      </c>
      <c r="L1934">
        <f>_xlfn.XLOOKUP(D1934,BugList!C:C,BugList!N:N)</f>
        <v>3</v>
      </c>
      <c r="M1934">
        <f t="shared" si="347"/>
        <v>6</v>
      </c>
      <c r="N1934" t="b">
        <f>_xlfn.XLOOKUP(D1934,BugList!C:C,BugList!L:L)</f>
        <v>1</v>
      </c>
      <c r="O1934" t="b">
        <f t="shared" si="348"/>
        <v>0</v>
      </c>
      <c r="P1934" s="18" t="b">
        <f>SUMPRODUCT(COUNTIF(_xlfn.XLOOKUP(D1934,BugList!C:C,BugList!P:P), "*SC*"))&gt;0</f>
        <v>0</v>
      </c>
    </row>
    <row r="1935" spans="1:16">
      <c r="A1935" s="9" t="s">
        <v>2917</v>
      </c>
      <c r="B1935" s="83">
        <v>385</v>
      </c>
      <c r="C1935" s="34" t="s">
        <v>199</v>
      </c>
      <c r="D1935" s="34" t="s">
        <v>96</v>
      </c>
      <c r="E1935" s="83">
        <v>1</v>
      </c>
      <c r="F1935" s="43">
        <f t="shared" ref="F1935:F1998" si="349">(E1935/(SUMIFS(E:E,A:A,A1935))*100)</f>
        <v>0.93457943925233633</v>
      </c>
      <c r="G1935" s="44">
        <f t="shared" si="343"/>
        <v>0</v>
      </c>
      <c r="H1935" s="44">
        <f t="shared" si="344"/>
        <v>0.93457943925233633</v>
      </c>
      <c r="I1935" cm="1">
        <f t="array" ref="I1935">INT(F1935)+IF(100-SUM(INT(F$1931:F$1941))&gt;=RANK(H1935,H$1931:H$1941)+COUNTIF(H$1931:H1935,H1935)-1,1,0)</f>
        <v>1</v>
      </c>
      <c r="J1935" t="b">
        <f t="shared" si="345"/>
        <v>1</v>
      </c>
      <c r="K1935" t="str">
        <f t="shared" si="346"/>
        <v>Ephemeroptera</v>
      </c>
      <c r="L1935">
        <f>_xlfn.XLOOKUP(D1935,BugList!C:C,BugList!N:N)</f>
        <v>4</v>
      </c>
      <c r="M1935">
        <f t="shared" si="347"/>
        <v>4</v>
      </c>
      <c r="N1935" t="b">
        <f>_xlfn.XLOOKUP(D1935,BugList!C:C,BugList!L:L)</f>
        <v>1</v>
      </c>
      <c r="O1935" t="b">
        <f t="shared" si="348"/>
        <v>1</v>
      </c>
      <c r="P1935" s="18" t="b">
        <f>SUMPRODUCT(COUNTIF(_xlfn.XLOOKUP(D1935,BugList!C:C,BugList!P:P), "*SC*"))&gt;0</f>
        <v>1</v>
      </c>
    </row>
    <row r="1936" spans="1:16">
      <c r="A1936" s="9" t="s">
        <v>2917</v>
      </c>
      <c r="B1936" s="83">
        <v>385</v>
      </c>
      <c r="C1936" s="34" t="s">
        <v>199</v>
      </c>
      <c r="D1936" s="34" t="s">
        <v>111</v>
      </c>
      <c r="E1936" s="83">
        <v>8</v>
      </c>
      <c r="F1936" s="43">
        <f t="shared" si="349"/>
        <v>7.4766355140186906</v>
      </c>
      <c r="G1936" s="44">
        <f t="shared" si="343"/>
        <v>7</v>
      </c>
      <c r="H1936" s="44">
        <f t="shared" si="344"/>
        <v>0.47663551401869064</v>
      </c>
      <c r="I1936" cm="1">
        <f t="array" ref="I1936">INT(F1936)+IF(100-SUM(INT(F$1931:F$1941))&gt;=RANK(H1936,H$1931:H$1941)+COUNTIF(H$1931:H1936,H1936)-1,1,0)</f>
        <v>7</v>
      </c>
      <c r="J1936" t="b">
        <f t="shared" si="345"/>
        <v>1</v>
      </c>
      <c r="K1936" t="str">
        <f t="shared" si="346"/>
        <v>Ephemeroptera</v>
      </c>
      <c r="L1936">
        <f>_xlfn.XLOOKUP(D1936,BugList!C:C,BugList!N:N)</f>
        <v>4</v>
      </c>
      <c r="M1936">
        <f t="shared" si="347"/>
        <v>28</v>
      </c>
      <c r="N1936" t="b">
        <f>_xlfn.XLOOKUP(D1936,BugList!C:C,BugList!L:L)</f>
        <v>1</v>
      </c>
      <c r="O1936" t="b">
        <f t="shared" si="348"/>
        <v>1</v>
      </c>
      <c r="P1936" s="18" t="b">
        <f>SUMPRODUCT(COUNTIF(_xlfn.XLOOKUP(D1936,BugList!C:C,BugList!P:P), "*SC*"))&gt;0</f>
        <v>0</v>
      </c>
    </row>
    <row r="1937" spans="1:16">
      <c r="A1937" s="9" t="s">
        <v>2917</v>
      </c>
      <c r="B1937" s="83">
        <v>385</v>
      </c>
      <c r="C1937" s="34" t="s">
        <v>212</v>
      </c>
      <c r="D1937" s="34" t="s">
        <v>159</v>
      </c>
      <c r="E1937" s="83">
        <v>15</v>
      </c>
      <c r="F1937" s="43">
        <f t="shared" si="349"/>
        <v>14.018691588785046</v>
      </c>
      <c r="G1937" s="44">
        <f t="shared" si="343"/>
        <v>14</v>
      </c>
      <c r="H1937" s="44">
        <f t="shared" si="344"/>
        <v>1.8691588785046065E-2</v>
      </c>
      <c r="I1937" cm="1">
        <f t="array" ref="I1937">INT(F1937)+IF(100-SUM(INT(F$1931:F$1941))&gt;=RANK(H1937,H$1931:H$1941)+COUNTIF(H$1931:H1937,H1937)-1,1,0)</f>
        <v>14</v>
      </c>
      <c r="J1937" t="b">
        <f t="shared" si="345"/>
        <v>0</v>
      </c>
      <c r="K1937" t="str">
        <f t="shared" si="346"/>
        <v/>
      </c>
      <c r="L1937">
        <f>_xlfn.XLOOKUP(D1937,BugList!C:C,BugList!N:N)</f>
        <v>9</v>
      </c>
      <c r="M1937">
        <f t="shared" si="347"/>
        <v>126</v>
      </c>
      <c r="N1937" t="b">
        <f>_xlfn.XLOOKUP(D1937,BugList!C:C,BugList!L:L)</f>
        <v>1</v>
      </c>
      <c r="O1937" t="b">
        <f t="shared" si="348"/>
        <v>0</v>
      </c>
      <c r="P1937" s="18" t="b">
        <f>SUMPRODUCT(COUNTIF(_xlfn.XLOOKUP(D1937,BugList!C:C,BugList!P:P), "*SC*"))&gt;0</f>
        <v>0</v>
      </c>
    </row>
    <row r="1938" spans="1:16">
      <c r="A1938" s="9" t="s">
        <v>2917</v>
      </c>
      <c r="B1938" s="83">
        <v>385</v>
      </c>
      <c r="C1938" s="34" t="s">
        <v>198</v>
      </c>
      <c r="D1938" s="34" t="s">
        <v>89</v>
      </c>
      <c r="E1938" s="83">
        <v>7</v>
      </c>
      <c r="F1938" s="43">
        <f t="shared" si="349"/>
        <v>6.5420560747663545</v>
      </c>
      <c r="G1938" s="44">
        <f t="shared" si="343"/>
        <v>6</v>
      </c>
      <c r="H1938" s="44">
        <f t="shared" si="344"/>
        <v>0.54205607476635453</v>
      </c>
      <c r="I1938" cm="1">
        <f t="array" ref="I1938">INT(F1938)+IF(100-SUM(INT(F$1931:F$1941))&gt;=RANK(H1938,H$1931:H$1941)+COUNTIF(H$1931:H1938,H1938)-1,1,0)</f>
        <v>6</v>
      </c>
      <c r="J1938" t="b">
        <f t="shared" si="345"/>
        <v>1</v>
      </c>
      <c r="K1938" t="str">
        <f t="shared" si="346"/>
        <v>Trichoptera</v>
      </c>
      <c r="L1938">
        <f>_xlfn.XLOOKUP(D1938,BugList!C:C,BugList!N:N)</f>
        <v>4</v>
      </c>
      <c r="M1938">
        <f t="shared" si="347"/>
        <v>24</v>
      </c>
      <c r="N1938" t="b">
        <f>_xlfn.XLOOKUP(D1938,BugList!C:C,BugList!L:L)</f>
        <v>1</v>
      </c>
      <c r="O1938" t="b">
        <f t="shared" si="348"/>
        <v>0</v>
      </c>
      <c r="P1938" s="18" t="b">
        <f>SUMPRODUCT(COUNTIF(_xlfn.XLOOKUP(D1938,BugList!C:C,BugList!P:P), "*SC*"))&gt;0</f>
        <v>0</v>
      </c>
    </row>
    <row r="1939" spans="1:16">
      <c r="A1939" s="9" t="s">
        <v>2917</v>
      </c>
      <c r="B1939" s="83">
        <v>385</v>
      </c>
      <c r="C1939" s="34" t="s">
        <v>198</v>
      </c>
      <c r="D1939" s="34" t="s">
        <v>107</v>
      </c>
      <c r="E1939" s="83">
        <v>3</v>
      </c>
      <c r="F1939" s="43">
        <f t="shared" si="349"/>
        <v>2.8037383177570092</v>
      </c>
      <c r="G1939" s="44">
        <f t="shared" si="343"/>
        <v>2</v>
      </c>
      <c r="H1939" s="44">
        <f t="shared" si="344"/>
        <v>0.80373831775700921</v>
      </c>
      <c r="I1939" cm="1">
        <f t="array" ref="I1939">INT(F1939)+IF(100-SUM(INT(F$1931:F$1941))&gt;=RANK(H1939,H$1931:H$1941)+COUNTIF(H$1931:H1939,H1939)-1,1,0)</f>
        <v>3</v>
      </c>
      <c r="J1939" t="b">
        <f t="shared" si="345"/>
        <v>1</v>
      </c>
      <c r="K1939" t="str">
        <f t="shared" si="346"/>
        <v>Trichoptera</v>
      </c>
      <c r="L1939">
        <f>_xlfn.XLOOKUP(D1939,BugList!C:C,BugList!N:N)</f>
        <v>3</v>
      </c>
      <c r="M1939">
        <f t="shared" si="347"/>
        <v>9</v>
      </c>
      <c r="N1939" t="b">
        <f>_xlfn.XLOOKUP(D1939,BugList!C:C,BugList!L:L)</f>
        <v>1</v>
      </c>
      <c r="O1939" t="b">
        <f t="shared" si="348"/>
        <v>1</v>
      </c>
      <c r="P1939" s="18" t="b">
        <f>SUMPRODUCT(COUNTIF(_xlfn.XLOOKUP(D1939,BugList!C:C,BugList!P:P), "*SC*"))&gt;0</f>
        <v>0</v>
      </c>
    </row>
    <row r="1940" spans="1:16">
      <c r="A1940" s="9" t="s">
        <v>2917</v>
      </c>
      <c r="B1940" s="83">
        <v>385</v>
      </c>
      <c r="C1940" s="34" t="s">
        <v>201</v>
      </c>
      <c r="D1940" s="34" t="s">
        <v>85</v>
      </c>
      <c r="E1940" s="83">
        <v>5</v>
      </c>
      <c r="F1940" s="43">
        <f t="shared" si="349"/>
        <v>4.6728971962616823</v>
      </c>
      <c r="G1940" s="44">
        <f t="shared" si="343"/>
        <v>4</v>
      </c>
      <c r="H1940" s="44">
        <f t="shared" si="344"/>
        <v>0.67289719626168232</v>
      </c>
      <c r="I1940" cm="1">
        <f t="array" ref="I1940">INT(F1940)+IF(100-SUM(INT(F$1931:F$1941))&gt;=RANK(H1940,H$1931:H$1941)+COUNTIF(H$1931:H1940,H1940)-1,1,0)</f>
        <v>5</v>
      </c>
      <c r="J1940" t="b">
        <f t="shared" si="345"/>
        <v>0</v>
      </c>
      <c r="K1940" t="str">
        <f t="shared" si="346"/>
        <v/>
      </c>
      <c r="L1940">
        <f>_xlfn.XLOOKUP(D1940,BugList!C:C,BugList!N:N)</f>
        <v>4</v>
      </c>
      <c r="M1940">
        <f t="shared" si="347"/>
        <v>20</v>
      </c>
      <c r="N1940" t="b">
        <f>_xlfn.XLOOKUP(D1940,BugList!C:C,BugList!L:L)</f>
        <v>0</v>
      </c>
      <c r="O1940" t="b">
        <f t="shared" si="348"/>
        <v>0</v>
      </c>
      <c r="P1940" s="18" t="b">
        <f>SUMPRODUCT(COUNTIF(_xlfn.XLOOKUP(D1940,BugList!C:C,BugList!P:P), "*SC*"))&gt;0</f>
        <v>0</v>
      </c>
    </row>
    <row r="1941" spans="1:16">
      <c r="A1941" s="9" t="s">
        <v>2917</v>
      </c>
      <c r="B1941" s="83">
        <v>385</v>
      </c>
      <c r="C1941" s="34" t="s">
        <v>94</v>
      </c>
      <c r="D1941" s="34" t="s">
        <v>94</v>
      </c>
      <c r="E1941" s="83">
        <v>4</v>
      </c>
      <c r="F1941" s="43">
        <f t="shared" si="349"/>
        <v>3.7383177570093453</v>
      </c>
      <c r="G1941" s="44">
        <f t="shared" si="343"/>
        <v>3</v>
      </c>
      <c r="H1941" s="44">
        <f t="shared" si="344"/>
        <v>0.73831775700934532</v>
      </c>
      <c r="I1941" cm="1">
        <f t="array" ref="I1941">INT(F1941)+IF(100-SUM(INT(F$1931:F$1941))&gt;=RANK(H1941,H$1931:H$1941)+COUNTIF(H$1931:H1941,H1941)-1,1,0)</f>
        <v>4</v>
      </c>
      <c r="J1941" t="b">
        <f t="shared" si="345"/>
        <v>0</v>
      </c>
      <c r="K1941" t="str">
        <f t="shared" si="346"/>
        <v/>
      </c>
      <c r="L1941">
        <f>_xlfn.XLOOKUP(D1941,BugList!C:C,BugList!N:N)</f>
        <v>8</v>
      </c>
      <c r="M1941">
        <f t="shared" si="347"/>
        <v>32</v>
      </c>
      <c r="N1941" t="b">
        <f>_xlfn.XLOOKUP(D1941,BugList!C:C,BugList!L:L)</f>
        <v>0</v>
      </c>
      <c r="O1941" t="b">
        <f t="shared" si="348"/>
        <v>0</v>
      </c>
      <c r="P1941" s="18" t="b">
        <f>SUMPRODUCT(COUNTIF(_xlfn.XLOOKUP(D1941,BugList!C:C,BugList!P:P), "*SC*"))&gt;0</f>
        <v>0</v>
      </c>
    </row>
    <row r="1942" spans="1:16">
      <c r="A1942" s="9" t="s">
        <v>2918</v>
      </c>
      <c r="B1942" s="83">
        <v>395</v>
      </c>
      <c r="C1942" s="34" t="s">
        <v>200</v>
      </c>
      <c r="D1942" s="34" t="s">
        <v>98</v>
      </c>
      <c r="E1942" s="83">
        <v>9</v>
      </c>
      <c r="F1942" s="43">
        <f t="shared" si="349"/>
        <v>8.7378640776699026</v>
      </c>
      <c r="G1942" s="44">
        <f t="shared" si="343"/>
        <v>8</v>
      </c>
      <c r="H1942" s="44">
        <f t="shared" si="344"/>
        <v>0.73786407766990258</v>
      </c>
      <c r="I1942" cm="1">
        <f t="array" ref="I1942">INT(F1942)+IF(100-SUM(INT(F$1942:F$1957))&gt;=RANK(H1942,H$1942:H$1957)+COUNTIF(H$1942:H1942,H1942)-1,1,0)</f>
        <v>9</v>
      </c>
      <c r="J1942" t="b">
        <f t="shared" si="345"/>
        <v>0</v>
      </c>
      <c r="K1942" t="str">
        <f t="shared" si="346"/>
        <v/>
      </c>
      <c r="L1942">
        <f>_xlfn.XLOOKUP(D1942,BugList!C:C,BugList!N:N)</f>
        <v>4</v>
      </c>
      <c r="M1942">
        <f t="shared" si="347"/>
        <v>36</v>
      </c>
      <c r="N1942" t="b">
        <f>_xlfn.XLOOKUP(D1942,BugList!C:C,BugList!L:L)</f>
        <v>1</v>
      </c>
      <c r="O1942" t="b">
        <f t="shared" si="348"/>
        <v>0</v>
      </c>
      <c r="P1942" s="18" t="b">
        <f>SUMPRODUCT(COUNTIF(_xlfn.XLOOKUP(D1942,BugList!C:C,BugList!P:P), "*SC*"))&gt;0</f>
        <v>1</v>
      </c>
    </row>
    <row r="1943" spans="1:16">
      <c r="A1943" s="9" t="s">
        <v>2918</v>
      </c>
      <c r="B1943" s="83">
        <v>395</v>
      </c>
      <c r="C1943" s="34" t="s">
        <v>200</v>
      </c>
      <c r="D1943" s="34" t="s">
        <v>100</v>
      </c>
      <c r="E1943" s="83">
        <v>12</v>
      </c>
      <c r="F1943" s="43">
        <f t="shared" si="349"/>
        <v>11.650485436893204</v>
      </c>
      <c r="G1943" s="44">
        <f t="shared" si="343"/>
        <v>11</v>
      </c>
      <c r="H1943" s="44">
        <f t="shared" si="344"/>
        <v>0.65048543689320404</v>
      </c>
      <c r="I1943" cm="1">
        <f t="array" ref="I1943">INT(F1943)+IF(100-SUM(INT(F$1942:F$1957))&gt;=RANK(H1943,H$1942:H$1957)+COUNTIF(H$1942:H1943,H1943)-1,1,0)</f>
        <v>11</v>
      </c>
      <c r="J1943" t="b">
        <f t="shared" si="345"/>
        <v>0</v>
      </c>
      <c r="K1943" t="str">
        <f t="shared" si="346"/>
        <v/>
      </c>
      <c r="L1943">
        <f>_xlfn.XLOOKUP(D1943,BugList!C:C,BugList!N:N)</f>
        <v>4</v>
      </c>
      <c r="M1943">
        <f t="shared" si="347"/>
        <v>44</v>
      </c>
      <c r="N1943" t="b">
        <f>_xlfn.XLOOKUP(D1943,BugList!C:C,BugList!L:L)</f>
        <v>1</v>
      </c>
      <c r="O1943" t="b">
        <f t="shared" si="348"/>
        <v>0</v>
      </c>
      <c r="P1943" s="18" t="b">
        <f>SUMPRODUCT(COUNTIF(_xlfn.XLOOKUP(D1943,BugList!C:C,BugList!P:P), "*SC*"))&gt;0</f>
        <v>1</v>
      </c>
    </row>
    <row r="1944" spans="1:16">
      <c r="A1944" s="9" t="s">
        <v>2918</v>
      </c>
      <c r="B1944" s="83">
        <v>395</v>
      </c>
      <c r="C1944" s="34" t="s">
        <v>194</v>
      </c>
      <c r="D1944" s="34" t="s">
        <v>126</v>
      </c>
      <c r="E1944" s="83">
        <v>11</v>
      </c>
      <c r="F1944" s="43">
        <f t="shared" si="349"/>
        <v>10.679611650485436</v>
      </c>
      <c r="G1944" s="44">
        <f t="shared" si="343"/>
        <v>10</v>
      </c>
      <c r="H1944" s="44">
        <f t="shared" si="344"/>
        <v>0.6796116504854357</v>
      </c>
      <c r="I1944" cm="1">
        <f t="array" ref="I1944">INT(F1944)+IF(100-SUM(INT(F$1942:F$1957))&gt;=RANK(H1944,H$1942:H$1957)+COUNTIF(H$1942:H1944,H1944)-1,1,0)</f>
        <v>11</v>
      </c>
      <c r="J1944" t="b">
        <f t="shared" si="345"/>
        <v>0</v>
      </c>
      <c r="K1944" t="str">
        <f t="shared" si="346"/>
        <v/>
      </c>
      <c r="L1944">
        <f>_xlfn.XLOOKUP(D1944,BugList!C:C,BugList!N:N)</f>
        <v>8</v>
      </c>
      <c r="M1944">
        <f t="shared" si="347"/>
        <v>88</v>
      </c>
      <c r="N1944" t="b">
        <f>_xlfn.XLOOKUP(D1944,BugList!C:C,BugList!L:L)</f>
        <v>1</v>
      </c>
      <c r="O1944" t="b">
        <f t="shared" si="348"/>
        <v>0</v>
      </c>
      <c r="P1944" s="18" t="b">
        <f>SUMPRODUCT(COUNTIF(_xlfn.XLOOKUP(D1944,BugList!C:C,BugList!P:P), "*SC*"))&gt;0</f>
        <v>0</v>
      </c>
    </row>
    <row r="1945" spans="1:16">
      <c r="A1945" s="9" t="s">
        <v>2918</v>
      </c>
      <c r="B1945" s="83">
        <v>395</v>
      </c>
      <c r="C1945" s="34" t="s">
        <v>194</v>
      </c>
      <c r="D1945" s="34" t="s">
        <v>90</v>
      </c>
      <c r="E1945" s="83">
        <v>4</v>
      </c>
      <c r="F1945" s="43">
        <f t="shared" si="349"/>
        <v>3.8834951456310676</v>
      </c>
      <c r="G1945" s="44">
        <f t="shared" si="343"/>
        <v>3</v>
      </c>
      <c r="H1945" s="44">
        <f t="shared" si="344"/>
        <v>0.88349514563106757</v>
      </c>
      <c r="I1945" cm="1">
        <f t="array" ref="I1945">INT(F1945)+IF(100-SUM(INT(F$1942:F$1957))&gt;=RANK(H1945,H$1942:H$1957)+COUNTIF(H$1942:H1945,H1945)-1,1,0)</f>
        <v>4</v>
      </c>
      <c r="J1945" t="b">
        <f t="shared" si="345"/>
        <v>0</v>
      </c>
      <c r="K1945" t="str">
        <f t="shared" si="346"/>
        <v/>
      </c>
      <c r="L1945">
        <f>_xlfn.XLOOKUP(D1945,BugList!C:C,BugList!N:N)</f>
        <v>6</v>
      </c>
      <c r="M1945">
        <f t="shared" si="347"/>
        <v>24</v>
      </c>
      <c r="N1945" t="b">
        <f>_xlfn.XLOOKUP(D1945,BugList!C:C,BugList!L:L)</f>
        <v>1</v>
      </c>
      <c r="O1945" t="b">
        <f t="shared" si="348"/>
        <v>0</v>
      </c>
      <c r="P1945" s="18" t="b">
        <f>SUMPRODUCT(COUNTIF(_xlfn.XLOOKUP(D1945,BugList!C:C,BugList!P:P), "*SC*"))&gt;0</f>
        <v>0</v>
      </c>
    </row>
    <row r="1946" spans="1:16">
      <c r="A1946" s="9" t="s">
        <v>2918</v>
      </c>
      <c r="B1946" s="83">
        <v>395</v>
      </c>
      <c r="C1946" s="34" t="s">
        <v>194</v>
      </c>
      <c r="D1946" s="34" t="s">
        <v>108</v>
      </c>
      <c r="E1946" s="83">
        <v>7</v>
      </c>
      <c r="F1946" s="43">
        <f t="shared" si="349"/>
        <v>6.7961165048543686</v>
      </c>
      <c r="G1946" s="44">
        <f t="shared" si="343"/>
        <v>6</v>
      </c>
      <c r="H1946" s="44">
        <f t="shared" si="344"/>
        <v>0.79611650485436858</v>
      </c>
      <c r="I1946" cm="1">
        <f t="array" ref="I1946">INT(F1946)+IF(100-SUM(INT(F$1942:F$1957))&gt;=RANK(H1946,H$1942:H$1957)+COUNTIF(H$1942:H1946,H1946)-1,1,0)</f>
        <v>7</v>
      </c>
      <c r="J1946" t="b">
        <f t="shared" si="345"/>
        <v>0</v>
      </c>
      <c r="K1946" t="str">
        <f t="shared" si="346"/>
        <v/>
      </c>
      <c r="L1946">
        <f>_xlfn.XLOOKUP(D1946,BugList!C:C,BugList!N:N)</f>
        <v>3</v>
      </c>
      <c r="M1946">
        <f t="shared" si="347"/>
        <v>21</v>
      </c>
      <c r="N1946" t="b">
        <f>_xlfn.XLOOKUP(D1946,BugList!C:C,BugList!L:L)</f>
        <v>1</v>
      </c>
      <c r="O1946" t="b">
        <f t="shared" si="348"/>
        <v>0</v>
      </c>
      <c r="P1946" s="18" t="b">
        <f>SUMPRODUCT(COUNTIF(_xlfn.XLOOKUP(D1946,BugList!C:C,BugList!P:P), "*SC*"))&gt;0</f>
        <v>0</v>
      </c>
    </row>
    <row r="1947" spans="1:16">
      <c r="A1947" s="9" t="s">
        <v>2918</v>
      </c>
      <c r="B1947" s="83">
        <v>395</v>
      </c>
      <c r="C1947" s="34" t="s">
        <v>199</v>
      </c>
      <c r="D1947" s="34" t="s">
        <v>111</v>
      </c>
      <c r="E1947" s="83">
        <v>13</v>
      </c>
      <c r="F1947" s="43">
        <f t="shared" si="349"/>
        <v>12.621359223300971</v>
      </c>
      <c r="G1947" s="44">
        <f t="shared" si="343"/>
        <v>12</v>
      </c>
      <c r="H1947" s="44">
        <f t="shared" si="344"/>
        <v>0.6213592233009706</v>
      </c>
      <c r="I1947" cm="1">
        <f t="array" ref="I1947">INT(F1947)+IF(100-SUM(INT(F$1942:F$1957))&gt;=RANK(H1947,H$1942:H$1957)+COUNTIF(H$1942:H1947,H1947)-1,1,0)</f>
        <v>12</v>
      </c>
      <c r="J1947" t="b">
        <f t="shared" si="345"/>
        <v>1</v>
      </c>
      <c r="K1947" t="str">
        <f t="shared" si="346"/>
        <v>Ephemeroptera</v>
      </c>
      <c r="L1947">
        <f>_xlfn.XLOOKUP(D1947,BugList!C:C,BugList!N:N)</f>
        <v>4</v>
      </c>
      <c r="M1947">
        <f t="shared" si="347"/>
        <v>48</v>
      </c>
      <c r="N1947" t="b">
        <f>_xlfn.XLOOKUP(D1947,BugList!C:C,BugList!L:L)</f>
        <v>1</v>
      </c>
      <c r="O1947" t="b">
        <f t="shared" si="348"/>
        <v>1</v>
      </c>
      <c r="P1947" s="18" t="b">
        <f>SUMPRODUCT(COUNTIF(_xlfn.XLOOKUP(D1947,BugList!C:C,BugList!P:P), "*SC*"))&gt;0</f>
        <v>0</v>
      </c>
    </row>
    <row r="1948" spans="1:16">
      <c r="A1948" s="9" t="s">
        <v>2918</v>
      </c>
      <c r="B1948" s="83">
        <v>395</v>
      </c>
      <c r="C1948" s="34" t="s">
        <v>195</v>
      </c>
      <c r="D1948" s="34" t="s">
        <v>113</v>
      </c>
      <c r="E1948" s="83">
        <v>1</v>
      </c>
      <c r="F1948" s="43">
        <f t="shared" si="349"/>
        <v>0.97087378640776689</v>
      </c>
      <c r="G1948" s="44">
        <f t="shared" si="343"/>
        <v>0</v>
      </c>
      <c r="H1948" s="44">
        <f t="shared" si="344"/>
        <v>0.97087378640776689</v>
      </c>
      <c r="I1948" cm="1">
        <f t="array" ref="I1948">INT(F1948)+IF(100-SUM(INT(F$1942:F$1957))&gt;=RANK(H1948,H$1942:H$1957)+COUNTIF(H$1942:H1948,H1948)-1,1,0)</f>
        <v>1</v>
      </c>
      <c r="J1948" t="b">
        <f t="shared" si="345"/>
        <v>0</v>
      </c>
      <c r="K1948" t="str">
        <f t="shared" si="346"/>
        <v/>
      </c>
      <c r="L1948">
        <f>_xlfn.XLOOKUP(D1948,BugList!C:C,BugList!N:N)</f>
        <v>1</v>
      </c>
      <c r="M1948">
        <f t="shared" si="347"/>
        <v>1</v>
      </c>
      <c r="N1948" t="b">
        <f>_xlfn.XLOOKUP(D1948,BugList!C:C,BugList!L:L)</f>
        <v>1</v>
      </c>
      <c r="O1948" t="b">
        <f t="shared" si="348"/>
        <v>0</v>
      </c>
      <c r="P1948" s="18" t="b">
        <f>SUMPRODUCT(COUNTIF(_xlfn.XLOOKUP(D1948,BugList!C:C,BugList!P:P), "*SC*"))&gt;0</f>
        <v>0</v>
      </c>
    </row>
    <row r="1949" spans="1:16">
      <c r="A1949" s="9" t="s">
        <v>2918</v>
      </c>
      <c r="B1949" s="83">
        <v>395</v>
      </c>
      <c r="C1949" s="34" t="s">
        <v>211</v>
      </c>
      <c r="D1949" s="34" t="s">
        <v>87</v>
      </c>
      <c r="E1949" s="83">
        <v>1</v>
      </c>
      <c r="F1949" s="43">
        <f t="shared" si="349"/>
        <v>0.97087378640776689</v>
      </c>
      <c r="G1949" s="44">
        <f t="shared" si="343"/>
        <v>0</v>
      </c>
      <c r="H1949" s="44">
        <f t="shared" si="344"/>
        <v>0.97087378640776689</v>
      </c>
      <c r="I1949" cm="1">
        <f t="array" ref="I1949">INT(F1949)+IF(100-SUM(INT(F$1942:F$1957))&gt;=RANK(H1949,H$1942:H$1957)+COUNTIF(H$1942:H1949,H1949)-1,1,0)</f>
        <v>1</v>
      </c>
      <c r="J1949" t="b">
        <f t="shared" si="345"/>
        <v>0</v>
      </c>
      <c r="K1949" t="str">
        <f t="shared" si="346"/>
        <v/>
      </c>
      <c r="L1949">
        <f>_xlfn.XLOOKUP(D1949,BugList!C:C,BugList!N:N)</f>
        <v>4</v>
      </c>
      <c r="M1949">
        <f t="shared" si="347"/>
        <v>4</v>
      </c>
      <c r="N1949" t="b">
        <f>_xlfn.XLOOKUP(D1949,BugList!C:C,BugList!L:L)</f>
        <v>0</v>
      </c>
      <c r="O1949" t="b">
        <f t="shared" si="348"/>
        <v>0</v>
      </c>
      <c r="P1949" s="18" t="b">
        <f>SUMPRODUCT(COUNTIF(_xlfn.XLOOKUP(D1949,BugList!C:C,BugList!P:P), "*SC*"))&gt;0</f>
        <v>0</v>
      </c>
    </row>
    <row r="1950" spans="1:16">
      <c r="A1950" s="9" t="s">
        <v>2918</v>
      </c>
      <c r="B1950" s="83">
        <v>395</v>
      </c>
      <c r="C1950" s="34" t="s">
        <v>197</v>
      </c>
      <c r="D1950" s="34" t="s">
        <v>106</v>
      </c>
      <c r="E1950" s="83">
        <v>1</v>
      </c>
      <c r="F1950" s="43">
        <f t="shared" si="349"/>
        <v>0.97087378640776689</v>
      </c>
      <c r="G1950" s="44">
        <f t="shared" si="343"/>
        <v>0</v>
      </c>
      <c r="H1950" s="44">
        <f t="shared" si="344"/>
        <v>0.97087378640776689</v>
      </c>
      <c r="I1950" cm="1">
        <f t="array" ref="I1950">INT(F1950)+IF(100-SUM(INT(F$1942:F$1957))&gt;=RANK(H1950,H$1942:H$1957)+COUNTIF(H$1942:H1950,H1950)-1,1,0)</f>
        <v>1</v>
      </c>
      <c r="J1950" t="b">
        <f t="shared" si="345"/>
        <v>1</v>
      </c>
      <c r="K1950" t="str">
        <f t="shared" si="346"/>
        <v>Plecoptera</v>
      </c>
      <c r="L1950">
        <f>_xlfn.XLOOKUP(D1950,BugList!C:C,BugList!N:N)</f>
        <v>2</v>
      </c>
      <c r="M1950">
        <f t="shared" si="347"/>
        <v>2</v>
      </c>
      <c r="N1950" t="b">
        <f>_xlfn.XLOOKUP(D1950,BugList!C:C,BugList!L:L)</f>
        <v>1</v>
      </c>
      <c r="O1950" t="b">
        <f t="shared" si="348"/>
        <v>1</v>
      </c>
      <c r="P1950" s="18" t="b">
        <f>SUMPRODUCT(COUNTIF(_xlfn.XLOOKUP(D1950,BugList!C:C,BugList!P:P), "*SC*"))&gt;0</f>
        <v>0</v>
      </c>
    </row>
    <row r="1951" spans="1:16">
      <c r="A1951" s="9" t="s">
        <v>2918</v>
      </c>
      <c r="B1951" s="83">
        <v>395</v>
      </c>
      <c r="C1951" s="34" t="s">
        <v>198</v>
      </c>
      <c r="D1951" s="34" t="s">
        <v>89</v>
      </c>
      <c r="E1951" s="83">
        <v>11</v>
      </c>
      <c r="F1951" s="43">
        <f t="shared" si="349"/>
        <v>10.679611650485436</v>
      </c>
      <c r="G1951" s="44">
        <f t="shared" si="343"/>
        <v>10</v>
      </c>
      <c r="H1951" s="44">
        <f t="shared" si="344"/>
        <v>0.6796116504854357</v>
      </c>
      <c r="I1951" cm="1">
        <f t="array" ref="I1951">INT(F1951)+IF(100-SUM(INT(F$1942:F$1957))&gt;=RANK(H1951,H$1942:H$1957)+COUNTIF(H$1942:H1951,H1951)-1,1,0)</f>
        <v>11</v>
      </c>
      <c r="J1951" t="b">
        <f t="shared" si="345"/>
        <v>1</v>
      </c>
      <c r="K1951" t="str">
        <f t="shared" si="346"/>
        <v>Trichoptera</v>
      </c>
      <c r="L1951">
        <f>_xlfn.XLOOKUP(D1951,BugList!C:C,BugList!N:N)</f>
        <v>4</v>
      </c>
      <c r="M1951">
        <f t="shared" si="347"/>
        <v>44</v>
      </c>
      <c r="N1951" t="b">
        <f>_xlfn.XLOOKUP(D1951,BugList!C:C,BugList!L:L)</f>
        <v>1</v>
      </c>
      <c r="O1951" t="b">
        <f t="shared" si="348"/>
        <v>0</v>
      </c>
      <c r="P1951" s="18" t="b">
        <f>SUMPRODUCT(COUNTIF(_xlfn.XLOOKUP(D1951,BugList!C:C,BugList!P:P), "*SC*"))&gt;0</f>
        <v>0</v>
      </c>
    </row>
    <row r="1952" spans="1:16">
      <c r="A1952" s="9" t="s">
        <v>2918</v>
      </c>
      <c r="B1952" s="83">
        <v>395</v>
      </c>
      <c r="C1952" s="34" t="s">
        <v>198</v>
      </c>
      <c r="D1952" s="34" t="s">
        <v>107</v>
      </c>
      <c r="E1952" s="83">
        <v>18</v>
      </c>
      <c r="F1952" s="43">
        <f t="shared" si="349"/>
        <v>17.475728155339805</v>
      </c>
      <c r="G1952" s="44">
        <f t="shared" si="343"/>
        <v>17</v>
      </c>
      <c r="H1952" s="44">
        <f t="shared" si="344"/>
        <v>0.47572815533980517</v>
      </c>
      <c r="I1952" cm="1">
        <f t="array" ref="I1952">INT(F1952)+IF(100-SUM(INT(F$1942:F$1957))&gt;=RANK(H1952,H$1942:H$1957)+COUNTIF(H$1942:H1952,H1952)-1,1,0)</f>
        <v>17</v>
      </c>
      <c r="J1952" t="b">
        <f t="shared" si="345"/>
        <v>1</v>
      </c>
      <c r="K1952" t="str">
        <f t="shared" si="346"/>
        <v>Trichoptera</v>
      </c>
      <c r="L1952">
        <f>_xlfn.XLOOKUP(D1952,BugList!C:C,BugList!N:N)</f>
        <v>3</v>
      </c>
      <c r="M1952">
        <f t="shared" si="347"/>
        <v>51</v>
      </c>
      <c r="N1952" t="b">
        <f>_xlfn.XLOOKUP(D1952,BugList!C:C,BugList!L:L)</f>
        <v>1</v>
      </c>
      <c r="O1952" t="b">
        <f t="shared" si="348"/>
        <v>1</v>
      </c>
      <c r="P1952" s="18" t="b">
        <f>SUMPRODUCT(COUNTIF(_xlfn.XLOOKUP(D1952,BugList!C:C,BugList!P:P), "*SC*"))&gt;0</f>
        <v>0</v>
      </c>
    </row>
    <row r="1953" spans="1:16">
      <c r="A1953" s="9" t="s">
        <v>2918</v>
      </c>
      <c r="B1953" s="83">
        <v>395</v>
      </c>
      <c r="C1953" s="34" t="s">
        <v>198</v>
      </c>
      <c r="D1953" s="34" t="s">
        <v>1271</v>
      </c>
      <c r="E1953" s="83">
        <v>1</v>
      </c>
      <c r="F1953" s="43">
        <f t="shared" si="349"/>
        <v>0.97087378640776689</v>
      </c>
      <c r="G1953" s="44">
        <f t="shared" si="343"/>
        <v>0</v>
      </c>
      <c r="H1953" s="44">
        <f t="shared" si="344"/>
        <v>0.97087378640776689</v>
      </c>
      <c r="I1953" cm="1">
        <f t="array" ref="I1953">INT(F1953)+IF(100-SUM(INT(F$1942:F$1957))&gt;=RANK(H1953,H$1942:H$1957)+COUNTIF(H$1942:H1953,H1953)-1,1,0)</f>
        <v>1</v>
      </c>
      <c r="J1953" t="b">
        <f t="shared" si="345"/>
        <v>1</v>
      </c>
      <c r="K1953" t="str">
        <f t="shared" si="346"/>
        <v>Trichoptera</v>
      </c>
      <c r="L1953">
        <f>_xlfn.XLOOKUP(D1953,BugList!C:C,BugList!N:N)</f>
        <v>4</v>
      </c>
      <c r="M1953">
        <f t="shared" si="347"/>
        <v>4</v>
      </c>
      <c r="N1953" t="b">
        <f>_xlfn.XLOOKUP(D1953,BugList!C:C,BugList!L:L)</f>
        <v>1</v>
      </c>
      <c r="O1953" t="b">
        <f t="shared" si="348"/>
        <v>1</v>
      </c>
      <c r="P1953" s="18" t="b">
        <f>SUMPRODUCT(COUNTIF(_xlfn.XLOOKUP(D1953,BugList!C:C,BugList!P:P), "*SC*"))&gt;0</f>
        <v>0</v>
      </c>
    </row>
    <row r="1954" spans="1:16">
      <c r="A1954" s="9" t="s">
        <v>2918</v>
      </c>
      <c r="B1954" s="83">
        <v>395</v>
      </c>
      <c r="C1954" s="34" t="s">
        <v>204</v>
      </c>
      <c r="D1954" s="34" t="s">
        <v>84</v>
      </c>
      <c r="E1954" s="83">
        <v>1</v>
      </c>
      <c r="F1954" s="43">
        <f t="shared" si="349"/>
        <v>0.97087378640776689</v>
      </c>
      <c r="G1954" s="44">
        <f t="shared" si="343"/>
        <v>0</v>
      </c>
      <c r="H1954" s="44">
        <f t="shared" si="344"/>
        <v>0.97087378640776689</v>
      </c>
      <c r="I1954" cm="1">
        <f t="array" ref="I1954">INT(F1954)+IF(100-SUM(INT(F$1942:F$1957))&gt;=RANK(H1954,H$1942:H$1957)+COUNTIF(H$1942:H1954,H1954)-1,1,0)</f>
        <v>1</v>
      </c>
      <c r="J1954" t="b">
        <f t="shared" si="345"/>
        <v>0</v>
      </c>
      <c r="K1954" t="str">
        <f t="shared" si="346"/>
        <v/>
      </c>
      <c r="L1954">
        <f>_xlfn.XLOOKUP(D1954,BugList!C:C,BugList!N:N)</f>
        <v>8</v>
      </c>
      <c r="M1954">
        <f t="shared" si="347"/>
        <v>8</v>
      </c>
      <c r="N1954" t="b">
        <f>_xlfn.XLOOKUP(D1954,BugList!C:C,BugList!L:L)</f>
        <v>0</v>
      </c>
      <c r="O1954" t="b">
        <f t="shared" si="348"/>
        <v>0</v>
      </c>
      <c r="P1954" s="18" t="b">
        <f>SUMPRODUCT(COUNTIF(_xlfn.XLOOKUP(D1954,BugList!C:C,BugList!P:P), "*SC*"))&gt;0</f>
        <v>0</v>
      </c>
    </row>
    <row r="1955" spans="1:16">
      <c r="A1955" s="9" t="s">
        <v>2918</v>
      </c>
      <c r="B1955" s="83">
        <v>395</v>
      </c>
      <c r="C1955" s="34" t="s">
        <v>201</v>
      </c>
      <c r="D1955" s="34" t="s">
        <v>85</v>
      </c>
      <c r="E1955" s="83">
        <v>3</v>
      </c>
      <c r="F1955" s="43">
        <f t="shared" si="349"/>
        <v>2.912621359223301</v>
      </c>
      <c r="G1955" s="44">
        <f t="shared" si="343"/>
        <v>2</v>
      </c>
      <c r="H1955" s="44">
        <f t="shared" si="344"/>
        <v>0.91262135922330101</v>
      </c>
      <c r="I1955" cm="1">
        <f t="array" ref="I1955">INT(F1955)+IF(100-SUM(INT(F$1942:F$1957))&gt;=RANK(H1955,H$1942:H$1957)+COUNTIF(H$1942:H1955,H1955)-1,1,0)</f>
        <v>3</v>
      </c>
      <c r="J1955" t="b">
        <f t="shared" si="345"/>
        <v>0</v>
      </c>
      <c r="K1955" t="str">
        <f t="shared" si="346"/>
        <v/>
      </c>
      <c r="L1955">
        <f>_xlfn.XLOOKUP(D1955,BugList!C:C,BugList!N:N)</f>
        <v>4</v>
      </c>
      <c r="M1955">
        <f t="shared" si="347"/>
        <v>12</v>
      </c>
      <c r="N1955" t="b">
        <f>_xlfn.XLOOKUP(D1955,BugList!C:C,BugList!L:L)</f>
        <v>0</v>
      </c>
      <c r="O1955" t="b">
        <f t="shared" si="348"/>
        <v>0</v>
      </c>
      <c r="P1955" s="18" t="b">
        <f>SUMPRODUCT(COUNTIF(_xlfn.XLOOKUP(D1955,BugList!C:C,BugList!P:P), "*SC*"))&gt;0</f>
        <v>0</v>
      </c>
    </row>
    <row r="1956" spans="1:16">
      <c r="A1956" s="9" t="s">
        <v>2918</v>
      </c>
      <c r="B1956" s="83">
        <v>395</v>
      </c>
      <c r="C1956" s="34" t="s">
        <v>205</v>
      </c>
      <c r="D1956" s="34" t="s">
        <v>206</v>
      </c>
      <c r="E1956" s="83">
        <v>4</v>
      </c>
      <c r="F1956" s="43">
        <f t="shared" si="349"/>
        <v>3.8834951456310676</v>
      </c>
      <c r="G1956" s="44">
        <f t="shared" si="343"/>
        <v>3</v>
      </c>
      <c r="H1956" s="44">
        <f t="shared" si="344"/>
        <v>0.88349514563106757</v>
      </c>
      <c r="I1956" cm="1">
        <f t="array" ref="I1956">INT(F1956)+IF(100-SUM(INT(F$1942:F$1957))&gt;=RANK(H1956,H$1942:H$1957)+COUNTIF(H$1942:H1956,H1956)-1,1,0)</f>
        <v>4</v>
      </c>
      <c r="J1956" t="b">
        <f t="shared" si="345"/>
        <v>0</v>
      </c>
      <c r="K1956" t="str">
        <f t="shared" si="346"/>
        <v/>
      </c>
      <c r="L1956" s="71">
        <v>8</v>
      </c>
      <c r="M1956">
        <f t="shared" si="347"/>
        <v>32</v>
      </c>
      <c r="N1956" s="71" t="b">
        <v>0</v>
      </c>
      <c r="O1956" t="b">
        <f t="shared" si="348"/>
        <v>0</v>
      </c>
      <c r="P1956" s="72" t="b">
        <v>0</v>
      </c>
    </row>
    <row r="1957" spans="1:16">
      <c r="A1957" s="9" t="s">
        <v>2918</v>
      </c>
      <c r="B1957" s="83">
        <v>395</v>
      </c>
      <c r="C1957" s="34" t="s">
        <v>94</v>
      </c>
      <c r="D1957" s="34" t="s">
        <v>94</v>
      </c>
      <c r="E1957" s="83">
        <v>6</v>
      </c>
      <c r="F1957" s="43">
        <f t="shared" si="349"/>
        <v>5.825242718446602</v>
      </c>
      <c r="G1957" s="44">
        <f t="shared" si="343"/>
        <v>5</v>
      </c>
      <c r="H1957" s="44">
        <f t="shared" si="344"/>
        <v>0.82524271844660202</v>
      </c>
      <c r="I1957" cm="1">
        <f t="array" ref="I1957">INT(F1957)+IF(100-SUM(INT(F$1942:F$1957))&gt;=RANK(H1957,H$1942:H$1957)+COUNTIF(H$1942:H1957,H1957)-1,1,0)</f>
        <v>6</v>
      </c>
      <c r="J1957" t="b">
        <f t="shared" si="345"/>
        <v>0</v>
      </c>
      <c r="K1957" t="str">
        <f t="shared" si="346"/>
        <v/>
      </c>
      <c r="L1957">
        <f>_xlfn.XLOOKUP(D1957,BugList!C:C,BugList!N:N)</f>
        <v>8</v>
      </c>
      <c r="M1957">
        <f t="shared" si="347"/>
        <v>48</v>
      </c>
      <c r="N1957" t="b">
        <f>_xlfn.XLOOKUP(D1957,BugList!C:C,BugList!L:L)</f>
        <v>0</v>
      </c>
      <c r="O1957" t="b">
        <f t="shared" si="348"/>
        <v>0</v>
      </c>
      <c r="P1957" s="18" t="b">
        <f>SUMPRODUCT(COUNTIF(_xlfn.XLOOKUP(D1957,BugList!C:C,BugList!P:P), "*SC*"))&gt;0</f>
        <v>0</v>
      </c>
    </row>
    <row r="1958" spans="1:16">
      <c r="A1958" s="9" t="s">
        <v>2919</v>
      </c>
      <c r="B1958" s="83">
        <v>404</v>
      </c>
      <c r="C1958" s="34" t="s">
        <v>200</v>
      </c>
      <c r="D1958" s="34" t="s">
        <v>98</v>
      </c>
      <c r="E1958" s="83">
        <v>17</v>
      </c>
      <c r="F1958" s="43">
        <f t="shared" si="349"/>
        <v>17</v>
      </c>
      <c r="G1958" s="44">
        <f t="shared" si="343"/>
        <v>17</v>
      </c>
      <c r="H1958" s="44">
        <f t="shared" si="344"/>
        <v>0</v>
      </c>
      <c r="I1958" cm="1">
        <f t="array" ref="I1958">INT(F1958)+IF(100-SUM(INT(F$1958:F$1970))&gt;=RANK(H1958,H$1958:H$1970)+COUNTIF(H$1958:H1958,H1958)-1,1,0)</f>
        <v>17</v>
      </c>
      <c r="J1958" t="b">
        <f t="shared" si="345"/>
        <v>0</v>
      </c>
      <c r="K1958" t="str">
        <f t="shared" si="346"/>
        <v/>
      </c>
      <c r="L1958">
        <f>_xlfn.XLOOKUP(D1958,BugList!C:C,BugList!N:N)</f>
        <v>4</v>
      </c>
      <c r="M1958">
        <f t="shared" si="347"/>
        <v>68</v>
      </c>
      <c r="N1958" t="b">
        <f>_xlfn.XLOOKUP(D1958,BugList!C:C,BugList!L:L)</f>
        <v>1</v>
      </c>
      <c r="O1958" t="b">
        <f t="shared" si="348"/>
        <v>0</v>
      </c>
      <c r="P1958" s="18" t="b">
        <f>SUMPRODUCT(COUNTIF(_xlfn.XLOOKUP(D1958,BugList!C:C,BugList!P:P), "*SC*"))&gt;0</f>
        <v>1</v>
      </c>
    </row>
    <row r="1959" spans="1:16">
      <c r="A1959" s="9" t="s">
        <v>2919</v>
      </c>
      <c r="B1959" s="83">
        <v>404</v>
      </c>
      <c r="C1959" s="34" t="s">
        <v>200</v>
      </c>
      <c r="D1959" s="34" t="s">
        <v>100</v>
      </c>
      <c r="E1959" s="83">
        <v>43</v>
      </c>
      <c r="F1959" s="43">
        <f t="shared" si="349"/>
        <v>43</v>
      </c>
      <c r="G1959" s="44">
        <f t="shared" si="343"/>
        <v>43</v>
      </c>
      <c r="H1959" s="44">
        <f t="shared" si="344"/>
        <v>0</v>
      </c>
      <c r="I1959" cm="1">
        <f t="array" ref="I1959">INT(F1959)+IF(100-SUM(INT(F$1958:F$1970))&gt;=RANK(H1959,H$1958:H$1970)+COUNTIF(H$1958:H1959,H1959)-1,1,0)</f>
        <v>43</v>
      </c>
      <c r="J1959" t="b">
        <f t="shared" si="345"/>
        <v>0</v>
      </c>
      <c r="K1959" t="str">
        <f t="shared" si="346"/>
        <v/>
      </c>
      <c r="L1959">
        <f>_xlfn.XLOOKUP(D1959,BugList!C:C,BugList!N:N)</f>
        <v>4</v>
      </c>
      <c r="M1959">
        <f t="shared" si="347"/>
        <v>172</v>
      </c>
      <c r="N1959" t="b">
        <f>_xlfn.XLOOKUP(D1959,BugList!C:C,BugList!L:L)</f>
        <v>1</v>
      </c>
      <c r="O1959" t="b">
        <f t="shared" si="348"/>
        <v>0</v>
      </c>
      <c r="P1959" s="18" t="b">
        <f>SUMPRODUCT(COUNTIF(_xlfn.XLOOKUP(D1959,BugList!C:C,BugList!P:P), "*SC*"))&gt;0</f>
        <v>1</v>
      </c>
    </row>
    <row r="1960" spans="1:16">
      <c r="A1960" s="9" t="s">
        <v>2919</v>
      </c>
      <c r="B1960" s="83">
        <v>404</v>
      </c>
      <c r="C1960" s="34" t="s">
        <v>194</v>
      </c>
      <c r="D1960" s="34" t="s">
        <v>90</v>
      </c>
      <c r="E1960" s="83">
        <v>2</v>
      </c>
      <c r="F1960" s="43">
        <f t="shared" si="349"/>
        <v>2</v>
      </c>
      <c r="G1960" s="44">
        <f t="shared" si="343"/>
        <v>2</v>
      </c>
      <c r="H1960" s="44">
        <f t="shared" si="344"/>
        <v>0</v>
      </c>
      <c r="I1960" cm="1">
        <f t="array" ref="I1960">INT(F1960)+IF(100-SUM(INT(F$1958:F$1970))&gt;=RANK(H1960,H$1958:H$1970)+COUNTIF(H$1958:H1960,H1960)-1,1,0)</f>
        <v>2</v>
      </c>
      <c r="J1960" t="b">
        <f t="shared" si="345"/>
        <v>0</v>
      </c>
      <c r="K1960" t="str">
        <f t="shared" si="346"/>
        <v/>
      </c>
      <c r="L1960">
        <f>_xlfn.XLOOKUP(D1960,BugList!C:C,BugList!N:N)</f>
        <v>6</v>
      </c>
      <c r="M1960">
        <f t="shared" si="347"/>
        <v>12</v>
      </c>
      <c r="N1960" t="b">
        <f>_xlfn.XLOOKUP(D1960,BugList!C:C,BugList!L:L)</f>
        <v>1</v>
      </c>
      <c r="O1960" t="b">
        <f t="shared" si="348"/>
        <v>0</v>
      </c>
      <c r="P1960" s="18" t="b">
        <f>SUMPRODUCT(COUNTIF(_xlfn.XLOOKUP(D1960,BugList!C:C,BugList!P:P), "*SC*"))&gt;0</f>
        <v>0</v>
      </c>
    </row>
    <row r="1961" spans="1:16">
      <c r="A1961" s="9" t="s">
        <v>2919</v>
      </c>
      <c r="B1961" s="83">
        <v>404</v>
      </c>
      <c r="C1961" s="34" t="s">
        <v>194</v>
      </c>
      <c r="D1961" s="34" t="s">
        <v>108</v>
      </c>
      <c r="E1961" s="83">
        <v>1</v>
      </c>
      <c r="F1961" s="43">
        <f t="shared" si="349"/>
        <v>1</v>
      </c>
      <c r="G1961" s="44">
        <f t="shared" si="343"/>
        <v>1</v>
      </c>
      <c r="H1961" s="44">
        <f t="shared" si="344"/>
        <v>0</v>
      </c>
      <c r="I1961" cm="1">
        <f t="array" ref="I1961">INT(F1961)+IF(100-SUM(INT(F$1958:F$1970))&gt;=RANK(H1961,H$1958:H$1970)+COUNTIF(H$1958:H1961,H1961)-1,1,0)</f>
        <v>1</v>
      </c>
      <c r="J1961" t="b">
        <f t="shared" si="345"/>
        <v>0</v>
      </c>
      <c r="K1961" t="str">
        <f t="shared" si="346"/>
        <v/>
      </c>
      <c r="L1961">
        <f>_xlfn.XLOOKUP(D1961,BugList!C:C,BugList!N:N)</f>
        <v>3</v>
      </c>
      <c r="M1961">
        <f t="shared" si="347"/>
        <v>3</v>
      </c>
      <c r="N1961" t="b">
        <f>_xlfn.XLOOKUP(D1961,BugList!C:C,BugList!L:L)</f>
        <v>1</v>
      </c>
      <c r="O1961" t="b">
        <f t="shared" si="348"/>
        <v>0</v>
      </c>
      <c r="P1961" s="18" t="b">
        <f>SUMPRODUCT(COUNTIF(_xlfn.XLOOKUP(D1961,BugList!C:C,BugList!P:P), "*SC*"))&gt;0</f>
        <v>0</v>
      </c>
    </row>
    <row r="1962" spans="1:16">
      <c r="A1962" s="9" t="s">
        <v>2919</v>
      </c>
      <c r="B1962" s="83">
        <v>404</v>
      </c>
      <c r="C1962" s="34" t="s">
        <v>199</v>
      </c>
      <c r="D1962" s="34" t="s">
        <v>111</v>
      </c>
      <c r="E1962" s="83">
        <v>4</v>
      </c>
      <c r="F1962" s="43">
        <f t="shared" si="349"/>
        <v>4</v>
      </c>
      <c r="G1962" s="44">
        <f t="shared" si="343"/>
        <v>4</v>
      </c>
      <c r="H1962" s="44">
        <f t="shared" si="344"/>
        <v>0</v>
      </c>
      <c r="I1962" cm="1">
        <f t="array" ref="I1962">INT(F1962)+IF(100-SUM(INT(F$1958:F$1970))&gt;=RANK(H1962,H$1958:H$1970)+COUNTIF(H$1958:H1962,H1962)-1,1,0)</f>
        <v>4</v>
      </c>
      <c r="J1962" t="b">
        <f t="shared" si="345"/>
        <v>1</v>
      </c>
      <c r="K1962" t="str">
        <f t="shared" si="346"/>
        <v>Ephemeroptera</v>
      </c>
      <c r="L1962">
        <f>_xlfn.XLOOKUP(D1962,BugList!C:C,BugList!N:N)</f>
        <v>4</v>
      </c>
      <c r="M1962">
        <f t="shared" si="347"/>
        <v>16</v>
      </c>
      <c r="N1962" t="b">
        <f>_xlfn.XLOOKUP(D1962,BugList!C:C,BugList!L:L)</f>
        <v>1</v>
      </c>
      <c r="O1962" t="b">
        <f t="shared" si="348"/>
        <v>1</v>
      </c>
      <c r="P1962" s="18" t="b">
        <f>SUMPRODUCT(COUNTIF(_xlfn.XLOOKUP(D1962,BugList!C:C,BugList!P:P), "*SC*"))&gt;0</f>
        <v>0</v>
      </c>
    </row>
    <row r="1963" spans="1:16">
      <c r="A1963" s="9" t="s">
        <v>2919</v>
      </c>
      <c r="B1963" s="83">
        <v>404</v>
      </c>
      <c r="C1963" s="34" t="s">
        <v>195</v>
      </c>
      <c r="D1963" s="34" t="s">
        <v>97</v>
      </c>
      <c r="E1963" s="83">
        <v>1</v>
      </c>
      <c r="F1963" s="43">
        <f t="shared" si="349"/>
        <v>1</v>
      </c>
      <c r="G1963" s="44">
        <f t="shared" si="343"/>
        <v>1</v>
      </c>
      <c r="H1963" s="44">
        <f t="shared" si="344"/>
        <v>0</v>
      </c>
      <c r="I1963" cm="1">
        <f t="array" ref="I1963">INT(F1963)+IF(100-SUM(INT(F$1958:F$1970))&gt;=RANK(H1963,H$1958:H$1970)+COUNTIF(H$1958:H1963,H1963)-1,1,0)</f>
        <v>1</v>
      </c>
      <c r="J1963" t="b">
        <f t="shared" si="345"/>
        <v>0</v>
      </c>
      <c r="K1963" t="str">
        <f t="shared" si="346"/>
        <v/>
      </c>
      <c r="L1963">
        <f>_xlfn.XLOOKUP(D1963,BugList!C:C,BugList!N:N)</f>
        <v>9</v>
      </c>
      <c r="M1963">
        <f t="shared" si="347"/>
        <v>9</v>
      </c>
      <c r="N1963" t="b">
        <f>_xlfn.XLOOKUP(D1963,BugList!C:C,BugList!L:L)</f>
        <v>1</v>
      </c>
      <c r="O1963" t="b">
        <f t="shared" si="348"/>
        <v>0</v>
      </c>
      <c r="P1963" s="18" t="b">
        <f>SUMPRODUCT(COUNTIF(_xlfn.XLOOKUP(D1963,BugList!C:C,BugList!P:P), "*SC*"))&gt;0</f>
        <v>0</v>
      </c>
    </row>
    <row r="1964" spans="1:16">
      <c r="A1964" s="9" t="s">
        <v>2919</v>
      </c>
      <c r="B1964" s="83">
        <v>404</v>
      </c>
      <c r="C1964" s="34" t="s">
        <v>195</v>
      </c>
      <c r="D1964" s="34" t="s">
        <v>113</v>
      </c>
      <c r="E1964" s="83">
        <v>2</v>
      </c>
      <c r="F1964" s="43">
        <f t="shared" si="349"/>
        <v>2</v>
      </c>
      <c r="G1964" s="44">
        <f t="shared" si="343"/>
        <v>2</v>
      </c>
      <c r="H1964" s="44">
        <f t="shared" si="344"/>
        <v>0</v>
      </c>
      <c r="I1964" cm="1">
        <f t="array" ref="I1964">INT(F1964)+IF(100-SUM(INT(F$1958:F$1970))&gt;=RANK(H1964,H$1958:H$1970)+COUNTIF(H$1958:H1964,H1964)-1,1,0)</f>
        <v>2</v>
      </c>
      <c r="J1964" t="b">
        <f t="shared" si="345"/>
        <v>0</v>
      </c>
      <c r="K1964" t="str">
        <f t="shared" si="346"/>
        <v/>
      </c>
      <c r="L1964">
        <f>_xlfn.XLOOKUP(D1964,BugList!C:C,BugList!N:N)</f>
        <v>1</v>
      </c>
      <c r="M1964">
        <f t="shared" si="347"/>
        <v>2</v>
      </c>
      <c r="N1964" t="b">
        <f>_xlfn.XLOOKUP(D1964,BugList!C:C,BugList!L:L)</f>
        <v>1</v>
      </c>
      <c r="O1964" t="b">
        <f t="shared" si="348"/>
        <v>0</v>
      </c>
      <c r="P1964" s="18" t="b">
        <f>SUMPRODUCT(COUNTIF(_xlfn.XLOOKUP(D1964,BugList!C:C,BugList!P:P), "*SC*"))&gt;0</f>
        <v>0</v>
      </c>
    </row>
    <row r="1965" spans="1:16">
      <c r="A1965" s="9" t="s">
        <v>2919</v>
      </c>
      <c r="B1965" s="83">
        <v>404</v>
      </c>
      <c r="C1965" s="34" t="s">
        <v>198</v>
      </c>
      <c r="D1965" s="34" t="s">
        <v>89</v>
      </c>
      <c r="E1965" s="83">
        <v>15</v>
      </c>
      <c r="F1965" s="43">
        <f t="shared" si="349"/>
        <v>15</v>
      </c>
      <c r="G1965" s="44">
        <f t="shared" si="343"/>
        <v>15</v>
      </c>
      <c r="H1965" s="44">
        <f t="shared" si="344"/>
        <v>0</v>
      </c>
      <c r="I1965" cm="1">
        <f t="array" ref="I1965">INT(F1965)+IF(100-SUM(INT(F$1958:F$1970))&gt;=RANK(H1965,H$1958:H$1970)+COUNTIF(H$1958:H1965,H1965)-1,1,0)</f>
        <v>15</v>
      </c>
      <c r="J1965" t="b">
        <f t="shared" si="345"/>
        <v>1</v>
      </c>
      <c r="K1965" t="str">
        <f t="shared" si="346"/>
        <v>Trichoptera</v>
      </c>
      <c r="L1965">
        <f>_xlfn.XLOOKUP(D1965,BugList!C:C,BugList!N:N)</f>
        <v>4</v>
      </c>
      <c r="M1965">
        <f t="shared" si="347"/>
        <v>60</v>
      </c>
      <c r="N1965" t="b">
        <f>_xlfn.XLOOKUP(D1965,BugList!C:C,BugList!L:L)</f>
        <v>1</v>
      </c>
      <c r="O1965" t="b">
        <f t="shared" si="348"/>
        <v>0</v>
      </c>
      <c r="P1965" s="18" t="b">
        <f>SUMPRODUCT(COUNTIF(_xlfn.XLOOKUP(D1965,BugList!C:C,BugList!P:P), "*SC*"))&gt;0</f>
        <v>0</v>
      </c>
    </row>
    <row r="1966" spans="1:16">
      <c r="A1966" s="9" t="s">
        <v>2919</v>
      </c>
      <c r="B1966" s="83">
        <v>404</v>
      </c>
      <c r="C1966" s="34" t="s">
        <v>198</v>
      </c>
      <c r="D1966" s="34" t="s">
        <v>114</v>
      </c>
      <c r="E1966" s="83">
        <v>2</v>
      </c>
      <c r="F1966" s="43">
        <f t="shared" si="349"/>
        <v>2</v>
      </c>
      <c r="G1966" s="44">
        <f t="shared" si="343"/>
        <v>2</v>
      </c>
      <c r="H1966" s="44">
        <f t="shared" si="344"/>
        <v>0</v>
      </c>
      <c r="I1966" cm="1">
        <f t="array" ref="I1966">INT(F1966)+IF(100-SUM(INT(F$1958:F$1970))&gt;=RANK(H1966,H$1958:H$1970)+COUNTIF(H$1958:H1966,H1966)-1,1,0)</f>
        <v>2</v>
      </c>
      <c r="J1966" t="b">
        <f t="shared" si="345"/>
        <v>1</v>
      </c>
      <c r="K1966" t="str">
        <f t="shared" si="346"/>
        <v>Trichoptera</v>
      </c>
      <c r="L1966">
        <f>_xlfn.XLOOKUP(D1966,BugList!C:C,BugList!N:N)</f>
        <v>1</v>
      </c>
      <c r="M1966">
        <f t="shared" si="347"/>
        <v>2</v>
      </c>
      <c r="N1966" t="b">
        <f>_xlfn.XLOOKUP(D1966,BugList!C:C,BugList!L:L)</f>
        <v>1</v>
      </c>
      <c r="O1966" t="b">
        <f t="shared" si="348"/>
        <v>1</v>
      </c>
      <c r="P1966" s="18" t="b">
        <f>SUMPRODUCT(COUNTIF(_xlfn.XLOOKUP(D1966,BugList!C:C,BugList!P:P), "*SC*"))&gt;0</f>
        <v>0</v>
      </c>
    </row>
    <row r="1967" spans="1:16">
      <c r="A1967" s="9" t="s">
        <v>2919</v>
      </c>
      <c r="B1967" s="83">
        <v>404</v>
      </c>
      <c r="C1967" s="34" t="s">
        <v>198</v>
      </c>
      <c r="D1967" s="34" t="s">
        <v>107</v>
      </c>
      <c r="E1967" s="83">
        <v>6</v>
      </c>
      <c r="F1967" s="43">
        <f t="shared" si="349"/>
        <v>6</v>
      </c>
      <c r="G1967" s="44">
        <f t="shared" si="343"/>
        <v>6</v>
      </c>
      <c r="H1967" s="44">
        <f t="shared" si="344"/>
        <v>0</v>
      </c>
      <c r="I1967" cm="1">
        <f t="array" ref="I1967">INT(F1967)+IF(100-SUM(INT(F$1958:F$1970))&gt;=RANK(H1967,H$1958:H$1970)+COUNTIF(H$1958:H1967,H1967)-1,1,0)</f>
        <v>6</v>
      </c>
      <c r="J1967" t="b">
        <f t="shared" si="345"/>
        <v>1</v>
      </c>
      <c r="K1967" t="str">
        <f t="shared" si="346"/>
        <v>Trichoptera</v>
      </c>
      <c r="L1967">
        <f>_xlfn.XLOOKUP(D1967,BugList!C:C,BugList!N:N)</f>
        <v>3</v>
      </c>
      <c r="M1967">
        <f t="shared" si="347"/>
        <v>18</v>
      </c>
      <c r="N1967" t="b">
        <f>_xlfn.XLOOKUP(D1967,BugList!C:C,BugList!L:L)</f>
        <v>1</v>
      </c>
      <c r="O1967" t="b">
        <f t="shared" si="348"/>
        <v>1</v>
      </c>
      <c r="P1967" s="18" t="b">
        <f>SUMPRODUCT(COUNTIF(_xlfn.XLOOKUP(D1967,BugList!C:C,BugList!P:P), "*SC*"))&gt;0</f>
        <v>0</v>
      </c>
    </row>
    <row r="1968" spans="1:16">
      <c r="A1968" s="9" t="s">
        <v>2919</v>
      </c>
      <c r="B1968" s="83">
        <v>404</v>
      </c>
      <c r="C1968" s="34" t="s">
        <v>201</v>
      </c>
      <c r="D1968" s="34" t="s">
        <v>85</v>
      </c>
      <c r="E1968" s="83">
        <v>2</v>
      </c>
      <c r="F1968" s="43">
        <f t="shared" si="349"/>
        <v>2</v>
      </c>
      <c r="G1968" s="44">
        <f t="shared" si="343"/>
        <v>2</v>
      </c>
      <c r="H1968" s="44">
        <f t="shared" si="344"/>
        <v>0</v>
      </c>
      <c r="I1968" cm="1">
        <f t="array" ref="I1968">INT(F1968)+IF(100-SUM(INT(F$1958:F$1970))&gt;=RANK(H1968,H$1958:H$1970)+COUNTIF(H$1958:H1968,H1968)-1,1,0)</f>
        <v>2</v>
      </c>
      <c r="J1968" t="b">
        <f t="shared" si="345"/>
        <v>0</v>
      </c>
      <c r="K1968" t="str">
        <f t="shared" si="346"/>
        <v/>
      </c>
      <c r="L1968">
        <f>_xlfn.XLOOKUP(D1968,BugList!C:C,BugList!N:N)</f>
        <v>4</v>
      </c>
      <c r="M1968">
        <f t="shared" si="347"/>
        <v>8</v>
      </c>
      <c r="N1968" t="b">
        <f>_xlfn.XLOOKUP(D1968,BugList!C:C,BugList!L:L)</f>
        <v>0</v>
      </c>
      <c r="O1968" t="b">
        <f t="shared" si="348"/>
        <v>0</v>
      </c>
      <c r="P1968" s="18" t="b">
        <f>SUMPRODUCT(COUNTIF(_xlfn.XLOOKUP(D1968,BugList!C:C,BugList!P:P), "*SC*"))&gt;0</f>
        <v>0</v>
      </c>
    </row>
    <row r="1969" spans="1:16">
      <c r="A1969" s="9" t="s">
        <v>2919</v>
      </c>
      <c r="B1969" s="83">
        <v>404</v>
      </c>
      <c r="C1969" s="34" t="s">
        <v>202</v>
      </c>
      <c r="D1969" s="34" t="s">
        <v>169</v>
      </c>
      <c r="E1969" s="83">
        <v>1</v>
      </c>
      <c r="F1969" s="43">
        <f t="shared" si="349"/>
        <v>1</v>
      </c>
      <c r="G1969" s="44">
        <f t="shared" si="343"/>
        <v>1</v>
      </c>
      <c r="H1969" s="44">
        <f t="shared" si="344"/>
        <v>0</v>
      </c>
      <c r="I1969" cm="1">
        <f t="array" ref="I1969">INT(F1969)+IF(100-SUM(INT(F$1958:F$1970))&gt;=RANK(H1969,H$1958:H$1970)+COUNTIF(H$1958:H1969,H1969)-1,1,0)</f>
        <v>1</v>
      </c>
      <c r="J1969" t="b">
        <f t="shared" si="345"/>
        <v>0</v>
      </c>
      <c r="K1969" t="str">
        <f t="shared" si="346"/>
        <v/>
      </c>
      <c r="L1969">
        <f>_xlfn.XLOOKUP(D1969,BugList!C:C,BugList!N:N)</f>
        <v>5</v>
      </c>
      <c r="M1969">
        <f t="shared" si="347"/>
        <v>5</v>
      </c>
      <c r="N1969" t="b">
        <f>_xlfn.XLOOKUP(D1969,BugList!C:C,BugList!L:L)</f>
        <v>0</v>
      </c>
      <c r="O1969" t="b">
        <f t="shared" si="348"/>
        <v>0</v>
      </c>
      <c r="P1969" s="18" t="b">
        <f>SUMPRODUCT(COUNTIF(_xlfn.XLOOKUP(D1969,BugList!C:C,BugList!P:P), "*SC*"))&gt;0</f>
        <v>0</v>
      </c>
    </row>
    <row r="1970" spans="1:16">
      <c r="A1970" s="9" t="s">
        <v>2919</v>
      </c>
      <c r="B1970" s="83">
        <v>404</v>
      </c>
      <c r="C1970" s="34" t="s">
        <v>94</v>
      </c>
      <c r="D1970" s="34" t="s">
        <v>94</v>
      </c>
      <c r="E1970" s="83">
        <v>4</v>
      </c>
      <c r="F1970" s="43">
        <f t="shared" si="349"/>
        <v>4</v>
      </c>
      <c r="G1970" s="44">
        <f t="shared" si="343"/>
        <v>4</v>
      </c>
      <c r="H1970" s="44">
        <f t="shared" si="344"/>
        <v>0</v>
      </c>
      <c r="I1970" cm="1">
        <f t="array" ref="I1970">INT(F1970)+IF(100-SUM(INT(F$1958:F$1970))&gt;=RANK(H1970,H$1958:H$1970)+COUNTIF(H$1958:H1970,H1970)-1,1,0)</f>
        <v>4</v>
      </c>
      <c r="J1970" t="b">
        <f t="shared" si="345"/>
        <v>0</v>
      </c>
      <c r="K1970" t="str">
        <f t="shared" si="346"/>
        <v/>
      </c>
      <c r="L1970">
        <f>_xlfn.XLOOKUP(D1970,BugList!C:C,BugList!N:N)</f>
        <v>8</v>
      </c>
      <c r="M1970">
        <f t="shared" si="347"/>
        <v>32</v>
      </c>
      <c r="N1970" t="b">
        <f>_xlfn.XLOOKUP(D1970,BugList!C:C,BugList!L:L)</f>
        <v>0</v>
      </c>
      <c r="O1970" t="b">
        <f t="shared" si="348"/>
        <v>0</v>
      </c>
      <c r="P1970" s="18" t="b">
        <f>SUMPRODUCT(COUNTIF(_xlfn.XLOOKUP(D1970,BugList!C:C,BugList!P:P), "*SC*"))&gt;0</f>
        <v>0</v>
      </c>
    </row>
    <row r="1971" spans="1:16">
      <c r="A1971" s="9" t="s">
        <v>2920</v>
      </c>
      <c r="B1971" s="83">
        <v>414</v>
      </c>
      <c r="C1971" s="34" t="s">
        <v>200</v>
      </c>
      <c r="D1971" s="34" t="s">
        <v>98</v>
      </c>
      <c r="E1971" s="83">
        <v>15</v>
      </c>
      <c r="F1971" s="43">
        <f t="shared" si="349"/>
        <v>14.285714285714285</v>
      </c>
      <c r="G1971" s="44">
        <f t="shared" si="343"/>
        <v>14</v>
      </c>
      <c r="H1971" s="44">
        <f t="shared" si="344"/>
        <v>0.2857142857142847</v>
      </c>
      <c r="I1971" cm="1">
        <f t="array" ref="I1971">INT(F1971)+IF(100-SUM(INT(F$1971:F$1984))&gt;=RANK(H1971,H$1971:H$1984)+COUNTIF(H$1971:H1971,H1971)-1,1,0)</f>
        <v>14</v>
      </c>
      <c r="J1971" t="b">
        <f t="shared" si="345"/>
        <v>0</v>
      </c>
      <c r="K1971" t="str">
        <f t="shared" si="346"/>
        <v/>
      </c>
      <c r="L1971">
        <f>_xlfn.XLOOKUP(D1971,BugList!C:C,BugList!N:N)</f>
        <v>4</v>
      </c>
      <c r="M1971">
        <f t="shared" si="347"/>
        <v>56</v>
      </c>
      <c r="N1971" t="b">
        <f>_xlfn.XLOOKUP(D1971,BugList!C:C,BugList!L:L)</f>
        <v>1</v>
      </c>
      <c r="O1971" t="b">
        <f t="shared" si="348"/>
        <v>0</v>
      </c>
      <c r="P1971" s="18" t="b">
        <f>SUMPRODUCT(COUNTIF(_xlfn.XLOOKUP(D1971,BugList!C:C,BugList!P:P), "*SC*"))&gt;0</f>
        <v>1</v>
      </c>
    </row>
    <row r="1972" spans="1:16">
      <c r="A1972" s="9" t="s">
        <v>2920</v>
      </c>
      <c r="B1972" s="83">
        <v>414</v>
      </c>
      <c r="C1972" s="34" t="s">
        <v>200</v>
      </c>
      <c r="D1972" s="34" t="s">
        <v>99</v>
      </c>
      <c r="E1972" s="83">
        <v>1</v>
      </c>
      <c r="F1972" s="43">
        <f t="shared" si="349"/>
        <v>0.95238095238095244</v>
      </c>
      <c r="G1972" s="44">
        <f t="shared" si="343"/>
        <v>0</v>
      </c>
      <c r="H1972" s="44">
        <f t="shared" si="344"/>
        <v>0.95238095238095244</v>
      </c>
      <c r="I1972" cm="1">
        <f t="array" ref="I1972">INT(F1972)+IF(100-SUM(INT(F$1971:F$1984))&gt;=RANK(H1972,H$1971:H$1984)+COUNTIF(H$1971:H1972,H1972)-1,1,0)</f>
        <v>1</v>
      </c>
      <c r="J1972" t="b">
        <f t="shared" si="345"/>
        <v>0</v>
      </c>
      <c r="K1972" t="str">
        <f t="shared" si="346"/>
        <v/>
      </c>
      <c r="L1972">
        <f>_xlfn.XLOOKUP(D1972,BugList!C:C,BugList!N:N)</f>
        <v>5</v>
      </c>
      <c r="M1972">
        <f t="shared" si="347"/>
        <v>5</v>
      </c>
      <c r="N1972" t="b">
        <f>_xlfn.XLOOKUP(D1972,BugList!C:C,BugList!L:L)</f>
        <v>1</v>
      </c>
      <c r="O1972" t="b">
        <f t="shared" si="348"/>
        <v>0</v>
      </c>
      <c r="P1972" s="18" t="b">
        <f>SUMPRODUCT(COUNTIF(_xlfn.XLOOKUP(D1972,BugList!C:C,BugList!P:P), "*SC*"))&gt;0</f>
        <v>0</v>
      </c>
    </row>
    <row r="1973" spans="1:16">
      <c r="A1973" s="9" t="s">
        <v>2920</v>
      </c>
      <c r="B1973" s="83">
        <v>414</v>
      </c>
      <c r="C1973" s="34" t="s">
        <v>200</v>
      </c>
      <c r="D1973" s="34" t="s">
        <v>100</v>
      </c>
      <c r="E1973" s="83">
        <v>27</v>
      </c>
      <c r="F1973" s="43">
        <f t="shared" si="349"/>
        <v>25.714285714285712</v>
      </c>
      <c r="G1973" s="44">
        <f t="shared" si="343"/>
        <v>25</v>
      </c>
      <c r="H1973" s="44">
        <f t="shared" si="344"/>
        <v>0.71428571428571175</v>
      </c>
      <c r="I1973" cm="1">
        <f t="array" ref="I1973">INT(F1973)+IF(100-SUM(INT(F$1971:F$1984))&gt;=RANK(H1973,H$1971:H$1984)+COUNTIF(H$1971:H1973,H1973)-1,1,0)</f>
        <v>26</v>
      </c>
      <c r="J1973" t="b">
        <f t="shared" si="345"/>
        <v>0</v>
      </c>
      <c r="K1973" t="str">
        <f t="shared" si="346"/>
        <v/>
      </c>
      <c r="L1973">
        <f>_xlfn.XLOOKUP(D1973,BugList!C:C,BugList!N:N)</f>
        <v>4</v>
      </c>
      <c r="M1973">
        <f t="shared" si="347"/>
        <v>104</v>
      </c>
      <c r="N1973" t="b">
        <f>_xlfn.XLOOKUP(D1973,BugList!C:C,BugList!L:L)</f>
        <v>1</v>
      </c>
      <c r="O1973" t="b">
        <f t="shared" si="348"/>
        <v>0</v>
      </c>
      <c r="P1973" s="18" t="b">
        <f>SUMPRODUCT(COUNTIF(_xlfn.XLOOKUP(D1973,BugList!C:C,BugList!P:P), "*SC*"))&gt;0</f>
        <v>1</v>
      </c>
    </row>
    <row r="1974" spans="1:16">
      <c r="A1974" s="9" t="s">
        <v>2920</v>
      </c>
      <c r="B1974" s="83">
        <v>414</v>
      </c>
      <c r="C1974" s="34" t="s">
        <v>194</v>
      </c>
      <c r="D1974" s="34" t="s">
        <v>126</v>
      </c>
      <c r="E1974" s="83">
        <v>19</v>
      </c>
      <c r="F1974" s="43">
        <f t="shared" si="349"/>
        <v>18.095238095238095</v>
      </c>
      <c r="G1974" s="44">
        <f t="shared" si="343"/>
        <v>18</v>
      </c>
      <c r="H1974" s="44">
        <f t="shared" si="344"/>
        <v>9.52380952380949E-2</v>
      </c>
      <c r="I1974" cm="1">
        <f t="array" ref="I1974">INT(F1974)+IF(100-SUM(INT(F$1971:F$1984))&gt;=RANK(H1974,H$1971:H$1984)+COUNTIF(H$1971:H1974,H1974)-1,1,0)</f>
        <v>18</v>
      </c>
      <c r="J1974" t="b">
        <f t="shared" si="345"/>
        <v>0</v>
      </c>
      <c r="K1974" t="str">
        <f t="shared" si="346"/>
        <v/>
      </c>
      <c r="L1974">
        <f>_xlfn.XLOOKUP(D1974,BugList!C:C,BugList!N:N)</f>
        <v>8</v>
      </c>
      <c r="M1974">
        <f t="shared" si="347"/>
        <v>144</v>
      </c>
      <c r="N1974" t="b">
        <f>_xlfn.XLOOKUP(D1974,BugList!C:C,BugList!L:L)</f>
        <v>1</v>
      </c>
      <c r="O1974" t="b">
        <f t="shared" si="348"/>
        <v>0</v>
      </c>
      <c r="P1974" s="18" t="b">
        <f>SUMPRODUCT(COUNTIF(_xlfn.XLOOKUP(D1974,BugList!C:C,BugList!P:P), "*SC*"))&gt;0</f>
        <v>0</v>
      </c>
    </row>
    <row r="1975" spans="1:16">
      <c r="A1975" s="9" t="s">
        <v>2920</v>
      </c>
      <c r="B1975" s="83">
        <v>414</v>
      </c>
      <c r="C1975" s="34" t="s">
        <v>194</v>
      </c>
      <c r="D1975" s="34" t="s">
        <v>108</v>
      </c>
      <c r="E1975" s="83">
        <v>1</v>
      </c>
      <c r="F1975" s="43">
        <f t="shared" si="349"/>
        <v>0.95238095238095244</v>
      </c>
      <c r="G1975" s="44">
        <f t="shared" si="343"/>
        <v>0</v>
      </c>
      <c r="H1975" s="44">
        <f t="shared" si="344"/>
        <v>0.95238095238095244</v>
      </c>
      <c r="I1975" cm="1">
        <f t="array" ref="I1975">INT(F1975)+IF(100-SUM(INT(F$1971:F$1984))&gt;=RANK(H1975,H$1971:H$1984)+COUNTIF(H$1971:H1975,H1975)-1,1,0)</f>
        <v>1</v>
      </c>
      <c r="J1975" t="b">
        <f t="shared" si="345"/>
        <v>0</v>
      </c>
      <c r="K1975" t="str">
        <f t="shared" si="346"/>
        <v/>
      </c>
      <c r="L1975">
        <f>_xlfn.XLOOKUP(D1975,BugList!C:C,BugList!N:N)</f>
        <v>3</v>
      </c>
      <c r="M1975">
        <f t="shared" si="347"/>
        <v>3</v>
      </c>
      <c r="N1975" t="b">
        <f>_xlfn.XLOOKUP(D1975,BugList!C:C,BugList!L:L)</f>
        <v>1</v>
      </c>
      <c r="O1975" t="b">
        <f t="shared" si="348"/>
        <v>0</v>
      </c>
      <c r="P1975" s="18" t="b">
        <f>SUMPRODUCT(COUNTIF(_xlfn.XLOOKUP(D1975,BugList!C:C,BugList!P:P), "*SC*"))&gt;0</f>
        <v>0</v>
      </c>
    </row>
    <row r="1976" spans="1:16">
      <c r="A1976" s="9" t="s">
        <v>2920</v>
      </c>
      <c r="B1976" s="83">
        <v>414</v>
      </c>
      <c r="C1976" s="34" t="s">
        <v>199</v>
      </c>
      <c r="D1976" s="34" t="s">
        <v>111</v>
      </c>
      <c r="E1976" s="83">
        <v>6</v>
      </c>
      <c r="F1976" s="43">
        <f t="shared" si="349"/>
        <v>5.7142857142857144</v>
      </c>
      <c r="G1976" s="44">
        <f t="shared" si="343"/>
        <v>5</v>
      </c>
      <c r="H1976" s="44">
        <f t="shared" si="344"/>
        <v>0.71428571428571441</v>
      </c>
      <c r="I1976" cm="1">
        <f t="array" ref="I1976">INT(F1976)+IF(100-SUM(INT(F$1971:F$1984))&gt;=RANK(H1976,H$1971:H$1984)+COUNTIF(H$1971:H1976,H1976)-1,1,0)</f>
        <v>6</v>
      </c>
      <c r="J1976" t="b">
        <f t="shared" si="345"/>
        <v>1</v>
      </c>
      <c r="K1976" t="str">
        <f t="shared" si="346"/>
        <v>Ephemeroptera</v>
      </c>
      <c r="L1976">
        <f>_xlfn.XLOOKUP(D1976,BugList!C:C,BugList!N:N)</f>
        <v>4</v>
      </c>
      <c r="M1976">
        <f t="shared" si="347"/>
        <v>24</v>
      </c>
      <c r="N1976" t="b">
        <f>_xlfn.XLOOKUP(D1976,BugList!C:C,BugList!L:L)</f>
        <v>1</v>
      </c>
      <c r="O1976" t="b">
        <f t="shared" si="348"/>
        <v>1</v>
      </c>
      <c r="P1976" s="18" t="b">
        <f>SUMPRODUCT(COUNTIF(_xlfn.XLOOKUP(D1976,BugList!C:C,BugList!P:P), "*SC*"))&gt;0</f>
        <v>0</v>
      </c>
    </row>
    <row r="1977" spans="1:16">
      <c r="A1977" s="9" t="s">
        <v>2920</v>
      </c>
      <c r="B1977" s="83">
        <v>414</v>
      </c>
      <c r="C1977" s="34" t="s">
        <v>195</v>
      </c>
      <c r="D1977" s="34" t="s">
        <v>97</v>
      </c>
      <c r="E1977" s="83">
        <v>7</v>
      </c>
      <c r="F1977" s="43">
        <f t="shared" si="349"/>
        <v>6.666666666666667</v>
      </c>
      <c r="G1977" s="44">
        <f t="shared" si="343"/>
        <v>6</v>
      </c>
      <c r="H1977" s="44">
        <f t="shared" si="344"/>
        <v>0.66666666666666696</v>
      </c>
      <c r="I1977" cm="1">
        <f t="array" ref="I1977">INT(F1977)+IF(100-SUM(INT(F$1971:F$1984))&gt;=RANK(H1977,H$1971:H$1984)+COUNTIF(H$1971:H1977,H1977)-1,1,0)</f>
        <v>7</v>
      </c>
      <c r="J1977" t="b">
        <f t="shared" si="345"/>
        <v>0</v>
      </c>
      <c r="K1977" t="str">
        <f t="shared" si="346"/>
        <v/>
      </c>
      <c r="L1977">
        <f>_xlfn.XLOOKUP(D1977,BugList!C:C,BugList!N:N)</f>
        <v>9</v>
      </c>
      <c r="M1977">
        <f t="shared" si="347"/>
        <v>63</v>
      </c>
      <c r="N1977" t="b">
        <f>_xlfn.XLOOKUP(D1977,BugList!C:C,BugList!L:L)</f>
        <v>1</v>
      </c>
      <c r="O1977" t="b">
        <f t="shared" si="348"/>
        <v>0</v>
      </c>
      <c r="P1977" s="18" t="b">
        <f>SUMPRODUCT(COUNTIF(_xlfn.XLOOKUP(D1977,BugList!C:C,BugList!P:P), "*SC*"))&gt;0</f>
        <v>0</v>
      </c>
    </row>
    <row r="1978" spans="1:16">
      <c r="A1978" s="9" t="s">
        <v>2920</v>
      </c>
      <c r="B1978" s="83">
        <v>414</v>
      </c>
      <c r="C1978" s="34" t="s">
        <v>195</v>
      </c>
      <c r="D1978" s="34" t="s">
        <v>113</v>
      </c>
      <c r="E1978" s="83">
        <v>3</v>
      </c>
      <c r="F1978" s="43">
        <f t="shared" si="349"/>
        <v>2.8571428571428572</v>
      </c>
      <c r="G1978" s="44">
        <f t="shared" si="343"/>
        <v>2</v>
      </c>
      <c r="H1978" s="44">
        <f t="shared" si="344"/>
        <v>0.85714285714285721</v>
      </c>
      <c r="I1978" cm="1">
        <f t="array" ref="I1978">INT(F1978)+IF(100-SUM(INT(F$1971:F$1984))&gt;=RANK(H1978,H$1971:H$1984)+COUNTIF(H$1971:H1978,H1978)-1,1,0)</f>
        <v>3</v>
      </c>
      <c r="J1978" t="b">
        <f t="shared" si="345"/>
        <v>0</v>
      </c>
      <c r="K1978" t="str">
        <f t="shared" si="346"/>
        <v/>
      </c>
      <c r="L1978">
        <f>_xlfn.XLOOKUP(D1978,BugList!C:C,BugList!N:N)</f>
        <v>1</v>
      </c>
      <c r="M1978">
        <f t="shared" si="347"/>
        <v>3</v>
      </c>
      <c r="N1978" t="b">
        <f>_xlfn.XLOOKUP(D1978,BugList!C:C,BugList!L:L)</f>
        <v>1</v>
      </c>
      <c r="O1978" t="b">
        <f t="shared" si="348"/>
        <v>0</v>
      </c>
      <c r="P1978" s="18" t="b">
        <f>SUMPRODUCT(COUNTIF(_xlfn.XLOOKUP(D1978,BugList!C:C,BugList!P:P), "*SC*"))&gt;0</f>
        <v>0</v>
      </c>
    </row>
    <row r="1979" spans="1:16">
      <c r="A1979" s="9" t="s">
        <v>2920</v>
      </c>
      <c r="B1979" s="83">
        <v>414</v>
      </c>
      <c r="C1979" s="34" t="s">
        <v>198</v>
      </c>
      <c r="D1979" s="34" t="s">
        <v>89</v>
      </c>
      <c r="E1979" s="83">
        <v>1</v>
      </c>
      <c r="F1979" s="43">
        <f t="shared" si="349"/>
        <v>0.95238095238095244</v>
      </c>
      <c r="G1979" s="44">
        <f t="shared" si="343"/>
        <v>0</v>
      </c>
      <c r="H1979" s="44">
        <f t="shared" si="344"/>
        <v>0.95238095238095244</v>
      </c>
      <c r="I1979" cm="1">
        <f t="array" ref="I1979">INT(F1979)+IF(100-SUM(INT(F$1971:F$1984))&gt;=RANK(H1979,H$1971:H$1984)+COUNTIF(H$1971:H1979,H1979)-1,1,0)</f>
        <v>1</v>
      </c>
      <c r="J1979" t="b">
        <f t="shared" si="345"/>
        <v>1</v>
      </c>
      <c r="K1979" t="str">
        <f t="shared" si="346"/>
        <v>Trichoptera</v>
      </c>
      <c r="L1979">
        <f>_xlfn.XLOOKUP(D1979,BugList!C:C,BugList!N:N)</f>
        <v>4</v>
      </c>
      <c r="M1979">
        <f t="shared" si="347"/>
        <v>4</v>
      </c>
      <c r="N1979" t="b">
        <f>_xlfn.XLOOKUP(D1979,BugList!C:C,BugList!L:L)</f>
        <v>1</v>
      </c>
      <c r="O1979" t="b">
        <f t="shared" si="348"/>
        <v>0</v>
      </c>
      <c r="P1979" s="18" t="b">
        <f>SUMPRODUCT(COUNTIF(_xlfn.XLOOKUP(D1979,BugList!C:C,BugList!P:P), "*SC*"))&gt;0</f>
        <v>0</v>
      </c>
    </row>
    <row r="1980" spans="1:16">
      <c r="A1980" s="9" t="s">
        <v>2920</v>
      </c>
      <c r="B1980" s="83">
        <v>414</v>
      </c>
      <c r="C1980" s="34" t="s">
        <v>198</v>
      </c>
      <c r="D1980" s="34" t="s">
        <v>107</v>
      </c>
      <c r="E1980" s="83">
        <v>6</v>
      </c>
      <c r="F1980" s="43">
        <f t="shared" si="349"/>
        <v>5.7142857142857144</v>
      </c>
      <c r="G1980" s="44">
        <f t="shared" si="343"/>
        <v>5</v>
      </c>
      <c r="H1980" s="44">
        <f t="shared" si="344"/>
        <v>0.71428571428571441</v>
      </c>
      <c r="I1980" cm="1">
        <f t="array" ref="I1980">INT(F1980)+IF(100-SUM(INT(F$1971:F$1984))&gt;=RANK(H1980,H$1971:H$1984)+COUNTIF(H$1971:H1980,H1980)-1,1,0)</f>
        <v>6</v>
      </c>
      <c r="J1980" t="b">
        <f t="shared" si="345"/>
        <v>1</v>
      </c>
      <c r="K1980" t="str">
        <f t="shared" si="346"/>
        <v>Trichoptera</v>
      </c>
      <c r="L1980">
        <f>_xlfn.XLOOKUP(D1980,BugList!C:C,BugList!N:N)</f>
        <v>3</v>
      </c>
      <c r="M1980">
        <f t="shared" si="347"/>
        <v>18</v>
      </c>
      <c r="N1980" t="b">
        <f>_xlfn.XLOOKUP(D1980,BugList!C:C,BugList!L:L)</f>
        <v>1</v>
      </c>
      <c r="O1980" t="b">
        <f t="shared" si="348"/>
        <v>1</v>
      </c>
      <c r="P1980" s="18" t="b">
        <f>SUMPRODUCT(COUNTIF(_xlfn.XLOOKUP(D1980,BugList!C:C,BugList!P:P), "*SC*"))&gt;0</f>
        <v>0</v>
      </c>
    </row>
    <row r="1981" spans="1:16">
      <c r="A1981" s="9" t="s">
        <v>2920</v>
      </c>
      <c r="B1981" s="83">
        <v>414</v>
      </c>
      <c r="C1981" s="34" t="s">
        <v>204</v>
      </c>
      <c r="D1981" s="34" t="s">
        <v>84</v>
      </c>
      <c r="E1981" s="83">
        <v>2</v>
      </c>
      <c r="F1981" s="43">
        <f t="shared" si="349"/>
        <v>1.9047619047619049</v>
      </c>
      <c r="G1981" s="44">
        <f t="shared" si="343"/>
        <v>1</v>
      </c>
      <c r="H1981" s="44">
        <f t="shared" si="344"/>
        <v>0.90476190476190488</v>
      </c>
      <c r="I1981" cm="1">
        <f t="array" ref="I1981">INT(F1981)+IF(100-SUM(INT(F$1971:F$1984))&gt;=RANK(H1981,H$1971:H$1984)+COUNTIF(H$1971:H1981,H1981)-1,1,0)</f>
        <v>2</v>
      </c>
      <c r="J1981" t="b">
        <f t="shared" si="345"/>
        <v>0</v>
      </c>
      <c r="K1981" t="str">
        <f t="shared" si="346"/>
        <v/>
      </c>
      <c r="L1981">
        <f>_xlfn.XLOOKUP(D1981,BugList!C:C,BugList!N:N)</f>
        <v>8</v>
      </c>
      <c r="M1981">
        <f t="shared" si="347"/>
        <v>16</v>
      </c>
      <c r="N1981" t="b">
        <f>_xlfn.XLOOKUP(D1981,BugList!C:C,BugList!L:L)</f>
        <v>0</v>
      </c>
      <c r="O1981" t="b">
        <f t="shared" si="348"/>
        <v>0</v>
      </c>
      <c r="P1981" s="18" t="b">
        <f>SUMPRODUCT(COUNTIF(_xlfn.XLOOKUP(D1981,BugList!C:C,BugList!P:P), "*SC*"))&gt;0</f>
        <v>0</v>
      </c>
    </row>
    <row r="1982" spans="1:16">
      <c r="A1982" s="9" t="s">
        <v>2920</v>
      </c>
      <c r="B1982" s="83">
        <v>414</v>
      </c>
      <c r="C1982" s="34" t="s">
        <v>201</v>
      </c>
      <c r="D1982" s="34" t="s">
        <v>85</v>
      </c>
      <c r="E1982" s="83">
        <v>8</v>
      </c>
      <c r="F1982" s="43">
        <f t="shared" si="349"/>
        <v>7.6190476190476195</v>
      </c>
      <c r="G1982" s="44">
        <f t="shared" si="343"/>
        <v>7</v>
      </c>
      <c r="H1982" s="44">
        <f t="shared" si="344"/>
        <v>0.61904761904761951</v>
      </c>
      <c r="I1982" cm="1">
        <f t="array" ref="I1982">INT(F1982)+IF(100-SUM(INT(F$1971:F$1984))&gt;=RANK(H1982,H$1971:H$1984)+COUNTIF(H$1971:H1982,H1982)-1,1,0)</f>
        <v>7</v>
      </c>
      <c r="J1982" t="b">
        <f t="shared" si="345"/>
        <v>0</v>
      </c>
      <c r="K1982" t="str">
        <f t="shared" si="346"/>
        <v/>
      </c>
      <c r="L1982">
        <f>_xlfn.XLOOKUP(D1982,BugList!C:C,BugList!N:N)</f>
        <v>4</v>
      </c>
      <c r="M1982">
        <f t="shared" si="347"/>
        <v>28</v>
      </c>
      <c r="N1982" t="b">
        <f>_xlfn.XLOOKUP(D1982,BugList!C:C,BugList!L:L)</f>
        <v>0</v>
      </c>
      <c r="O1982" t="b">
        <f t="shared" si="348"/>
        <v>0</v>
      </c>
      <c r="P1982" s="18" t="b">
        <f>SUMPRODUCT(COUNTIF(_xlfn.XLOOKUP(D1982,BugList!C:C,BugList!P:P), "*SC*"))&gt;0</f>
        <v>0</v>
      </c>
    </row>
    <row r="1983" spans="1:16">
      <c r="A1983" s="9" t="s">
        <v>2920</v>
      </c>
      <c r="B1983" s="83">
        <v>414</v>
      </c>
      <c r="C1983" s="34" t="s">
        <v>2315</v>
      </c>
      <c r="D1983" s="34" t="s">
        <v>102</v>
      </c>
      <c r="E1983" s="83">
        <v>1</v>
      </c>
      <c r="F1983" s="43">
        <f t="shared" si="349"/>
        <v>0.95238095238095244</v>
      </c>
      <c r="G1983" s="44">
        <f t="shared" si="343"/>
        <v>0</v>
      </c>
      <c r="H1983" s="44">
        <f t="shared" si="344"/>
        <v>0.95238095238095244</v>
      </c>
      <c r="I1983" cm="1">
        <f t="array" ref="I1983">INT(F1983)+IF(100-SUM(INT(F$1971:F$1984))&gt;=RANK(H1983,H$1971:H$1984)+COUNTIF(H$1971:H1983,H1983)-1,1,0)</f>
        <v>1</v>
      </c>
      <c r="J1983" t="b">
        <f t="shared" si="345"/>
        <v>0</v>
      </c>
      <c r="K1983" t="str">
        <f t="shared" si="346"/>
        <v/>
      </c>
      <c r="L1983">
        <f>_xlfn.XLOOKUP(D1983,BugList!C:C,BugList!N:N)</f>
        <v>7</v>
      </c>
      <c r="M1983">
        <f t="shared" si="347"/>
        <v>7</v>
      </c>
      <c r="N1983" t="b">
        <f>_xlfn.XLOOKUP(D1983,BugList!C:C,BugList!L:L)</f>
        <v>0</v>
      </c>
      <c r="O1983" t="b">
        <f t="shared" si="348"/>
        <v>0</v>
      </c>
      <c r="P1983" s="18" t="b">
        <f>SUMPRODUCT(COUNTIF(_xlfn.XLOOKUP(D1983,BugList!C:C,BugList!P:P), "*SC*"))&gt;0</f>
        <v>1</v>
      </c>
    </row>
    <row r="1984" spans="1:16">
      <c r="A1984" s="9" t="s">
        <v>2920</v>
      </c>
      <c r="B1984" s="83">
        <v>414</v>
      </c>
      <c r="C1984" s="34" t="s">
        <v>94</v>
      </c>
      <c r="D1984" s="34" t="s">
        <v>94</v>
      </c>
      <c r="E1984" s="83">
        <v>8</v>
      </c>
      <c r="F1984" s="43">
        <f t="shared" si="349"/>
        <v>7.6190476190476195</v>
      </c>
      <c r="G1984" s="44">
        <f t="shared" si="343"/>
        <v>7</v>
      </c>
      <c r="H1984" s="44">
        <f t="shared" si="344"/>
        <v>0.61904761904761951</v>
      </c>
      <c r="I1984" cm="1">
        <f t="array" ref="I1984">INT(F1984)+IF(100-SUM(INT(F$1971:F$1984))&gt;=RANK(H1984,H$1971:H$1984)+COUNTIF(H$1971:H1984,H1984)-1,1,0)</f>
        <v>7</v>
      </c>
      <c r="J1984" t="b">
        <f t="shared" si="345"/>
        <v>0</v>
      </c>
      <c r="K1984" t="str">
        <f t="shared" si="346"/>
        <v/>
      </c>
      <c r="L1984">
        <f>_xlfn.XLOOKUP(D1984,BugList!C:C,BugList!N:N)</f>
        <v>8</v>
      </c>
      <c r="M1984">
        <f t="shared" si="347"/>
        <v>56</v>
      </c>
      <c r="N1984" t="b">
        <f>_xlfn.XLOOKUP(D1984,BugList!C:C,BugList!L:L)</f>
        <v>0</v>
      </c>
      <c r="O1984" t="b">
        <f t="shared" si="348"/>
        <v>0</v>
      </c>
      <c r="P1984" s="18" t="b">
        <f>SUMPRODUCT(COUNTIF(_xlfn.XLOOKUP(D1984,BugList!C:C,BugList!P:P), "*SC*"))&gt;0</f>
        <v>0</v>
      </c>
    </row>
    <row r="1985" spans="1:16">
      <c r="A1985" s="9" t="s">
        <v>2921</v>
      </c>
      <c r="B1985" s="83">
        <v>428</v>
      </c>
      <c r="C1985" s="34" t="s">
        <v>200</v>
      </c>
      <c r="D1985" s="34" t="s">
        <v>98</v>
      </c>
      <c r="E1985" s="83">
        <v>9</v>
      </c>
      <c r="F1985" s="43">
        <f t="shared" si="349"/>
        <v>7.3770491803278686</v>
      </c>
      <c r="G1985" s="44">
        <f t="shared" ref="G1985:G2048" si="350">INT(F1985)</f>
        <v>7</v>
      </c>
      <c r="H1985" s="44">
        <f t="shared" ref="H1985:H2048" si="351">F1985-G1985</f>
        <v>0.3770491803278686</v>
      </c>
      <c r="I1985" cm="1">
        <f t="array" ref="I1985">INT(F1985)+IF(100-SUM(INT(F$1985:F$2000))&gt;=RANK(H1985,H$1985:H$2000)+COUNTIF(H$1985:H1985,H1985)-1,1,0)</f>
        <v>7</v>
      </c>
      <c r="J1985" t="b">
        <f t="shared" ref="J1985:J2048" si="352">IF(OR(C1985="Ephemeroptera", C1985 ="Plecoptera", C1985= "Trichoptera"), TRUE, FALSE)</f>
        <v>0</v>
      </c>
      <c r="K1985" t="str">
        <f t="shared" ref="K1985:K2048" si="353">IF(J1985=TRUE,C1985,"")</f>
        <v/>
      </c>
      <c r="L1985">
        <f>_xlfn.XLOOKUP(D1985,BugList!C:C,BugList!N:N)</f>
        <v>4</v>
      </c>
      <c r="M1985">
        <f t="shared" ref="M1985:M2048" si="354">L1985*I1985</f>
        <v>28</v>
      </c>
      <c r="N1985" t="b">
        <f>_xlfn.XLOOKUP(D1985,BugList!C:C,BugList!L:L)</f>
        <v>1</v>
      </c>
      <c r="O1985" t="b">
        <f t="shared" ref="O1985:O2048" si="355">IF(J1985=TRUE,IF(D1985="Hydropsychidae", FALSE, TRUE), FALSE)</f>
        <v>0</v>
      </c>
      <c r="P1985" s="18" t="b">
        <f>SUMPRODUCT(COUNTIF(_xlfn.XLOOKUP(D1985,BugList!C:C,BugList!P:P), "*SC*"))&gt;0</f>
        <v>1</v>
      </c>
    </row>
    <row r="1986" spans="1:16">
      <c r="A1986" s="9" t="s">
        <v>2921</v>
      </c>
      <c r="B1986" s="83">
        <v>428</v>
      </c>
      <c r="C1986" s="34" t="s">
        <v>200</v>
      </c>
      <c r="D1986" s="34" t="s">
        <v>99</v>
      </c>
      <c r="E1986" s="83">
        <v>1</v>
      </c>
      <c r="F1986" s="43">
        <f t="shared" si="349"/>
        <v>0.81967213114754101</v>
      </c>
      <c r="G1986" s="44">
        <f t="shared" si="350"/>
        <v>0</v>
      </c>
      <c r="H1986" s="44">
        <f t="shared" si="351"/>
        <v>0.81967213114754101</v>
      </c>
      <c r="I1986" cm="1">
        <f t="array" ref="I1986">INT(F1986)+IF(100-SUM(INT(F$1985:F$2000))&gt;=RANK(H1986,H$1985:H$2000)+COUNTIF(H$1985:H1986,H1986)-1,1,0)</f>
        <v>1</v>
      </c>
      <c r="J1986" t="b">
        <f t="shared" si="352"/>
        <v>0</v>
      </c>
      <c r="K1986" t="str">
        <f t="shared" si="353"/>
        <v/>
      </c>
      <c r="L1986">
        <f>_xlfn.XLOOKUP(D1986,BugList!C:C,BugList!N:N)</f>
        <v>5</v>
      </c>
      <c r="M1986">
        <f t="shared" si="354"/>
        <v>5</v>
      </c>
      <c r="N1986" t="b">
        <f>_xlfn.XLOOKUP(D1986,BugList!C:C,BugList!L:L)</f>
        <v>1</v>
      </c>
      <c r="O1986" t="b">
        <f t="shared" si="355"/>
        <v>0</v>
      </c>
      <c r="P1986" s="18" t="b">
        <f>SUMPRODUCT(COUNTIF(_xlfn.XLOOKUP(D1986,BugList!C:C,BugList!P:P), "*SC*"))&gt;0</f>
        <v>0</v>
      </c>
    </row>
    <row r="1987" spans="1:16">
      <c r="A1987" s="9" t="s">
        <v>2921</v>
      </c>
      <c r="B1987" s="83">
        <v>428</v>
      </c>
      <c r="C1987" s="34" t="s">
        <v>200</v>
      </c>
      <c r="D1987" s="34" t="s">
        <v>100</v>
      </c>
      <c r="E1987" s="83">
        <v>20</v>
      </c>
      <c r="F1987" s="43">
        <f t="shared" si="349"/>
        <v>16.393442622950818</v>
      </c>
      <c r="G1987" s="44">
        <f t="shared" si="350"/>
        <v>16</v>
      </c>
      <c r="H1987" s="44">
        <f t="shared" si="351"/>
        <v>0.39344262295081833</v>
      </c>
      <c r="I1987" cm="1">
        <f t="array" ref="I1987">INT(F1987)+IF(100-SUM(INT(F$1985:F$2000))&gt;=RANK(H1987,H$1985:H$2000)+COUNTIF(H$1985:H1987,H1987)-1,1,0)</f>
        <v>16</v>
      </c>
      <c r="J1987" t="b">
        <f t="shared" si="352"/>
        <v>0</v>
      </c>
      <c r="K1987" t="str">
        <f t="shared" si="353"/>
        <v/>
      </c>
      <c r="L1987">
        <f>_xlfn.XLOOKUP(D1987,BugList!C:C,BugList!N:N)</f>
        <v>4</v>
      </c>
      <c r="M1987">
        <f t="shared" si="354"/>
        <v>64</v>
      </c>
      <c r="N1987" t="b">
        <f>_xlfn.XLOOKUP(D1987,BugList!C:C,BugList!L:L)</f>
        <v>1</v>
      </c>
      <c r="O1987" t="b">
        <f t="shared" si="355"/>
        <v>0</v>
      </c>
      <c r="P1987" s="18" t="b">
        <f>SUMPRODUCT(COUNTIF(_xlfn.XLOOKUP(D1987,BugList!C:C,BugList!P:P), "*SC*"))&gt;0</f>
        <v>1</v>
      </c>
    </row>
    <row r="1988" spans="1:16">
      <c r="A1988" s="9" t="s">
        <v>2921</v>
      </c>
      <c r="B1988" s="83">
        <v>428</v>
      </c>
      <c r="C1988" s="34" t="s">
        <v>194</v>
      </c>
      <c r="D1988" s="34" t="s">
        <v>126</v>
      </c>
      <c r="E1988" s="83">
        <v>38</v>
      </c>
      <c r="F1988" s="43">
        <f t="shared" si="349"/>
        <v>31.147540983606557</v>
      </c>
      <c r="G1988" s="44">
        <f t="shared" si="350"/>
        <v>31</v>
      </c>
      <c r="H1988" s="44">
        <f t="shared" si="351"/>
        <v>0.14754098360655732</v>
      </c>
      <c r="I1988" cm="1">
        <f t="array" ref="I1988">INT(F1988)+IF(100-SUM(INT(F$1985:F$2000))&gt;=RANK(H1988,H$1985:H$2000)+COUNTIF(H$1985:H1988,H1988)-1,1,0)</f>
        <v>31</v>
      </c>
      <c r="J1988" t="b">
        <f t="shared" si="352"/>
        <v>0</v>
      </c>
      <c r="K1988" t="str">
        <f t="shared" si="353"/>
        <v/>
      </c>
      <c r="L1988">
        <f>_xlfn.XLOOKUP(D1988,BugList!C:C,BugList!N:N)</f>
        <v>8</v>
      </c>
      <c r="M1988">
        <f t="shared" si="354"/>
        <v>248</v>
      </c>
      <c r="N1988" t="b">
        <f>_xlfn.XLOOKUP(D1988,BugList!C:C,BugList!L:L)</f>
        <v>1</v>
      </c>
      <c r="O1988" t="b">
        <f t="shared" si="355"/>
        <v>0</v>
      </c>
      <c r="P1988" s="18" t="b">
        <f>SUMPRODUCT(COUNTIF(_xlfn.XLOOKUP(D1988,BugList!C:C,BugList!P:P), "*SC*"))&gt;0</f>
        <v>0</v>
      </c>
    </row>
    <row r="1989" spans="1:16">
      <c r="A1989" s="9" t="s">
        <v>2921</v>
      </c>
      <c r="B1989" s="83">
        <v>428</v>
      </c>
      <c r="C1989" s="34" t="s">
        <v>194</v>
      </c>
      <c r="D1989" s="34" t="s">
        <v>90</v>
      </c>
      <c r="E1989" s="83">
        <v>28</v>
      </c>
      <c r="F1989" s="43">
        <f t="shared" si="349"/>
        <v>22.950819672131146</v>
      </c>
      <c r="G1989" s="44">
        <f t="shared" si="350"/>
        <v>22</v>
      </c>
      <c r="H1989" s="44">
        <f t="shared" si="351"/>
        <v>0.95081967213114638</v>
      </c>
      <c r="I1989" cm="1">
        <f t="array" ref="I1989">INT(F1989)+IF(100-SUM(INT(F$1985:F$2000))&gt;=RANK(H1989,H$1985:H$2000)+COUNTIF(H$1985:H1989,H1989)-1,1,0)</f>
        <v>23</v>
      </c>
      <c r="J1989" t="b">
        <f t="shared" si="352"/>
        <v>0</v>
      </c>
      <c r="K1989" t="str">
        <f t="shared" si="353"/>
        <v/>
      </c>
      <c r="L1989">
        <f>_xlfn.XLOOKUP(D1989,BugList!C:C,BugList!N:N)</f>
        <v>6</v>
      </c>
      <c r="M1989">
        <f t="shared" si="354"/>
        <v>138</v>
      </c>
      <c r="N1989" t="b">
        <f>_xlfn.XLOOKUP(D1989,BugList!C:C,BugList!L:L)</f>
        <v>1</v>
      </c>
      <c r="O1989" t="b">
        <f t="shared" si="355"/>
        <v>0</v>
      </c>
      <c r="P1989" s="18" t="b">
        <f>SUMPRODUCT(COUNTIF(_xlfn.XLOOKUP(D1989,BugList!C:C,BugList!P:P), "*SC*"))&gt;0</f>
        <v>0</v>
      </c>
    </row>
    <row r="1990" spans="1:16">
      <c r="A1990" s="9" t="s">
        <v>2921</v>
      </c>
      <c r="B1990" s="83">
        <v>428</v>
      </c>
      <c r="C1990" s="34" t="s">
        <v>194</v>
      </c>
      <c r="D1990" s="34" t="s">
        <v>131</v>
      </c>
      <c r="E1990" s="83">
        <v>1</v>
      </c>
      <c r="F1990" s="43">
        <f t="shared" si="349"/>
        <v>0.81967213114754101</v>
      </c>
      <c r="G1990" s="44">
        <f t="shared" si="350"/>
        <v>0</v>
      </c>
      <c r="H1990" s="44">
        <f t="shared" si="351"/>
        <v>0.81967213114754101</v>
      </c>
      <c r="I1990" cm="1">
        <f t="array" ref="I1990">INT(F1990)+IF(100-SUM(INT(F$1985:F$2000))&gt;=RANK(H1990,H$1985:H$2000)+COUNTIF(H$1985:H1990,H1990)-1,1,0)</f>
        <v>1</v>
      </c>
      <c r="J1990" t="b">
        <f t="shared" si="352"/>
        <v>0</v>
      </c>
      <c r="K1990" t="str">
        <f t="shared" si="353"/>
        <v/>
      </c>
      <c r="L1990">
        <f>_xlfn.XLOOKUP(D1990,BugList!C:C,BugList!N:N)</f>
        <v>6</v>
      </c>
      <c r="M1990">
        <f t="shared" si="354"/>
        <v>6</v>
      </c>
      <c r="N1990" t="b">
        <f>_xlfn.XLOOKUP(D1990,BugList!C:C,BugList!L:L)</f>
        <v>1</v>
      </c>
      <c r="O1990" t="b">
        <f t="shared" si="355"/>
        <v>0</v>
      </c>
      <c r="P1990" s="18" t="b">
        <f>SUMPRODUCT(COUNTIF(_xlfn.XLOOKUP(D1990,BugList!C:C,BugList!P:P), "*SC*"))&gt;0</f>
        <v>0</v>
      </c>
    </row>
    <row r="1991" spans="1:16">
      <c r="A1991" s="9" t="s">
        <v>2921</v>
      </c>
      <c r="B1991" s="83">
        <v>428</v>
      </c>
      <c r="C1991" s="34" t="s">
        <v>194</v>
      </c>
      <c r="D1991" s="34" t="s">
        <v>101</v>
      </c>
      <c r="E1991" s="83">
        <v>5</v>
      </c>
      <c r="F1991" s="43">
        <f t="shared" si="349"/>
        <v>4.0983606557377046</v>
      </c>
      <c r="G1991" s="44">
        <f t="shared" si="350"/>
        <v>4</v>
      </c>
      <c r="H1991" s="44">
        <f t="shared" si="351"/>
        <v>9.8360655737704583E-2</v>
      </c>
      <c r="I1991" cm="1">
        <f t="array" ref="I1991">INT(F1991)+IF(100-SUM(INT(F$1985:F$2000))&gt;=RANK(H1991,H$1985:H$2000)+COUNTIF(H$1985:H1991,H1991)-1,1,0)</f>
        <v>4</v>
      </c>
      <c r="J1991" t="b">
        <f t="shared" si="352"/>
        <v>0</v>
      </c>
      <c r="K1991" t="str">
        <f t="shared" si="353"/>
        <v/>
      </c>
      <c r="L1991">
        <f>_xlfn.XLOOKUP(D1991,BugList!C:C,BugList!N:N)</f>
        <v>6</v>
      </c>
      <c r="M1991">
        <f t="shared" si="354"/>
        <v>24</v>
      </c>
      <c r="N1991" t="b">
        <f>_xlfn.XLOOKUP(D1991,BugList!C:C,BugList!L:L)</f>
        <v>1</v>
      </c>
      <c r="O1991" t="b">
        <f t="shared" si="355"/>
        <v>0</v>
      </c>
      <c r="P1991" s="18" t="b">
        <f>SUMPRODUCT(COUNTIF(_xlfn.XLOOKUP(D1991,BugList!C:C,BugList!P:P), "*SC*"))&gt;0</f>
        <v>0</v>
      </c>
    </row>
    <row r="1992" spans="1:16">
      <c r="A1992" s="9" t="s">
        <v>2921</v>
      </c>
      <c r="B1992" s="83">
        <v>428</v>
      </c>
      <c r="C1992" s="34" t="s">
        <v>194</v>
      </c>
      <c r="D1992" s="34" t="s">
        <v>108</v>
      </c>
      <c r="E1992" s="83">
        <v>1</v>
      </c>
      <c r="F1992" s="43">
        <f t="shared" si="349"/>
        <v>0.81967213114754101</v>
      </c>
      <c r="G1992" s="44">
        <f t="shared" si="350"/>
        <v>0</v>
      </c>
      <c r="H1992" s="44">
        <f t="shared" si="351"/>
        <v>0.81967213114754101</v>
      </c>
      <c r="I1992" cm="1">
        <f t="array" ref="I1992">INT(F1992)+IF(100-SUM(INT(F$1985:F$2000))&gt;=RANK(H1992,H$1985:H$2000)+COUNTIF(H$1985:H1992,H1992)-1,1,0)</f>
        <v>1</v>
      </c>
      <c r="J1992" t="b">
        <f t="shared" si="352"/>
        <v>0</v>
      </c>
      <c r="K1992" t="str">
        <f t="shared" si="353"/>
        <v/>
      </c>
      <c r="L1992">
        <f>_xlfn.XLOOKUP(D1992,BugList!C:C,BugList!N:N)</f>
        <v>3</v>
      </c>
      <c r="M1992">
        <f t="shared" si="354"/>
        <v>3</v>
      </c>
      <c r="N1992" t="b">
        <f>_xlfn.XLOOKUP(D1992,BugList!C:C,BugList!L:L)</f>
        <v>1</v>
      </c>
      <c r="O1992" t="b">
        <f t="shared" si="355"/>
        <v>0</v>
      </c>
      <c r="P1992" s="18" t="b">
        <f>SUMPRODUCT(COUNTIF(_xlfn.XLOOKUP(D1992,BugList!C:C,BugList!P:P), "*SC*"))&gt;0</f>
        <v>0</v>
      </c>
    </row>
    <row r="1993" spans="1:16">
      <c r="A1993" s="9" t="s">
        <v>2921</v>
      </c>
      <c r="B1993" s="83">
        <v>428</v>
      </c>
      <c r="C1993" s="34" t="s">
        <v>199</v>
      </c>
      <c r="D1993" s="34" t="s">
        <v>111</v>
      </c>
      <c r="E1993" s="83">
        <v>3</v>
      </c>
      <c r="F1993" s="43">
        <f t="shared" si="349"/>
        <v>2.459016393442623</v>
      </c>
      <c r="G1993" s="44">
        <f t="shared" si="350"/>
        <v>2</v>
      </c>
      <c r="H1993" s="44">
        <f t="shared" si="351"/>
        <v>0.45901639344262302</v>
      </c>
      <c r="I1993" cm="1">
        <f t="array" ref="I1993">INT(F1993)+IF(100-SUM(INT(F$1985:F$2000))&gt;=RANK(H1993,H$1985:H$2000)+COUNTIF(H$1985:H1993,H1993)-1,1,0)</f>
        <v>3</v>
      </c>
      <c r="J1993" t="b">
        <f t="shared" si="352"/>
        <v>1</v>
      </c>
      <c r="K1993" t="str">
        <f t="shared" si="353"/>
        <v>Ephemeroptera</v>
      </c>
      <c r="L1993">
        <f>_xlfn.XLOOKUP(D1993,BugList!C:C,BugList!N:N)</f>
        <v>4</v>
      </c>
      <c r="M1993">
        <f t="shared" si="354"/>
        <v>12</v>
      </c>
      <c r="N1993" t="b">
        <f>_xlfn.XLOOKUP(D1993,BugList!C:C,BugList!L:L)</f>
        <v>1</v>
      </c>
      <c r="O1993" t="b">
        <f t="shared" si="355"/>
        <v>1</v>
      </c>
      <c r="P1993" s="18" t="b">
        <f>SUMPRODUCT(COUNTIF(_xlfn.XLOOKUP(D1993,BugList!C:C,BugList!P:P), "*SC*"))&gt;0</f>
        <v>0</v>
      </c>
    </row>
    <row r="1994" spans="1:16">
      <c r="A1994" s="9" t="s">
        <v>2921</v>
      </c>
      <c r="B1994" s="83">
        <v>428</v>
      </c>
      <c r="C1994" s="34" t="s">
        <v>197</v>
      </c>
      <c r="D1994" s="34" t="s">
        <v>106</v>
      </c>
      <c r="E1994" s="83">
        <v>1</v>
      </c>
      <c r="F1994" s="43">
        <f t="shared" si="349"/>
        <v>0.81967213114754101</v>
      </c>
      <c r="G1994" s="44">
        <f t="shared" si="350"/>
        <v>0</v>
      </c>
      <c r="H1994" s="44">
        <f t="shared" si="351"/>
        <v>0.81967213114754101</v>
      </c>
      <c r="I1994" cm="1">
        <f t="array" ref="I1994">INT(F1994)+IF(100-SUM(INT(F$1985:F$2000))&gt;=RANK(H1994,H$1985:H$2000)+COUNTIF(H$1985:H1994,H1994)-1,1,0)</f>
        <v>1</v>
      </c>
      <c r="J1994" t="b">
        <f t="shared" si="352"/>
        <v>1</v>
      </c>
      <c r="K1994" t="str">
        <f t="shared" si="353"/>
        <v>Plecoptera</v>
      </c>
      <c r="L1994">
        <f>_xlfn.XLOOKUP(D1994,BugList!C:C,BugList!N:N)</f>
        <v>2</v>
      </c>
      <c r="M1994">
        <f t="shared" si="354"/>
        <v>2</v>
      </c>
      <c r="N1994" t="b">
        <f>_xlfn.XLOOKUP(D1994,BugList!C:C,BugList!L:L)</f>
        <v>1</v>
      </c>
      <c r="O1994" t="b">
        <f t="shared" si="355"/>
        <v>1</v>
      </c>
      <c r="P1994" s="18" t="b">
        <f>SUMPRODUCT(COUNTIF(_xlfn.XLOOKUP(D1994,BugList!C:C,BugList!P:P), "*SC*"))&gt;0</f>
        <v>0</v>
      </c>
    </row>
    <row r="1995" spans="1:16">
      <c r="A1995" s="9" t="s">
        <v>2921</v>
      </c>
      <c r="B1995" s="83">
        <v>428</v>
      </c>
      <c r="C1995" s="34" t="s">
        <v>198</v>
      </c>
      <c r="D1995" s="34" t="s">
        <v>89</v>
      </c>
      <c r="E1995" s="83">
        <v>1</v>
      </c>
      <c r="F1995" s="43">
        <f t="shared" si="349"/>
        <v>0.81967213114754101</v>
      </c>
      <c r="G1995" s="44">
        <f t="shared" si="350"/>
        <v>0</v>
      </c>
      <c r="H1995" s="44">
        <f t="shared" si="351"/>
        <v>0.81967213114754101</v>
      </c>
      <c r="I1995" cm="1">
        <f t="array" ref="I1995">INT(F1995)+IF(100-SUM(INT(F$1985:F$2000))&gt;=RANK(H1995,H$1985:H$2000)+COUNTIF(H$1985:H1995,H1995)-1,1,0)</f>
        <v>1</v>
      </c>
      <c r="J1995" t="b">
        <f t="shared" si="352"/>
        <v>1</v>
      </c>
      <c r="K1995" t="str">
        <f t="shared" si="353"/>
        <v>Trichoptera</v>
      </c>
      <c r="L1995">
        <f>_xlfn.XLOOKUP(D1995,BugList!C:C,BugList!N:N)</f>
        <v>4</v>
      </c>
      <c r="M1995">
        <f t="shared" si="354"/>
        <v>4</v>
      </c>
      <c r="N1995" t="b">
        <f>_xlfn.XLOOKUP(D1995,BugList!C:C,BugList!L:L)</f>
        <v>1</v>
      </c>
      <c r="O1995" t="b">
        <f t="shared" si="355"/>
        <v>0</v>
      </c>
      <c r="P1995" s="18" t="b">
        <f>SUMPRODUCT(COUNTIF(_xlfn.XLOOKUP(D1995,BugList!C:C,BugList!P:P), "*SC*"))&gt;0</f>
        <v>0</v>
      </c>
    </row>
    <row r="1996" spans="1:16">
      <c r="A1996" s="9" t="s">
        <v>2921</v>
      </c>
      <c r="B1996" s="83">
        <v>428</v>
      </c>
      <c r="C1996" s="34" t="s">
        <v>198</v>
      </c>
      <c r="D1996" s="34" t="s">
        <v>114</v>
      </c>
      <c r="E1996" s="83">
        <v>1</v>
      </c>
      <c r="F1996" s="43">
        <f t="shared" si="349"/>
        <v>0.81967213114754101</v>
      </c>
      <c r="G1996" s="44">
        <f t="shared" si="350"/>
        <v>0</v>
      </c>
      <c r="H1996" s="44">
        <f t="shared" si="351"/>
        <v>0.81967213114754101</v>
      </c>
      <c r="I1996" cm="1">
        <f t="array" ref="I1996">INT(F1996)+IF(100-SUM(INT(F$1985:F$2000))&gt;=RANK(H1996,H$1985:H$2000)+COUNTIF(H$1985:H1996,H1996)-1,1,0)</f>
        <v>1</v>
      </c>
      <c r="J1996" t="b">
        <f t="shared" si="352"/>
        <v>1</v>
      </c>
      <c r="K1996" t="str">
        <f t="shared" si="353"/>
        <v>Trichoptera</v>
      </c>
      <c r="L1996">
        <f>_xlfn.XLOOKUP(D1996,BugList!C:C,BugList!N:N)</f>
        <v>1</v>
      </c>
      <c r="M1996">
        <f t="shared" si="354"/>
        <v>1</v>
      </c>
      <c r="N1996" t="b">
        <f>_xlfn.XLOOKUP(D1996,BugList!C:C,BugList!L:L)</f>
        <v>1</v>
      </c>
      <c r="O1996" t="b">
        <f t="shared" si="355"/>
        <v>1</v>
      </c>
      <c r="P1996" s="18" t="b">
        <f>SUMPRODUCT(COUNTIF(_xlfn.XLOOKUP(D1996,BugList!C:C,BugList!P:P), "*SC*"))&gt;0</f>
        <v>0</v>
      </c>
    </row>
    <row r="1997" spans="1:16">
      <c r="A1997" s="9" t="s">
        <v>2921</v>
      </c>
      <c r="B1997" s="83">
        <v>428</v>
      </c>
      <c r="C1997" s="34" t="s">
        <v>198</v>
      </c>
      <c r="D1997" s="34" t="s">
        <v>107</v>
      </c>
      <c r="E1997" s="83">
        <v>3</v>
      </c>
      <c r="F1997" s="43">
        <f t="shared" si="349"/>
        <v>2.459016393442623</v>
      </c>
      <c r="G1997" s="44">
        <f t="shared" si="350"/>
        <v>2</v>
      </c>
      <c r="H1997" s="44">
        <f t="shared" si="351"/>
        <v>0.45901639344262302</v>
      </c>
      <c r="I1997" cm="1">
        <f t="array" ref="I1997">INT(F1997)+IF(100-SUM(INT(F$1985:F$2000))&gt;=RANK(H1997,H$1985:H$2000)+COUNTIF(H$1985:H1997,H1997)-1,1,0)</f>
        <v>2</v>
      </c>
      <c r="J1997" t="b">
        <f t="shared" si="352"/>
        <v>1</v>
      </c>
      <c r="K1997" t="str">
        <f t="shared" si="353"/>
        <v>Trichoptera</v>
      </c>
      <c r="L1997">
        <f>_xlfn.XLOOKUP(D1997,BugList!C:C,BugList!N:N)</f>
        <v>3</v>
      </c>
      <c r="M1997">
        <f t="shared" si="354"/>
        <v>6</v>
      </c>
      <c r="N1997" t="b">
        <f>_xlfn.XLOOKUP(D1997,BugList!C:C,BugList!L:L)</f>
        <v>1</v>
      </c>
      <c r="O1997" t="b">
        <f t="shared" si="355"/>
        <v>1</v>
      </c>
      <c r="P1997" s="18" t="b">
        <f>SUMPRODUCT(COUNTIF(_xlfn.XLOOKUP(D1997,BugList!C:C,BugList!P:P), "*SC*"))&gt;0</f>
        <v>0</v>
      </c>
    </row>
    <row r="1998" spans="1:16">
      <c r="A1998" s="9" t="s">
        <v>2921</v>
      </c>
      <c r="B1998" s="83">
        <v>428</v>
      </c>
      <c r="C1998" s="34" t="s">
        <v>204</v>
      </c>
      <c r="D1998" s="34" t="s">
        <v>84</v>
      </c>
      <c r="E1998" s="83">
        <v>3</v>
      </c>
      <c r="F1998" s="43">
        <f t="shared" si="349"/>
        <v>2.459016393442623</v>
      </c>
      <c r="G1998" s="44">
        <f t="shared" si="350"/>
        <v>2</v>
      </c>
      <c r="H1998" s="44">
        <f t="shared" si="351"/>
        <v>0.45901639344262302</v>
      </c>
      <c r="I1998" cm="1">
        <f t="array" ref="I1998">INT(F1998)+IF(100-SUM(INT(F$1985:F$2000))&gt;=RANK(H1998,H$1985:H$2000)+COUNTIF(H$1985:H1998,H1998)-1,1,0)</f>
        <v>2</v>
      </c>
      <c r="J1998" t="b">
        <f t="shared" si="352"/>
        <v>0</v>
      </c>
      <c r="K1998" t="str">
        <f t="shared" si="353"/>
        <v/>
      </c>
      <c r="L1998">
        <f>_xlfn.XLOOKUP(D1998,BugList!C:C,BugList!N:N)</f>
        <v>8</v>
      </c>
      <c r="M1998">
        <f t="shared" si="354"/>
        <v>16</v>
      </c>
      <c r="N1998" t="b">
        <f>_xlfn.XLOOKUP(D1998,BugList!C:C,BugList!L:L)</f>
        <v>0</v>
      </c>
      <c r="O1998" t="b">
        <f t="shared" si="355"/>
        <v>0</v>
      </c>
      <c r="P1998" s="18" t="b">
        <f>SUMPRODUCT(COUNTIF(_xlfn.XLOOKUP(D1998,BugList!C:C,BugList!P:P), "*SC*"))&gt;0</f>
        <v>0</v>
      </c>
    </row>
    <row r="1999" spans="1:16">
      <c r="A1999" s="9" t="s">
        <v>2921</v>
      </c>
      <c r="B1999" s="83">
        <v>428</v>
      </c>
      <c r="C1999" s="34" t="s">
        <v>201</v>
      </c>
      <c r="D1999" s="34" t="s">
        <v>85</v>
      </c>
      <c r="E1999" s="83">
        <v>1</v>
      </c>
      <c r="F1999" s="43">
        <f t="shared" ref="F1999:F2062" si="356">(E1999/(SUMIFS(E:E,A:A,A1999))*100)</f>
        <v>0.81967213114754101</v>
      </c>
      <c r="G1999" s="44">
        <f t="shared" si="350"/>
        <v>0</v>
      </c>
      <c r="H1999" s="44">
        <f t="shared" si="351"/>
        <v>0.81967213114754101</v>
      </c>
      <c r="I1999" cm="1">
        <f t="array" ref="I1999">INT(F1999)+IF(100-SUM(INT(F$1985:F$2000))&gt;=RANK(H1999,H$1985:H$2000)+COUNTIF(H$1985:H1999,H1999)-1,1,0)</f>
        <v>1</v>
      </c>
      <c r="J1999" t="b">
        <f t="shared" si="352"/>
        <v>0</v>
      </c>
      <c r="K1999" t="str">
        <f t="shared" si="353"/>
        <v/>
      </c>
      <c r="L1999">
        <f>_xlfn.XLOOKUP(D1999,BugList!C:C,BugList!N:N)</f>
        <v>4</v>
      </c>
      <c r="M1999">
        <f t="shared" si="354"/>
        <v>4</v>
      </c>
      <c r="N1999" t="b">
        <f>_xlfn.XLOOKUP(D1999,BugList!C:C,BugList!L:L)</f>
        <v>0</v>
      </c>
      <c r="O1999" t="b">
        <f t="shared" si="355"/>
        <v>0</v>
      </c>
      <c r="P1999" s="18" t="b">
        <f>SUMPRODUCT(COUNTIF(_xlfn.XLOOKUP(D1999,BugList!C:C,BugList!P:P), "*SC*"))&gt;0</f>
        <v>0</v>
      </c>
    </row>
    <row r="2000" spans="1:16">
      <c r="A2000" s="9" t="s">
        <v>2921</v>
      </c>
      <c r="B2000" s="83">
        <v>428</v>
      </c>
      <c r="C2000" s="34" t="s">
        <v>94</v>
      </c>
      <c r="D2000" s="34" t="s">
        <v>94</v>
      </c>
      <c r="E2000" s="83">
        <v>6</v>
      </c>
      <c r="F2000" s="43">
        <f t="shared" si="356"/>
        <v>4.918032786885246</v>
      </c>
      <c r="G2000" s="44">
        <f t="shared" si="350"/>
        <v>4</v>
      </c>
      <c r="H2000" s="44">
        <f t="shared" si="351"/>
        <v>0.91803278688524603</v>
      </c>
      <c r="I2000" cm="1">
        <f t="array" ref="I2000">INT(F2000)+IF(100-SUM(INT(F$1985:F$2000))&gt;=RANK(H2000,H$1985:H$2000)+COUNTIF(H$1985:H2000,H2000)-1,1,0)</f>
        <v>5</v>
      </c>
      <c r="J2000" t="b">
        <f t="shared" si="352"/>
        <v>0</v>
      </c>
      <c r="K2000" t="str">
        <f t="shared" si="353"/>
        <v/>
      </c>
      <c r="L2000">
        <f>_xlfn.XLOOKUP(D2000,BugList!C:C,BugList!N:N)</f>
        <v>8</v>
      </c>
      <c r="M2000">
        <f t="shared" si="354"/>
        <v>40</v>
      </c>
      <c r="N2000" t="b">
        <f>_xlfn.XLOOKUP(D2000,BugList!C:C,BugList!L:L)</f>
        <v>0</v>
      </c>
      <c r="O2000" t="b">
        <f t="shared" si="355"/>
        <v>0</v>
      </c>
      <c r="P2000" s="18" t="b">
        <f>SUMPRODUCT(COUNTIF(_xlfn.XLOOKUP(D2000,BugList!C:C,BugList!P:P), "*SC*"))&gt;0</f>
        <v>0</v>
      </c>
    </row>
    <row r="2001" spans="1:16">
      <c r="A2001" s="9" t="s">
        <v>2922</v>
      </c>
      <c r="B2001" s="83">
        <v>438</v>
      </c>
      <c r="C2001" s="34" t="s">
        <v>200</v>
      </c>
      <c r="D2001" s="34" t="s">
        <v>98</v>
      </c>
      <c r="E2001" s="83">
        <v>62</v>
      </c>
      <c r="F2001" s="43">
        <f t="shared" si="356"/>
        <v>52.100840336134461</v>
      </c>
      <c r="G2001" s="44">
        <f t="shared" si="350"/>
        <v>52</v>
      </c>
      <c r="H2001" s="44">
        <f t="shared" si="351"/>
        <v>0.10084033613446053</v>
      </c>
      <c r="I2001" cm="1">
        <f t="array" ref="I2001">INT(F2001)+IF(100-SUM(INT(F$2001:F$2015))&gt;=RANK(H2001,H$2001:H$2015)+COUNTIF(H$2001:H2001,H2001)-1,1,0)</f>
        <v>52</v>
      </c>
      <c r="J2001" t="b">
        <f t="shared" si="352"/>
        <v>0</v>
      </c>
      <c r="K2001" t="str">
        <f t="shared" si="353"/>
        <v/>
      </c>
      <c r="L2001">
        <f>_xlfn.XLOOKUP(D2001,BugList!C:C,BugList!N:N)</f>
        <v>4</v>
      </c>
      <c r="M2001">
        <f t="shared" si="354"/>
        <v>208</v>
      </c>
      <c r="N2001" t="b">
        <f>_xlfn.XLOOKUP(D2001,BugList!C:C,BugList!L:L)</f>
        <v>1</v>
      </c>
      <c r="O2001" t="b">
        <f t="shared" si="355"/>
        <v>0</v>
      </c>
      <c r="P2001" s="18" t="b">
        <f>SUMPRODUCT(COUNTIF(_xlfn.XLOOKUP(D2001,BugList!C:C,BugList!P:P), "*SC*"))&gt;0</f>
        <v>1</v>
      </c>
    </row>
    <row r="2002" spans="1:16">
      <c r="A2002" s="9" t="s">
        <v>2922</v>
      </c>
      <c r="B2002" s="83">
        <v>438</v>
      </c>
      <c r="C2002" s="34" t="s">
        <v>200</v>
      </c>
      <c r="D2002" s="34" t="s">
        <v>1563</v>
      </c>
      <c r="E2002" s="83">
        <v>1</v>
      </c>
      <c r="F2002" s="43">
        <f t="shared" si="356"/>
        <v>0.84033613445378152</v>
      </c>
      <c r="G2002" s="44">
        <f t="shared" si="350"/>
        <v>0</v>
      </c>
      <c r="H2002" s="44">
        <f t="shared" si="351"/>
        <v>0.84033613445378152</v>
      </c>
      <c r="I2002" cm="1">
        <f t="array" ref="I2002">INT(F2002)+IF(100-SUM(INT(F$2001:F$2015))&gt;=RANK(H2002,H$2001:H$2015)+COUNTIF(H$2001:H2002,H2002)-1,1,0)</f>
        <v>1</v>
      </c>
      <c r="J2002" t="b">
        <f t="shared" si="352"/>
        <v>0</v>
      </c>
      <c r="K2002" t="str">
        <f t="shared" si="353"/>
        <v/>
      </c>
      <c r="L2002">
        <f>_xlfn.XLOOKUP(D2002,BugList!C:C,BugList!N:N)</f>
        <v>5</v>
      </c>
      <c r="M2002">
        <f t="shared" si="354"/>
        <v>5</v>
      </c>
      <c r="N2002" t="b">
        <f>_xlfn.XLOOKUP(D2002,BugList!C:C,BugList!L:L)</f>
        <v>1</v>
      </c>
      <c r="O2002" t="b">
        <f t="shared" si="355"/>
        <v>0</v>
      </c>
      <c r="P2002" s="18" t="b">
        <f>SUMPRODUCT(COUNTIF(_xlfn.XLOOKUP(D2002,BugList!C:C,BugList!P:P), "*SC*"))&gt;0</f>
        <v>0</v>
      </c>
    </row>
    <row r="2003" spans="1:16">
      <c r="A2003" s="9" t="s">
        <v>2922</v>
      </c>
      <c r="B2003" s="83">
        <v>438</v>
      </c>
      <c r="C2003" s="34" t="s">
        <v>200</v>
      </c>
      <c r="D2003" s="34" t="s">
        <v>100</v>
      </c>
      <c r="E2003" s="83">
        <v>8</v>
      </c>
      <c r="F2003" s="43">
        <f t="shared" si="356"/>
        <v>6.7226890756302522</v>
      </c>
      <c r="G2003" s="44">
        <f t="shared" si="350"/>
        <v>6</v>
      </c>
      <c r="H2003" s="44">
        <f t="shared" si="351"/>
        <v>0.7226890756302522</v>
      </c>
      <c r="I2003" cm="1">
        <f t="array" ref="I2003">INT(F2003)+IF(100-SUM(INT(F$2001:F$2015))&gt;=RANK(H2003,H$2001:H$2015)+COUNTIF(H$2001:H2003,H2003)-1,1,0)</f>
        <v>7</v>
      </c>
      <c r="J2003" t="b">
        <f t="shared" si="352"/>
        <v>0</v>
      </c>
      <c r="K2003" t="str">
        <f t="shared" si="353"/>
        <v/>
      </c>
      <c r="L2003">
        <f>_xlfn.XLOOKUP(D2003,BugList!C:C,BugList!N:N)</f>
        <v>4</v>
      </c>
      <c r="M2003">
        <f t="shared" si="354"/>
        <v>28</v>
      </c>
      <c r="N2003" t="b">
        <f>_xlfn.XLOOKUP(D2003,BugList!C:C,BugList!L:L)</f>
        <v>1</v>
      </c>
      <c r="O2003" t="b">
        <f t="shared" si="355"/>
        <v>0</v>
      </c>
      <c r="P2003" s="18" t="b">
        <f>SUMPRODUCT(COUNTIF(_xlfn.XLOOKUP(D2003,BugList!C:C,BugList!P:P), "*SC*"))&gt;0</f>
        <v>1</v>
      </c>
    </row>
    <row r="2004" spans="1:16">
      <c r="A2004" s="9" t="s">
        <v>2922</v>
      </c>
      <c r="B2004" s="83">
        <v>438</v>
      </c>
      <c r="C2004" s="34" t="s">
        <v>194</v>
      </c>
      <c r="D2004" s="34" t="s">
        <v>90</v>
      </c>
      <c r="E2004" s="83">
        <v>7</v>
      </c>
      <c r="F2004" s="43">
        <f t="shared" si="356"/>
        <v>5.8823529411764701</v>
      </c>
      <c r="G2004" s="44">
        <f t="shared" si="350"/>
        <v>5</v>
      </c>
      <c r="H2004" s="44">
        <f t="shared" si="351"/>
        <v>0.88235294117647012</v>
      </c>
      <c r="I2004" cm="1">
        <f t="array" ref="I2004">INT(F2004)+IF(100-SUM(INT(F$2001:F$2015))&gt;=RANK(H2004,H$2001:H$2015)+COUNTIF(H$2001:H2004,H2004)-1,1,0)</f>
        <v>6</v>
      </c>
      <c r="J2004" t="b">
        <f t="shared" si="352"/>
        <v>0</v>
      </c>
      <c r="K2004" t="str">
        <f t="shared" si="353"/>
        <v/>
      </c>
      <c r="L2004">
        <f>_xlfn.XLOOKUP(D2004,BugList!C:C,BugList!N:N)</f>
        <v>6</v>
      </c>
      <c r="M2004">
        <f t="shared" si="354"/>
        <v>36</v>
      </c>
      <c r="N2004" t="b">
        <f>_xlfn.XLOOKUP(D2004,BugList!C:C,BugList!L:L)</f>
        <v>1</v>
      </c>
      <c r="O2004" t="b">
        <f t="shared" si="355"/>
        <v>0</v>
      </c>
      <c r="P2004" s="18" t="b">
        <f>SUMPRODUCT(COUNTIF(_xlfn.XLOOKUP(D2004,BugList!C:C,BugList!P:P), "*SC*"))&gt;0</f>
        <v>0</v>
      </c>
    </row>
    <row r="2005" spans="1:16">
      <c r="A2005" s="9" t="s">
        <v>2922</v>
      </c>
      <c r="B2005" s="83">
        <v>438</v>
      </c>
      <c r="C2005" s="34" t="s">
        <v>194</v>
      </c>
      <c r="D2005" s="34" t="s">
        <v>108</v>
      </c>
      <c r="E2005" s="83">
        <v>3</v>
      </c>
      <c r="F2005" s="43">
        <f t="shared" si="356"/>
        <v>2.5210084033613445</v>
      </c>
      <c r="G2005" s="44">
        <f t="shared" si="350"/>
        <v>2</v>
      </c>
      <c r="H2005" s="44">
        <f t="shared" si="351"/>
        <v>0.52100840336134446</v>
      </c>
      <c r="I2005" cm="1">
        <f t="array" ref="I2005">INT(F2005)+IF(100-SUM(INT(F$2001:F$2015))&gt;=RANK(H2005,H$2001:H$2015)+COUNTIF(H$2001:H2005,H2005)-1,1,0)</f>
        <v>2</v>
      </c>
      <c r="J2005" t="b">
        <f t="shared" si="352"/>
        <v>0</v>
      </c>
      <c r="K2005" t="str">
        <f t="shared" si="353"/>
        <v/>
      </c>
      <c r="L2005">
        <f>_xlfn.XLOOKUP(D2005,BugList!C:C,BugList!N:N)</f>
        <v>3</v>
      </c>
      <c r="M2005">
        <f t="shared" si="354"/>
        <v>6</v>
      </c>
      <c r="N2005" t="b">
        <f>_xlfn.XLOOKUP(D2005,BugList!C:C,BugList!L:L)</f>
        <v>1</v>
      </c>
      <c r="O2005" t="b">
        <f t="shared" si="355"/>
        <v>0</v>
      </c>
      <c r="P2005" s="18" t="b">
        <f>SUMPRODUCT(COUNTIF(_xlfn.XLOOKUP(D2005,BugList!C:C,BugList!P:P), "*SC*"))&gt;0</f>
        <v>0</v>
      </c>
    </row>
    <row r="2006" spans="1:16">
      <c r="A2006" s="9" t="s">
        <v>2922</v>
      </c>
      <c r="B2006" s="83">
        <v>438</v>
      </c>
      <c r="C2006" s="34" t="s">
        <v>199</v>
      </c>
      <c r="D2006" s="34" t="s">
        <v>111</v>
      </c>
      <c r="E2006" s="83">
        <v>8</v>
      </c>
      <c r="F2006" s="43">
        <f t="shared" si="356"/>
        <v>6.7226890756302522</v>
      </c>
      <c r="G2006" s="44">
        <f t="shared" si="350"/>
        <v>6</v>
      </c>
      <c r="H2006" s="44">
        <f t="shared" si="351"/>
        <v>0.7226890756302522</v>
      </c>
      <c r="I2006" cm="1">
        <f t="array" ref="I2006">INT(F2006)+IF(100-SUM(INT(F$2001:F$2015))&gt;=RANK(H2006,H$2001:H$2015)+COUNTIF(H$2001:H2006,H2006)-1,1,0)</f>
        <v>7</v>
      </c>
      <c r="J2006" t="b">
        <f t="shared" si="352"/>
        <v>1</v>
      </c>
      <c r="K2006" t="str">
        <f t="shared" si="353"/>
        <v>Ephemeroptera</v>
      </c>
      <c r="L2006">
        <f>_xlfn.XLOOKUP(D2006,BugList!C:C,BugList!N:N)</f>
        <v>4</v>
      </c>
      <c r="M2006">
        <f t="shared" si="354"/>
        <v>28</v>
      </c>
      <c r="N2006" t="b">
        <f>_xlfn.XLOOKUP(D2006,BugList!C:C,BugList!L:L)</f>
        <v>1</v>
      </c>
      <c r="O2006" t="b">
        <f t="shared" si="355"/>
        <v>1</v>
      </c>
      <c r="P2006" s="18" t="b">
        <f>SUMPRODUCT(COUNTIF(_xlfn.XLOOKUP(D2006,BugList!C:C,BugList!P:P), "*SC*"))&gt;0</f>
        <v>0</v>
      </c>
    </row>
    <row r="2007" spans="1:16">
      <c r="A2007" s="9" t="s">
        <v>2922</v>
      </c>
      <c r="B2007" s="83">
        <v>438</v>
      </c>
      <c r="C2007" s="34" t="s">
        <v>195</v>
      </c>
      <c r="D2007" s="34" t="s">
        <v>113</v>
      </c>
      <c r="E2007" s="83">
        <v>3</v>
      </c>
      <c r="F2007" s="43">
        <f t="shared" si="356"/>
        <v>2.5210084033613445</v>
      </c>
      <c r="G2007" s="44">
        <f t="shared" si="350"/>
        <v>2</v>
      </c>
      <c r="H2007" s="44">
        <f t="shared" si="351"/>
        <v>0.52100840336134446</v>
      </c>
      <c r="I2007" cm="1">
        <f t="array" ref="I2007">INT(F2007)+IF(100-SUM(INT(F$2001:F$2015))&gt;=RANK(H2007,H$2001:H$2015)+COUNTIF(H$2001:H2007,H2007)-1,1,0)</f>
        <v>2</v>
      </c>
      <c r="J2007" t="b">
        <f t="shared" si="352"/>
        <v>0</v>
      </c>
      <c r="K2007" t="str">
        <f t="shared" si="353"/>
        <v/>
      </c>
      <c r="L2007">
        <f>_xlfn.XLOOKUP(D2007,BugList!C:C,BugList!N:N)</f>
        <v>1</v>
      </c>
      <c r="M2007">
        <f t="shared" si="354"/>
        <v>2</v>
      </c>
      <c r="N2007" t="b">
        <f>_xlfn.XLOOKUP(D2007,BugList!C:C,BugList!L:L)</f>
        <v>1</v>
      </c>
      <c r="O2007" t="b">
        <f t="shared" si="355"/>
        <v>0</v>
      </c>
      <c r="P2007" s="18" t="b">
        <f>SUMPRODUCT(COUNTIF(_xlfn.XLOOKUP(D2007,BugList!C:C,BugList!P:P), "*SC*"))&gt;0</f>
        <v>0</v>
      </c>
    </row>
    <row r="2008" spans="1:16">
      <c r="A2008" s="9" t="s">
        <v>2922</v>
      </c>
      <c r="B2008" s="83">
        <v>438</v>
      </c>
      <c r="C2008" s="34" t="s">
        <v>211</v>
      </c>
      <c r="D2008" s="34" t="s">
        <v>87</v>
      </c>
      <c r="E2008" s="83">
        <v>1</v>
      </c>
      <c r="F2008" s="43">
        <f t="shared" si="356"/>
        <v>0.84033613445378152</v>
      </c>
      <c r="G2008" s="44">
        <f t="shared" si="350"/>
        <v>0</v>
      </c>
      <c r="H2008" s="44">
        <f t="shared" si="351"/>
        <v>0.84033613445378152</v>
      </c>
      <c r="I2008" cm="1">
        <f t="array" ref="I2008">INT(F2008)+IF(100-SUM(INT(F$2001:F$2015))&gt;=RANK(H2008,H$2001:H$2015)+COUNTIF(H$2001:H2008,H2008)-1,1,0)</f>
        <v>1</v>
      </c>
      <c r="J2008" t="b">
        <f t="shared" si="352"/>
        <v>0</v>
      </c>
      <c r="K2008" t="str">
        <f t="shared" si="353"/>
        <v/>
      </c>
      <c r="L2008">
        <f>_xlfn.XLOOKUP(D2008,BugList!C:C,BugList!N:N)</f>
        <v>4</v>
      </c>
      <c r="M2008">
        <f t="shared" si="354"/>
        <v>4</v>
      </c>
      <c r="N2008" t="b">
        <f>_xlfn.XLOOKUP(D2008,BugList!C:C,BugList!L:L)</f>
        <v>0</v>
      </c>
      <c r="O2008" t="b">
        <f t="shared" si="355"/>
        <v>0</v>
      </c>
      <c r="P2008" s="18" t="b">
        <f>SUMPRODUCT(COUNTIF(_xlfn.XLOOKUP(D2008,BugList!C:C,BugList!P:P), "*SC*"))&gt;0</f>
        <v>0</v>
      </c>
    </row>
    <row r="2009" spans="1:16">
      <c r="A2009" s="9" t="s">
        <v>2922</v>
      </c>
      <c r="B2009" s="83">
        <v>438</v>
      </c>
      <c r="C2009" s="34" t="s">
        <v>198</v>
      </c>
      <c r="D2009" s="34" t="s">
        <v>89</v>
      </c>
      <c r="E2009" s="83">
        <v>13</v>
      </c>
      <c r="F2009" s="43">
        <f t="shared" si="356"/>
        <v>10.92436974789916</v>
      </c>
      <c r="G2009" s="44">
        <f t="shared" si="350"/>
        <v>10</v>
      </c>
      <c r="H2009" s="44">
        <f t="shared" si="351"/>
        <v>0.92436974789915993</v>
      </c>
      <c r="I2009" cm="1">
        <f t="array" ref="I2009">INT(F2009)+IF(100-SUM(INT(F$2001:F$2015))&gt;=RANK(H2009,H$2001:H$2015)+COUNTIF(H$2001:H2009,H2009)-1,1,0)</f>
        <v>11</v>
      </c>
      <c r="J2009" t="b">
        <f t="shared" si="352"/>
        <v>1</v>
      </c>
      <c r="K2009" t="str">
        <f t="shared" si="353"/>
        <v>Trichoptera</v>
      </c>
      <c r="L2009">
        <f>_xlfn.XLOOKUP(D2009,BugList!C:C,BugList!N:N)</f>
        <v>4</v>
      </c>
      <c r="M2009">
        <f t="shared" si="354"/>
        <v>44</v>
      </c>
      <c r="N2009" t="b">
        <f>_xlfn.XLOOKUP(D2009,BugList!C:C,BugList!L:L)</f>
        <v>1</v>
      </c>
      <c r="O2009" t="b">
        <f t="shared" si="355"/>
        <v>0</v>
      </c>
      <c r="P2009" s="18" t="b">
        <f>SUMPRODUCT(COUNTIF(_xlfn.XLOOKUP(D2009,BugList!C:C,BugList!P:P), "*SC*"))&gt;0</f>
        <v>0</v>
      </c>
    </row>
    <row r="2010" spans="1:16">
      <c r="A2010" s="9" t="s">
        <v>2922</v>
      </c>
      <c r="B2010" s="83">
        <v>438</v>
      </c>
      <c r="C2010" s="34" t="s">
        <v>198</v>
      </c>
      <c r="D2010" s="34" t="s">
        <v>1263</v>
      </c>
      <c r="E2010" s="83">
        <v>1</v>
      </c>
      <c r="F2010" s="43">
        <f t="shared" si="356"/>
        <v>0.84033613445378152</v>
      </c>
      <c r="G2010" s="44">
        <f t="shared" si="350"/>
        <v>0</v>
      </c>
      <c r="H2010" s="44">
        <f t="shared" si="351"/>
        <v>0.84033613445378152</v>
      </c>
      <c r="I2010" cm="1">
        <f t="array" ref="I2010">INT(F2010)+IF(100-SUM(INT(F$2001:F$2015))&gt;=RANK(H2010,H$2001:H$2015)+COUNTIF(H$2001:H2010,H2010)-1,1,0)</f>
        <v>1</v>
      </c>
      <c r="J2010" t="b">
        <f t="shared" si="352"/>
        <v>1</v>
      </c>
      <c r="K2010" t="str">
        <f t="shared" si="353"/>
        <v>Trichoptera</v>
      </c>
      <c r="L2010">
        <f>_xlfn.XLOOKUP(D2010,BugList!C:C,BugList!N:N)</f>
        <v>4</v>
      </c>
      <c r="M2010">
        <f t="shared" si="354"/>
        <v>4</v>
      </c>
      <c r="N2010" t="b">
        <f>_xlfn.XLOOKUP(D2010,BugList!C:C,BugList!L:L)</f>
        <v>1</v>
      </c>
      <c r="O2010" t="b">
        <f t="shared" si="355"/>
        <v>1</v>
      </c>
      <c r="P2010" s="18" t="b">
        <f>SUMPRODUCT(COUNTIF(_xlfn.XLOOKUP(D2010,BugList!C:C,BugList!P:P), "*SC*"))&gt;0</f>
        <v>0</v>
      </c>
    </row>
    <row r="2011" spans="1:16">
      <c r="A2011" s="9" t="s">
        <v>2922</v>
      </c>
      <c r="B2011" s="83">
        <v>438</v>
      </c>
      <c r="C2011" s="34" t="s">
        <v>204</v>
      </c>
      <c r="D2011" s="34" t="s">
        <v>84</v>
      </c>
      <c r="E2011" s="83">
        <v>1</v>
      </c>
      <c r="F2011" s="43">
        <f t="shared" si="356"/>
        <v>0.84033613445378152</v>
      </c>
      <c r="G2011" s="44">
        <f t="shared" si="350"/>
        <v>0</v>
      </c>
      <c r="H2011" s="44">
        <f t="shared" si="351"/>
        <v>0.84033613445378152</v>
      </c>
      <c r="I2011" cm="1">
        <f t="array" ref="I2011">INT(F2011)+IF(100-SUM(INT(F$2001:F$2015))&gt;=RANK(H2011,H$2001:H$2015)+COUNTIF(H$2001:H2011,H2011)-1,1,0)</f>
        <v>1</v>
      </c>
      <c r="J2011" t="b">
        <f t="shared" si="352"/>
        <v>0</v>
      </c>
      <c r="K2011" t="str">
        <f t="shared" si="353"/>
        <v/>
      </c>
      <c r="L2011">
        <f>_xlfn.XLOOKUP(D2011,BugList!C:C,BugList!N:N)</f>
        <v>8</v>
      </c>
      <c r="M2011">
        <f t="shared" si="354"/>
        <v>8</v>
      </c>
      <c r="N2011" t="b">
        <f>_xlfn.XLOOKUP(D2011,BugList!C:C,BugList!L:L)</f>
        <v>0</v>
      </c>
      <c r="O2011" t="b">
        <f t="shared" si="355"/>
        <v>0</v>
      </c>
      <c r="P2011" s="18" t="b">
        <f>SUMPRODUCT(COUNTIF(_xlfn.XLOOKUP(D2011,BugList!C:C,BugList!P:P), "*SC*"))&gt;0</f>
        <v>0</v>
      </c>
    </row>
    <row r="2012" spans="1:16">
      <c r="A2012" s="9" t="s">
        <v>2922</v>
      </c>
      <c r="B2012" s="83">
        <v>438</v>
      </c>
      <c r="C2012" s="34" t="s">
        <v>201</v>
      </c>
      <c r="D2012" s="34" t="s">
        <v>109</v>
      </c>
      <c r="E2012" s="83">
        <v>1</v>
      </c>
      <c r="F2012" s="43">
        <f t="shared" si="356"/>
        <v>0.84033613445378152</v>
      </c>
      <c r="G2012" s="44">
        <f t="shared" si="350"/>
        <v>0</v>
      </c>
      <c r="H2012" s="44">
        <f t="shared" si="351"/>
        <v>0.84033613445378152</v>
      </c>
      <c r="I2012" cm="1">
        <f t="array" ref="I2012">INT(F2012)+IF(100-SUM(INT(F$2001:F$2015))&gt;=RANK(H2012,H$2001:H$2015)+COUNTIF(H$2001:H2012,H2012)-1,1,0)</f>
        <v>1</v>
      </c>
      <c r="J2012" t="b">
        <f t="shared" si="352"/>
        <v>0</v>
      </c>
      <c r="K2012" t="str">
        <f t="shared" si="353"/>
        <v/>
      </c>
      <c r="L2012">
        <f>_xlfn.XLOOKUP(D2012,BugList!C:C,BugList!N:N)</f>
        <v>6</v>
      </c>
      <c r="M2012">
        <f t="shared" si="354"/>
        <v>6</v>
      </c>
      <c r="N2012" t="b">
        <f>_xlfn.XLOOKUP(D2012,BugList!C:C,BugList!L:L)</f>
        <v>0</v>
      </c>
      <c r="O2012" t="b">
        <f t="shared" si="355"/>
        <v>0</v>
      </c>
      <c r="P2012" s="18" t="b">
        <f>SUMPRODUCT(COUNTIF(_xlfn.XLOOKUP(D2012,BugList!C:C,BugList!P:P), "*SC*"))&gt;0</f>
        <v>0</v>
      </c>
    </row>
    <row r="2013" spans="1:16">
      <c r="A2013" s="9" t="s">
        <v>2922</v>
      </c>
      <c r="B2013" s="83">
        <v>438</v>
      </c>
      <c r="C2013" s="34" t="s">
        <v>201</v>
      </c>
      <c r="D2013" s="34" t="s">
        <v>85</v>
      </c>
      <c r="E2013" s="83">
        <v>4</v>
      </c>
      <c r="F2013" s="43">
        <f t="shared" si="356"/>
        <v>3.3613445378151261</v>
      </c>
      <c r="G2013" s="44">
        <f t="shared" si="350"/>
        <v>3</v>
      </c>
      <c r="H2013" s="44">
        <f t="shared" si="351"/>
        <v>0.3613445378151261</v>
      </c>
      <c r="I2013" cm="1">
        <f t="array" ref="I2013">INT(F2013)+IF(100-SUM(INT(F$2001:F$2015))&gt;=RANK(H2013,H$2001:H$2015)+COUNTIF(H$2001:H2013,H2013)-1,1,0)</f>
        <v>3</v>
      </c>
      <c r="J2013" t="b">
        <f t="shared" si="352"/>
        <v>0</v>
      </c>
      <c r="K2013" t="str">
        <f t="shared" si="353"/>
        <v/>
      </c>
      <c r="L2013">
        <f>_xlfn.XLOOKUP(D2013,BugList!C:C,BugList!N:N)</f>
        <v>4</v>
      </c>
      <c r="M2013">
        <f t="shared" si="354"/>
        <v>12</v>
      </c>
      <c r="N2013" t="b">
        <f>_xlfn.XLOOKUP(D2013,BugList!C:C,BugList!L:L)</f>
        <v>0</v>
      </c>
      <c r="O2013" t="b">
        <f t="shared" si="355"/>
        <v>0</v>
      </c>
      <c r="P2013" s="18" t="b">
        <f>SUMPRODUCT(COUNTIF(_xlfn.XLOOKUP(D2013,BugList!C:C,BugList!P:P), "*SC*"))&gt;0</f>
        <v>0</v>
      </c>
    </row>
    <row r="2014" spans="1:16">
      <c r="A2014" s="9" t="s">
        <v>2922</v>
      </c>
      <c r="B2014" s="83">
        <v>438</v>
      </c>
      <c r="C2014" s="34" t="s">
        <v>205</v>
      </c>
      <c r="D2014" s="34" t="s">
        <v>206</v>
      </c>
      <c r="E2014" s="83">
        <v>1</v>
      </c>
      <c r="F2014" s="43">
        <f t="shared" si="356"/>
        <v>0.84033613445378152</v>
      </c>
      <c r="G2014" s="44">
        <f t="shared" si="350"/>
        <v>0</v>
      </c>
      <c r="H2014" s="44">
        <f t="shared" si="351"/>
        <v>0.84033613445378152</v>
      </c>
      <c r="I2014" cm="1">
        <f t="array" ref="I2014">INT(F2014)+IF(100-SUM(INT(F$2001:F$2015))&gt;=RANK(H2014,H$2001:H$2015)+COUNTIF(H$2001:H2014,H2014)-1,1,0)</f>
        <v>1</v>
      </c>
      <c r="J2014" t="b">
        <f t="shared" si="352"/>
        <v>0</v>
      </c>
      <c r="K2014" t="str">
        <f t="shared" si="353"/>
        <v/>
      </c>
      <c r="L2014" s="71">
        <v>8</v>
      </c>
      <c r="M2014">
        <f t="shared" si="354"/>
        <v>8</v>
      </c>
      <c r="N2014" s="71" t="b">
        <v>0</v>
      </c>
      <c r="O2014" t="b">
        <f t="shared" si="355"/>
        <v>0</v>
      </c>
      <c r="P2014" s="72" t="b">
        <v>0</v>
      </c>
    </row>
    <row r="2015" spans="1:16">
      <c r="A2015" s="9" t="s">
        <v>2922</v>
      </c>
      <c r="B2015" s="83">
        <v>438</v>
      </c>
      <c r="C2015" s="34" t="s">
        <v>94</v>
      </c>
      <c r="D2015" s="34" t="s">
        <v>94</v>
      </c>
      <c r="E2015" s="83">
        <v>5</v>
      </c>
      <c r="F2015" s="43">
        <f t="shared" si="356"/>
        <v>4.2016806722689077</v>
      </c>
      <c r="G2015" s="44">
        <f t="shared" si="350"/>
        <v>4</v>
      </c>
      <c r="H2015" s="44">
        <f t="shared" si="351"/>
        <v>0.20168067226890773</v>
      </c>
      <c r="I2015" cm="1">
        <f t="array" ref="I2015">INT(F2015)+IF(100-SUM(INT(F$2001:F$2015))&gt;=RANK(H2015,H$2001:H$2015)+COUNTIF(H$2001:H2015,H2015)-1,1,0)</f>
        <v>4</v>
      </c>
      <c r="J2015" t="b">
        <f t="shared" si="352"/>
        <v>0</v>
      </c>
      <c r="K2015" t="str">
        <f t="shared" si="353"/>
        <v/>
      </c>
      <c r="L2015">
        <f>_xlfn.XLOOKUP(D2015,BugList!C:C,BugList!N:N)</f>
        <v>8</v>
      </c>
      <c r="M2015">
        <f t="shared" si="354"/>
        <v>32</v>
      </c>
      <c r="N2015" t="b">
        <f>_xlfn.XLOOKUP(D2015,BugList!C:C,BugList!L:L)</f>
        <v>0</v>
      </c>
      <c r="O2015" t="b">
        <f t="shared" si="355"/>
        <v>0</v>
      </c>
      <c r="P2015" s="18" t="b">
        <f>SUMPRODUCT(COUNTIF(_xlfn.XLOOKUP(D2015,BugList!C:C,BugList!P:P), "*SC*"))&gt;0</f>
        <v>0</v>
      </c>
    </row>
    <row r="2016" spans="1:16">
      <c r="A2016" s="9" t="s">
        <v>2923</v>
      </c>
      <c r="B2016" s="83">
        <v>463</v>
      </c>
      <c r="C2016" s="34" t="s">
        <v>200</v>
      </c>
      <c r="D2016" s="34" t="s">
        <v>98</v>
      </c>
      <c r="E2016" s="83">
        <v>2</v>
      </c>
      <c r="F2016" s="43">
        <f t="shared" si="356"/>
        <v>1.7094017094017095</v>
      </c>
      <c r="G2016" s="44">
        <f t="shared" si="350"/>
        <v>1</v>
      </c>
      <c r="H2016" s="44">
        <f t="shared" si="351"/>
        <v>0.70940170940170955</v>
      </c>
      <c r="I2016" cm="1">
        <f t="array" ref="I2016">INT(F2016)+IF(100-SUM(INT(F$2016:F$2025))&gt;=RANK(H2016,H$2016:H$2025)+COUNTIF(H$2016:H2016,H2016)-1,1,0)</f>
        <v>2</v>
      </c>
      <c r="J2016" t="b">
        <f t="shared" si="352"/>
        <v>0</v>
      </c>
      <c r="K2016" t="str">
        <f t="shared" si="353"/>
        <v/>
      </c>
      <c r="L2016">
        <f>_xlfn.XLOOKUP(D2016,BugList!C:C,BugList!N:N)</f>
        <v>4</v>
      </c>
      <c r="M2016">
        <f t="shared" si="354"/>
        <v>8</v>
      </c>
      <c r="N2016" t="b">
        <f>_xlfn.XLOOKUP(D2016,BugList!C:C,BugList!L:L)</f>
        <v>1</v>
      </c>
      <c r="O2016" t="b">
        <f t="shared" si="355"/>
        <v>0</v>
      </c>
      <c r="P2016" s="18" t="b">
        <f>SUMPRODUCT(COUNTIF(_xlfn.XLOOKUP(D2016,BugList!C:C,BugList!P:P), "*SC*"))&gt;0</f>
        <v>1</v>
      </c>
    </row>
    <row r="2017" spans="1:16">
      <c r="A2017" s="9" t="s">
        <v>2923</v>
      </c>
      <c r="B2017" s="83">
        <v>463</v>
      </c>
      <c r="C2017" s="34" t="s">
        <v>200</v>
      </c>
      <c r="D2017" s="34" t="s">
        <v>100</v>
      </c>
      <c r="E2017" s="83">
        <v>3</v>
      </c>
      <c r="F2017" s="43">
        <f t="shared" si="356"/>
        <v>2.5641025641025639</v>
      </c>
      <c r="G2017" s="44">
        <f t="shared" si="350"/>
        <v>2</v>
      </c>
      <c r="H2017" s="44">
        <f t="shared" si="351"/>
        <v>0.56410256410256387</v>
      </c>
      <c r="I2017" cm="1">
        <f t="array" ref="I2017">INT(F2017)+IF(100-SUM(INT(F$2016:F$2025))&gt;=RANK(H2017,H$2016:H$2025)+COUNTIF(H$2016:H2017,H2017)-1,1,0)</f>
        <v>2</v>
      </c>
      <c r="J2017" t="b">
        <f t="shared" si="352"/>
        <v>0</v>
      </c>
      <c r="K2017" t="str">
        <f t="shared" si="353"/>
        <v/>
      </c>
      <c r="L2017">
        <f>_xlfn.XLOOKUP(D2017,BugList!C:C,BugList!N:N)</f>
        <v>4</v>
      </c>
      <c r="M2017">
        <f t="shared" si="354"/>
        <v>8</v>
      </c>
      <c r="N2017" t="b">
        <f>_xlfn.XLOOKUP(D2017,BugList!C:C,BugList!L:L)</f>
        <v>1</v>
      </c>
      <c r="O2017" t="b">
        <f t="shared" si="355"/>
        <v>0</v>
      </c>
      <c r="P2017" s="18" t="b">
        <f>SUMPRODUCT(COUNTIF(_xlfn.XLOOKUP(D2017,BugList!C:C,BugList!P:P), "*SC*"))&gt;0</f>
        <v>1</v>
      </c>
    </row>
    <row r="2018" spans="1:16">
      <c r="A2018" s="9" t="s">
        <v>2923</v>
      </c>
      <c r="B2018" s="83">
        <v>463</v>
      </c>
      <c r="C2018" s="34" t="s">
        <v>194</v>
      </c>
      <c r="D2018" s="34" t="s">
        <v>90</v>
      </c>
      <c r="E2018" s="83">
        <v>64</v>
      </c>
      <c r="F2018" s="43">
        <f t="shared" si="356"/>
        <v>54.700854700854705</v>
      </c>
      <c r="G2018" s="44">
        <f t="shared" si="350"/>
        <v>54</v>
      </c>
      <c r="H2018" s="44">
        <f t="shared" si="351"/>
        <v>0.70085470085470547</v>
      </c>
      <c r="I2018" cm="1">
        <f t="array" ref="I2018">INT(F2018)+IF(100-SUM(INT(F$2016:F$2025))&gt;=RANK(H2018,H$2016:H$2025)+COUNTIF(H$2016:H2018,H2018)-1,1,0)</f>
        <v>55</v>
      </c>
      <c r="J2018" t="b">
        <f t="shared" si="352"/>
        <v>0</v>
      </c>
      <c r="K2018" t="str">
        <f t="shared" si="353"/>
        <v/>
      </c>
      <c r="L2018">
        <f>_xlfn.XLOOKUP(D2018,BugList!C:C,BugList!N:N)</f>
        <v>6</v>
      </c>
      <c r="M2018">
        <f t="shared" si="354"/>
        <v>330</v>
      </c>
      <c r="N2018" t="b">
        <f>_xlfn.XLOOKUP(D2018,BugList!C:C,BugList!L:L)</f>
        <v>1</v>
      </c>
      <c r="O2018" t="b">
        <f t="shared" si="355"/>
        <v>0</v>
      </c>
      <c r="P2018" s="18" t="b">
        <f>SUMPRODUCT(COUNTIF(_xlfn.XLOOKUP(D2018,BugList!C:C,BugList!P:P), "*SC*"))&gt;0</f>
        <v>0</v>
      </c>
    </row>
    <row r="2019" spans="1:16">
      <c r="A2019" s="9" t="s">
        <v>2923</v>
      </c>
      <c r="B2019" s="83">
        <v>463</v>
      </c>
      <c r="C2019" s="34" t="s">
        <v>194</v>
      </c>
      <c r="D2019" s="34" t="s">
        <v>108</v>
      </c>
      <c r="E2019" s="83">
        <v>1</v>
      </c>
      <c r="F2019" s="43">
        <f t="shared" si="356"/>
        <v>0.85470085470085477</v>
      </c>
      <c r="G2019" s="44">
        <f t="shared" si="350"/>
        <v>0</v>
      </c>
      <c r="H2019" s="44">
        <f t="shared" si="351"/>
        <v>0.85470085470085477</v>
      </c>
      <c r="I2019" cm="1">
        <f t="array" ref="I2019">INT(F2019)+IF(100-SUM(INT(F$2016:F$2025))&gt;=RANK(H2019,H$2016:H$2025)+COUNTIF(H$2016:H2019,H2019)-1,1,0)</f>
        <v>1</v>
      </c>
      <c r="J2019" t="b">
        <f t="shared" si="352"/>
        <v>0</v>
      </c>
      <c r="K2019" t="str">
        <f t="shared" si="353"/>
        <v/>
      </c>
      <c r="L2019">
        <f>_xlfn.XLOOKUP(D2019,BugList!C:C,BugList!N:N)</f>
        <v>3</v>
      </c>
      <c r="M2019">
        <f t="shared" si="354"/>
        <v>3</v>
      </c>
      <c r="N2019" t="b">
        <f>_xlfn.XLOOKUP(D2019,BugList!C:C,BugList!L:L)</f>
        <v>1</v>
      </c>
      <c r="O2019" t="b">
        <f t="shared" si="355"/>
        <v>0</v>
      </c>
      <c r="P2019" s="18" t="b">
        <f>SUMPRODUCT(COUNTIF(_xlfn.XLOOKUP(D2019,BugList!C:C,BugList!P:P), "*SC*"))&gt;0</f>
        <v>0</v>
      </c>
    </row>
    <row r="2020" spans="1:16">
      <c r="A2020" s="9" t="s">
        <v>2923</v>
      </c>
      <c r="B2020" s="83">
        <v>463</v>
      </c>
      <c r="C2020" s="34" t="s">
        <v>199</v>
      </c>
      <c r="D2020" s="34" t="s">
        <v>111</v>
      </c>
      <c r="E2020" s="83">
        <v>6</v>
      </c>
      <c r="F2020" s="43">
        <f t="shared" si="356"/>
        <v>5.1282051282051277</v>
      </c>
      <c r="G2020" s="44">
        <f t="shared" si="350"/>
        <v>5</v>
      </c>
      <c r="H2020" s="44">
        <f t="shared" si="351"/>
        <v>0.12820512820512775</v>
      </c>
      <c r="I2020" cm="1">
        <f t="array" ref="I2020">INT(F2020)+IF(100-SUM(INT(F$2016:F$2025))&gt;=RANK(H2020,H$2016:H$2025)+COUNTIF(H$2016:H2020,H2020)-1,1,0)</f>
        <v>5</v>
      </c>
      <c r="J2020" t="b">
        <f t="shared" si="352"/>
        <v>1</v>
      </c>
      <c r="K2020" t="str">
        <f t="shared" si="353"/>
        <v>Ephemeroptera</v>
      </c>
      <c r="L2020">
        <f>_xlfn.XLOOKUP(D2020,BugList!C:C,BugList!N:N)</f>
        <v>4</v>
      </c>
      <c r="M2020">
        <f t="shared" si="354"/>
        <v>20</v>
      </c>
      <c r="N2020" t="b">
        <f>_xlfn.XLOOKUP(D2020,BugList!C:C,BugList!L:L)</f>
        <v>1</v>
      </c>
      <c r="O2020" t="b">
        <f t="shared" si="355"/>
        <v>1</v>
      </c>
      <c r="P2020" s="18" t="b">
        <f>SUMPRODUCT(COUNTIF(_xlfn.XLOOKUP(D2020,BugList!C:C,BugList!P:P), "*SC*"))&gt;0</f>
        <v>0</v>
      </c>
    </row>
    <row r="2021" spans="1:16">
      <c r="A2021" s="9" t="s">
        <v>2923</v>
      </c>
      <c r="B2021" s="83">
        <v>463</v>
      </c>
      <c r="C2021" s="34" t="s">
        <v>195</v>
      </c>
      <c r="D2021" s="34" t="s">
        <v>113</v>
      </c>
      <c r="E2021" s="83">
        <v>2</v>
      </c>
      <c r="F2021" s="43">
        <f t="shared" si="356"/>
        <v>1.7094017094017095</v>
      </c>
      <c r="G2021" s="44">
        <f t="shared" si="350"/>
        <v>1</v>
      </c>
      <c r="H2021" s="44">
        <f t="shared" si="351"/>
        <v>0.70940170940170955</v>
      </c>
      <c r="I2021" cm="1">
        <f t="array" ref="I2021">INT(F2021)+IF(100-SUM(INT(F$2016:F$2025))&gt;=RANK(H2021,H$2016:H$2025)+COUNTIF(H$2016:H2021,H2021)-1,1,0)</f>
        <v>2</v>
      </c>
      <c r="J2021" t="b">
        <f t="shared" si="352"/>
        <v>0</v>
      </c>
      <c r="K2021" t="str">
        <f t="shared" si="353"/>
        <v/>
      </c>
      <c r="L2021">
        <f>_xlfn.XLOOKUP(D2021,BugList!C:C,BugList!N:N)</f>
        <v>1</v>
      </c>
      <c r="M2021">
        <f t="shared" si="354"/>
        <v>2</v>
      </c>
      <c r="N2021" t="b">
        <f>_xlfn.XLOOKUP(D2021,BugList!C:C,BugList!L:L)</f>
        <v>1</v>
      </c>
      <c r="O2021" t="b">
        <f t="shared" si="355"/>
        <v>0</v>
      </c>
      <c r="P2021" s="18" t="b">
        <f>SUMPRODUCT(COUNTIF(_xlfn.XLOOKUP(D2021,BugList!C:C,BugList!P:P), "*SC*"))&gt;0</f>
        <v>0</v>
      </c>
    </row>
    <row r="2022" spans="1:16">
      <c r="A2022" s="9" t="s">
        <v>2923</v>
      </c>
      <c r="B2022" s="83">
        <v>463</v>
      </c>
      <c r="C2022" s="34" t="s">
        <v>198</v>
      </c>
      <c r="D2022" s="34" t="s">
        <v>89</v>
      </c>
      <c r="E2022" s="83">
        <v>26</v>
      </c>
      <c r="F2022" s="43">
        <f t="shared" si="356"/>
        <v>22.222222222222221</v>
      </c>
      <c r="G2022" s="44">
        <f t="shared" si="350"/>
        <v>22</v>
      </c>
      <c r="H2022" s="44">
        <f t="shared" si="351"/>
        <v>0.22222222222222143</v>
      </c>
      <c r="I2022" cm="1">
        <f t="array" ref="I2022">INT(F2022)+IF(100-SUM(INT(F$2016:F$2025))&gt;=RANK(H2022,H$2016:H$2025)+COUNTIF(H$2016:H2022,H2022)-1,1,0)</f>
        <v>22</v>
      </c>
      <c r="J2022" t="b">
        <f t="shared" si="352"/>
        <v>1</v>
      </c>
      <c r="K2022" t="str">
        <f t="shared" si="353"/>
        <v>Trichoptera</v>
      </c>
      <c r="L2022">
        <f>_xlfn.XLOOKUP(D2022,BugList!C:C,BugList!N:N)</f>
        <v>4</v>
      </c>
      <c r="M2022">
        <f t="shared" si="354"/>
        <v>88</v>
      </c>
      <c r="N2022" t="b">
        <f>_xlfn.XLOOKUP(D2022,BugList!C:C,BugList!L:L)</f>
        <v>1</v>
      </c>
      <c r="O2022" t="b">
        <f t="shared" si="355"/>
        <v>0</v>
      </c>
      <c r="P2022" s="18" t="b">
        <f>SUMPRODUCT(COUNTIF(_xlfn.XLOOKUP(D2022,BugList!C:C,BugList!P:P), "*SC*"))&gt;0</f>
        <v>0</v>
      </c>
    </row>
    <row r="2023" spans="1:16">
      <c r="A2023" s="9" t="s">
        <v>2923</v>
      </c>
      <c r="B2023" s="83">
        <v>463</v>
      </c>
      <c r="C2023" s="34" t="s">
        <v>198</v>
      </c>
      <c r="D2023" s="34" t="s">
        <v>107</v>
      </c>
      <c r="E2023" s="83">
        <v>11</v>
      </c>
      <c r="F2023" s="43">
        <f t="shared" si="356"/>
        <v>9.4017094017094021</v>
      </c>
      <c r="G2023" s="44">
        <f t="shared" si="350"/>
        <v>9</v>
      </c>
      <c r="H2023" s="44">
        <f t="shared" si="351"/>
        <v>0.40170940170940206</v>
      </c>
      <c r="I2023" cm="1">
        <f t="array" ref="I2023">INT(F2023)+IF(100-SUM(INT(F$2016:F$2025))&gt;=RANK(H2023,H$2016:H$2025)+COUNTIF(H$2016:H2023,H2023)-1,1,0)</f>
        <v>9</v>
      </c>
      <c r="J2023" t="b">
        <f t="shared" si="352"/>
        <v>1</v>
      </c>
      <c r="K2023" t="str">
        <f t="shared" si="353"/>
        <v>Trichoptera</v>
      </c>
      <c r="L2023">
        <f>_xlfn.XLOOKUP(D2023,BugList!C:C,BugList!N:N)</f>
        <v>3</v>
      </c>
      <c r="M2023">
        <f t="shared" si="354"/>
        <v>27</v>
      </c>
      <c r="N2023" t="b">
        <f>_xlfn.XLOOKUP(D2023,BugList!C:C,BugList!L:L)</f>
        <v>1</v>
      </c>
      <c r="O2023" t="b">
        <f t="shared" si="355"/>
        <v>1</v>
      </c>
      <c r="P2023" s="18" t="b">
        <f>SUMPRODUCT(COUNTIF(_xlfn.XLOOKUP(D2023,BugList!C:C,BugList!P:P), "*SC*"))&gt;0</f>
        <v>0</v>
      </c>
    </row>
    <row r="2024" spans="1:16">
      <c r="A2024" s="9" t="s">
        <v>2923</v>
      </c>
      <c r="B2024" s="83">
        <v>463</v>
      </c>
      <c r="C2024" s="34" t="s">
        <v>204</v>
      </c>
      <c r="D2024" s="34" t="s">
        <v>84</v>
      </c>
      <c r="E2024" s="83">
        <v>1</v>
      </c>
      <c r="F2024" s="43">
        <f t="shared" si="356"/>
        <v>0.85470085470085477</v>
      </c>
      <c r="G2024" s="44">
        <f t="shared" si="350"/>
        <v>0</v>
      </c>
      <c r="H2024" s="44">
        <f t="shared" si="351"/>
        <v>0.85470085470085477</v>
      </c>
      <c r="I2024" cm="1">
        <f t="array" ref="I2024">INT(F2024)+IF(100-SUM(INT(F$2016:F$2025))&gt;=RANK(H2024,H$2016:H$2025)+COUNTIF(H$2016:H2024,H2024)-1,1,0)</f>
        <v>1</v>
      </c>
      <c r="J2024" t="b">
        <f t="shared" si="352"/>
        <v>0</v>
      </c>
      <c r="K2024" t="str">
        <f t="shared" si="353"/>
        <v/>
      </c>
      <c r="L2024">
        <f>_xlfn.XLOOKUP(D2024,BugList!C:C,BugList!N:N)</f>
        <v>8</v>
      </c>
      <c r="M2024">
        <f t="shared" si="354"/>
        <v>8</v>
      </c>
      <c r="N2024" t="b">
        <f>_xlfn.XLOOKUP(D2024,BugList!C:C,BugList!L:L)</f>
        <v>0</v>
      </c>
      <c r="O2024" t="b">
        <f t="shared" si="355"/>
        <v>0</v>
      </c>
      <c r="P2024" s="18" t="b">
        <f>SUMPRODUCT(COUNTIF(_xlfn.XLOOKUP(D2024,BugList!C:C,BugList!P:P), "*SC*"))&gt;0</f>
        <v>0</v>
      </c>
    </row>
    <row r="2025" spans="1:16">
      <c r="A2025" s="9" t="s">
        <v>2923</v>
      </c>
      <c r="B2025" s="83">
        <v>463</v>
      </c>
      <c r="C2025" s="34" t="s">
        <v>201</v>
      </c>
      <c r="D2025" s="34" t="s">
        <v>85</v>
      </c>
      <c r="E2025" s="83">
        <v>1</v>
      </c>
      <c r="F2025" s="43">
        <f t="shared" si="356"/>
        <v>0.85470085470085477</v>
      </c>
      <c r="G2025" s="44">
        <f t="shared" si="350"/>
        <v>0</v>
      </c>
      <c r="H2025" s="44">
        <f t="shared" si="351"/>
        <v>0.85470085470085477</v>
      </c>
      <c r="I2025" cm="1">
        <f t="array" ref="I2025">INT(F2025)+IF(100-SUM(INT(F$2016:F$2025))&gt;=RANK(H2025,H$2016:H$2025)+COUNTIF(H$2016:H2025,H2025)-1,1,0)</f>
        <v>1</v>
      </c>
      <c r="J2025" t="b">
        <f t="shared" si="352"/>
        <v>0</v>
      </c>
      <c r="K2025" t="str">
        <f t="shared" si="353"/>
        <v/>
      </c>
      <c r="L2025">
        <f>_xlfn.XLOOKUP(D2025,BugList!C:C,BugList!N:N)</f>
        <v>4</v>
      </c>
      <c r="M2025">
        <f t="shared" si="354"/>
        <v>4</v>
      </c>
      <c r="N2025" t="b">
        <f>_xlfn.XLOOKUP(D2025,BugList!C:C,BugList!L:L)</f>
        <v>0</v>
      </c>
      <c r="O2025" t="b">
        <f t="shared" si="355"/>
        <v>0</v>
      </c>
      <c r="P2025" s="18" t="b">
        <f>SUMPRODUCT(COUNTIF(_xlfn.XLOOKUP(D2025,BugList!C:C,BugList!P:P), "*SC*"))&gt;0</f>
        <v>0</v>
      </c>
    </row>
    <row r="2026" spans="1:16">
      <c r="A2026" s="9" t="s">
        <v>2924</v>
      </c>
      <c r="B2026" s="83">
        <v>472</v>
      </c>
      <c r="C2026" s="34" t="s">
        <v>200</v>
      </c>
      <c r="D2026" s="34" t="s">
        <v>98</v>
      </c>
      <c r="E2026" s="83">
        <v>17</v>
      </c>
      <c r="F2026" s="43">
        <f t="shared" si="356"/>
        <v>14.166666666666666</v>
      </c>
      <c r="G2026" s="44">
        <f t="shared" si="350"/>
        <v>14</v>
      </c>
      <c r="H2026" s="44">
        <f t="shared" si="351"/>
        <v>0.16666666666666607</v>
      </c>
      <c r="I2026" cm="1">
        <f t="array" ref="I2026">INT(F2026)+IF(100-SUM(INT(F$2026:F$2043))&gt;=RANK(H2026,H$2026:H$2043)+COUNTIF(H$2026:H2026,H2026)-1,1,0)</f>
        <v>14</v>
      </c>
      <c r="J2026" t="b">
        <f t="shared" si="352"/>
        <v>0</v>
      </c>
      <c r="K2026" t="str">
        <f t="shared" si="353"/>
        <v/>
      </c>
      <c r="L2026">
        <f>_xlfn.XLOOKUP(D2026,BugList!C:C,BugList!N:N)</f>
        <v>4</v>
      </c>
      <c r="M2026">
        <f t="shared" si="354"/>
        <v>56</v>
      </c>
      <c r="N2026" t="b">
        <f>_xlfn.XLOOKUP(D2026,BugList!C:C,BugList!L:L)</f>
        <v>1</v>
      </c>
      <c r="O2026" t="b">
        <f t="shared" si="355"/>
        <v>0</v>
      </c>
      <c r="P2026" s="18" t="b">
        <f>SUMPRODUCT(COUNTIF(_xlfn.XLOOKUP(D2026,BugList!C:C,BugList!P:P), "*SC*"))&gt;0</f>
        <v>1</v>
      </c>
    </row>
    <row r="2027" spans="1:16">
      <c r="A2027" s="9" t="s">
        <v>2924</v>
      </c>
      <c r="B2027" s="83">
        <v>472</v>
      </c>
      <c r="C2027" s="34" t="s">
        <v>200</v>
      </c>
      <c r="D2027" s="34" t="s">
        <v>99</v>
      </c>
      <c r="E2027" s="83">
        <v>1</v>
      </c>
      <c r="F2027" s="43">
        <f t="shared" si="356"/>
        <v>0.83333333333333337</v>
      </c>
      <c r="G2027" s="44">
        <f t="shared" si="350"/>
        <v>0</v>
      </c>
      <c r="H2027" s="44">
        <f t="shared" si="351"/>
        <v>0.83333333333333337</v>
      </c>
      <c r="I2027" cm="1">
        <f t="array" ref="I2027">INT(F2027)+IF(100-SUM(INT(F$2026:F$2043))&gt;=RANK(H2027,H$2026:H$2043)+COUNTIF(H$2026:H2027,H2027)-1,1,0)</f>
        <v>1</v>
      </c>
      <c r="J2027" t="b">
        <f t="shared" si="352"/>
        <v>0</v>
      </c>
      <c r="K2027" t="str">
        <f t="shared" si="353"/>
        <v/>
      </c>
      <c r="L2027">
        <f>_xlfn.XLOOKUP(D2027,BugList!C:C,BugList!N:N)</f>
        <v>5</v>
      </c>
      <c r="M2027">
        <f t="shared" si="354"/>
        <v>5</v>
      </c>
      <c r="N2027" t="b">
        <f>_xlfn.XLOOKUP(D2027,BugList!C:C,BugList!L:L)</f>
        <v>1</v>
      </c>
      <c r="O2027" t="b">
        <f t="shared" si="355"/>
        <v>0</v>
      </c>
      <c r="P2027" s="18" t="b">
        <f>SUMPRODUCT(COUNTIF(_xlfn.XLOOKUP(D2027,BugList!C:C,BugList!P:P), "*SC*"))&gt;0</f>
        <v>0</v>
      </c>
    </row>
    <row r="2028" spans="1:16">
      <c r="A2028" s="9" t="s">
        <v>2924</v>
      </c>
      <c r="B2028" s="83">
        <v>472</v>
      </c>
      <c r="C2028" s="34" t="s">
        <v>200</v>
      </c>
      <c r="D2028" s="34" t="s">
        <v>100</v>
      </c>
      <c r="E2028" s="83">
        <v>25</v>
      </c>
      <c r="F2028" s="43">
        <f t="shared" si="356"/>
        <v>20.833333333333336</v>
      </c>
      <c r="G2028" s="44">
        <f t="shared" si="350"/>
        <v>20</v>
      </c>
      <c r="H2028" s="44">
        <f t="shared" si="351"/>
        <v>0.8333333333333357</v>
      </c>
      <c r="I2028" cm="1">
        <f t="array" ref="I2028">INT(F2028)+IF(100-SUM(INT(F$2026:F$2043))&gt;=RANK(H2028,H$2026:H$2043)+COUNTIF(H$2026:H2028,H2028)-1,1,0)</f>
        <v>21</v>
      </c>
      <c r="J2028" t="b">
        <f t="shared" si="352"/>
        <v>0</v>
      </c>
      <c r="K2028" t="str">
        <f t="shared" si="353"/>
        <v/>
      </c>
      <c r="L2028">
        <f>_xlfn.XLOOKUP(D2028,BugList!C:C,BugList!N:N)</f>
        <v>4</v>
      </c>
      <c r="M2028">
        <f t="shared" si="354"/>
        <v>84</v>
      </c>
      <c r="N2028" t="b">
        <f>_xlfn.XLOOKUP(D2028,BugList!C:C,BugList!L:L)</f>
        <v>1</v>
      </c>
      <c r="O2028" t="b">
        <f t="shared" si="355"/>
        <v>0</v>
      </c>
      <c r="P2028" s="18" t="b">
        <f>SUMPRODUCT(COUNTIF(_xlfn.XLOOKUP(D2028,BugList!C:C,BugList!P:P), "*SC*"))&gt;0</f>
        <v>1</v>
      </c>
    </row>
    <row r="2029" spans="1:16">
      <c r="A2029" s="9" t="s">
        <v>2924</v>
      </c>
      <c r="B2029" s="83">
        <v>472</v>
      </c>
      <c r="C2029" s="34" t="s">
        <v>194</v>
      </c>
      <c r="D2029" s="34" t="s">
        <v>90</v>
      </c>
      <c r="E2029" s="83">
        <v>9</v>
      </c>
      <c r="F2029" s="43">
        <f t="shared" si="356"/>
        <v>7.5</v>
      </c>
      <c r="G2029" s="44">
        <f t="shared" si="350"/>
        <v>7</v>
      </c>
      <c r="H2029" s="44">
        <f t="shared" si="351"/>
        <v>0.5</v>
      </c>
      <c r="I2029" cm="1">
        <f t="array" ref="I2029">INT(F2029)+IF(100-SUM(INT(F$2026:F$2043))&gt;=RANK(H2029,H$2026:H$2043)+COUNTIF(H$2026:H2029,H2029)-1,1,0)</f>
        <v>7</v>
      </c>
      <c r="J2029" t="b">
        <f t="shared" si="352"/>
        <v>0</v>
      </c>
      <c r="K2029" t="str">
        <f t="shared" si="353"/>
        <v/>
      </c>
      <c r="L2029">
        <f>_xlfn.XLOOKUP(D2029,BugList!C:C,BugList!N:N)</f>
        <v>6</v>
      </c>
      <c r="M2029">
        <f t="shared" si="354"/>
        <v>42</v>
      </c>
      <c r="N2029" t="b">
        <f>_xlfn.XLOOKUP(D2029,BugList!C:C,BugList!L:L)</f>
        <v>1</v>
      </c>
      <c r="O2029" t="b">
        <f t="shared" si="355"/>
        <v>0</v>
      </c>
      <c r="P2029" s="18" t="b">
        <f>SUMPRODUCT(COUNTIF(_xlfn.XLOOKUP(D2029,BugList!C:C,BugList!P:P), "*SC*"))&gt;0</f>
        <v>0</v>
      </c>
    </row>
    <row r="2030" spans="1:16">
      <c r="A2030" s="9" t="s">
        <v>2924</v>
      </c>
      <c r="B2030" s="83">
        <v>472</v>
      </c>
      <c r="C2030" s="34" t="s">
        <v>194</v>
      </c>
      <c r="D2030" s="34" t="s">
        <v>108</v>
      </c>
      <c r="E2030" s="83">
        <v>1</v>
      </c>
      <c r="F2030" s="43">
        <f t="shared" si="356"/>
        <v>0.83333333333333337</v>
      </c>
      <c r="G2030" s="44">
        <f t="shared" si="350"/>
        <v>0</v>
      </c>
      <c r="H2030" s="44">
        <f t="shared" si="351"/>
        <v>0.83333333333333337</v>
      </c>
      <c r="I2030" cm="1">
        <f t="array" ref="I2030">INT(F2030)+IF(100-SUM(INT(F$2026:F$2043))&gt;=RANK(H2030,H$2026:H$2043)+COUNTIF(H$2026:H2030,H2030)-1,1,0)</f>
        <v>1</v>
      </c>
      <c r="J2030" t="b">
        <f t="shared" si="352"/>
        <v>0</v>
      </c>
      <c r="K2030" t="str">
        <f t="shared" si="353"/>
        <v/>
      </c>
      <c r="L2030">
        <f>_xlfn.XLOOKUP(D2030,BugList!C:C,BugList!N:N)</f>
        <v>3</v>
      </c>
      <c r="M2030">
        <f t="shared" si="354"/>
        <v>3</v>
      </c>
      <c r="N2030" t="b">
        <f>_xlfn.XLOOKUP(D2030,BugList!C:C,BugList!L:L)</f>
        <v>1</v>
      </c>
      <c r="O2030" t="b">
        <f t="shared" si="355"/>
        <v>0</v>
      </c>
      <c r="P2030" s="18" t="b">
        <f>SUMPRODUCT(COUNTIF(_xlfn.XLOOKUP(D2030,BugList!C:C,BugList!P:P), "*SC*"))&gt;0</f>
        <v>0</v>
      </c>
    </row>
    <row r="2031" spans="1:16">
      <c r="A2031" s="9" t="s">
        <v>2924</v>
      </c>
      <c r="B2031" s="83">
        <v>472</v>
      </c>
      <c r="C2031" s="34" t="s">
        <v>199</v>
      </c>
      <c r="D2031" s="34" t="s">
        <v>154</v>
      </c>
      <c r="E2031" s="83">
        <v>1</v>
      </c>
      <c r="F2031" s="43">
        <f t="shared" si="356"/>
        <v>0.83333333333333337</v>
      </c>
      <c r="G2031" s="44">
        <f t="shared" si="350"/>
        <v>0</v>
      </c>
      <c r="H2031" s="44">
        <f t="shared" si="351"/>
        <v>0.83333333333333337</v>
      </c>
      <c r="I2031" cm="1">
        <f t="array" ref="I2031">INT(F2031)+IF(100-SUM(INT(F$2026:F$2043))&gt;=RANK(H2031,H$2026:H$2043)+COUNTIF(H$2026:H2031,H2031)-1,1,0)</f>
        <v>1</v>
      </c>
      <c r="J2031" t="b">
        <f t="shared" si="352"/>
        <v>1</v>
      </c>
      <c r="K2031" t="str">
        <f t="shared" si="353"/>
        <v>Ephemeroptera</v>
      </c>
      <c r="L2031">
        <f>_xlfn.XLOOKUP(D2031,BugList!C:C,BugList!N:N)</f>
        <v>7</v>
      </c>
      <c r="M2031">
        <f t="shared" si="354"/>
        <v>7</v>
      </c>
      <c r="N2031" t="b">
        <f>_xlfn.XLOOKUP(D2031,BugList!C:C,BugList!L:L)</f>
        <v>1</v>
      </c>
      <c r="O2031" t="b">
        <f t="shared" si="355"/>
        <v>1</v>
      </c>
      <c r="P2031" s="18" t="b">
        <f>SUMPRODUCT(COUNTIF(_xlfn.XLOOKUP(D2031,BugList!C:C,BugList!P:P), "*SC*"))&gt;0</f>
        <v>0</v>
      </c>
    </row>
    <row r="2032" spans="1:16">
      <c r="A2032" s="9" t="s">
        <v>2924</v>
      </c>
      <c r="B2032" s="83">
        <v>472</v>
      </c>
      <c r="C2032" s="34" t="s">
        <v>199</v>
      </c>
      <c r="D2032" s="34" t="s">
        <v>111</v>
      </c>
      <c r="E2032" s="83">
        <v>17</v>
      </c>
      <c r="F2032" s="43">
        <f t="shared" si="356"/>
        <v>14.166666666666666</v>
      </c>
      <c r="G2032" s="44">
        <f t="shared" si="350"/>
        <v>14</v>
      </c>
      <c r="H2032" s="44">
        <f t="shared" si="351"/>
        <v>0.16666666666666607</v>
      </c>
      <c r="I2032" cm="1">
        <f t="array" ref="I2032">INT(F2032)+IF(100-SUM(INT(F$2026:F$2043))&gt;=RANK(H2032,H$2026:H$2043)+COUNTIF(H$2026:H2032,H2032)-1,1,0)</f>
        <v>14</v>
      </c>
      <c r="J2032" t="b">
        <f t="shared" si="352"/>
        <v>1</v>
      </c>
      <c r="K2032" t="str">
        <f t="shared" si="353"/>
        <v>Ephemeroptera</v>
      </c>
      <c r="L2032">
        <f>_xlfn.XLOOKUP(D2032,BugList!C:C,BugList!N:N)</f>
        <v>4</v>
      </c>
      <c r="M2032">
        <f t="shared" si="354"/>
        <v>56</v>
      </c>
      <c r="N2032" t="b">
        <f>_xlfn.XLOOKUP(D2032,BugList!C:C,BugList!L:L)</f>
        <v>1</v>
      </c>
      <c r="O2032" t="b">
        <f t="shared" si="355"/>
        <v>1</v>
      </c>
      <c r="P2032" s="18" t="b">
        <f>SUMPRODUCT(COUNTIF(_xlfn.XLOOKUP(D2032,BugList!C:C,BugList!P:P), "*SC*"))&gt;0</f>
        <v>0</v>
      </c>
    </row>
    <row r="2033" spans="1:16">
      <c r="A2033" s="9" t="s">
        <v>2924</v>
      </c>
      <c r="B2033" s="83">
        <v>472</v>
      </c>
      <c r="C2033" s="34" t="s">
        <v>195</v>
      </c>
      <c r="D2033" s="34" t="s">
        <v>112</v>
      </c>
      <c r="E2033" s="83">
        <v>1</v>
      </c>
      <c r="F2033" s="43">
        <f t="shared" si="356"/>
        <v>0.83333333333333337</v>
      </c>
      <c r="G2033" s="44">
        <f t="shared" si="350"/>
        <v>0</v>
      </c>
      <c r="H2033" s="44">
        <f t="shared" si="351"/>
        <v>0.83333333333333337</v>
      </c>
      <c r="I2033" cm="1">
        <f t="array" ref="I2033">INT(F2033)+IF(100-SUM(INT(F$2026:F$2043))&gt;=RANK(H2033,H$2026:H$2043)+COUNTIF(H$2026:H2033,H2033)-1,1,0)</f>
        <v>1</v>
      </c>
      <c r="J2033" t="b">
        <f t="shared" si="352"/>
        <v>0</v>
      </c>
      <c r="K2033" t="str">
        <f t="shared" si="353"/>
        <v/>
      </c>
      <c r="L2033">
        <f>_xlfn.XLOOKUP(D2033,BugList!C:C,BugList!N:N)</f>
        <v>5</v>
      </c>
      <c r="M2033">
        <f t="shared" si="354"/>
        <v>5</v>
      </c>
      <c r="N2033" t="b">
        <f>_xlfn.XLOOKUP(D2033,BugList!C:C,BugList!L:L)</f>
        <v>1</v>
      </c>
      <c r="O2033" t="b">
        <f t="shared" si="355"/>
        <v>0</v>
      </c>
      <c r="P2033" s="18" t="b">
        <f>SUMPRODUCT(COUNTIF(_xlfn.XLOOKUP(D2033,BugList!C:C,BugList!P:P), "*SC*"))&gt;0</f>
        <v>0</v>
      </c>
    </row>
    <row r="2034" spans="1:16">
      <c r="A2034" s="9" t="s">
        <v>2924</v>
      </c>
      <c r="B2034" s="83">
        <v>472</v>
      </c>
      <c r="C2034" s="34" t="s">
        <v>195</v>
      </c>
      <c r="D2034" s="34" t="s">
        <v>113</v>
      </c>
      <c r="E2034" s="83">
        <v>4</v>
      </c>
      <c r="F2034" s="43">
        <f t="shared" si="356"/>
        <v>3.3333333333333335</v>
      </c>
      <c r="G2034" s="44">
        <f t="shared" si="350"/>
        <v>3</v>
      </c>
      <c r="H2034" s="44">
        <f t="shared" si="351"/>
        <v>0.33333333333333348</v>
      </c>
      <c r="I2034" cm="1">
        <f t="array" ref="I2034">INT(F2034)+IF(100-SUM(INT(F$2026:F$2043))&gt;=RANK(H2034,H$2026:H$2043)+COUNTIF(H$2026:H2034,H2034)-1,1,0)</f>
        <v>3</v>
      </c>
      <c r="J2034" t="b">
        <f t="shared" si="352"/>
        <v>0</v>
      </c>
      <c r="K2034" t="str">
        <f t="shared" si="353"/>
        <v/>
      </c>
      <c r="L2034">
        <f>_xlfn.XLOOKUP(D2034,BugList!C:C,BugList!N:N)</f>
        <v>1</v>
      </c>
      <c r="M2034">
        <f t="shared" si="354"/>
        <v>3</v>
      </c>
      <c r="N2034" t="b">
        <f>_xlfn.XLOOKUP(D2034,BugList!C:C,BugList!L:L)</f>
        <v>1</v>
      </c>
      <c r="O2034" t="b">
        <f t="shared" si="355"/>
        <v>0</v>
      </c>
      <c r="P2034" s="18" t="b">
        <f>SUMPRODUCT(COUNTIF(_xlfn.XLOOKUP(D2034,BugList!C:C,BugList!P:P), "*SC*"))&gt;0</f>
        <v>0</v>
      </c>
    </row>
    <row r="2035" spans="1:16">
      <c r="A2035" s="9" t="s">
        <v>2924</v>
      </c>
      <c r="B2035" s="83">
        <v>472</v>
      </c>
      <c r="C2035" s="34" t="s">
        <v>198</v>
      </c>
      <c r="D2035" s="34" t="s">
        <v>89</v>
      </c>
      <c r="E2035" s="83">
        <v>33</v>
      </c>
      <c r="F2035" s="43">
        <f t="shared" si="356"/>
        <v>27.500000000000004</v>
      </c>
      <c r="G2035" s="44">
        <f t="shared" si="350"/>
        <v>27</v>
      </c>
      <c r="H2035" s="44">
        <f t="shared" si="351"/>
        <v>0.50000000000000355</v>
      </c>
      <c r="I2035" cm="1">
        <f t="array" ref="I2035">INT(F2035)+IF(100-SUM(INT(F$2026:F$2043))&gt;=RANK(H2035,H$2026:H$2043)+COUNTIF(H$2026:H2035,H2035)-1,1,0)</f>
        <v>27</v>
      </c>
      <c r="J2035" t="b">
        <f t="shared" si="352"/>
        <v>1</v>
      </c>
      <c r="K2035" t="str">
        <f t="shared" si="353"/>
        <v>Trichoptera</v>
      </c>
      <c r="L2035">
        <f>_xlfn.XLOOKUP(D2035,BugList!C:C,BugList!N:N)</f>
        <v>4</v>
      </c>
      <c r="M2035">
        <f t="shared" si="354"/>
        <v>108</v>
      </c>
      <c r="N2035" t="b">
        <f>_xlfn.XLOOKUP(D2035,BugList!C:C,BugList!L:L)</f>
        <v>1</v>
      </c>
      <c r="O2035" t="b">
        <f t="shared" si="355"/>
        <v>0</v>
      </c>
      <c r="P2035" s="18" t="b">
        <f>SUMPRODUCT(COUNTIF(_xlfn.XLOOKUP(D2035,BugList!C:C,BugList!P:P), "*SC*"))&gt;0</f>
        <v>0</v>
      </c>
    </row>
    <row r="2036" spans="1:16">
      <c r="A2036" s="9" t="s">
        <v>2924</v>
      </c>
      <c r="B2036" s="83">
        <v>472</v>
      </c>
      <c r="C2036" s="34" t="s">
        <v>198</v>
      </c>
      <c r="D2036" s="34" t="s">
        <v>129</v>
      </c>
      <c r="E2036" s="83">
        <v>1</v>
      </c>
      <c r="F2036" s="43">
        <f t="shared" si="356"/>
        <v>0.83333333333333337</v>
      </c>
      <c r="G2036" s="44">
        <f t="shared" si="350"/>
        <v>0</v>
      </c>
      <c r="H2036" s="44">
        <f t="shared" si="351"/>
        <v>0.83333333333333337</v>
      </c>
      <c r="I2036" cm="1">
        <f t="array" ref="I2036">INT(F2036)+IF(100-SUM(INT(F$2026:F$2043))&gt;=RANK(H2036,H$2026:H$2043)+COUNTIF(H$2026:H2036,H2036)-1,1,0)</f>
        <v>1</v>
      </c>
      <c r="J2036" t="b">
        <f t="shared" si="352"/>
        <v>1</v>
      </c>
      <c r="K2036" t="str">
        <f t="shared" si="353"/>
        <v>Trichoptera</v>
      </c>
      <c r="L2036">
        <f>_xlfn.XLOOKUP(D2036,BugList!C:C,BugList!N:N)</f>
        <v>2</v>
      </c>
      <c r="M2036">
        <f t="shared" si="354"/>
        <v>2</v>
      </c>
      <c r="N2036" t="b">
        <f>_xlfn.XLOOKUP(D2036,BugList!C:C,BugList!L:L)</f>
        <v>1</v>
      </c>
      <c r="O2036" t="b">
        <f t="shared" si="355"/>
        <v>1</v>
      </c>
      <c r="P2036" s="18" t="b">
        <f>SUMPRODUCT(COUNTIF(_xlfn.XLOOKUP(D2036,BugList!C:C,BugList!P:P), "*SC*"))&gt;0</f>
        <v>0</v>
      </c>
    </row>
    <row r="2037" spans="1:16">
      <c r="A2037" s="9" t="s">
        <v>2924</v>
      </c>
      <c r="B2037" s="83">
        <v>472</v>
      </c>
      <c r="C2037" s="34" t="s">
        <v>198</v>
      </c>
      <c r="D2037" s="34" t="s">
        <v>1265</v>
      </c>
      <c r="E2037" s="83">
        <v>2</v>
      </c>
      <c r="F2037" s="43">
        <f t="shared" si="356"/>
        <v>1.6666666666666667</v>
      </c>
      <c r="G2037" s="44">
        <f t="shared" si="350"/>
        <v>1</v>
      </c>
      <c r="H2037" s="44">
        <f t="shared" si="351"/>
        <v>0.66666666666666674</v>
      </c>
      <c r="I2037" cm="1">
        <f t="array" ref="I2037">INT(F2037)+IF(100-SUM(INT(F$2026:F$2043))&gt;=RANK(H2037,H$2026:H$2043)+COUNTIF(H$2026:H2037,H2037)-1,1,0)</f>
        <v>2</v>
      </c>
      <c r="J2037" t="b">
        <f t="shared" si="352"/>
        <v>1</v>
      </c>
      <c r="K2037" t="str">
        <f t="shared" si="353"/>
        <v>Trichoptera</v>
      </c>
      <c r="L2037">
        <f>_xlfn.XLOOKUP(D2037,BugList!C:C,BugList!N:N)</f>
        <v>4</v>
      </c>
      <c r="M2037">
        <f t="shared" si="354"/>
        <v>8</v>
      </c>
      <c r="N2037" t="b">
        <f>_xlfn.XLOOKUP(D2037,BugList!C:C,BugList!L:L)</f>
        <v>1</v>
      </c>
      <c r="O2037" t="b">
        <f t="shared" si="355"/>
        <v>1</v>
      </c>
      <c r="P2037" s="18" t="b">
        <f>SUMPRODUCT(COUNTIF(_xlfn.XLOOKUP(D2037,BugList!C:C,BugList!P:P), "*SC*"))&gt;0</f>
        <v>0</v>
      </c>
    </row>
    <row r="2038" spans="1:16">
      <c r="A2038" s="9" t="s">
        <v>2924</v>
      </c>
      <c r="B2038" s="83">
        <v>472</v>
      </c>
      <c r="C2038" s="34" t="s">
        <v>204</v>
      </c>
      <c r="D2038" s="34" t="s">
        <v>84</v>
      </c>
      <c r="E2038" s="83">
        <v>1</v>
      </c>
      <c r="F2038" s="43">
        <f t="shared" si="356"/>
        <v>0.83333333333333337</v>
      </c>
      <c r="G2038" s="44">
        <f t="shared" si="350"/>
        <v>0</v>
      </c>
      <c r="H2038" s="44">
        <f t="shared" si="351"/>
        <v>0.83333333333333337</v>
      </c>
      <c r="I2038" cm="1">
        <f t="array" ref="I2038">INT(F2038)+IF(100-SUM(INT(F$2026:F$2043))&gt;=RANK(H2038,H$2026:H$2043)+COUNTIF(H$2026:H2038,H2038)-1,1,0)</f>
        <v>1</v>
      </c>
      <c r="J2038" t="b">
        <f t="shared" si="352"/>
        <v>0</v>
      </c>
      <c r="K2038" t="str">
        <f t="shared" si="353"/>
        <v/>
      </c>
      <c r="L2038">
        <f>_xlfn.XLOOKUP(D2038,BugList!C:C,BugList!N:N)</f>
        <v>8</v>
      </c>
      <c r="M2038">
        <f t="shared" si="354"/>
        <v>8</v>
      </c>
      <c r="N2038" t="b">
        <f>_xlfn.XLOOKUP(D2038,BugList!C:C,BugList!L:L)</f>
        <v>0</v>
      </c>
      <c r="O2038" t="b">
        <f t="shared" si="355"/>
        <v>0</v>
      </c>
      <c r="P2038" s="18" t="b">
        <f>SUMPRODUCT(COUNTIF(_xlfn.XLOOKUP(D2038,BugList!C:C,BugList!P:P), "*SC*"))&gt;0</f>
        <v>0</v>
      </c>
    </row>
    <row r="2039" spans="1:16">
      <c r="A2039" s="9" t="s">
        <v>2924</v>
      </c>
      <c r="B2039" s="83">
        <v>472</v>
      </c>
      <c r="C2039" s="34" t="s">
        <v>201</v>
      </c>
      <c r="D2039" s="34" t="s">
        <v>85</v>
      </c>
      <c r="E2039" s="83">
        <v>2</v>
      </c>
      <c r="F2039" s="43">
        <f t="shared" si="356"/>
        <v>1.6666666666666667</v>
      </c>
      <c r="G2039" s="44">
        <f t="shared" si="350"/>
        <v>1</v>
      </c>
      <c r="H2039" s="44">
        <f t="shared" si="351"/>
        <v>0.66666666666666674</v>
      </c>
      <c r="I2039" cm="1">
        <f t="array" ref="I2039">INT(F2039)+IF(100-SUM(INT(F$2026:F$2043))&gt;=RANK(H2039,H$2026:H$2043)+COUNTIF(H$2026:H2039,H2039)-1,1,0)</f>
        <v>2</v>
      </c>
      <c r="J2039" t="b">
        <f t="shared" si="352"/>
        <v>0</v>
      </c>
      <c r="K2039" t="str">
        <f t="shared" si="353"/>
        <v/>
      </c>
      <c r="L2039">
        <f>_xlfn.XLOOKUP(D2039,BugList!C:C,BugList!N:N)</f>
        <v>4</v>
      </c>
      <c r="M2039">
        <f t="shared" si="354"/>
        <v>8</v>
      </c>
      <c r="N2039" t="b">
        <f>_xlfn.XLOOKUP(D2039,BugList!C:C,BugList!L:L)</f>
        <v>0</v>
      </c>
      <c r="O2039" t="b">
        <f t="shared" si="355"/>
        <v>0</v>
      </c>
      <c r="P2039" s="18" t="b">
        <f>SUMPRODUCT(COUNTIF(_xlfn.XLOOKUP(D2039,BugList!C:C,BugList!P:P), "*SC*"))&gt;0</f>
        <v>0</v>
      </c>
    </row>
    <row r="2040" spans="1:16">
      <c r="A2040" s="9" t="s">
        <v>2924</v>
      </c>
      <c r="B2040" s="83">
        <v>472</v>
      </c>
      <c r="C2040" s="34" t="s">
        <v>202</v>
      </c>
      <c r="D2040" s="34" t="s">
        <v>169</v>
      </c>
      <c r="E2040" s="83">
        <v>1</v>
      </c>
      <c r="F2040" s="43">
        <f t="shared" si="356"/>
        <v>0.83333333333333337</v>
      </c>
      <c r="G2040" s="44">
        <f t="shared" si="350"/>
        <v>0</v>
      </c>
      <c r="H2040" s="44">
        <f t="shared" si="351"/>
        <v>0.83333333333333337</v>
      </c>
      <c r="I2040" cm="1">
        <f t="array" ref="I2040">INT(F2040)+IF(100-SUM(INT(F$2026:F$2043))&gt;=RANK(H2040,H$2026:H$2043)+COUNTIF(H$2026:H2040,H2040)-1,1,0)</f>
        <v>1</v>
      </c>
      <c r="J2040" t="b">
        <f t="shared" si="352"/>
        <v>0</v>
      </c>
      <c r="K2040" t="str">
        <f t="shared" si="353"/>
        <v/>
      </c>
      <c r="L2040">
        <f>_xlfn.XLOOKUP(D2040,BugList!C:C,BugList!N:N)</f>
        <v>5</v>
      </c>
      <c r="M2040">
        <f t="shared" si="354"/>
        <v>5</v>
      </c>
      <c r="N2040" t="b">
        <f>_xlfn.XLOOKUP(D2040,BugList!C:C,BugList!L:L)</f>
        <v>0</v>
      </c>
      <c r="O2040" t="b">
        <f t="shared" si="355"/>
        <v>0</v>
      </c>
      <c r="P2040" s="18" t="b">
        <f>SUMPRODUCT(COUNTIF(_xlfn.XLOOKUP(D2040,BugList!C:C,BugList!P:P), "*SC*"))&gt;0</f>
        <v>0</v>
      </c>
    </row>
    <row r="2041" spans="1:16">
      <c r="A2041" s="9" t="s">
        <v>2924</v>
      </c>
      <c r="B2041" s="83">
        <v>472</v>
      </c>
      <c r="C2041" s="34" t="s">
        <v>205</v>
      </c>
      <c r="D2041" s="34" t="s">
        <v>206</v>
      </c>
      <c r="E2041" s="83">
        <v>1</v>
      </c>
      <c r="F2041" s="43">
        <f t="shared" si="356"/>
        <v>0.83333333333333337</v>
      </c>
      <c r="G2041" s="44">
        <f t="shared" si="350"/>
        <v>0</v>
      </c>
      <c r="H2041" s="44">
        <f t="shared" si="351"/>
        <v>0.83333333333333337</v>
      </c>
      <c r="I2041" cm="1">
        <f t="array" ref="I2041">INT(F2041)+IF(100-SUM(INT(F$2026:F$2043))&gt;=RANK(H2041,H$2026:H$2043)+COUNTIF(H$2026:H2041,H2041)-1,1,0)</f>
        <v>1</v>
      </c>
      <c r="J2041" t="b">
        <f t="shared" si="352"/>
        <v>0</v>
      </c>
      <c r="K2041" t="str">
        <f t="shared" si="353"/>
        <v/>
      </c>
      <c r="L2041" s="71">
        <v>8</v>
      </c>
      <c r="M2041">
        <f t="shared" si="354"/>
        <v>8</v>
      </c>
      <c r="N2041" s="71" t="b">
        <v>0</v>
      </c>
      <c r="O2041" t="b">
        <f t="shared" si="355"/>
        <v>0</v>
      </c>
      <c r="P2041" s="72" t="b">
        <v>0</v>
      </c>
    </row>
    <row r="2042" spans="1:16">
      <c r="A2042" s="9" t="s">
        <v>2924</v>
      </c>
      <c r="B2042" s="83">
        <v>472</v>
      </c>
      <c r="C2042" s="34" t="s">
        <v>94</v>
      </c>
      <c r="D2042" s="34" t="s">
        <v>94</v>
      </c>
      <c r="E2042" s="83">
        <v>2</v>
      </c>
      <c r="F2042" s="43">
        <f t="shared" si="356"/>
        <v>1.6666666666666667</v>
      </c>
      <c r="G2042" s="44">
        <f t="shared" si="350"/>
        <v>1</v>
      </c>
      <c r="H2042" s="44">
        <f t="shared" si="351"/>
        <v>0.66666666666666674</v>
      </c>
      <c r="I2042" cm="1">
        <f t="array" ref="I2042">INT(F2042)+IF(100-SUM(INT(F$2026:F$2043))&gt;=RANK(H2042,H$2026:H$2043)+COUNTIF(H$2026:H2042,H2042)-1,1,0)</f>
        <v>1</v>
      </c>
      <c r="J2042" t="b">
        <f t="shared" si="352"/>
        <v>0</v>
      </c>
      <c r="K2042" t="str">
        <f t="shared" si="353"/>
        <v/>
      </c>
      <c r="L2042">
        <f>_xlfn.XLOOKUP(D2042,BugList!C:C,BugList!N:N)</f>
        <v>8</v>
      </c>
      <c r="M2042">
        <f t="shared" si="354"/>
        <v>8</v>
      </c>
      <c r="N2042" t="b">
        <f>_xlfn.XLOOKUP(D2042,BugList!C:C,BugList!L:L)</f>
        <v>0</v>
      </c>
      <c r="O2042" t="b">
        <f t="shared" si="355"/>
        <v>0</v>
      </c>
      <c r="P2042" s="18" t="b">
        <f>SUMPRODUCT(COUNTIF(_xlfn.XLOOKUP(D2042,BugList!C:C,BugList!P:P), "*SC*"))&gt;0</f>
        <v>0</v>
      </c>
    </row>
    <row r="2043" spans="1:16">
      <c r="A2043" s="9" t="s">
        <v>2924</v>
      </c>
      <c r="B2043" s="83">
        <v>472</v>
      </c>
      <c r="C2043" s="34" t="s">
        <v>198</v>
      </c>
      <c r="D2043" s="34" t="s">
        <v>1271</v>
      </c>
      <c r="E2043" s="83">
        <v>1</v>
      </c>
      <c r="F2043" s="43">
        <f t="shared" si="356"/>
        <v>0.83333333333333337</v>
      </c>
      <c r="G2043" s="44">
        <f t="shared" si="350"/>
        <v>0</v>
      </c>
      <c r="H2043" s="44">
        <f t="shared" si="351"/>
        <v>0.83333333333333337</v>
      </c>
      <c r="I2043" cm="1">
        <f t="array" ref="I2043">INT(F2043)+IF(100-SUM(INT(F$2026:F$2043))&gt;=RANK(H2043,H$2026:H$2043)+COUNTIF(H$2026:H2043,H2043)-1,1,0)</f>
        <v>1</v>
      </c>
      <c r="J2043" t="b">
        <f t="shared" si="352"/>
        <v>1</v>
      </c>
      <c r="K2043" t="str">
        <f t="shared" si="353"/>
        <v>Trichoptera</v>
      </c>
      <c r="L2043">
        <f>_xlfn.XLOOKUP(D2043,BugList!C:C,BugList!N:N)</f>
        <v>4</v>
      </c>
      <c r="M2043">
        <f t="shared" si="354"/>
        <v>4</v>
      </c>
      <c r="N2043" t="b">
        <f>_xlfn.XLOOKUP(D2043,BugList!C:C,BugList!L:L)</f>
        <v>1</v>
      </c>
      <c r="O2043" t="b">
        <f t="shared" si="355"/>
        <v>1</v>
      </c>
      <c r="P2043" s="18" t="b">
        <f>SUMPRODUCT(COUNTIF(_xlfn.XLOOKUP(D2043,BugList!C:C,BugList!P:P), "*SC*"))&gt;0</f>
        <v>0</v>
      </c>
    </row>
    <row r="2044" spans="1:16">
      <c r="A2044" s="9" t="s">
        <v>2925</v>
      </c>
      <c r="B2044" s="83">
        <v>482</v>
      </c>
      <c r="C2044" s="34" t="s">
        <v>200</v>
      </c>
      <c r="D2044" s="34" t="s">
        <v>98</v>
      </c>
      <c r="E2044" s="83">
        <v>18</v>
      </c>
      <c r="F2044" s="43">
        <f t="shared" si="356"/>
        <v>17.82178217821782</v>
      </c>
      <c r="G2044" s="44">
        <f t="shared" si="350"/>
        <v>17</v>
      </c>
      <c r="H2044" s="44">
        <f t="shared" si="351"/>
        <v>0.82178217821781985</v>
      </c>
      <c r="I2044" cm="1">
        <f t="array" ref="I2044">INT(F2044)+IF(100-SUM(INT(F$2044:F$2056))&gt;=RANK(H2044,H$2044:H$2056)+COUNTIF(H$2044:H2044,H2044)-1,1,0)</f>
        <v>18</v>
      </c>
      <c r="J2044" t="b">
        <f t="shared" si="352"/>
        <v>0</v>
      </c>
      <c r="K2044" t="str">
        <f t="shared" si="353"/>
        <v/>
      </c>
      <c r="L2044">
        <f>_xlfn.XLOOKUP(D2044,BugList!C:C,BugList!N:N)</f>
        <v>4</v>
      </c>
      <c r="M2044">
        <f t="shared" si="354"/>
        <v>72</v>
      </c>
      <c r="N2044" t="b">
        <f>_xlfn.XLOOKUP(D2044,BugList!C:C,BugList!L:L)</f>
        <v>1</v>
      </c>
      <c r="O2044" t="b">
        <f t="shared" si="355"/>
        <v>0</v>
      </c>
      <c r="P2044" s="18" t="b">
        <f>SUMPRODUCT(COUNTIF(_xlfn.XLOOKUP(D2044,BugList!C:C,BugList!P:P), "*SC*"))&gt;0</f>
        <v>1</v>
      </c>
    </row>
    <row r="2045" spans="1:16">
      <c r="A2045" s="9" t="s">
        <v>2925</v>
      </c>
      <c r="B2045" s="83">
        <v>482</v>
      </c>
      <c r="C2045" s="34" t="s">
        <v>200</v>
      </c>
      <c r="D2045" s="34" t="s">
        <v>100</v>
      </c>
      <c r="E2045" s="83">
        <v>29</v>
      </c>
      <c r="F2045" s="43">
        <f t="shared" si="356"/>
        <v>28.71287128712871</v>
      </c>
      <c r="G2045" s="44">
        <f t="shared" si="350"/>
        <v>28</v>
      </c>
      <c r="H2045" s="44">
        <f t="shared" si="351"/>
        <v>0.71287128712870995</v>
      </c>
      <c r="I2045" cm="1">
        <f t="array" ref="I2045">INT(F2045)+IF(100-SUM(INT(F$2044:F$2056))&gt;=RANK(H2045,H$2044:H$2056)+COUNTIF(H$2044:H2045,H2045)-1,1,0)</f>
        <v>28</v>
      </c>
      <c r="J2045" t="b">
        <f t="shared" si="352"/>
        <v>0</v>
      </c>
      <c r="K2045" t="str">
        <f t="shared" si="353"/>
        <v/>
      </c>
      <c r="L2045">
        <f>_xlfn.XLOOKUP(D2045,BugList!C:C,BugList!N:N)</f>
        <v>4</v>
      </c>
      <c r="M2045">
        <f t="shared" si="354"/>
        <v>112</v>
      </c>
      <c r="N2045" t="b">
        <f>_xlfn.XLOOKUP(D2045,BugList!C:C,BugList!L:L)</f>
        <v>1</v>
      </c>
      <c r="O2045" t="b">
        <f t="shared" si="355"/>
        <v>0</v>
      </c>
      <c r="P2045" s="18" t="b">
        <f>SUMPRODUCT(COUNTIF(_xlfn.XLOOKUP(D2045,BugList!C:C,BugList!P:P), "*SC*"))&gt;0</f>
        <v>1</v>
      </c>
    </row>
    <row r="2046" spans="1:16">
      <c r="A2046" s="9" t="s">
        <v>2925</v>
      </c>
      <c r="B2046" s="83">
        <v>482</v>
      </c>
      <c r="C2046" s="34" t="s">
        <v>199</v>
      </c>
      <c r="D2046" s="34" t="s">
        <v>111</v>
      </c>
      <c r="E2046" s="83">
        <v>3</v>
      </c>
      <c r="F2046" s="43">
        <f t="shared" si="356"/>
        <v>2.9702970297029703</v>
      </c>
      <c r="G2046" s="44">
        <f t="shared" si="350"/>
        <v>2</v>
      </c>
      <c r="H2046" s="44">
        <f t="shared" si="351"/>
        <v>0.97029702970297027</v>
      </c>
      <c r="I2046" cm="1">
        <f t="array" ref="I2046">INT(F2046)+IF(100-SUM(INT(F$2044:F$2056))&gt;=RANK(H2046,H$2044:H$2056)+COUNTIF(H$2044:H2046,H2046)-1,1,0)</f>
        <v>3</v>
      </c>
      <c r="J2046" t="b">
        <f t="shared" si="352"/>
        <v>1</v>
      </c>
      <c r="K2046" t="str">
        <f t="shared" si="353"/>
        <v>Ephemeroptera</v>
      </c>
      <c r="L2046">
        <f>_xlfn.XLOOKUP(D2046,BugList!C:C,BugList!N:N)</f>
        <v>4</v>
      </c>
      <c r="M2046">
        <f t="shared" si="354"/>
        <v>12</v>
      </c>
      <c r="N2046" t="b">
        <f>_xlfn.XLOOKUP(D2046,BugList!C:C,BugList!L:L)</f>
        <v>1</v>
      </c>
      <c r="O2046" t="b">
        <f t="shared" si="355"/>
        <v>1</v>
      </c>
      <c r="P2046" s="18" t="b">
        <f>SUMPRODUCT(COUNTIF(_xlfn.XLOOKUP(D2046,BugList!C:C,BugList!P:P), "*SC*"))&gt;0</f>
        <v>0</v>
      </c>
    </row>
    <row r="2047" spans="1:16">
      <c r="A2047" s="9" t="s">
        <v>2925</v>
      </c>
      <c r="B2047" s="83">
        <v>482</v>
      </c>
      <c r="C2047" s="34" t="s">
        <v>195</v>
      </c>
      <c r="D2047" s="34" t="s">
        <v>97</v>
      </c>
      <c r="E2047" s="83">
        <v>4</v>
      </c>
      <c r="F2047" s="43">
        <f t="shared" si="356"/>
        <v>3.9603960396039604</v>
      </c>
      <c r="G2047" s="44">
        <f t="shared" si="350"/>
        <v>3</v>
      </c>
      <c r="H2047" s="44">
        <f t="shared" si="351"/>
        <v>0.96039603960396036</v>
      </c>
      <c r="I2047" cm="1">
        <f t="array" ref="I2047">INT(F2047)+IF(100-SUM(INT(F$2044:F$2056))&gt;=RANK(H2047,H$2044:H$2056)+COUNTIF(H$2044:H2047,H2047)-1,1,0)</f>
        <v>4</v>
      </c>
      <c r="J2047" t="b">
        <f t="shared" si="352"/>
        <v>0</v>
      </c>
      <c r="K2047" t="str">
        <f t="shared" si="353"/>
        <v/>
      </c>
      <c r="L2047">
        <f>_xlfn.XLOOKUP(D2047,BugList!C:C,BugList!N:N)</f>
        <v>9</v>
      </c>
      <c r="M2047">
        <f t="shared" si="354"/>
        <v>36</v>
      </c>
      <c r="N2047" t="b">
        <f>_xlfn.XLOOKUP(D2047,BugList!C:C,BugList!L:L)</f>
        <v>1</v>
      </c>
      <c r="O2047" t="b">
        <f t="shared" si="355"/>
        <v>0</v>
      </c>
      <c r="P2047" s="18" t="b">
        <f>SUMPRODUCT(COUNTIF(_xlfn.XLOOKUP(D2047,BugList!C:C,BugList!P:P), "*SC*"))&gt;0</f>
        <v>0</v>
      </c>
    </row>
    <row r="2048" spans="1:16">
      <c r="A2048" s="9" t="s">
        <v>2925</v>
      </c>
      <c r="B2048" s="83">
        <v>482</v>
      </c>
      <c r="C2048" s="34" t="s">
        <v>195</v>
      </c>
      <c r="D2048" s="34" t="s">
        <v>113</v>
      </c>
      <c r="E2048" s="83">
        <v>3</v>
      </c>
      <c r="F2048" s="43">
        <f t="shared" si="356"/>
        <v>2.9702970297029703</v>
      </c>
      <c r="G2048" s="44">
        <f t="shared" si="350"/>
        <v>2</v>
      </c>
      <c r="H2048" s="44">
        <f t="shared" si="351"/>
        <v>0.97029702970297027</v>
      </c>
      <c r="I2048" cm="1">
        <f t="array" ref="I2048">INT(F2048)+IF(100-SUM(INT(F$2044:F$2056))&gt;=RANK(H2048,H$2044:H$2056)+COUNTIF(H$2044:H2048,H2048)-1,1,0)</f>
        <v>3</v>
      </c>
      <c r="J2048" t="b">
        <f t="shared" si="352"/>
        <v>0</v>
      </c>
      <c r="K2048" t="str">
        <f t="shared" si="353"/>
        <v/>
      </c>
      <c r="L2048">
        <f>_xlfn.XLOOKUP(D2048,BugList!C:C,BugList!N:N)</f>
        <v>1</v>
      </c>
      <c r="M2048">
        <f t="shared" si="354"/>
        <v>3</v>
      </c>
      <c r="N2048" t="b">
        <f>_xlfn.XLOOKUP(D2048,BugList!C:C,BugList!L:L)</f>
        <v>1</v>
      </c>
      <c r="O2048" t="b">
        <f t="shared" si="355"/>
        <v>0</v>
      </c>
      <c r="P2048" s="18" t="b">
        <f>SUMPRODUCT(COUNTIF(_xlfn.XLOOKUP(D2048,BugList!C:C,BugList!P:P), "*SC*"))&gt;0</f>
        <v>0</v>
      </c>
    </row>
    <row r="2049" spans="1:16">
      <c r="A2049" s="9" t="s">
        <v>2925</v>
      </c>
      <c r="B2049" s="83">
        <v>482</v>
      </c>
      <c r="C2049" s="34" t="s">
        <v>211</v>
      </c>
      <c r="D2049" s="34" t="s">
        <v>87</v>
      </c>
      <c r="E2049" s="83">
        <v>4</v>
      </c>
      <c r="F2049" s="43">
        <f t="shared" si="356"/>
        <v>3.9603960396039604</v>
      </c>
      <c r="G2049" s="44">
        <f t="shared" ref="G2049:G2078" si="357">INT(F2049)</f>
        <v>3</v>
      </c>
      <c r="H2049" s="44">
        <f t="shared" ref="H2049:H2078" si="358">F2049-G2049</f>
        <v>0.96039603960396036</v>
      </c>
      <c r="I2049" cm="1">
        <f t="array" ref="I2049">INT(F2049)+IF(100-SUM(INT(F$2044:F$2056))&gt;=RANK(H2049,H$2044:H$2056)+COUNTIF(H$2044:H2049,H2049)-1,1,0)</f>
        <v>4</v>
      </c>
      <c r="J2049" t="b">
        <f t="shared" ref="J2049:J2078" si="359">IF(OR(C2049="Ephemeroptera", C2049 ="Plecoptera", C2049= "Trichoptera"), TRUE, FALSE)</f>
        <v>0</v>
      </c>
      <c r="K2049" t="str">
        <f t="shared" ref="K2049:K2078" si="360">IF(J2049=TRUE,C2049,"")</f>
        <v/>
      </c>
      <c r="L2049">
        <f>_xlfn.XLOOKUP(D2049,BugList!C:C,BugList!N:N)</f>
        <v>4</v>
      </c>
      <c r="M2049">
        <f t="shared" ref="M2049:M2078" si="361">L2049*I2049</f>
        <v>16</v>
      </c>
      <c r="N2049" t="b">
        <f>_xlfn.XLOOKUP(D2049,BugList!C:C,BugList!L:L)</f>
        <v>0</v>
      </c>
      <c r="O2049" t="b">
        <f t="shared" ref="O2049:O2078" si="362">IF(J2049=TRUE,IF(D2049="Hydropsychidae", FALSE, TRUE), FALSE)</f>
        <v>0</v>
      </c>
      <c r="P2049" s="18" t="b">
        <f>SUMPRODUCT(COUNTIF(_xlfn.XLOOKUP(D2049,BugList!C:C,BugList!P:P), "*SC*"))&gt;0</f>
        <v>0</v>
      </c>
    </row>
    <row r="2050" spans="1:16">
      <c r="A2050" s="9" t="s">
        <v>2925</v>
      </c>
      <c r="B2050" s="83">
        <v>482</v>
      </c>
      <c r="C2050" s="34" t="s">
        <v>198</v>
      </c>
      <c r="D2050" s="34" t="s">
        <v>89</v>
      </c>
      <c r="E2050" s="83">
        <v>6</v>
      </c>
      <c r="F2050" s="43">
        <f t="shared" si="356"/>
        <v>5.9405940594059405</v>
      </c>
      <c r="G2050" s="44">
        <f t="shared" si="357"/>
        <v>5</v>
      </c>
      <c r="H2050" s="44">
        <f t="shared" si="358"/>
        <v>0.94059405940594054</v>
      </c>
      <c r="I2050" cm="1">
        <f t="array" ref="I2050">INT(F2050)+IF(100-SUM(INT(F$2044:F$2056))&gt;=RANK(H2050,H$2044:H$2056)+COUNTIF(H$2044:H2050,H2050)-1,1,0)</f>
        <v>6</v>
      </c>
      <c r="J2050" t="b">
        <f t="shared" si="359"/>
        <v>1</v>
      </c>
      <c r="K2050" t="str">
        <f t="shared" si="360"/>
        <v>Trichoptera</v>
      </c>
      <c r="L2050">
        <f>_xlfn.XLOOKUP(D2050,BugList!C:C,BugList!N:N)</f>
        <v>4</v>
      </c>
      <c r="M2050">
        <f t="shared" si="361"/>
        <v>24</v>
      </c>
      <c r="N2050" t="b">
        <f>_xlfn.XLOOKUP(D2050,BugList!C:C,BugList!L:L)</f>
        <v>1</v>
      </c>
      <c r="O2050" t="b">
        <f t="shared" si="362"/>
        <v>0</v>
      </c>
      <c r="P2050" s="18" t="b">
        <f>SUMPRODUCT(COUNTIF(_xlfn.XLOOKUP(D2050,BugList!C:C,BugList!P:P), "*SC*"))&gt;0</f>
        <v>0</v>
      </c>
    </row>
    <row r="2051" spans="1:16">
      <c r="A2051" s="9" t="s">
        <v>2925</v>
      </c>
      <c r="B2051" s="83">
        <v>482</v>
      </c>
      <c r="C2051" s="34" t="s">
        <v>198</v>
      </c>
      <c r="D2051" s="34" t="s">
        <v>107</v>
      </c>
      <c r="E2051" s="83">
        <v>22</v>
      </c>
      <c r="F2051" s="43">
        <f t="shared" si="356"/>
        <v>21.782178217821784</v>
      </c>
      <c r="G2051" s="44">
        <f t="shared" si="357"/>
        <v>21</v>
      </c>
      <c r="H2051" s="44">
        <f t="shared" si="358"/>
        <v>0.78217821782178376</v>
      </c>
      <c r="I2051" cm="1">
        <f t="array" ref="I2051">INT(F2051)+IF(100-SUM(INT(F$2044:F$2056))&gt;=RANK(H2051,H$2044:H$2056)+COUNTIF(H$2044:H2051,H2051)-1,1,0)</f>
        <v>22</v>
      </c>
      <c r="J2051" t="b">
        <f t="shared" si="359"/>
        <v>1</v>
      </c>
      <c r="K2051" t="str">
        <f t="shared" si="360"/>
        <v>Trichoptera</v>
      </c>
      <c r="L2051">
        <f>_xlfn.XLOOKUP(D2051,BugList!C:C,BugList!N:N)</f>
        <v>3</v>
      </c>
      <c r="M2051">
        <f t="shared" si="361"/>
        <v>66</v>
      </c>
      <c r="N2051" t="b">
        <f>_xlfn.XLOOKUP(D2051,BugList!C:C,BugList!L:L)</f>
        <v>1</v>
      </c>
      <c r="O2051" t="b">
        <f t="shared" si="362"/>
        <v>1</v>
      </c>
      <c r="P2051" s="18" t="b">
        <f>SUMPRODUCT(COUNTIF(_xlfn.XLOOKUP(D2051,BugList!C:C,BugList!P:P), "*SC*"))&gt;0</f>
        <v>0</v>
      </c>
    </row>
    <row r="2052" spans="1:16">
      <c r="A2052" s="9" t="s">
        <v>2925</v>
      </c>
      <c r="B2052" s="83">
        <v>482</v>
      </c>
      <c r="C2052" s="34" t="s">
        <v>201</v>
      </c>
      <c r="D2052" s="34" t="s">
        <v>85</v>
      </c>
      <c r="E2052" s="83">
        <v>6</v>
      </c>
      <c r="F2052" s="43">
        <f t="shared" si="356"/>
        <v>5.9405940594059405</v>
      </c>
      <c r="G2052" s="44">
        <f t="shared" si="357"/>
        <v>5</v>
      </c>
      <c r="H2052" s="44">
        <f t="shared" si="358"/>
        <v>0.94059405940594054</v>
      </c>
      <c r="I2052" cm="1">
        <f t="array" ref="I2052">INT(F2052)+IF(100-SUM(INT(F$2044:F$2056))&gt;=RANK(H2052,H$2044:H$2056)+COUNTIF(H$2044:H2052,H2052)-1,1,0)</f>
        <v>6</v>
      </c>
      <c r="J2052" t="b">
        <f t="shared" si="359"/>
        <v>0</v>
      </c>
      <c r="K2052" t="str">
        <f t="shared" si="360"/>
        <v/>
      </c>
      <c r="L2052">
        <f>_xlfn.XLOOKUP(D2052,BugList!C:C,BugList!N:N)</f>
        <v>4</v>
      </c>
      <c r="M2052">
        <f t="shared" si="361"/>
        <v>24</v>
      </c>
      <c r="N2052" t="b">
        <f>_xlfn.XLOOKUP(D2052,BugList!C:C,BugList!L:L)</f>
        <v>0</v>
      </c>
      <c r="O2052" t="b">
        <f t="shared" si="362"/>
        <v>0</v>
      </c>
      <c r="P2052" s="18" t="b">
        <f>SUMPRODUCT(COUNTIF(_xlfn.XLOOKUP(D2052,BugList!C:C,BugList!P:P), "*SC*"))&gt;0</f>
        <v>0</v>
      </c>
    </row>
    <row r="2053" spans="1:16">
      <c r="A2053" s="9" t="s">
        <v>2925</v>
      </c>
      <c r="B2053" s="83">
        <v>482</v>
      </c>
      <c r="C2053" s="34" t="s">
        <v>202</v>
      </c>
      <c r="D2053" s="34" t="s">
        <v>203</v>
      </c>
      <c r="E2053" s="83">
        <v>1</v>
      </c>
      <c r="F2053" s="43">
        <f t="shared" si="356"/>
        <v>0.99009900990099009</v>
      </c>
      <c r="G2053" s="44">
        <f t="shared" si="357"/>
        <v>0</v>
      </c>
      <c r="H2053" s="44">
        <f t="shared" si="358"/>
        <v>0.99009900990099009</v>
      </c>
      <c r="I2053" cm="1">
        <f t="array" ref="I2053">INT(F2053)+IF(100-SUM(INT(F$2044:F$2056))&gt;=RANK(H2053,H$2044:H$2056)+COUNTIF(H$2044:H2053,H2053)-1,1,0)</f>
        <v>1</v>
      </c>
      <c r="J2053" t="b">
        <f t="shared" si="359"/>
        <v>0</v>
      </c>
      <c r="K2053" t="str">
        <f t="shared" si="360"/>
        <v/>
      </c>
      <c r="L2053" s="71">
        <v>5</v>
      </c>
      <c r="M2053">
        <f t="shared" si="361"/>
        <v>5</v>
      </c>
      <c r="N2053" s="71" t="b">
        <v>0</v>
      </c>
      <c r="O2053" t="b">
        <f t="shared" si="362"/>
        <v>0</v>
      </c>
      <c r="P2053" s="72" t="b">
        <v>0</v>
      </c>
    </row>
    <row r="2054" spans="1:16">
      <c r="A2054" s="9" t="s">
        <v>2925</v>
      </c>
      <c r="B2054" s="83">
        <v>482</v>
      </c>
      <c r="C2054" s="34" t="s">
        <v>205</v>
      </c>
      <c r="D2054" s="34" t="s">
        <v>206</v>
      </c>
      <c r="E2054" s="83">
        <v>1</v>
      </c>
      <c r="F2054" s="43">
        <f t="shared" si="356"/>
        <v>0.99009900990099009</v>
      </c>
      <c r="G2054" s="44">
        <f t="shared" si="357"/>
        <v>0</v>
      </c>
      <c r="H2054" s="44">
        <f t="shared" si="358"/>
        <v>0.99009900990099009</v>
      </c>
      <c r="I2054" cm="1">
        <f t="array" ref="I2054">INT(F2054)+IF(100-SUM(INT(F$2044:F$2056))&gt;=RANK(H2054,H$2044:H$2056)+COUNTIF(H$2044:H2054,H2054)-1,1,0)</f>
        <v>1</v>
      </c>
      <c r="J2054" t="b">
        <f t="shared" si="359"/>
        <v>0</v>
      </c>
      <c r="K2054" t="str">
        <f t="shared" si="360"/>
        <v/>
      </c>
      <c r="L2054" s="71">
        <v>8</v>
      </c>
      <c r="M2054">
        <f t="shared" si="361"/>
        <v>8</v>
      </c>
      <c r="N2054" s="71" t="b">
        <v>0</v>
      </c>
      <c r="O2054" t="b">
        <f t="shared" si="362"/>
        <v>0</v>
      </c>
      <c r="P2054" s="72" t="b">
        <v>0</v>
      </c>
    </row>
    <row r="2055" spans="1:16">
      <c r="A2055" s="9" t="s">
        <v>2925</v>
      </c>
      <c r="B2055" s="83">
        <v>482</v>
      </c>
      <c r="C2055" s="34" t="s">
        <v>94</v>
      </c>
      <c r="D2055" s="34" t="s">
        <v>94</v>
      </c>
      <c r="E2055" s="83">
        <v>2</v>
      </c>
      <c r="F2055" s="43">
        <f t="shared" si="356"/>
        <v>1.9801980198019802</v>
      </c>
      <c r="G2055" s="44">
        <f t="shared" si="357"/>
        <v>1</v>
      </c>
      <c r="H2055" s="44">
        <f t="shared" si="358"/>
        <v>0.98019801980198018</v>
      </c>
      <c r="I2055" cm="1">
        <f t="array" ref="I2055">INT(F2055)+IF(100-SUM(INT(F$2044:F$2056))&gt;=RANK(H2055,H$2044:H$2056)+COUNTIF(H$2044:H2055,H2055)-1,1,0)</f>
        <v>2</v>
      </c>
      <c r="J2055" t="b">
        <f t="shared" si="359"/>
        <v>0</v>
      </c>
      <c r="K2055" t="str">
        <f t="shared" si="360"/>
        <v/>
      </c>
      <c r="L2055">
        <f>_xlfn.XLOOKUP(D2055,BugList!C:C,BugList!N:N)</f>
        <v>8</v>
      </c>
      <c r="M2055">
        <f t="shared" si="361"/>
        <v>16</v>
      </c>
      <c r="N2055" t="b">
        <f>_xlfn.XLOOKUP(D2055,BugList!C:C,BugList!L:L)</f>
        <v>0</v>
      </c>
      <c r="O2055" t="b">
        <f t="shared" si="362"/>
        <v>0</v>
      </c>
      <c r="P2055" s="18" t="b">
        <f>SUMPRODUCT(COUNTIF(_xlfn.XLOOKUP(D2055,BugList!C:C,BugList!P:P), "*SC*"))&gt;0</f>
        <v>0</v>
      </c>
    </row>
    <row r="2056" spans="1:16">
      <c r="A2056" s="9" t="s">
        <v>2925</v>
      </c>
      <c r="B2056" s="83">
        <v>482</v>
      </c>
      <c r="C2056" s="34" t="s">
        <v>212</v>
      </c>
      <c r="D2056" s="34" t="s">
        <v>1202</v>
      </c>
      <c r="E2056" s="83">
        <v>2</v>
      </c>
      <c r="F2056" s="43">
        <f t="shared" si="356"/>
        <v>1.9801980198019802</v>
      </c>
      <c r="G2056" s="44">
        <f t="shared" si="357"/>
        <v>1</v>
      </c>
      <c r="H2056" s="44">
        <f t="shared" si="358"/>
        <v>0.98019801980198018</v>
      </c>
      <c r="I2056" cm="1">
        <f t="array" ref="I2056">INT(F2056)+IF(100-SUM(INT(F$2044:F$2056))&gt;=RANK(H2056,H$2044:H$2056)+COUNTIF(H$2044:H2056,H2056)-1,1,0)</f>
        <v>2</v>
      </c>
      <c r="J2056" t="b">
        <f t="shared" si="359"/>
        <v>0</v>
      </c>
      <c r="K2056" t="str">
        <f t="shared" si="360"/>
        <v/>
      </c>
      <c r="L2056">
        <f>_xlfn.XLOOKUP(D2056,BugList!C:C,BugList!N:N)</f>
        <v>9</v>
      </c>
      <c r="M2056">
        <f t="shared" si="361"/>
        <v>18</v>
      </c>
      <c r="N2056" t="b">
        <f>_xlfn.XLOOKUP(D2056,BugList!C:C,BugList!L:L)</f>
        <v>1</v>
      </c>
      <c r="O2056" t="b">
        <f t="shared" si="362"/>
        <v>0</v>
      </c>
      <c r="P2056" s="18" t="b">
        <f>SUMPRODUCT(COUNTIF(_xlfn.XLOOKUP(D2056,BugList!C:C,BugList!P:P), "*SC*"))&gt;0</f>
        <v>0</v>
      </c>
    </row>
    <row r="2057" spans="1:16">
      <c r="A2057" s="9" t="s">
        <v>2926</v>
      </c>
      <c r="B2057" s="83">
        <v>501</v>
      </c>
      <c r="C2057" s="34" t="s">
        <v>200</v>
      </c>
      <c r="D2057" s="34" t="s">
        <v>98</v>
      </c>
      <c r="E2057" s="83">
        <v>18</v>
      </c>
      <c r="F2057" s="43">
        <f t="shared" si="356"/>
        <v>17.307692307692307</v>
      </c>
      <c r="G2057" s="44">
        <f t="shared" si="357"/>
        <v>17</v>
      </c>
      <c r="H2057" s="44">
        <f t="shared" si="358"/>
        <v>0.3076923076923066</v>
      </c>
      <c r="I2057" cm="1">
        <f t="array" ref="I2057">INT(F2057)+IF(100-SUM(INT(F$2057:F$2066))&gt;=RANK(H2057,H$2057:H$2066)+COUNTIF(H$2057:H2057,H2057)-1,1,0)</f>
        <v>17</v>
      </c>
      <c r="J2057" t="b">
        <f t="shared" si="359"/>
        <v>0</v>
      </c>
      <c r="K2057" t="str">
        <f t="shared" si="360"/>
        <v/>
      </c>
      <c r="L2057">
        <f>_xlfn.XLOOKUP(D2057,BugList!C:C,BugList!N:N)</f>
        <v>4</v>
      </c>
      <c r="M2057">
        <f t="shared" si="361"/>
        <v>68</v>
      </c>
      <c r="N2057" t="b">
        <f>_xlfn.XLOOKUP(D2057,BugList!C:C,BugList!L:L)</f>
        <v>1</v>
      </c>
      <c r="O2057" t="b">
        <f t="shared" si="362"/>
        <v>0</v>
      </c>
      <c r="P2057" s="18" t="b">
        <f>SUMPRODUCT(COUNTIF(_xlfn.XLOOKUP(D2057,BugList!C:C,BugList!P:P), "*SC*"))&gt;0</f>
        <v>1</v>
      </c>
    </row>
    <row r="2058" spans="1:16">
      <c r="A2058" s="9" t="s">
        <v>2926</v>
      </c>
      <c r="B2058" s="83">
        <v>501</v>
      </c>
      <c r="C2058" s="34" t="s">
        <v>200</v>
      </c>
      <c r="D2058" s="34" t="s">
        <v>100</v>
      </c>
      <c r="E2058" s="83">
        <v>60</v>
      </c>
      <c r="F2058" s="43">
        <f t="shared" si="356"/>
        <v>57.692307692307686</v>
      </c>
      <c r="G2058" s="44">
        <f t="shared" si="357"/>
        <v>57</v>
      </c>
      <c r="H2058" s="44">
        <f t="shared" si="358"/>
        <v>0.6923076923076863</v>
      </c>
      <c r="I2058" cm="1">
        <f t="array" ref="I2058">INT(F2058)+IF(100-SUM(INT(F$2057:F$2066))&gt;=RANK(H2058,H$2057:H$2066)+COUNTIF(H$2057:H2058,H2058)-1,1,0)</f>
        <v>58</v>
      </c>
      <c r="J2058" t="b">
        <f t="shared" si="359"/>
        <v>0</v>
      </c>
      <c r="K2058" t="str">
        <f t="shared" si="360"/>
        <v/>
      </c>
      <c r="L2058">
        <f>_xlfn.XLOOKUP(D2058,BugList!C:C,BugList!N:N)</f>
        <v>4</v>
      </c>
      <c r="M2058">
        <f t="shared" si="361"/>
        <v>232</v>
      </c>
      <c r="N2058" t="b">
        <f>_xlfn.XLOOKUP(D2058,BugList!C:C,BugList!L:L)</f>
        <v>1</v>
      </c>
      <c r="O2058" t="b">
        <f t="shared" si="362"/>
        <v>0</v>
      </c>
      <c r="P2058" s="18" t="b">
        <f>SUMPRODUCT(COUNTIF(_xlfn.XLOOKUP(D2058,BugList!C:C,BugList!P:P), "*SC*"))&gt;0</f>
        <v>1</v>
      </c>
    </row>
    <row r="2059" spans="1:16">
      <c r="A2059" s="9" t="s">
        <v>2926</v>
      </c>
      <c r="B2059" s="83">
        <v>501</v>
      </c>
      <c r="C2059" s="34" t="s">
        <v>195</v>
      </c>
      <c r="D2059" s="34" t="s">
        <v>97</v>
      </c>
      <c r="E2059" s="83">
        <v>1</v>
      </c>
      <c r="F2059" s="43">
        <f t="shared" si="356"/>
        <v>0.96153846153846156</v>
      </c>
      <c r="G2059" s="44">
        <f t="shared" si="357"/>
        <v>0</v>
      </c>
      <c r="H2059" s="44">
        <f t="shared" si="358"/>
        <v>0.96153846153846156</v>
      </c>
      <c r="I2059" cm="1">
        <f t="array" ref="I2059">INT(F2059)+IF(100-SUM(INT(F$2057:F$2066))&gt;=RANK(H2059,H$2057:H$2066)+COUNTIF(H$2057:H2059,H2059)-1,1,0)</f>
        <v>1</v>
      </c>
      <c r="J2059" t="b">
        <f t="shared" si="359"/>
        <v>0</v>
      </c>
      <c r="K2059" t="str">
        <f t="shared" si="360"/>
        <v/>
      </c>
      <c r="L2059">
        <f>_xlfn.XLOOKUP(D2059,BugList!C:C,BugList!N:N)</f>
        <v>9</v>
      </c>
      <c r="M2059">
        <f t="shared" si="361"/>
        <v>9</v>
      </c>
      <c r="N2059" t="b">
        <f>_xlfn.XLOOKUP(D2059,BugList!C:C,BugList!L:L)</f>
        <v>1</v>
      </c>
      <c r="O2059" t="b">
        <f t="shared" si="362"/>
        <v>0</v>
      </c>
      <c r="P2059" s="18" t="b">
        <f>SUMPRODUCT(COUNTIF(_xlfn.XLOOKUP(D2059,BugList!C:C,BugList!P:P), "*SC*"))&gt;0</f>
        <v>0</v>
      </c>
    </row>
    <row r="2060" spans="1:16">
      <c r="A2060" s="9" t="s">
        <v>2926</v>
      </c>
      <c r="B2060" s="83">
        <v>501</v>
      </c>
      <c r="C2060" s="34" t="s">
        <v>195</v>
      </c>
      <c r="D2060" s="34" t="s">
        <v>113</v>
      </c>
      <c r="E2060" s="83">
        <v>2</v>
      </c>
      <c r="F2060" s="43">
        <f t="shared" si="356"/>
        <v>1.9230769230769231</v>
      </c>
      <c r="G2060" s="44">
        <f t="shared" si="357"/>
        <v>1</v>
      </c>
      <c r="H2060" s="44">
        <f t="shared" si="358"/>
        <v>0.92307692307692313</v>
      </c>
      <c r="I2060" cm="1">
        <f t="array" ref="I2060">INT(F2060)+IF(100-SUM(INT(F$2057:F$2066))&gt;=RANK(H2060,H$2057:H$2066)+COUNTIF(H$2057:H2060,H2060)-1,1,0)</f>
        <v>2</v>
      </c>
      <c r="J2060" t="b">
        <f t="shared" si="359"/>
        <v>0</v>
      </c>
      <c r="K2060" t="str">
        <f t="shared" si="360"/>
        <v/>
      </c>
      <c r="L2060">
        <f>_xlfn.XLOOKUP(D2060,BugList!C:C,BugList!N:N)</f>
        <v>1</v>
      </c>
      <c r="M2060">
        <f t="shared" si="361"/>
        <v>2</v>
      </c>
      <c r="N2060" t="b">
        <f>_xlfn.XLOOKUP(D2060,BugList!C:C,BugList!L:L)</f>
        <v>1</v>
      </c>
      <c r="O2060" t="b">
        <f t="shared" si="362"/>
        <v>0</v>
      </c>
      <c r="P2060" s="18" t="b">
        <f>SUMPRODUCT(COUNTIF(_xlfn.XLOOKUP(D2060,BugList!C:C,BugList!P:P), "*SC*"))&gt;0</f>
        <v>0</v>
      </c>
    </row>
    <row r="2061" spans="1:16">
      <c r="A2061" s="9" t="s">
        <v>2926</v>
      </c>
      <c r="B2061" s="83">
        <v>501</v>
      </c>
      <c r="C2061" s="34" t="s">
        <v>198</v>
      </c>
      <c r="D2061" s="34" t="s">
        <v>89</v>
      </c>
      <c r="E2061" s="83">
        <v>12</v>
      </c>
      <c r="F2061" s="43">
        <f t="shared" si="356"/>
        <v>11.538461538461538</v>
      </c>
      <c r="G2061" s="44">
        <f t="shared" si="357"/>
        <v>11</v>
      </c>
      <c r="H2061" s="44">
        <f t="shared" si="358"/>
        <v>0.53846153846153832</v>
      </c>
      <c r="I2061" cm="1">
        <f t="array" ref="I2061">INT(F2061)+IF(100-SUM(INT(F$2057:F$2066))&gt;=RANK(H2061,H$2057:H$2066)+COUNTIF(H$2057:H2061,H2061)-1,1,0)</f>
        <v>11</v>
      </c>
      <c r="J2061" t="b">
        <f t="shared" si="359"/>
        <v>1</v>
      </c>
      <c r="K2061" t="str">
        <f t="shared" si="360"/>
        <v>Trichoptera</v>
      </c>
      <c r="L2061">
        <f>_xlfn.XLOOKUP(D2061,BugList!C:C,BugList!N:N)</f>
        <v>4</v>
      </c>
      <c r="M2061">
        <f t="shared" si="361"/>
        <v>44</v>
      </c>
      <c r="N2061" t="b">
        <f>_xlfn.XLOOKUP(D2061,BugList!C:C,BugList!L:L)</f>
        <v>1</v>
      </c>
      <c r="O2061" t="b">
        <f t="shared" si="362"/>
        <v>0</v>
      </c>
      <c r="P2061" s="18" t="b">
        <f>SUMPRODUCT(COUNTIF(_xlfn.XLOOKUP(D2061,BugList!C:C,BugList!P:P), "*SC*"))&gt;0</f>
        <v>0</v>
      </c>
    </row>
    <row r="2062" spans="1:16">
      <c r="A2062" s="9" t="s">
        <v>2926</v>
      </c>
      <c r="B2062" s="83">
        <v>501</v>
      </c>
      <c r="C2062" s="34" t="s">
        <v>198</v>
      </c>
      <c r="D2062" s="34" t="s">
        <v>107</v>
      </c>
      <c r="E2062" s="83">
        <v>1</v>
      </c>
      <c r="F2062" s="43">
        <f t="shared" si="356"/>
        <v>0.96153846153846156</v>
      </c>
      <c r="G2062" s="44">
        <f t="shared" si="357"/>
        <v>0</v>
      </c>
      <c r="H2062" s="44">
        <f t="shared" si="358"/>
        <v>0.96153846153846156</v>
      </c>
      <c r="I2062" cm="1">
        <f t="array" ref="I2062">INT(F2062)+IF(100-SUM(INT(F$2057:F$2066))&gt;=RANK(H2062,H$2057:H$2066)+COUNTIF(H$2057:H2062,H2062)-1,1,0)</f>
        <v>1</v>
      </c>
      <c r="J2062" t="b">
        <f t="shared" si="359"/>
        <v>1</v>
      </c>
      <c r="K2062" t="str">
        <f t="shared" si="360"/>
        <v>Trichoptera</v>
      </c>
      <c r="L2062">
        <f>_xlfn.XLOOKUP(D2062,BugList!C:C,BugList!N:N)</f>
        <v>3</v>
      </c>
      <c r="M2062">
        <f t="shared" si="361"/>
        <v>3</v>
      </c>
      <c r="N2062" t="b">
        <f>_xlfn.XLOOKUP(D2062,BugList!C:C,BugList!L:L)</f>
        <v>1</v>
      </c>
      <c r="O2062" t="b">
        <f t="shared" si="362"/>
        <v>1</v>
      </c>
      <c r="P2062" s="18" t="b">
        <f>SUMPRODUCT(COUNTIF(_xlfn.XLOOKUP(D2062,BugList!C:C,BugList!P:P), "*SC*"))&gt;0</f>
        <v>0</v>
      </c>
    </row>
    <row r="2063" spans="1:16">
      <c r="A2063" s="9" t="s">
        <v>2926</v>
      </c>
      <c r="B2063" s="83">
        <v>501</v>
      </c>
      <c r="C2063" s="34" t="s">
        <v>204</v>
      </c>
      <c r="D2063" s="34" t="s">
        <v>84</v>
      </c>
      <c r="E2063" s="83">
        <v>2</v>
      </c>
      <c r="F2063" s="43">
        <f t="shared" ref="F2063:F2126" si="363">(E2063/(SUMIFS(E:E,A:A,A2063))*100)</f>
        <v>1.9230769230769231</v>
      </c>
      <c r="G2063" s="44">
        <f t="shared" si="357"/>
        <v>1</v>
      </c>
      <c r="H2063" s="44">
        <f t="shared" si="358"/>
        <v>0.92307692307692313</v>
      </c>
      <c r="I2063" cm="1">
        <f t="array" ref="I2063">INT(F2063)+IF(100-SUM(INT(F$2057:F$2066))&gt;=RANK(H2063,H$2057:H$2066)+COUNTIF(H$2057:H2063,H2063)-1,1,0)</f>
        <v>2</v>
      </c>
      <c r="J2063" t="b">
        <f t="shared" si="359"/>
        <v>0</v>
      </c>
      <c r="K2063" t="str">
        <f t="shared" si="360"/>
        <v/>
      </c>
      <c r="L2063">
        <f>_xlfn.XLOOKUP(D2063,BugList!C:C,BugList!N:N)</f>
        <v>8</v>
      </c>
      <c r="M2063">
        <f t="shared" si="361"/>
        <v>16</v>
      </c>
      <c r="N2063" t="b">
        <f>_xlfn.XLOOKUP(D2063,BugList!C:C,BugList!L:L)</f>
        <v>0</v>
      </c>
      <c r="O2063" t="b">
        <f t="shared" si="362"/>
        <v>0</v>
      </c>
      <c r="P2063" s="18" t="b">
        <f>SUMPRODUCT(COUNTIF(_xlfn.XLOOKUP(D2063,BugList!C:C,BugList!P:P), "*SC*"))&gt;0</f>
        <v>0</v>
      </c>
    </row>
    <row r="2064" spans="1:16">
      <c r="A2064" s="9" t="s">
        <v>2926</v>
      </c>
      <c r="B2064" s="83">
        <v>501</v>
      </c>
      <c r="C2064" s="34" t="s">
        <v>201</v>
      </c>
      <c r="D2064" s="34" t="s">
        <v>85</v>
      </c>
      <c r="E2064" s="83">
        <v>5</v>
      </c>
      <c r="F2064" s="43">
        <f t="shared" si="363"/>
        <v>4.8076923076923084</v>
      </c>
      <c r="G2064" s="44">
        <f t="shared" si="357"/>
        <v>4</v>
      </c>
      <c r="H2064" s="44">
        <f t="shared" si="358"/>
        <v>0.80769230769230838</v>
      </c>
      <c r="I2064" cm="1">
        <f t="array" ref="I2064">INT(F2064)+IF(100-SUM(INT(F$2057:F$2066))&gt;=RANK(H2064,H$2057:H$2066)+COUNTIF(H$2057:H2064,H2064)-1,1,0)</f>
        <v>5</v>
      </c>
      <c r="J2064" t="b">
        <f t="shared" si="359"/>
        <v>0</v>
      </c>
      <c r="K2064" t="str">
        <f t="shared" si="360"/>
        <v/>
      </c>
      <c r="L2064">
        <f>_xlfn.XLOOKUP(D2064,BugList!C:C,BugList!N:N)</f>
        <v>4</v>
      </c>
      <c r="M2064">
        <f t="shared" si="361"/>
        <v>20</v>
      </c>
      <c r="N2064" t="b">
        <f>_xlfn.XLOOKUP(D2064,BugList!C:C,BugList!L:L)</f>
        <v>0</v>
      </c>
      <c r="O2064" t="b">
        <f t="shared" si="362"/>
        <v>0</v>
      </c>
      <c r="P2064" s="18" t="b">
        <f>SUMPRODUCT(COUNTIF(_xlfn.XLOOKUP(D2064,BugList!C:C,BugList!P:P), "*SC*"))&gt;0</f>
        <v>0</v>
      </c>
    </row>
    <row r="2065" spans="1:16">
      <c r="A2065" s="9" t="s">
        <v>2926</v>
      </c>
      <c r="B2065" s="83">
        <v>501</v>
      </c>
      <c r="C2065" s="34" t="s">
        <v>202</v>
      </c>
      <c r="D2065" s="34" t="s">
        <v>169</v>
      </c>
      <c r="E2065" s="83">
        <v>2</v>
      </c>
      <c r="F2065" s="43">
        <f t="shared" si="363"/>
        <v>1.9230769230769231</v>
      </c>
      <c r="G2065" s="44">
        <f t="shared" si="357"/>
        <v>1</v>
      </c>
      <c r="H2065" s="44">
        <f t="shared" si="358"/>
        <v>0.92307692307692313</v>
      </c>
      <c r="I2065" cm="1">
        <f t="array" ref="I2065">INT(F2065)+IF(100-SUM(INT(F$2057:F$2066))&gt;=RANK(H2065,H$2057:H$2066)+COUNTIF(H$2057:H2065,H2065)-1,1,0)</f>
        <v>2</v>
      </c>
      <c r="J2065" t="b">
        <f t="shared" si="359"/>
        <v>0</v>
      </c>
      <c r="K2065" t="str">
        <f t="shared" si="360"/>
        <v/>
      </c>
      <c r="L2065">
        <f>_xlfn.XLOOKUP(D2065,BugList!C:C,BugList!N:N)</f>
        <v>5</v>
      </c>
      <c r="M2065">
        <f t="shared" si="361"/>
        <v>10</v>
      </c>
      <c r="N2065" t="b">
        <f>_xlfn.XLOOKUP(D2065,BugList!C:C,BugList!L:L)</f>
        <v>0</v>
      </c>
      <c r="O2065" t="b">
        <f t="shared" si="362"/>
        <v>0</v>
      </c>
      <c r="P2065" s="18" t="b">
        <f>SUMPRODUCT(COUNTIF(_xlfn.XLOOKUP(D2065,BugList!C:C,BugList!P:P), "*SC*"))&gt;0</f>
        <v>0</v>
      </c>
    </row>
    <row r="2066" spans="1:16">
      <c r="A2066" s="9" t="s">
        <v>2926</v>
      </c>
      <c r="B2066" s="83">
        <v>501</v>
      </c>
      <c r="C2066" s="34" t="s">
        <v>94</v>
      </c>
      <c r="D2066" s="34" t="s">
        <v>94</v>
      </c>
      <c r="E2066" s="83">
        <v>1</v>
      </c>
      <c r="F2066" s="43">
        <f t="shared" si="363"/>
        <v>0.96153846153846156</v>
      </c>
      <c r="G2066" s="44">
        <f t="shared" si="357"/>
        <v>0</v>
      </c>
      <c r="H2066" s="44">
        <f t="shared" si="358"/>
        <v>0.96153846153846156</v>
      </c>
      <c r="I2066" cm="1">
        <f t="array" ref="I2066">INT(F2066)+IF(100-SUM(INT(F$2057:F$2066))&gt;=RANK(H2066,H$2057:H$2066)+COUNTIF(H$2057:H2066,H2066)-1,1,0)</f>
        <v>1</v>
      </c>
      <c r="J2066" t="b">
        <f t="shared" si="359"/>
        <v>0</v>
      </c>
      <c r="K2066" t="str">
        <f t="shared" si="360"/>
        <v/>
      </c>
      <c r="L2066">
        <f>_xlfn.XLOOKUP(D2066,BugList!C:C,BugList!N:N)</f>
        <v>8</v>
      </c>
      <c r="M2066">
        <f t="shared" si="361"/>
        <v>8</v>
      </c>
      <c r="N2066" t="b">
        <f>_xlfn.XLOOKUP(D2066,BugList!C:C,BugList!L:L)</f>
        <v>0</v>
      </c>
      <c r="O2066" t="b">
        <f t="shared" si="362"/>
        <v>0</v>
      </c>
      <c r="P2066" s="18" t="b">
        <f>SUMPRODUCT(COUNTIF(_xlfn.XLOOKUP(D2066,BugList!C:C,BugList!P:P), "*SC*"))&gt;0</f>
        <v>0</v>
      </c>
    </row>
    <row r="2067" spans="1:16">
      <c r="A2067" s="9" t="s">
        <v>2927</v>
      </c>
      <c r="B2067" s="83">
        <v>513</v>
      </c>
      <c r="C2067" s="34" t="s">
        <v>200</v>
      </c>
      <c r="D2067" s="34" t="s">
        <v>98</v>
      </c>
      <c r="E2067" s="83">
        <v>4</v>
      </c>
      <c r="F2067" s="43">
        <f t="shared" si="363"/>
        <v>3.8461538461538463</v>
      </c>
      <c r="G2067" s="44">
        <f t="shared" si="357"/>
        <v>3</v>
      </c>
      <c r="H2067" s="44">
        <f t="shared" si="358"/>
        <v>0.84615384615384626</v>
      </c>
      <c r="I2067" cm="1">
        <f t="array" ref="I2067">INT(F2067)+IF(100-SUM(INT(F$2067:F$2078))&gt;=RANK(H2067,H$2067:H$2078)+COUNTIF(H$2067:H2067,H2067)-1,1,0)</f>
        <v>4</v>
      </c>
      <c r="J2067" t="b">
        <f t="shared" si="359"/>
        <v>0</v>
      </c>
      <c r="K2067" t="str">
        <f t="shared" si="360"/>
        <v/>
      </c>
      <c r="L2067">
        <f>_xlfn.XLOOKUP(D2067,BugList!C:C,BugList!N:N)</f>
        <v>4</v>
      </c>
      <c r="M2067">
        <f t="shared" si="361"/>
        <v>16</v>
      </c>
      <c r="N2067" t="b">
        <f>_xlfn.XLOOKUP(D2067,BugList!C:C,BugList!L:L)</f>
        <v>1</v>
      </c>
      <c r="O2067" t="b">
        <f t="shared" si="362"/>
        <v>0</v>
      </c>
      <c r="P2067" s="18" t="b">
        <f>SUMPRODUCT(COUNTIF(_xlfn.XLOOKUP(D2067,BugList!C:C,BugList!P:P), "*SC*"))&gt;0</f>
        <v>1</v>
      </c>
    </row>
    <row r="2068" spans="1:16">
      <c r="A2068" s="9" t="s">
        <v>2927</v>
      </c>
      <c r="B2068" s="83">
        <v>513</v>
      </c>
      <c r="C2068" s="34" t="s">
        <v>200</v>
      </c>
      <c r="D2068" s="34" t="s">
        <v>100</v>
      </c>
      <c r="E2068" s="83">
        <v>14</v>
      </c>
      <c r="F2068" s="43">
        <f t="shared" si="363"/>
        <v>13.461538461538462</v>
      </c>
      <c r="G2068" s="44">
        <f t="shared" si="357"/>
        <v>13</v>
      </c>
      <c r="H2068" s="44">
        <f t="shared" si="358"/>
        <v>0.46153846153846168</v>
      </c>
      <c r="I2068" cm="1">
        <f t="array" ref="I2068">INT(F2068)+IF(100-SUM(INT(F$2067:F$2078))&gt;=RANK(H2068,H$2067:H$2078)+COUNTIF(H$2067:H2068,H2068)-1,1,0)</f>
        <v>13</v>
      </c>
      <c r="J2068" t="b">
        <f t="shared" si="359"/>
        <v>0</v>
      </c>
      <c r="K2068" t="str">
        <f t="shared" si="360"/>
        <v/>
      </c>
      <c r="L2068">
        <f>_xlfn.XLOOKUP(D2068,BugList!C:C,BugList!N:N)</f>
        <v>4</v>
      </c>
      <c r="M2068">
        <f t="shared" si="361"/>
        <v>52</v>
      </c>
      <c r="N2068" t="b">
        <f>_xlfn.XLOOKUP(D2068,BugList!C:C,BugList!L:L)</f>
        <v>1</v>
      </c>
      <c r="O2068" t="b">
        <f t="shared" si="362"/>
        <v>0</v>
      </c>
      <c r="P2068" s="18" t="b">
        <f>SUMPRODUCT(COUNTIF(_xlfn.XLOOKUP(D2068,BugList!C:C,BugList!P:P), "*SC*"))&gt;0</f>
        <v>1</v>
      </c>
    </row>
    <row r="2069" spans="1:16">
      <c r="A2069" s="9" t="s">
        <v>2927</v>
      </c>
      <c r="B2069" s="83">
        <v>513</v>
      </c>
      <c r="C2069" s="34" t="s">
        <v>194</v>
      </c>
      <c r="D2069" s="34" t="s">
        <v>126</v>
      </c>
      <c r="E2069" s="83">
        <v>3</v>
      </c>
      <c r="F2069" s="43">
        <f t="shared" si="363"/>
        <v>2.8846153846153846</v>
      </c>
      <c r="G2069" s="44">
        <f t="shared" si="357"/>
        <v>2</v>
      </c>
      <c r="H2069" s="44">
        <f t="shared" si="358"/>
        <v>0.88461538461538458</v>
      </c>
      <c r="I2069" cm="1">
        <f t="array" ref="I2069">INT(F2069)+IF(100-SUM(INT(F$2067:F$2078))&gt;=RANK(H2069,H$2067:H$2078)+COUNTIF(H$2067:H2069,H2069)-1,1,0)</f>
        <v>3</v>
      </c>
      <c r="J2069" t="b">
        <f t="shared" si="359"/>
        <v>0</v>
      </c>
      <c r="K2069" t="str">
        <f t="shared" si="360"/>
        <v/>
      </c>
      <c r="L2069">
        <f>_xlfn.XLOOKUP(D2069,BugList!C:C,BugList!N:N)</f>
        <v>8</v>
      </c>
      <c r="M2069">
        <f t="shared" si="361"/>
        <v>24</v>
      </c>
      <c r="N2069" t="b">
        <f>_xlfn.XLOOKUP(D2069,BugList!C:C,BugList!L:L)</f>
        <v>1</v>
      </c>
      <c r="O2069" t="b">
        <f t="shared" si="362"/>
        <v>0</v>
      </c>
      <c r="P2069" s="18" t="b">
        <f>SUMPRODUCT(COUNTIF(_xlfn.XLOOKUP(D2069,BugList!C:C,BugList!P:P), "*SC*"))&gt;0</f>
        <v>0</v>
      </c>
    </row>
    <row r="2070" spans="1:16">
      <c r="A2070" s="9" t="s">
        <v>2927</v>
      </c>
      <c r="B2070" s="83">
        <v>513</v>
      </c>
      <c r="C2070" s="34" t="s">
        <v>194</v>
      </c>
      <c r="D2070" s="34" t="s">
        <v>108</v>
      </c>
      <c r="E2070" s="83">
        <v>1</v>
      </c>
      <c r="F2070" s="43">
        <f t="shared" si="363"/>
        <v>0.96153846153846156</v>
      </c>
      <c r="G2070" s="44">
        <f t="shared" si="357"/>
        <v>0</v>
      </c>
      <c r="H2070" s="44">
        <f t="shared" si="358"/>
        <v>0.96153846153846156</v>
      </c>
      <c r="I2070" cm="1">
        <f t="array" ref="I2070">INT(F2070)+IF(100-SUM(INT(F$2067:F$2078))&gt;=RANK(H2070,H$2067:H$2078)+COUNTIF(H$2067:H2070,H2070)-1,1,0)</f>
        <v>1</v>
      </c>
      <c r="J2070" t="b">
        <f t="shared" si="359"/>
        <v>0</v>
      </c>
      <c r="K2070" t="str">
        <f t="shared" si="360"/>
        <v/>
      </c>
      <c r="L2070">
        <f>_xlfn.XLOOKUP(D2070,BugList!C:C,BugList!N:N)</f>
        <v>3</v>
      </c>
      <c r="M2070">
        <f t="shared" si="361"/>
        <v>3</v>
      </c>
      <c r="N2070" t="b">
        <f>_xlfn.XLOOKUP(D2070,BugList!C:C,BugList!L:L)</f>
        <v>1</v>
      </c>
      <c r="O2070" t="b">
        <f t="shared" si="362"/>
        <v>0</v>
      </c>
      <c r="P2070" s="18" t="b">
        <f>SUMPRODUCT(COUNTIF(_xlfn.XLOOKUP(D2070,BugList!C:C,BugList!P:P), "*SC*"))&gt;0</f>
        <v>0</v>
      </c>
    </row>
    <row r="2071" spans="1:16">
      <c r="A2071" s="9" t="s">
        <v>2927</v>
      </c>
      <c r="B2071" s="83">
        <v>513</v>
      </c>
      <c r="C2071" s="34" t="s">
        <v>199</v>
      </c>
      <c r="D2071" s="34" t="s">
        <v>111</v>
      </c>
      <c r="E2071" s="83">
        <v>1</v>
      </c>
      <c r="F2071" s="43">
        <f t="shared" si="363"/>
        <v>0.96153846153846156</v>
      </c>
      <c r="G2071" s="44">
        <f t="shared" si="357"/>
        <v>0</v>
      </c>
      <c r="H2071" s="44">
        <f t="shared" si="358"/>
        <v>0.96153846153846156</v>
      </c>
      <c r="I2071" cm="1">
        <f t="array" ref="I2071">INT(F2071)+IF(100-SUM(INT(F$2067:F$2078))&gt;=RANK(H2071,H$2067:H$2078)+COUNTIF(H$2067:H2071,H2071)-1,1,0)</f>
        <v>1</v>
      </c>
      <c r="J2071" t="b">
        <f t="shared" si="359"/>
        <v>1</v>
      </c>
      <c r="K2071" t="str">
        <f t="shared" si="360"/>
        <v>Ephemeroptera</v>
      </c>
      <c r="L2071">
        <f>_xlfn.XLOOKUP(D2071,BugList!C:C,BugList!N:N)</f>
        <v>4</v>
      </c>
      <c r="M2071">
        <f t="shared" si="361"/>
        <v>4</v>
      </c>
      <c r="N2071" t="b">
        <f>_xlfn.XLOOKUP(D2071,BugList!C:C,BugList!L:L)</f>
        <v>1</v>
      </c>
      <c r="O2071" t="b">
        <f t="shared" si="362"/>
        <v>1</v>
      </c>
      <c r="P2071" s="18" t="b">
        <f>SUMPRODUCT(COUNTIF(_xlfn.XLOOKUP(D2071,BugList!C:C,BugList!P:P), "*SC*"))&gt;0</f>
        <v>0</v>
      </c>
    </row>
    <row r="2072" spans="1:16">
      <c r="A2072" s="9" t="s">
        <v>2927</v>
      </c>
      <c r="B2072" s="83">
        <v>513</v>
      </c>
      <c r="C2072" s="34" t="s">
        <v>195</v>
      </c>
      <c r="D2072" s="34" t="s">
        <v>112</v>
      </c>
      <c r="E2072" s="83">
        <v>2</v>
      </c>
      <c r="F2072" s="43">
        <f t="shared" si="363"/>
        <v>1.9230769230769231</v>
      </c>
      <c r="G2072" s="44">
        <f t="shared" si="357"/>
        <v>1</v>
      </c>
      <c r="H2072" s="44">
        <f t="shared" si="358"/>
        <v>0.92307692307692313</v>
      </c>
      <c r="I2072" cm="1">
        <f t="array" ref="I2072">INT(F2072)+IF(100-SUM(INT(F$2067:F$2078))&gt;=RANK(H2072,H$2067:H$2078)+COUNTIF(H$2067:H2072,H2072)-1,1,0)</f>
        <v>2</v>
      </c>
      <c r="J2072" t="b">
        <f t="shared" si="359"/>
        <v>0</v>
      </c>
      <c r="K2072" t="str">
        <f t="shared" si="360"/>
        <v/>
      </c>
      <c r="L2072">
        <f>_xlfn.XLOOKUP(D2072,BugList!C:C,BugList!N:N)</f>
        <v>5</v>
      </c>
      <c r="M2072">
        <f t="shared" si="361"/>
        <v>10</v>
      </c>
      <c r="N2072" t="b">
        <f>_xlfn.XLOOKUP(D2072,BugList!C:C,BugList!L:L)</f>
        <v>1</v>
      </c>
      <c r="O2072" t="b">
        <f t="shared" si="362"/>
        <v>0</v>
      </c>
      <c r="P2072" s="18" t="b">
        <f>SUMPRODUCT(COUNTIF(_xlfn.XLOOKUP(D2072,BugList!C:C,BugList!P:P), "*SC*"))&gt;0</f>
        <v>0</v>
      </c>
    </row>
    <row r="2073" spans="1:16">
      <c r="A2073" s="9" t="s">
        <v>2927</v>
      </c>
      <c r="B2073" s="83">
        <v>513</v>
      </c>
      <c r="C2073" s="34" t="s">
        <v>195</v>
      </c>
      <c r="D2073" s="34" t="s">
        <v>97</v>
      </c>
      <c r="E2073" s="83">
        <v>3</v>
      </c>
      <c r="F2073" s="43">
        <f t="shared" si="363"/>
        <v>2.8846153846153846</v>
      </c>
      <c r="G2073" s="44">
        <f t="shared" si="357"/>
        <v>2</v>
      </c>
      <c r="H2073" s="44">
        <f t="shared" si="358"/>
        <v>0.88461538461538458</v>
      </c>
      <c r="I2073" cm="1">
        <f t="array" ref="I2073">INT(F2073)+IF(100-SUM(INT(F$2067:F$2078))&gt;=RANK(H2073,H$2067:H$2078)+COUNTIF(H$2067:H2073,H2073)-1,1,0)</f>
        <v>3</v>
      </c>
      <c r="J2073" t="b">
        <f t="shared" si="359"/>
        <v>0</v>
      </c>
      <c r="K2073" t="str">
        <f t="shared" si="360"/>
        <v/>
      </c>
      <c r="L2073">
        <f>_xlfn.XLOOKUP(D2073,BugList!C:C,BugList!N:N)</f>
        <v>9</v>
      </c>
      <c r="M2073">
        <f t="shared" si="361"/>
        <v>27</v>
      </c>
      <c r="N2073" t="b">
        <f>_xlfn.XLOOKUP(D2073,BugList!C:C,BugList!L:L)</f>
        <v>1</v>
      </c>
      <c r="O2073" t="b">
        <f t="shared" si="362"/>
        <v>0</v>
      </c>
      <c r="P2073" s="18" t="b">
        <f>SUMPRODUCT(COUNTIF(_xlfn.XLOOKUP(D2073,BugList!C:C,BugList!P:P), "*SC*"))&gt;0</f>
        <v>0</v>
      </c>
    </row>
    <row r="2074" spans="1:16">
      <c r="A2074" s="9" t="s">
        <v>2927</v>
      </c>
      <c r="B2074" s="83">
        <v>513</v>
      </c>
      <c r="C2074" s="34" t="s">
        <v>195</v>
      </c>
      <c r="D2074" s="34" t="s">
        <v>113</v>
      </c>
      <c r="E2074" s="83">
        <v>2</v>
      </c>
      <c r="F2074" s="43">
        <f t="shared" si="363"/>
        <v>1.9230769230769231</v>
      </c>
      <c r="G2074" s="44">
        <f t="shared" si="357"/>
        <v>1</v>
      </c>
      <c r="H2074" s="44">
        <f t="shared" si="358"/>
        <v>0.92307692307692313</v>
      </c>
      <c r="I2074" cm="1">
        <f t="array" ref="I2074">INT(F2074)+IF(100-SUM(INT(F$2067:F$2078))&gt;=RANK(H2074,H$2067:H$2078)+COUNTIF(H$2067:H2074,H2074)-1,1,0)</f>
        <v>2</v>
      </c>
      <c r="J2074" t="b">
        <f t="shared" si="359"/>
        <v>0</v>
      </c>
      <c r="K2074" t="str">
        <f t="shared" si="360"/>
        <v/>
      </c>
      <c r="L2074">
        <f>_xlfn.XLOOKUP(D2074,BugList!C:C,BugList!N:N)</f>
        <v>1</v>
      </c>
      <c r="M2074">
        <f t="shared" si="361"/>
        <v>2</v>
      </c>
      <c r="N2074" t="b">
        <f>_xlfn.XLOOKUP(D2074,BugList!C:C,BugList!L:L)</f>
        <v>1</v>
      </c>
      <c r="O2074" t="b">
        <f t="shared" si="362"/>
        <v>0</v>
      </c>
      <c r="P2074" s="18" t="b">
        <f>SUMPRODUCT(COUNTIF(_xlfn.XLOOKUP(D2074,BugList!C:C,BugList!P:P), "*SC*"))&gt;0</f>
        <v>0</v>
      </c>
    </row>
    <row r="2075" spans="1:16">
      <c r="A2075" s="9" t="s">
        <v>2927</v>
      </c>
      <c r="B2075" s="83">
        <v>513</v>
      </c>
      <c r="C2075" s="34" t="s">
        <v>212</v>
      </c>
      <c r="D2075" s="34" t="s">
        <v>1174</v>
      </c>
      <c r="E2075" s="83">
        <v>1</v>
      </c>
      <c r="F2075" s="43">
        <f t="shared" si="363"/>
        <v>0.96153846153846156</v>
      </c>
      <c r="G2075" s="44">
        <f t="shared" si="357"/>
        <v>0</v>
      </c>
      <c r="H2075" s="44">
        <f t="shared" si="358"/>
        <v>0.96153846153846156</v>
      </c>
      <c r="I2075" cm="1">
        <f t="array" ref="I2075">INT(F2075)+IF(100-SUM(INT(F$2067:F$2078))&gt;=RANK(H2075,H$2067:H$2078)+COUNTIF(H$2067:H2075,H2075)-1,1,0)</f>
        <v>1</v>
      </c>
      <c r="J2075" t="b">
        <f t="shared" si="359"/>
        <v>0</v>
      </c>
      <c r="K2075" t="str">
        <f t="shared" si="360"/>
        <v/>
      </c>
      <c r="L2075">
        <f>_xlfn.XLOOKUP(D2075,BugList!C:C,BugList!N:N)</f>
        <v>9</v>
      </c>
      <c r="M2075">
        <f t="shared" si="361"/>
        <v>9</v>
      </c>
      <c r="N2075" t="b">
        <f>_xlfn.XLOOKUP(D2075,BugList!C:C,BugList!L:L)</f>
        <v>1</v>
      </c>
      <c r="O2075" t="b">
        <f t="shared" si="362"/>
        <v>0</v>
      </c>
      <c r="P2075" s="18" t="b">
        <f>SUMPRODUCT(COUNTIF(_xlfn.XLOOKUP(D2075,BugList!C:C,BugList!P:P), "*SC*"))&gt;0</f>
        <v>0</v>
      </c>
    </row>
    <row r="2076" spans="1:16">
      <c r="A2076" s="9" t="s">
        <v>2927</v>
      </c>
      <c r="B2076" s="83">
        <v>513</v>
      </c>
      <c r="C2076" s="34" t="s">
        <v>198</v>
      </c>
      <c r="D2076" s="34" t="s">
        <v>89</v>
      </c>
      <c r="E2076" s="83">
        <v>5</v>
      </c>
      <c r="F2076" s="43">
        <f t="shared" si="363"/>
        <v>4.8076923076923084</v>
      </c>
      <c r="G2076" s="44">
        <f t="shared" si="357"/>
        <v>4</v>
      </c>
      <c r="H2076" s="44">
        <f t="shared" si="358"/>
        <v>0.80769230769230838</v>
      </c>
      <c r="I2076" cm="1">
        <f t="array" ref="I2076">INT(F2076)+IF(100-SUM(INT(F$2067:F$2078))&gt;=RANK(H2076,H$2067:H$2078)+COUNTIF(H$2067:H2076,H2076)-1,1,0)</f>
        <v>5</v>
      </c>
      <c r="J2076" t="b">
        <f t="shared" si="359"/>
        <v>1</v>
      </c>
      <c r="K2076" t="str">
        <f t="shared" si="360"/>
        <v>Trichoptera</v>
      </c>
      <c r="L2076">
        <f>_xlfn.XLOOKUP(D2076,BugList!C:C,BugList!N:N)</f>
        <v>4</v>
      </c>
      <c r="M2076">
        <f t="shared" si="361"/>
        <v>20</v>
      </c>
      <c r="N2076" t="b">
        <f>_xlfn.XLOOKUP(D2076,BugList!C:C,BugList!L:L)</f>
        <v>1</v>
      </c>
      <c r="O2076" t="b">
        <f t="shared" si="362"/>
        <v>0</v>
      </c>
      <c r="P2076" s="18" t="b">
        <f>SUMPRODUCT(COUNTIF(_xlfn.XLOOKUP(D2076,BugList!C:C,BugList!P:P), "*SC*"))&gt;0</f>
        <v>0</v>
      </c>
    </row>
    <row r="2077" spans="1:16">
      <c r="A2077" s="9" t="s">
        <v>2927</v>
      </c>
      <c r="B2077" s="83">
        <v>513</v>
      </c>
      <c r="C2077" s="34" t="s">
        <v>201</v>
      </c>
      <c r="D2077" s="34" t="s">
        <v>85</v>
      </c>
      <c r="E2077" s="83">
        <v>67</v>
      </c>
      <c r="F2077" s="43">
        <f t="shared" si="363"/>
        <v>64.423076923076934</v>
      </c>
      <c r="G2077" s="44">
        <f t="shared" si="357"/>
        <v>64</v>
      </c>
      <c r="H2077" s="44">
        <f t="shared" si="358"/>
        <v>0.42307692307693401</v>
      </c>
      <c r="I2077" cm="1">
        <f t="array" ref="I2077">INT(F2077)+IF(100-SUM(INT(F$2067:F$2078))&gt;=RANK(H2077,H$2067:H$2078)+COUNTIF(H$2067:H2077,H2077)-1,1,0)</f>
        <v>64</v>
      </c>
      <c r="J2077" t="b">
        <f t="shared" si="359"/>
        <v>0</v>
      </c>
      <c r="K2077" t="str">
        <f t="shared" si="360"/>
        <v/>
      </c>
      <c r="L2077">
        <f>_xlfn.XLOOKUP(D2077,BugList!C:C,BugList!N:N)</f>
        <v>4</v>
      </c>
      <c r="M2077">
        <f t="shared" si="361"/>
        <v>256</v>
      </c>
      <c r="N2077" t="b">
        <f>_xlfn.XLOOKUP(D2077,BugList!C:C,BugList!L:L)</f>
        <v>0</v>
      </c>
      <c r="O2077" t="b">
        <f t="shared" si="362"/>
        <v>0</v>
      </c>
      <c r="P2077" s="18" t="b">
        <f>SUMPRODUCT(COUNTIF(_xlfn.XLOOKUP(D2077,BugList!C:C,BugList!P:P), "*SC*"))&gt;0</f>
        <v>0</v>
      </c>
    </row>
    <row r="2078" spans="1:16">
      <c r="A2078" s="9" t="s">
        <v>2927</v>
      </c>
      <c r="B2078" s="83">
        <v>513</v>
      </c>
      <c r="C2078" s="34" t="s">
        <v>202</v>
      </c>
      <c r="D2078" s="34" t="s">
        <v>169</v>
      </c>
      <c r="E2078" s="83">
        <v>1</v>
      </c>
      <c r="F2078" s="43">
        <f t="shared" si="363"/>
        <v>0.96153846153846156</v>
      </c>
      <c r="G2078" s="44">
        <f t="shared" si="357"/>
        <v>0</v>
      </c>
      <c r="H2078" s="44">
        <f t="shared" si="358"/>
        <v>0.96153846153846156</v>
      </c>
      <c r="I2078" cm="1">
        <f t="array" ref="I2078">INT(F2078)+IF(100-SUM(INT(F$2067:F$2078))&gt;=RANK(H2078,H$2067:H$2078)+COUNTIF(H$2067:H2078,H2078)-1,1,0)</f>
        <v>1</v>
      </c>
      <c r="J2078" t="b">
        <f t="shared" si="359"/>
        <v>0</v>
      </c>
      <c r="K2078" t="str">
        <f t="shared" si="360"/>
        <v/>
      </c>
      <c r="L2078">
        <f>_xlfn.XLOOKUP(D2078,BugList!C:C,BugList!N:N)</f>
        <v>5</v>
      </c>
      <c r="M2078">
        <f t="shared" si="361"/>
        <v>5</v>
      </c>
      <c r="N2078" t="b">
        <f>_xlfn.XLOOKUP(D2078,BugList!C:C,BugList!L:L)</f>
        <v>0</v>
      </c>
      <c r="O2078" t="b">
        <f t="shared" si="362"/>
        <v>0</v>
      </c>
      <c r="P2078" s="18" t="b">
        <f>SUMPRODUCT(COUNTIF(_xlfn.XLOOKUP(D2078,BugList!C:C,BugList!P:P), "*SC*"))&gt;0</f>
        <v>0</v>
      </c>
    </row>
    <row r="2079" spans="1:16">
      <c r="A2079" s="86" t="s">
        <v>110</v>
      </c>
      <c r="B2079" s="83">
        <v>524</v>
      </c>
      <c r="C2079" s="34" t="s">
        <v>200</v>
      </c>
      <c r="D2079" s="34" t="s">
        <v>100</v>
      </c>
      <c r="E2079" s="83">
        <v>31</v>
      </c>
      <c r="F2079" s="43">
        <f t="shared" si="363"/>
        <v>22.142857142857142</v>
      </c>
      <c r="G2079" s="44">
        <f t="shared" ref="G2079:G2091" si="364">INT(F2079)</f>
        <v>22</v>
      </c>
      <c r="H2079" s="44">
        <f t="shared" ref="H2079:H2091" si="365">F2079-G2079</f>
        <v>0.14285714285714235</v>
      </c>
      <c r="I2079" cm="1">
        <f t="array" ref="I2079">INT(F2079)+IF(100-SUM(INT(F$2079:F$2091))&gt;=RANK(H2079,H$2079:H$2091)+COUNTIF(H$2079:H2079,H2079)-1,1,0)</f>
        <v>22</v>
      </c>
      <c r="J2079" t="b">
        <f t="shared" ref="J2079:J2091" si="366">IF(OR(C2079="Ephemeroptera", C2079 ="Plecoptera", C2079= "Trichoptera"), TRUE, FALSE)</f>
        <v>0</v>
      </c>
      <c r="K2079" t="str">
        <f t="shared" ref="K2079:K2091" si="367">IF(J2079=TRUE,C2079,"")</f>
        <v/>
      </c>
      <c r="L2079">
        <f>_xlfn.XLOOKUP(D2079,BugList!C:C,BugList!N:N)</f>
        <v>4</v>
      </c>
      <c r="M2079">
        <f t="shared" ref="M2079:M2091" si="368">L2079*I2079</f>
        <v>88</v>
      </c>
      <c r="N2079" t="b">
        <f>_xlfn.XLOOKUP(D2079,BugList!C:C,BugList!L:L)</f>
        <v>1</v>
      </c>
      <c r="O2079" t="b">
        <f t="shared" ref="O2079:O2091" si="369">IF(J2079=TRUE,IF(D2079="Hydropsychidae", FALSE, TRUE), FALSE)</f>
        <v>0</v>
      </c>
      <c r="P2079" s="18" t="b">
        <f>SUMPRODUCT(COUNTIF(_xlfn.XLOOKUP(D2079,BugList!C:C,BugList!P:P), "*SC*"))&gt;0</f>
        <v>1</v>
      </c>
    </row>
    <row r="2080" spans="1:16">
      <c r="A2080" s="86" t="s">
        <v>110</v>
      </c>
      <c r="B2080" s="83">
        <v>524</v>
      </c>
      <c r="C2080" s="34" t="s">
        <v>194</v>
      </c>
      <c r="D2080" s="34" t="s">
        <v>126</v>
      </c>
      <c r="E2080" s="83">
        <v>3</v>
      </c>
      <c r="F2080" s="43">
        <f t="shared" si="363"/>
        <v>2.1428571428571428</v>
      </c>
      <c r="G2080" s="44">
        <f t="shared" si="364"/>
        <v>2</v>
      </c>
      <c r="H2080" s="44">
        <f t="shared" si="365"/>
        <v>0.14285714285714279</v>
      </c>
      <c r="I2080" cm="1">
        <f t="array" ref="I2080">INT(F2080)+IF(100-SUM(INT(F$2079:F$2091))&gt;=RANK(H2080,H$2079:H$2091)+COUNTIF(H$2079:H2080,H2080)-1,1,0)</f>
        <v>2</v>
      </c>
      <c r="J2080" t="b">
        <f t="shared" si="366"/>
        <v>0</v>
      </c>
      <c r="K2080" t="str">
        <f t="shared" si="367"/>
        <v/>
      </c>
      <c r="L2080">
        <f>_xlfn.XLOOKUP(D2080,BugList!C:C,BugList!N:N)</f>
        <v>8</v>
      </c>
      <c r="M2080">
        <f t="shared" si="368"/>
        <v>16</v>
      </c>
      <c r="N2080" t="b">
        <f>_xlfn.XLOOKUP(D2080,BugList!C:C,BugList!L:L)</f>
        <v>1</v>
      </c>
      <c r="O2080" t="b">
        <f t="shared" si="369"/>
        <v>0</v>
      </c>
      <c r="P2080" s="18" t="b">
        <f>SUMPRODUCT(COUNTIF(_xlfn.XLOOKUP(D2080,BugList!C:C,BugList!P:P), "*SC*"))&gt;0</f>
        <v>0</v>
      </c>
    </row>
    <row r="2081" spans="1:16">
      <c r="A2081" s="86" t="s">
        <v>110</v>
      </c>
      <c r="B2081" s="83">
        <v>524</v>
      </c>
      <c r="C2081" s="34" t="s">
        <v>194</v>
      </c>
      <c r="D2081" s="34" t="s">
        <v>90</v>
      </c>
      <c r="E2081" s="83">
        <v>10</v>
      </c>
      <c r="F2081" s="43">
        <f t="shared" si="363"/>
        <v>7.1428571428571423</v>
      </c>
      <c r="G2081" s="44">
        <f t="shared" si="364"/>
        <v>7</v>
      </c>
      <c r="H2081" s="44">
        <f t="shared" si="365"/>
        <v>0.14285714285714235</v>
      </c>
      <c r="I2081" cm="1">
        <f t="array" ref="I2081">INT(F2081)+IF(100-SUM(INT(F$2079:F$2091))&gt;=RANK(H2081,H$2079:H$2091)+COUNTIF(H$2079:H2081,H2081)-1,1,0)</f>
        <v>7</v>
      </c>
      <c r="J2081" t="b">
        <f t="shared" si="366"/>
        <v>0</v>
      </c>
      <c r="K2081" t="str">
        <f t="shared" si="367"/>
        <v/>
      </c>
      <c r="L2081">
        <f>_xlfn.XLOOKUP(D2081,BugList!C:C,BugList!N:N)</f>
        <v>6</v>
      </c>
      <c r="M2081">
        <f t="shared" si="368"/>
        <v>42</v>
      </c>
      <c r="N2081" t="b">
        <f>_xlfn.XLOOKUP(D2081,BugList!C:C,BugList!L:L)</f>
        <v>1</v>
      </c>
      <c r="O2081" t="b">
        <f t="shared" si="369"/>
        <v>0</v>
      </c>
      <c r="P2081" s="18" t="b">
        <f>SUMPRODUCT(COUNTIF(_xlfn.XLOOKUP(D2081,BugList!C:C,BugList!P:P), "*SC*"))&gt;0</f>
        <v>0</v>
      </c>
    </row>
    <row r="2082" spans="1:16">
      <c r="A2082" s="86" t="s">
        <v>110</v>
      </c>
      <c r="B2082" s="83">
        <v>524</v>
      </c>
      <c r="C2082" s="34" t="s">
        <v>194</v>
      </c>
      <c r="D2082" s="34" t="s">
        <v>108</v>
      </c>
      <c r="E2082" s="83">
        <v>7</v>
      </c>
      <c r="F2082" s="43">
        <f t="shared" si="363"/>
        <v>5</v>
      </c>
      <c r="G2082" s="44">
        <f t="shared" si="364"/>
        <v>5</v>
      </c>
      <c r="H2082" s="44">
        <f t="shared" si="365"/>
        <v>0</v>
      </c>
      <c r="I2082" cm="1">
        <f t="array" ref="I2082">INT(F2082)+IF(100-SUM(INT(F$2079:F$2091))&gt;=RANK(H2082,H$2079:H$2091)+COUNTIF(H$2079:H2082,H2082)-1,1,0)</f>
        <v>5</v>
      </c>
      <c r="J2082" t="b">
        <f t="shared" si="366"/>
        <v>0</v>
      </c>
      <c r="K2082" t="str">
        <f t="shared" si="367"/>
        <v/>
      </c>
      <c r="L2082">
        <f>_xlfn.XLOOKUP(D2082,BugList!C:C,BugList!N:N)</f>
        <v>3</v>
      </c>
      <c r="M2082">
        <f t="shared" si="368"/>
        <v>15</v>
      </c>
      <c r="N2082" t="b">
        <f>_xlfn.XLOOKUP(D2082,BugList!C:C,BugList!L:L)</f>
        <v>1</v>
      </c>
      <c r="O2082" t="b">
        <f t="shared" si="369"/>
        <v>0</v>
      </c>
      <c r="P2082" s="18" t="b">
        <f>SUMPRODUCT(COUNTIF(_xlfn.XLOOKUP(D2082,BugList!C:C,BugList!P:P), "*SC*"))&gt;0</f>
        <v>0</v>
      </c>
    </row>
    <row r="2083" spans="1:16">
      <c r="A2083" s="86" t="s">
        <v>110</v>
      </c>
      <c r="B2083" s="83">
        <v>524</v>
      </c>
      <c r="C2083" s="34" t="s">
        <v>199</v>
      </c>
      <c r="D2083" s="34" t="s">
        <v>111</v>
      </c>
      <c r="E2083" s="83">
        <v>2</v>
      </c>
      <c r="F2083" s="43">
        <f t="shared" si="363"/>
        <v>1.4285714285714286</v>
      </c>
      <c r="G2083" s="44">
        <f t="shared" si="364"/>
        <v>1</v>
      </c>
      <c r="H2083" s="44">
        <f t="shared" si="365"/>
        <v>0.4285714285714286</v>
      </c>
      <c r="I2083" cm="1">
        <f t="array" ref="I2083">INT(F2083)+IF(100-SUM(INT(F$2079:F$2091))&gt;=RANK(H2083,H$2079:H$2091)+COUNTIF(H$2079:H2083,H2083)-1,1,0)</f>
        <v>1</v>
      </c>
      <c r="J2083" t="b">
        <f t="shared" si="366"/>
        <v>1</v>
      </c>
      <c r="K2083" t="str">
        <f t="shared" si="367"/>
        <v>Ephemeroptera</v>
      </c>
      <c r="L2083">
        <f>_xlfn.XLOOKUP(D2083,BugList!C:C,BugList!N:N)</f>
        <v>4</v>
      </c>
      <c r="M2083">
        <f t="shared" si="368"/>
        <v>4</v>
      </c>
      <c r="N2083" t="b">
        <f>_xlfn.XLOOKUP(D2083,BugList!C:C,BugList!L:L)</f>
        <v>1</v>
      </c>
      <c r="O2083" t="b">
        <f t="shared" si="369"/>
        <v>1</v>
      </c>
      <c r="P2083" s="18" t="b">
        <f>SUMPRODUCT(COUNTIF(_xlfn.XLOOKUP(D2083,BugList!C:C,BugList!P:P), "*SC*"))&gt;0</f>
        <v>0</v>
      </c>
    </row>
    <row r="2084" spans="1:16">
      <c r="A2084" s="86" t="s">
        <v>110</v>
      </c>
      <c r="B2084" s="83">
        <v>524</v>
      </c>
      <c r="C2084" s="34" t="s">
        <v>195</v>
      </c>
      <c r="D2084" s="34" t="s">
        <v>112</v>
      </c>
      <c r="E2084" s="83">
        <v>5</v>
      </c>
      <c r="F2084" s="43">
        <f t="shared" si="363"/>
        <v>3.5714285714285712</v>
      </c>
      <c r="G2084" s="44">
        <f t="shared" si="364"/>
        <v>3</v>
      </c>
      <c r="H2084" s="44">
        <f t="shared" si="365"/>
        <v>0.57142857142857117</v>
      </c>
      <c r="I2084" cm="1">
        <f t="array" ref="I2084">INT(F2084)+IF(100-SUM(INT(F$2079:F$2091))&gt;=RANK(H2084,H$2079:H$2091)+COUNTIF(H$2079:H2084,H2084)-1,1,0)</f>
        <v>4</v>
      </c>
      <c r="J2084" t="b">
        <f t="shared" si="366"/>
        <v>0</v>
      </c>
      <c r="K2084" t="str">
        <f t="shared" si="367"/>
        <v/>
      </c>
      <c r="L2084">
        <f>_xlfn.XLOOKUP(D2084,BugList!C:C,BugList!N:N)</f>
        <v>5</v>
      </c>
      <c r="M2084">
        <f t="shared" si="368"/>
        <v>20</v>
      </c>
      <c r="N2084" t="b">
        <f>_xlfn.XLOOKUP(D2084,BugList!C:C,BugList!L:L)</f>
        <v>1</v>
      </c>
      <c r="O2084" t="b">
        <f t="shared" si="369"/>
        <v>0</v>
      </c>
      <c r="P2084" s="18" t="b">
        <f>SUMPRODUCT(COUNTIF(_xlfn.XLOOKUP(D2084,BugList!C:C,BugList!P:P), "*SC*"))&gt;0</f>
        <v>0</v>
      </c>
    </row>
    <row r="2085" spans="1:16">
      <c r="A2085" s="86" t="s">
        <v>110</v>
      </c>
      <c r="B2085" s="83">
        <v>524</v>
      </c>
      <c r="C2085" s="34" t="s">
        <v>195</v>
      </c>
      <c r="D2085" s="34" t="s">
        <v>113</v>
      </c>
      <c r="E2085" s="83">
        <v>1</v>
      </c>
      <c r="F2085" s="43">
        <f t="shared" si="363"/>
        <v>0.7142857142857143</v>
      </c>
      <c r="G2085" s="44">
        <f t="shared" si="364"/>
        <v>0</v>
      </c>
      <c r="H2085" s="44">
        <f t="shared" si="365"/>
        <v>0.7142857142857143</v>
      </c>
      <c r="I2085" cm="1">
        <f t="array" ref="I2085">INT(F2085)+IF(100-SUM(INT(F$2079:F$2091))&gt;=RANK(H2085,H$2079:H$2091)+COUNTIF(H$2079:H2085,H2085)-1,1,0)</f>
        <v>1</v>
      </c>
      <c r="J2085" t="b">
        <f t="shared" si="366"/>
        <v>0</v>
      </c>
      <c r="K2085" t="str">
        <f t="shared" si="367"/>
        <v/>
      </c>
      <c r="L2085">
        <f>_xlfn.XLOOKUP(D2085,BugList!C:C,BugList!N:N)</f>
        <v>1</v>
      </c>
      <c r="M2085">
        <f t="shared" si="368"/>
        <v>1</v>
      </c>
      <c r="N2085" t="b">
        <f>_xlfn.XLOOKUP(D2085,BugList!C:C,BugList!L:L)</f>
        <v>1</v>
      </c>
      <c r="O2085" t="b">
        <f t="shared" si="369"/>
        <v>0</v>
      </c>
      <c r="P2085" s="18" t="b">
        <f>SUMPRODUCT(COUNTIF(_xlfn.XLOOKUP(D2085,BugList!C:C,BugList!P:P), "*SC*"))&gt;0</f>
        <v>0</v>
      </c>
    </row>
    <row r="2086" spans="1:16">
      <c r="A2086" s="86" t="s">
        <v>110</v>
      </c>
      <c r="B2086" s="83">
        <v>524</v>
      </c>
      <c r="C2086" s="34" t="s">
        <v>197</v>
      </c>
      <c r="D2086" s="34" t="s">
        <v>106</v>
      </c>
      <c r="E2086" s="83">
        <v>2</v>
      </c>
      <c r="F2086" s="43">
        <f t="shared" si="363"/>
        <v>1.4285714285714286</v>
      </c>
      <c r="G2086" s="44">
        <f t="shared" si="364"/>
        <v>1</v>
      </c>
      <c r="H2086" s="44">
        <f t="shared" si="365"/>
        <v>0.4285714285714286</v>
      </c>
      <c r="I2086" cm="1">
        <f t="array" ref="I2086">INT(F2086)+IF(100-SUM(INT(F$2079:F$2091))&gt;=RANK(H2086,H$2079:H$2091)+COUNTIF(H$2079:H2086,H2086)-1,1,0)</f>
        <v>1</v>
      </c>
      <c r="J2086" t="b">
        <f t="shared" si="366"/>
        <v>1</v>
      </c>
      <c r="K2086" t="str">
        <f t="shared" si="367"/>
        <v>Plecoptera</v>
      </c>
      <c r="L2086">
        <f>_xlfn.XLOOKUP(D2086,BugList!C:C,BugList!N:N)</f>
        <v>2</v>
      </c>
      <c r="M2086">
        <f t="shared" si="368"/>
        <v>2</v>
      </c>
      <c r="N2086" t="b">
        <f>_xlfn.XLOOKUP(D2086,BugList!C:C,BugList!L:L)</f>
        <v>1</v>
      </c>
      <c r="O2086" t="b">
        <f t="shared" si="369"/>
        <v>1</v>
      </c>
      <c r="P2086" s="18" t="b">
        <f>SUMPRODUCT(COUNTIF(_xlfn.XLOOKUP(D2086,BugList!C:C,BugList!P:P), "*SC*"))&gt;0</f>
        <v>0</v>
      </c>
    </row>
    <row r="2087" spans="1:16">
      <c r="A2087" s="86" t="s">
        <v>110</v>
      </c>
      <c r="B2087" s="83">
        <v>524</v>
      </c>
      <c r="C2087" s="34" t="s">
        <v>198</v>
      </c>
      <c r="D2087" s="34" t="s">
        <v>89</v>
      </c>
      <c r="E2087" s="83">
        <v>11</v>
      </c>
      <c r="F2087" s="43">
        <f t="shared" si="363"/>
        <v>7.8571428571428568</v>
      </c>
      <c r="G2087" s="44">
        <f t="shared" si="364"/>
        <v>7</v>
      </c>
      <c r="H2087" s="44">
        <f t="shared" si="365"/>
        <v>0.85714285714285676</v>
      </c>
      <c r="I2087" cm="1">
        <f t="array" ref="I2087">INT(F2087)+IF(100-SUM(INT(F$2079:F$2091))&gt;=RANK(H2087,H$2079:H$2091)+COUNTIF(H$2079:H2087,H2087)-1,1,0)</f>
        <v>8</v>
      </c>
      <c r="J2087" t="b">
        <f t="shared" si="366"/>
        <v>1</v>
      </c>
      <c r="K2087" t="str">
        <f t="shared" si="367"/>
        <v>Trichoptera</v>
      </c>
      <c r="L2087">
        <f>_xlfn.XLOOKUP(D2087,BugList!C:C,BugList!N:N)</f>
        <v>4</v>
      </c>
      <c r="M2087">
        <f t="shared" si="368"/>
        <v>32</v>
      </c>
      <c r="N2087" t="b">
        <f>_xlfn.XLOOKUP(D2087,BugList!C:C,BugList!L:L)</f>
        <v>1</v>
      </c>
      <c r="O2087" t="b">
        <f t="shared" si="369"/>
        <v>0</v>
      </c>
      <c r="P2087" s="18" t="b">
        <f>SUMPRODUCT(COUNTIF(_xlfn.XLOOKUP(D2087,BugList!C:C,BugList!P:P), "*SC*"))&gt;0</f>
        <v>0</v>
      </c>
    </row>
    <row r="2088" spans="1:16">
      <c r="A2088" s="86" t="s">
        <v>110</v>
      </c>
      <c r="B2088" s="83">
        <v>524</v>
      </c>
      <c r="C2088" s="34" t="s">
        <v>198</v>
      </c>
      <c r="D2088" s="34" t="s">
        <v>114</v>
      </c>
      <c r="E2088" s="83">
        <v>1</v>
      </c>
      <c r="F2088" s="43">
        <f t="shared" si="363"/>
        <v>0.7142857142857143</v>
      </c>
      <c r="G2088" s="44">
        <f t="shared" si="364"/>
        <v>0</v>
      </c>
      <c r="H2088" s="44">
        <f t="shared" si="365"/>
        <v>0.7142857142857143</v>
      </c>
      <c r="I2088" cm="1">
        <f t="array" ref="I2088">INT(F2088)+IF(100-SUM(INT(F$2079:F$2091))&gt;=RANK(H2088,H$2079:H$2091)+COUNTIF(H$2079:H2088,H2088)-1,1,0)</f>
        <v>1</v>
      </c>
      <c r="J2088" t="b">
        <f t="shared" si="366"/>
        <v>1</v>
      </c>
      <c r="K2088" t="str">
        <f t="shared" si="367"/>
        <v>Trichoptera</v>
      </c>
      <c r="L2088">
        <f>_xlfn.XLOOKUP(D2088,BugList!C:C,BugList!N:N)</f>
        <v>1</v>
      </c>
      <c r="M2088">
        <f t="shared" si="368"/>
        <v>1</v>
      </c>
      <c r="N2088" t="b">
        <f>_xlfn.XLOOKUP(D2088,BugList!C:C,BugList!L:L)</f>
        <v>1</v>
      </c>
      <c r="O2088" t="b">
        <f t="shared" si="369"/>
        <v>1</v>
      </c>
      <c r="P2088" s="18" t="b">
        <f>SUMPRODUCT(COUNTIF(_xlfn.XLOOKUP(D2088,BugList!C:C,BugList!P:P), "*SC*"))&gt;0</f>
        <v>0</v>
      </c>
    </row>
    <row r="2089" spans="1:16">
      <c r="A2089" s="86" t="s">
        <v>110</v>
      </c>
      <c r="B2089" s="83">
        <v>524</v>
      </c>
      <c r="C2089" s="34" t="s">
        <v>204</v>
      </c>
      <c r="D2089" s="34" t="s">
        <v>84</v>
      </c>
      <c r="E2089" s="83">
        <v>8</v>
      </c>
      <c r="F2089" s="43">
        <f t="shared" si="363"/>
        <v>5.7142857142857144</v>
      </c>
      <c r="G2089" s="44">
        <f t="shared" si="364"/>
        <v>5</v>
      </c>
      <c r="H2089" s="44">
        <f t="shared" si="365"/>
        <v>0.71428571428571441</v>
      </c>
      <c r="I2089" cm="1">
        <f t="array" ref="I2089">INT(F2089)+IF(100-SUM(INT(F$2079:F$2091))&gt;=RANK(H2089,H$2079:H$2091)+COUNTIF(H$2079:H2089,H2089)-1,1,0)</f>
        <v>6</v>
      </c>
      <c r="J2089" t="b">
        <f t="shared" si="366"/>
        <v>0</v>
      </c>
      <c r="K2089" t="str">
        <f t="shared" si="367"/>
        <v/>
      </c>
      <c r="L2089">
        <f>_xlfn.XLOOKUP(D2089,BugList!C:C,BugList!N:N)</f>
        <v>8</v>
      </c>
      <c r="M2089">
        <f t="shared" si="368"/>
        <v>48</v>
      </c>
      <c r="N2089" t="b">
        <f>_xlfn.XLOOKUP(D2089,BugList!C:C,BugList!L:L)</f>
        <v>0</v>
      </c>
      <c r="O2089" t="b">
        <f t="shared" si="369"/>
        <v>0</v>
      </c>
      <c r="P2089" s="18" t="b">
        <f>SUMPRODUCT(COUNTIF(_xlfn.XLOOKUP(D2089,BugList!C:C,BugList!P:P), "*SC*"))&gt;0</f>
        <v>0</v>
      </c>
    </row>
    <row r="2090" spans="1:16">
      <c r="A2090" s="86" t="s">
        <v>110</v>
      </c>
      <c r="B2090" s="83">
        <v>524</v>
      </c>
      <c r="C2090" s="34" t="s">
        <v>201</v>
      </c>
      <c r="D2090" s="34" t="s">
        <v>85</v>
      </c>
      <c r="E2090" s="83">
        <v>56</v>
      </c>
      <c r="F2090" s="43">
        <f t="shared" si="363"/>
        <v>40</v>
      </c>
      <c r="G2090" s="44">
        <f t="shared" si="364"/>
        <v>40</v>
      </c>
      <c r="H2090" s="44">
        <f t="shared" si="365"/>
        <v>0</v>
      </c>
      <c r="I2090" cm="1">
        <f t="array" ref="I2090">INT(F2090)+IF(100-SUM(INT(F$2079:F$2091))&gt;=RANK(H2090,H$2079:H$2091)+COUNTIF(H$2079:H2090,H2090)-1,1,0)</f>
        <v>40</v>
      </c>
      <c r="J2090" t="b">
        <f t="shared" si="366"/>
        <v>0</v>
      </c>
      <c r="K2090" t="str">
        <f t="shared" si="367"/>
        <v/>
      </c>
      <c r="L2090">
        <f>_xlfn.XLOOKUP(D2090,BugList!C:C,BugList!N:N)</f>
        <v>4</v>
      </c>
      <c r="M2090">
        <f t="shared" si="368"/>
        <v>160</v>
      </c>
      <c r="N2090" t="b">
        <f>_xlfn.XLOOKUP(D2090,BugList!C:C,BugList!L:L)</f>
        <v>0</v>
      </c>
      <c r="O2090" t="b">
        <f t="shared" si="369"/>
        <v>0</v>
      </c>
      <c r="P2090" s="18" t="b">
        <f>SUMPRODUCT(COUNTIF(_xlfn.XLOOKUP(D2090,BugList!C:C,BugList!P:P), "*SC*"))&gt;0</f>
        <v>0</v>
      </c>
    </row>
    <row r="2091" spans="1:16">
      <c r="A2091" s="86" t="s">
        <v>110</v>
      </c>
      <c r="B2091" s="83">
        <v>524</v>
      </c>
      <c r="C2091" s="34" t="s">
        <v>205</v>
      </c>
      <c r="D2091" s="34" t="s">
        <v>206</v>
      </c>
      <c r="E2091" s="83">
        <v>3</v>
      </c>
      <c r="F2091" s="43">
        <f t="shared" si="363"/>
        <v>2.1428571428571428</v>
      </c>
      <c r="G2091" s="44">
        <f t="shared" si="364"/>
        <v>2</v>
      </c>
      <c r="H2091" s="44">
        <f t="shared" si="365"/>
        <v>0.14285714285714279</v>
      </c>
      <c r="I2091" cm="1">
        <f t="array" ref="I2091">INT(F2091)+IF(100-SUM(INT(F$2079:F$2091))&gt;=RANK(H2091,H$2079:H$2091)+COUNTIF(H$2079:H2091,H2091)-1,1,0)</f>
        <v>2</v>
      </c>
      <c r="J2091" t="b">
        <f t="shared" si="366"/>
        <v>0</v>
      </c>
      <c r="K2091" t="str">
        <f t="shared" si="367"/>
        <v/>
      </c>
      <c r="L2091" s="71">
        <v>8</v>
      </c>
      <c r="M2091">
        <f t="shared" si="368"/>
        <v>16</v>
      </c>
      <c r="N2091" s="71" t="b">
        <v>0</v>
      </c>
      <c r="O2091" t="b">
        <f t="shared" si="369"/>
        <v>0</v>
      </c>
      <c r="P2091" s="72" t="b">
        <v>0</v>
      </c>
    </row>
    <row r="2092" spans="1:16">
      <c r="A2092" t="s">
        <v>2929</v>
      </c>
      <c r="B2092" s="83">
        <v>165</v>
      </c>
      <c r="C2092" s="34" t="s">
        <v>194</v>
      </c>
      <c r="D2092" s="34" t="s">
        <v>101</v>
      </c>
      <c r="E2092" s="83">
        <v>2</v>
      </c>
      <c r="F2092" s="43">
        <f t="shared" si="363"/>
        <v>1.3071895424836601</v>
      </c>
      <c r="G2092" s="44">
        <f t="shared" ref="G2092" si="370">INT(F2092)</f>
        <v>1</v>
      </c>
      <c r="H2092" s="44">
        <f t="shared" ref="H2092" si="371">F2092-G2092</f>
        <v>0.30718954248366015</v>
      </c>
      <c r="I2092" cm="1">
        <f t="array" ref="I2092">INT(F2092)+IF(100-SUM(INT(F$2092:F$2101))&gt;=RANK(H2092,H$2092:H$2101)+COUNTIF(H$2092:H2092,H2092)-1,1,0)</f>
        <v>1</v>
      </c>
      <c r="J2092" t="b">
        <f t="shared" ref="J2092" si="372">IF(OR(C2092="Ephemeroptera", C2092 ="Plecoptera", C2092= "Trichoptera"), TRUE, FALSE)</f>
        <v>0</v>
      </c>
      <c r="K2092" t="str">
        <f t="shared" ref="K2092" si="373">IF(J2092=TRUE,C2092,"")</f>
        <v/>
      </c>
      <c r="L2092">
        <f>_xlfn.XLOOKUP(D2092,BugList!C:C,BugList!N:N)</f>
        <v>6</v>
      </c>
      <c r="M2092">
        <f t="shared" ref="M2092" si="374">L2092*I2092</f>
        <v>6</v>
      </c>
      <c r="N2092" t="b">
        <f>_xlfn.XLOOKUP(D2092,BugList!C:C,BugList!L:L)</f>
        <v>1</v>
      </c>
      <c r="O2092" t="b">
        <f t="shared" ref="O2092" si="375">IF(J2092=TRUE,IF(D2092="Hydropsychidae", FALSE, TRUE), FALSE)</f>
        <v>0</v>
      </c>
      <c r="P2092" s="18" t="b">
        <f>SUMPRODUCT(COUNTIF(_xlfn.XLOOKUP(D2092,BugList!C:C,BugList!P:P), "*SC*"))&gt;0</f>
        <v>0</v>
      </c>
    </row>
    <row r="2093" spans="1:16">
      <c r="A2093" t="s">
        <v>2929</v>
      </c>
      <c r="B2093" s="83">
        <v>165</v>
      </c>
      <c r="C2093" s="34" t="s">
        <v>199</v>
      </c>
      <c r="D2093" s="34" t="s">
        <v>96</v>
      </c>
      <c r="E2093" s="83">
        <v>1</v>
      </c>
      <c r="F2093" s="43">
        <f t="shared" si="363"/>
        <v>0.65359477124183007</v>
      </c>
      <c r="G2093" s="44">
        <f t="shared" ref="G2093:G2149" si="376">INT(F2093)</f>
        <v>0</v>
      </c>
      <c r="H2093" s="44">
        <f t="shared" ref="H2093:H2149" si="377">F2093-G2093</f>
        <v>0.65359477124183007</v>
      </c>
      <c r="I2093" cm="1">
        <f t="array" ref="I2093">INT(F2093)+IF(100-SUM(INT(F$2092:F$2101))&gt;=RANK(H2093,H$2092:H$2101)+COUNTIF(H$2092:H2093,H2093)-1,1,0)</f>
        <v>1</v>
      </c>
      <c r="J2093" t="b">
        <f t="shared" ref="J2093:J2149" si="378">IF(OR(C2093="Ephemeroptera", C2093 ="Plecoptera", C2093= "Trichoptera"), TRUE, FALSE)</f>
        <v>1</v>
      </c>
      <c r="K2093" t="str">
        <f t="shared" ref="K2093:K2149" si="379">IF(J2093=TRUE,C2093,"")</f>
        <v>Ephemeroptera</v>
      </c>
      <c r="L2093">
        <f>_xlfn.XLOOKUP(D2093,BugList!C:C,BugList!N:N)</f>
        <v>4</v>
      </c>
      <c r="M2093">
        <f t="shared" ref="M2093:M2149" si="380">L2093*I2093</f>
        <v>4</v>
      </c>
      <c r="N2093" t="b">
        <f>_xlfn.XLOOKUP(D2093,BugList!C:C,BugList!L:L)</f>
        <v>1</v>
      </c>
      <c r="O2093" t="b">
        <f t="shared" ref="O2093:O2149" si="381">IF(J2093=TRUE,IF(D2093="Hydropsychidae", FALSE, TRUE), FALSE)</f>
        <v>1</v>
      </c>
      <c r="P2093" s="18" t="b">
        <f>SUMPRODUCT(COUNTIF(_xlfn.XLOOKUP(D2093,BugList!C:C,BugList!P:P), "*SC*"))&gt;0</f>
        <v>1</v>
      </c>
    </row>
    <row r="2094" spans="1:16">
      <c r="A2094" t="s">
        <v>2929</v>
      </c>
      <c r="B2094" s="83">
        <v>165</v>
      </c>
      <c r="C2094" s="34" t="s">
        <v>199</v>
      </c>
      <c r="D2094" s="34" t="s">
        <v>969</v>
      </c>
      <c r="E2094" s="83">
        <v>1</v>
      </c>
      <c r="F2094" s="43">
        <f t="shared" si="363"/>
        <v>0.65359477124183007</v>
      </c>
      <c r="G2094" s="44">
        <f t="shared" si="376"/>
        <v>0</v>
      </c>
      <c r="H2094" s="44">
        <f t="shared" si="377"/>
        <v>0.65359477124183007</v>
      </c>
      <c r="I2094" cm="1">
        <f t="array" ref="I2094">INT(F2094)+IF(100-SUM(INT(F$2092:F$2101))&gt;=RANK(H2094,H$2092:H$2101)+COUNTIF(H$2092:H2094,H2094)-1,1,0)</f>
        <v>1</v>
      </c>
      <c r="J2094" t="b">
        <f t="shared" si="378"/>
        <v>1</v>
      </c>
      <c r="K2094" t="str">
        <f t="shared" si="379"/>
        <v>Ephemeroptera</v>
      </c>
      <c r="L2094">
        <f>_xlfn.XLOOKUP(D2094,BugList!C:C,BugList!N:N)</f>
        <v>7</v>
      </c>
      <c r="M2094">
        <f t="shared" si="380"/>
        <v>7</v>
      </c>
      <c r="N2094" t="b">
        <f>_xlfn.XLOOKUP(D2094,BugList!C:C,BugList!L:L)</f>
        <v>1</v>
      </c>
      <c r="O2094" t="b">
        <f t="shared" si="381"/>
        <v>1</v>
      </c>
      <c r="P2094" s="18" t="b">
        <f>SUMPRODUCT(COUNTIF(_xlfn.XLOOKUP(D2094,BugList!C:C,BugList!P:P), "*SC*"))&gt;0</f>
        <v>0</v>
      </c>
    </row>
    <row r="2095" spans="1:16">
      <c r="A2095" t="s">
        <v>2929</v>
      </c>
      <c r="B2095" s="83">
        <v>165</v>
      </c>
      <c r="C2095" s="34" t="s">
        <v>198</v>
      </c>
      <c r="D2095" s="34" t="s">
        <v>89</v>
      </c>
      <c r="E2095" s="83">
        <v>1</v>
      </c>
      <c r="F2095" s="43">
        <f t="shared" si="363"/>
        <v>0.65359477124183007</v>
      </c>
      <c r="G2095" s="44">
        <f t="shared" si="376"/>
        <v>0</v>
      </c>
      <c r="H2095" s="44">
        <f t="shared" si="377"/>
        <v>0.65359477124183007</v>
      </c>
      <c r="I2095" cm="1">
        <f t="array" ref="I2095">INT(F2095)+IF(100-SUM(INT(F$2092:F$2101))&gt;=RANK(H2095,H$2092:H$2101)+COUNTIF(H$2092:H2095,H2095)-1,1,0)</f>
        <v>1</v>
      </c>
      <c r="J2095" t="b">
        <f t="shared" si="378"/>
        <v>1</v>
      </c>
      <c r="K2095" t="str">
        <f t="shared" si="379"/>
        <v>Trichoptera</v>
      </c>
      <c r="L2095">
        <f>_xlfn.XLOOKUP(D2095,BugList!C:C,BugList!N:N)</f>
        <v>4</v>
      </c>
      <c r="M2095">
        <f t="shared" si="380"/>
        <v>4</v>
      </c>
      <c r="N2095" t="b">
        <f>_xlfn.XLOOKUP(D2095,BugList!C:C,BugList!L:L)</f>
        <v>1</v>
      </c>
      <c r="O2095" t="b">
        <f t="shared" si="381"/>
        <v>0</v>
      </c>
      <c r="P2095" s="18" t="b">
        <f>SUMPRODUCT(COUNTIF(_xlfn.XLOOKUP(D2095,BugList!C:C,BugList!P:P), "*SC*"))&gt;0</f>
        <v>0</v>
      </c>
    </row>
    <row r="2096" spans="1:16">
      <c r="A2096" t="s">
        <v>2929</v>
      </c>
      <c r="B2096" s="83">
        <v>165</v>
      </c>
      <c r="C2096" s="34" t="s">
        <v>198</v>
      </c>
      <c r="D2096" s="34" t="s">
        <v>107</v>
      </c>
      <c r="E2096" s="83">
        <v>14</v>
      </c>
      <c r="F2096" s="43">
        <f t="shared" si="363"/>
        <v>9.1503267973856204</v>
      </c>
      <c r="G2096" s="44">
        <f t="shared" si="376"/>
        <v>9</v>
      </c>
      <c r="H2096" s="44">
        <f t="shared" si="377"/>
        <v>0.15032679738562038</v>
      </c>
      <c r="I2096" cm="1">
        <f t="array" ref="I2096">INT(F2096)+IF(100-SUM(INT(F$2092:F$2101))&gt;=RANK(H2096,H$2092:H$2101)+COUNTIF(H$2092:H2096,H2096)-1,1,0)</f>
        <v>9</v>
      </c>
      <c r="J2096" t="b">
        <f t="shared" si="378"/>
        <v>1</v>
      </c>
      <c r="K2096" t="str">
        <f t="shared" si="379"/>
        <v>Trichoptera</v>
      </c>
      <c r="L2096">
        <f>_xlfn.XLOOKUP(D2096,BugList!C:C,BugList!N:N)</f>
        <v>3</v>
      </c>
      <c r="M2096">
        <f t="shared" si="380"/>
        <v>27</v>
      </c>
      <c r="N2096" t="b">
        <f>_xlfn.XLOOKUP(D2096,BugList!C:C,BugList!L:L)</f>
        <v>1</v>
      </c>
      <c r="O2096" t="b">
        <f t="shared" si="381"/>
        <v>1</v>
      </c>
      <c r="P2096" s="18" t="b">
        <f>SUMPRODUCT(COUNTIF(_xlfn.XLOOKUP(D2096,BugList!C:C,BugList!P:P), "*SC*"))&gt;0</f>
        <v>0</v>
      </c>
    </row>
    <row r="2097" spans="1:16">
      <c r="A2097" t="s">
        <v>2929</v>
      </c>
      <c r="B2097" s="83">
        <v>165</v>
      </c>
      <c r="C2097" s="34" t="s">
        <v>198</v>
      </c>
      <c r="D2097" s="34" t="s">
        <v>163</v>
      </c>
      <c r="E2097" s="83">
        <v>1</v>
      </c>
      <c r="F2097" s="43">
        <f t="shared" si="363"/>
        <v>0.65359477124183007</v>
      </c>
      <c r="G2097" s="44">
        <f t="shared" si="376"/>
        <v>0</v>
      </c>
      <c r="H2097" s="44">
        <f t="shared" si="377"/>
        <v>0.65359477124183007</v>
      </c>
      <c r="I2097" cm="1">
        <f t="array" ref="I2097">INT(F2097)+IF(100-SUM(INT(F$2092:F$2101))&gt;=RANK(H2097,H$2092:H$2101)+COUNTIF(H$2092:H2097,H2097)-1,1,0)</f>
        <v>1</v>
      </c>
      <c r="J2097" t="b">
        <f t="shared" si="378"/>
        <v>1</v>
      </c>
      <c r="K2097" t="str">
        <f t="shared" si="379"/>
        <v>Trichoptera</v>
      </c>
      <c r="L2097">
        <f>_xlfn.XLOOKUP(D2097,BugList!C:C,BugList!N:N)</f>
        <v>6</v>
      </c>
      <c r="M2097">
        <f t="shared" si="380"/>
        <v>6</v>
      </c>
      <c r="N2097" t="b">
        <f>_xlfn.XLOOKUP(D2097,BugList!C:C,BugList!L:L)</f>
        <v>1</v>
      </c>
      <c r="O2097" t="b">
        <f t="shared" si="381"/>
        <v>1</v>
      </c>
      <c r="P2097" s="18" t="b">
        <f>SUMPRODUCT(COUNTIF(_xlfn.XLOOKUP(D2097,BugList!C:C,BugList!P:P), "*SC*"))&gt;0</f>
        <v>0</v>
      </c>
    </row>
    <row r="2098" spans="1:16">
      <c r="A2098" t="s">
        <v>2929</v>
      </c>
      <c r="B2098" s="83">
        <v>165</v>
      </c>
      <c r="C2098" s="34" t="s">
        <v>204</v>
      </c>
      <c r="D2098" s="34" t="s">
        <v>84</v>
      </c>
      <c r="E2098" s="83">
        <v>5</v>
      </c>
      <c r="F2098" s="43">
        <f t="shared" si="363"/>
        <v>3.2679738562091507</v>
      </c>
      <c r="G2098" s="44">
        <f t="shared" si="376"/>
        <v>3</v>
      </c>
      <c r="H2098" s="44">
        <f t="shared" si="377"/>
        <v>0.26797385620915071</v>
      </c>
      <c r="I2098" cm="1">
        <f t="array" ref="I2098">INT(F2098)+IF(100-SUM(INT(F$2092:F$2101))&gt;=RANK(H2098,H$2092:H$2101)+COUNTIF(H$2092:H2098,H2098)-1,1,0)</f>
        <v>3</v>
      </c>
      <c r="J2098" t="b">
        <f t="shared" si="378"/>
        <v>0</v>
      </c>
      <c r="K2098" t="str">
        <f t="shared" si="379"/>
        <v/>
      </c>
      <c r="L2098">
        <f>_xlfn.XLOOKUP(D2098,BugList!C:C,BugList!N:N)</f>
        <v>8</v>
      </c>
      <c r="M2098">
        <f t="shared" si="380"/>
        <v>24</v>
      </c>
      <c r="N2098" t="b">
        <f>_xlfn.XLOOKUP(D2098,BugList!C:C,BugList!L:L)</f>
        <v>0</v>
      </c>
      <c r="O2098" t="b">
        <f t="shared" si="381"/>
        <v>0</v>
      </c>
      <c r="P2098" s="18" t="b">
        <f>SUMPRODUCT(COUNTIF(_xlfn.XLOOKUP(D2098,BugList!C:C,BugList!P:P), "*SC*"))&gt;0</f>
        <v>0</v>
      </c>
    </row>
    <row r="2099" spans="1:16">
      <c r="A2099" t="s">
        <v>2929</v>
      </c>
      <c r="B2099" s="83">
        <v>165</v>
      </c>
      <c r="C2099" s="34" t="s">
        <v>201</v>
      </c>
      <c r="D2099" s="34" t="s">
        <v>85</v>
      </c>
      <c r="E2099" s="83">
        <v>14</v>
      </c>
      <c r="F2099" s="43">
        <f t="shared" si="363"/>
        <v>9.1503267973856204</v>
      </c>
      <c r="G2099" s="44">
        <f t="shared" si="376"/>
        <v>9</v>
      </c>
      <c r="H2099" s="44">
        <f t="shared" si="377"/>
        <v>0.15032679738562038</v>
      </c>
      <c r="I2099" cm="1">
        <f t="array" ref="I2099">INT(F2099)+IF(100-SUM(INT(F$2092:F$2101))&gt;=RANK(H2099,H$2092:H$2101)+COUNTIF(H$2092:H2099,H2099)-1,1,0)</f>
        <v>9</v>
      </c>
      <c r="J2099" t="b">
        <f t="shared" si="378"/>
        <v>0</v>
      </c>
      <c r="K2099" t="str">
        <f t="shared" si="379"/>
        <v/>
      </c>
      <c r="L2099">
        <f>_xlfn.XLOOKUP(D2099,BugList!C:C,BugList!N:N)</f>
        <v>4</v>
      </c>
      <c r="M2099">
        <f t="shared" si="380"/>
        <v>36</v>
      </c>
      <c r="N2099" t="b">
        <f>_xlfn.XLOOKUP(D2099,BugList!C:C,BugList!L:L)</f>
        <v>0</v>
      </c>
      <c r="O2099" t="b">
        <f t="shared" si="381"/>
        <v>0</v>
      </c>
      <c r="P2099" s="18" t="b">
        <f>SUMPRODUCT(COUNTIF(_xlfn.XLOOKUP(D2099,BugList!C:C,BugList!P:P), "*SC*"))&gt;0</f>
        <v>0</v>
      </c>
    </row>
    <row r="2100" spans="1:16">
      <c r="A2100" t="s">
        <v>2929</v>
      </c>
      <c r="B2100" s="83">
        <v>165</v>
      </c>
      <c r="C2100" s="34" t="s">
        <v>210</v>
      </c>
      <c r="D2100" s="34" t="s">
        <v>210</v>
      </c>
      <c r="E2100" s="83">
        <v>110</v>
      </c>
      <c r="F2100" s="43">
        <f t="shared" si="363"/>
        <v>71.895424836601308</v>
      </c>
      <c r="G2100" s="44">
        <f t="shared" si="376"/>
        <v>71</v>
      </c>
      <c r="H2100" s="44">
        <f t="shared" si="377"/>
        <v>0.89542483660130756</v>
      </c>
      <c r="I2100" cm="1">
        <f t="array" ref="I2100">INT(F2100)+IF(100-SUM(INT(F$2092:F$2101))&gt;=RANK(H2100,H$2092:H$2101)+COUNTIF(H$2092:H2100,H2100)-1,1,0)</f>
        <v>72</v>
      </c>
      <c r="J2100" t="b">
        <f t="shared" si="378"/>
        <v>0</v>
      </c>
      <c r="K2100" t="str">
        <f t="shared" si="379"/>
        <v/>
      </c>
      <c r="L2100" s="71">
        <v>8</v>
      </c>
      <c r="M2100">
        <f t="shared" si="380"/>
        <v>576</v>
      </c>
      <c r="N2100" s="71" t="b">
        <v>0</v>
      </c>
      <c r="O2100" t="b">
        <f t="shared" si="381"/>
        <v>0</v>
      </c>
      <c r="P2100" s="72" t="b">
        <v>0</v>
      </c>
    </row>
    <row r="2101" spans="1:16">
      <c r="A2101" t="s">
        <v>2929</v>
      </c>
      <c r="B2101" s="83">
        <v>165</v>
      </c>
      <c r="C2101" s="34" t="s">
        <v>205</v>
      </c>
      <c r="D2101" s="34" t="s">
        <v>206</v>
      </c>
      <c r="E2101" s="83">
        <v>4</v>
      </c>
      <c r="F2101" s="43">
        <f t="shared" si="363"/>
        <v>2.6143790849673203</v>
      </c>
      <c r="G2101" s="44">
        <f t="shared" si="376"/>
        <v>2</v>
      </c>
      <c r="H2101" s="44">
        <f t="shared" si="377"/>
        <v>0.6143790849673203</v>
      </c>
      <c r="I2101" cm="1">
        <f t="array" ref="I2101">INT(F2101)+IF(100-SUM(INT(F$2092:F$2101))&gt;=RANK(H2101,H$2092:H$2101)+COUNTIF(H$2092:H2101,H2101)-1,1,0)</f>
        <v>2</v>
      </c>
      <c r="J2101" t="b">
        <f t="shared" si="378"/>
        <v>0</v>
      </c>
      <c r="K2101" t="str">
        <f t="shared" si="379"/>
        <v/>
      </c>
      <c r="L2101" s="71">
        <v>8</v>
      </c>
      <c r="M2101">
        <f t="shared" si="380"/>
        <v>16</v>
      </c>
      <c r="N2101" s="71" t="b">
        <v>0</v>
      </c>
      <c r="O2101" t="b">
        <f t="shared" si="381"/>
        <v>0</v>
      </c>
      <c r="P2101" s="72" t="b">
        <v>0</v>
      </c>
    </row>
    <row r="2102" spans="1:16">
      <c r="A2102" t="s">
        <v>2930</v>
      </c>
      <c r="B2102" s="83">
        <v>170</v>
      </c>
      <c r="C2102" t="s">
        <v>2895</v>
      </c>
      <c r="D2102" s="34" t="s">
        <v>98</v>
      </c>
      <c r="E2102" s="83">
        <v>1</v>
      </c>
      <c r="F2102" s="43">
        <f t="shared" si="363"/>
        <v>0.76335877862595414</v>
      </c>
      <c r="G2102" s="44">
        <f t="shared" si="376"/>
        <v>0</v>
      </c>
      <c r="H2102" s="44">
        <f t="shared" si="377"/>
        <v>0.76335877862595414</v>
      </c>
      <c r="I2102" cm="1">
        <f t="array" ref="I2102">INT(F2102)+IF(100-SUM(INT(F$2102:F$2109))&gt;=RANK(H2102,H$2102:H$2109)+COUNTIF(H$2102:H2102,H2102)-1,1,0)</f>
        <v>1</v>
      </c>
      <c r="J2102" t="b">
        <f t="shared" si="378"/>
        <v>0</v>
      </c>
      <c r="K2102" t="str">
        <f t="shared" si="379"/>
        <v/>
      </c>
      <c r="L2102">
        <f>_xlfn.XLOOKUP(D2102,BugList!C:C,BugList!N:N)</f>
        <v>4</v>
      </c>
      <c r="M2102">
        <f t="shared" si="380"/>
        <v>4</v>
      </c>
      <c r="N2102" t="b">
        <f>_xlfn.XLOOKUP(D2102,BugList!C:C,BugList!L:L)</f>
        <v>1</v>
      </c>
      <c r="O2102" t="b">
        <f t="shared" si="381"/>
        <v>0</v>
      </c>
      <c r="P2102" s="18" t="b">
        <f>SUMPRODUCT(COUNTIF(_xlfn.XLOOKUP(D2102,BugList!C:C,BugList!P:P), "*SC*"))&gt;0</f>
        <v>1</v>
      </c>
    </row>
    <row r="2103" spans="1:16">
      <c r="A2103" t="s">
        <v>2930</v>
      </c>
      <c r="B2103" s="83">
        <v>170</v>
      </c>
      <c r="C2103" s="34" t="s">
        <v>194</v>
      </c>
      <c r="D2103" s="34" t="s">
        <v>126</v>
      </c>
      <c r="E2103" s="83">
        <v>1</v>
      </c>
      <c r="F2103" s="43">
        <f t="shared" si="363"/>
        <v>0.76335877862595414</v>
      </c>
      <c r="G2103" s="44">
        <f t="shared" si="376"/>
        <v>0</v>
      </c>
      <c r="H2103" s="44">
        <f t="shared" si="377"/>
        <v>0.76335877862595414</v>
      </c>
      <c r="I2103" cm="1">
        <f t="array" ref="I2103">INT(F2103)+IF(100-SUM(INT(F$2102:F$2109))&gt;=RANK(H2103,H$2102:H$2109)+COUNTIF(H$2102:H2103,H2103)-1,1,0)</f>
        <v>1</v>
      </c>
      <c r="J2103" t="b">
        <f t="shared" si="378"/>
        <v>0</v>
      </c>
      <c r="K2103" t="str">
        <f t="shared" si="379"/>
        <v/>
      </c>
      <c r="L2103">
        <f>_xlfn.XLOOKUP(D2103,BugList!C:C,BugList!N:N)</f>
        <v>8</v>
      </c>
      <c r="M2103">
        <f t="shared" si="380"/>
        <v>8</v>
      </c>
      <c r="N2103" t="b">
        <f>_xlfn.XLOOKUP(D2103,BugList!C:C,BugList!L:L)</f>
        <v>1</v>
      </c>
      <c r="O2103" t="b">
        <f t="shared" si="381"/>
        <v>0</v>
      </c>
      <c r="P2103" s="18" t="b">
        <f>SUMPRODUCT(COUNTIF(_xlfn.XLOOKUP(D2103,BugList!C:C,BugList!P:P), "*SC*"))&gt;0</f>
        <v>0</v>
      </c>
    </row>
    <row r="2104" spans="1:16">
      <c r="A2104" t="s">
        <v>2930</v>
      </c>
      <c r="B2104" s="83">
        <v>170</v>
      </c>
      <c r="C2104" s="34" t="s">
        <v>194</v>
      </c>
      <c r="D2104" s="34" t="s">
        <v>90</v>
      </c>
      <c r="E2104" s="83">
        <v>4</v>
      </c>
      <c r="F2104" s="43">
        <f t="shared" si="363"/>
        <v>3.0534351145038165</v>
      </c>
      <c r="G2104" s="44">
        <f t="shared" si="376"/>
        <v>3</v>
      </c>
      <c r="H2104" s="44">
        <f t="shared" si="377"/>
        <v>5.343511450381655E-2</v>
      </c>
      <c r="I2104" cm="1">
        <f t="array" ref="I2104">INT(F2104)+IF(100-SUM(INT(F$2102:F$2109))&gt;=RANK(H2104,H$2102:H$2109)+COUNTIF(H$2102:H2104,H2104)-1,1,0)</f>
        <v>3</v>
      </c>
      <c r="J2104" t="b">
        <f t="shared" si="378"/>
        <v>0</v>
      </c>
      <c r="K2104" t="str">
        <f t="shared" si="379"/>
        <v/>
      </c>
      <c r="L2104">
        <f>_xlfn.XLOOKUP(D2104,BugList!C:C,BugList!N:N)</f>
        <v>6</v>
      </c>
      <c r="M2104">
        <f t="shared" si="380"/>
        <v>18</v>
      </c>
      <c r="N2104" t="b">
        <f>_xlfn.XLOOKUP(D2104,BugList!C:C,BugList!L:L)</f>
        <v>1</v>
      </c>
      <c r="O2104" t="b">
        <f t="shared" si="381"/>
        <v>0</v>
      </c>
      <c r="P2104" s="18" t="b">
        <f>SUMPRODUCT(COUNTIF(_xlfn.XLOOKUP(D2104,BugList!C:C,BugList!P:P), "*SC*"))&gt;0</f>
        <v>0</v>
      </c>
    </row>
    <row r="2105" spans="1:16">
      <c r="A2105" t="s">
        <v>2930</v>
      </c>
      <c r="B2105" s="83">
        <v>170</v>
      </c>
      <c r="C2105" s="34" t="s">
        <v>198</v>
      </c>
      <c r="D2105" s="34" t="s">
        <v>89</v>
      </c>
      <c r="E2105" s="83">
        <v>34</v>
      </c>
      <c r="F2105" s="43">
        <f t="shared" si="363"/>
        <v>25.954198473282442</v>
      </c>
      <c r="G2105" s="44">
        <f t="shared" si="376"/>
        <v>25</v>
      </c>
      <c r="H2105" s="44">
        <f t="shared" si="377"/>
        <v>0.95419847328244245</v>
      </c>
      <c r="I2105" cm="1">
        <f t="array" ref="I2105">INT(F2105)+IF(100-SUM(INT(F$2102:F$2109))&gt;=RANK(H2105,H$2102:H$2109)+COUNTIF(H$2102:H2105,H2105)-1,1,0)</f>
        <v>26</v>
      </c>
      <c r="J2105" t="b">
        <f t="shared" si="378"/>
        <v>1</v>
      </c>
      <c r="K2105" t="str">
        <f t="shared" si="379"/>
        <v>Trichoptera</v>
      </c>
      <c r="L2105">
        <f>_xlfn.XLOOKUP(D2105,BugList!C:C,BugList!N:N)</f>
        <v>4</v>
      </c>
      <c r="M2105">
        <f t="shared" si="380"/>
        <v>104</v>
      </c>
      <c r="N2105" t="b">
        <f>_xlfn.XLOOKUP(D2105,BugList!C:C,BugList!L:L)</f>
        <v>1</v>
      </c>
      <c r="O2105" t="b">
        <f t="shared" si="381"/>
        <v>0</v>
      </c>
      <c r="P2105" s="18" t="b">
        <f>SUMPRODUCT(COUNTIF(_xlfn.XLOOKUP(D2105,BugList!C:C,BugList!P:P), "*SC*"))&gt;0</f>
        <v>0</v>
      </c>
    </row>
    <row r="2106" spans="1:16">
      <c r="A2106" t="s">
        <v>2930</v>
      </c>
      <c r="B2106" s="83">
        <v>170</v>
      </c>
      <c r="C2106" s="34" t="s">
        <v>204</v>
      </c>
      <c r="D2106" s="34" t="s">
        <v>84</v>
      </c>
      <c r="E2106" s="83">
        <v>23</v>
      </c>
      <c r="F2106" s="43">
        <f t="shared" si="363"/>
        <v>17.557251908396946</v>
      </c>
      <c r="G2106" s="44">
        <f t="shared" si="376"/>
        <v>17</v>
      </c>
      <c r="H2106" s="44">
        <f t="shared" si="377"/>
        <v>0.55725190839694605</v>
      </c>
      <c r="I2106" cm="1">
        <f t="array" ref="I2106">INT(F2106)+IF(100-SUM(INT(F$2102:F$2109))&gt;=RANK(H2106,H$2102:H$2109)+COUNTIF(H$2102:H2106,H2106)-1,1,0)</f>
        <v>17</v>
      </c>
      <c r="J2106" t="b">
        <f t="shared" si="378"/>
        <v>0</v>
      </c>
      <c r="K2106" t="str">
        <f t="shared" si="379"/>
        <v/>
      </c>
      <c r="L2106">
        <f>_xlfn.XLOOKUP(D2106,BugList!C:C,BugList!N:N)</f>
        <v>8</v>
      </c>
      <c r="M2106">
        <f t="shared" si="380"/>
        <v>136</v>
      </c>
      <c r="N2106" t="b">
        <f>_xlfn.XLOOKUP(D2106,BugList!C:C,BugList!L:L)</f>
        <v>0</v>
      </c>
      <c r="O2106" t="b">
        <f t="shared" si="381"/>
        <v>0</v>
      </c>
      <c r="P2106" s="18" t="b">
        <f>SUMPRODUCT(COUNTIF(_xlfn.XLOOKUP(D2106,BugList!C:C,BugList!P:P), "*SC*"))&gt;0</f>
        <v>0</v>
      </c>
    </row>
    <row r="2107" spans="1:16">
      <c r="A2107" t="s">
        <v>2930</v>
      </c>
      <c r="B2107" s="83">
        <v>170</v>
      </c>
      <c r="C2107" s="34" t="s">
        <v>210</v>
      </c>
      <c r="D2107" s="34" t="s">
        <v>210</v>
      </c>
      <c r="E2107" s="83">
        <v>66</v>
      </c>
      <c r="F2107" s="43">
        <f t="shared" si="363"/>
        <v>50.381679389312971</v>
      </c>
      <c r="G2107" s="44">
        <f t="shared" si="376"/>
        <v>50</v>
      </c>
      <c r="H2107" s="44">
        <f t="shared" si="377"/>
        <v>0.3816793893129713</v>
      </c>
      <c r="I2107" cm="1">
        <f t="array" ref="I2107">INT(F2107)+IF(100-SUM(INT(F$2102:F$2109))&gt;=RANK(H2107,H$2102:H$2109)+COUNTIF(H$2102:H2107,H2107)-1,1,0)</f>
        <v>50</v>
      </c>
      <c r="J2107" t="b">
        <f t="shared" si="378"/>
        <v>0</v>
      </c>
      <c r="K2107" t="str">
        <f t="shared" si="379"/>
        <v/>
      </c>
      <c r="L2107" s="71">
        <v>8</v>
      </c>
      <c r="M2107">
        <f t="shared" ref="M2107:M2108" si="382">L2107*I2107</f>
        <v>400</v>
      </c>
      <c r="N2107" s="71" t="b">
        <v>0</v>
      </c>
      <c r="O2107" t="b">
        <f t="shared" ref="O2107:O2108" si="383">IF(J2107=TRUE,IF(D2107="Hydropsychidae", FALSE, TRUE), FALSE)</f>
        <v>0</v>
      </c>
      <c r="P2107" s="72" t="b">
        <v>0</v>
      </c>
    </row>
    <row r="2108" spans="1:16">
      <c r="A2108" t="s">
        <v>2930</v>
      </c>
      <c r="B2108" s="83">
        <v>170</v>
      </c>
      <c r="C2108" s="34" t="s">
        <v>205</v>
      </c>
      <c r="D2108" s="34" t="s">
        <v>206</v>
      </c>
      <c r="E2108" s="83">
        <v>1</v>
      </c>
      <c r="F2108" s="43">
        <f t="shared" si="363"/>
        <v>0.76335877862595414</v>
      </c>
      <c r="G2108" s="44">
        <f t="shared" si="376"/>
        <v>0</v>
      </c>
      <c r="H2108" s="44">
        <f t="shared" si="377"/>
        <v>0.76335877862595414</v>
      </c>
      <c r="I2108" cm="1">
        <f t="array" ref="I2108">INT(F2108)+IF(100-SUM(INT(F$2102:F$2109))&gt;=RANK(H2108,H$2102:H$2109)+COUNTIF(H$2102:H2108,H2108)-1,1,0)</f>
        <v>1</v>
      </c>
      <c r="J2108" t="b">
        <f t="shared" si="378"/>
        <v>0</v>
      </c>
      <c r="K2108" t="str">
        <f t="shared" si="379"/>
        <v/>
      </c>
      <c r="L2108" s="71">
        <v>8</v>
      </c>
      <c r="M2108">
        <f t="shared" si="382"/>
        <v>8</v>
      </c>
      <c r="N2108" s="71" t="b">
        <v>0</v>
      </c>
      <c r="O2108" t="b">
        <f t="shared" si="383"/>
        <v>0</v>
      </c>
      <c r="P2108" s="72" t="b">
        <v>0</v>
      </c>
    </row>
    <row r="2109" spans="1:16">
      <c r="A2109" t="s">
        <v>2930</v>
      </c>
      <c r="B2109" s="83">
        <v>170</v>
      </c>
      <c r="C2109" s="34" t="s">
        <v>94</v>
      </c>
      <c r="D2109" s="34" t="s">
        <v>94</v>
      </c>
      <c r="E2109" s="83">
        <v>1</v>
      </c>
      <c r="F2109" s="43">
        <f t="shared" si="363"/>
        <v>0.76335877862595414</v>
      </c>
      <c r="G2109" s="44">
        <f t="shared" si="376"/>
        <v>0</v>
      </c>
      <c r="H2109" s="44">
        <f t="shared" si="377"/>
        <v>0.76335877862595414</v>
      </c>
      <c r="I2109" cm="1">
        <f t="array" ref="I2109">INT(F2109)+IF(100-SUM(INT(F$2102:F$2109))&gt;=RANK(H2109,H$2102:H$2109)+COUNTIF(H$2102:H2109,H2109)-1,1,0)</f>
        <v>1</v>
      </c>
      <c r="J2109" t="b">
        <f t="shared" si="378"/>
        <v>0</v>
      </c>
      <c r="K2109" t="str">
        <f t="shared" si="379"/>
        <v/>
      </c>
      <c r="L2109">
        <f>_xlfn.XLOOKUP(D2109,BugList!C:C,BugList!N:N)</f>
        <v>8</v>
      </c>
      <c r="M2109">
        <f t="shared" si="380"/>
        <v>8</v>
      </c>
      <c r="N2109" t="b">
        <f>_xlfn.XLOOKUP(D2109,BugList!C:C,BugList!L:L)</f>
        <v>0</v>
      </c>
      <c r="O2109" t="b">
        <f t="shared" si="381"/>
        <v>0</v>
      </c>
      <c r="P2109" s="18" t="b">
        <f>SUMPRODUCT(COUNTIF(_xlfn.XLOOKUP(D2109,BugList!C:C,BugList!P:P), "*SC*"))&gt;0</f>
        <v>0</v>
      </c>
    </row>
    <row r="2110" spans="1:16">
      <c r="A2110" t="s">
        <v>2931</v>
      </c>
      <c r="B2110" s="92">
        <v>228</v>
      </c>
      <c r="C2110" s="34" t="s">
        <v>200</v>
      </c>
      <c r="D2110" s="34" t="s">
        <v>98</v>
      </c>
      <c r="E2110" s="83">
        <v>26</v>
      </c>
      <c r="F2110" s="43">
        <f t="shared" si="363"/>
        <v>22.413793103448278</v>
      </c>
      <c r="G2110" s="44">
        <f t="shared" si="376"/>
        <v>22</v>
      </c>
      <c r="H2110" s="44">
        <f t="shared" si="377"/>
        <v>0.41379310344827758</v>
      </c>
      <c r="I2110" cm="1">
        <f t="array" ref="I2110">INT(F2110)+IF(100-SUM(INT(F$2110:F$2117))&gt;=RANK(H2110,H$2110:H$2117)+COUNTIF(H$2110:H2110,H2110)-1,1,0)</f>
        <v>22</v>
      </c>
      <c r="J2110" t="b">
        <f t="shared" si="378"/>
        <v>0</v>
      </c>
      <c r="K2110" t="str">
        <f t="shared" si="379"/>
        <v/>
      </c>
      <c r="L2110">
        <f>_xlfn.XLOOKUP(D2110,BugList!C:C,BugList!N:N)</f>
        <v>4</v>
      </c>
      <c r="M2110">
        <f t="shared" si="380"/>
        <v>88</v>
      </c>
      <c r="N2110" t="b">
        <f>_xlfn.XLOOKUP(D2110,BugList!C:C,BugList!L:L)</f>
        <v>1</v>
      </c>
      <c r="O2110" t="b">
        <f t="shared" si="381"/>
        <v>0</v>
      </c>
      <c r="P2110" s="18" t="b">
        <f>SUMPRODUCT(COUNTIF(_xlfn.XLOOKUP(D2110,BugList!C:C,BugList!P:P), "*SC*"))&gt;0</f>
        <v>1</v>
      </c>
    </row>
    <row r="2111" spans="1:16">
      <c r="A2111" t="s">
        <v>2931</v>
      </c>
      <c r="B2111" s="92">
        <v>228</v>
      </c>
      <c r="C2111" s="34" t="s">
        <v>195</v>
      </c>
      <c r="D2111" s="34" t="s">
        <v>97</v>
      </c>
      <c r="E2111" s="83">
        <v>3</v>
      </c>
      <c r="F2111" s="43">
        <f t="shared" si="363"/>
        <v>2.5862068965517242</v>
      </c>
      <c r="G2111" s="44">
        <f t="shared" si="376"/>
        <v>2</v>
      </c>
      <c r="H2111" s="44">
        <f t="shared" si="377"/>
        <v>0.5862068965517242</v>
      </c>
      <c r="I2111" cm="1">
        <f t="array" ref="I2111">INT(F2111)+IF(100-SUM(INT(F$2110:F$2117))&gt;=RANK(H2111,H$2110:H$2117)+COUNTIF(H$2110:H2111,H2111)-1,1,0)</f>
        <v>2</v>
      </c>
      <c r="J2111" t="b">
        <f t="shared" si="378"/>
        <v>0</v>
      </c>
      <c r="K2111" t="str">
        <f t="shared" si="379"/>
        <v/>
      </c>
      <c r="L2111">
        <f>_xlfn.XLOOKUP(D2111,BugList!C:C,BugList!N:N)</f>
        <v>9</v>
      </c>
      <c r="M2111">
        <f t="shared" si="380"/>
        <v>18</v>
      </c>
      <c r="N2111" t="b">
        <f>_xlfn.XLOOKUP(D2111,BugList!C:C,BugList!L:L)</f>
        <v>1</v>
      </c>
      <c r="O2111" t="b">
        <f t="shared" si="381"/>
        <v>0</v>
      </c>
      <c r="P2111" s="18" t="b">
        <f>SUMPRODUCT(COUNTIF(_xlfn.XLOOKUP(D2111,BugList!C:C,BugList!P:P), "*SC*"))&gt;0</f>
        <v>0</v>
      </c>
    </row>
    <row r="2112" spans="1:16">
      <c r="A2112" t="s">
        <v>2931</v>
      </c>
      <c r="B2112" s="92">
        <v>228</v>
      </c>
      <c r="C2112" s="34" t="s">
        <v>211</v>
      </c>
      <c r="D2112" s="34" t="s">
        <v>87</v>
      </c>
      <c r="E2112" s="83">
        <v>1</v>
      </c>
      <c r="F2112" s="43">
        <f t="shared" si="363"/>
        <v>0.86206896551724133</v>
      </c>
      <c r="G2112" s="44">
        <f t="shared" si="376"/>
        <v>0</v>
      </c>
      <c r="H2112" s="44">
        <f t="shared" si="377"/>
        <v>0.86206896551724133</v>
      </c>
      <c r="I2112" cm="1">
        <f t="array" ref="I2112">INT(F2112)+IF(100-SUM(INT(F$2110:F$2117))&gt;=RANK(H2112,H$2110:H$2117)+COUNTIF(H$2110:H2112,H2112)-1,1,0)</f>
        <v>1</v>
      </c>
      <c r="J2112" t="b">
        <f t="shared" si="378"/>
        <v>0</v>
      </c>
      <c r="K2112" t="str">
        <f t="shared" si="379"/>
        <v/>
      </c>
      <c r="L2112">
        <f>_xlfn.XLOOKUP(D2112,BugList!C:C,BugList!N:N)</f>
        <v>4</v>
      </c>
      <c r="M2112">
        <f t="shared" si="380"/>
        <v>4</v>
      </c>
      <c r="N2112" t="b">
        <f>_xlfn.XLOOKUP(D2112,BugList!C:C,BugList!L:L)</f>
        <v>0</v>
      </c>
      <c r="O2112" t="b">
        <f t="shared" si="381"/>
        <v>0</v>
      </c>
      <c r="P2112" s="18" t="b">
        <f>SUMPRODUCT(COUNTIF(_xlfn.XLOOKUP(D2112,BugList!C:C,BugList!P:P), "*SC*"))&gt;0</f>
        <v>0</v>
      </c>
    </row>
    <row r="2113" spans="1:16">
      <c r="A2113" t="s">
        <v>2931</v>
      </c>
      <c r="B2113" s="92">
        <v>228</v>
      </c>
      <c r="C2113" s="34" t="s">
        <v>198</v>
      </c>
      <c r="D2113" s="34" t="s">
        <v>89</v>
      </c>
      <c r="E2113" s="83">
        <v>80</v>
      </c>
      <c r="F2113" s="43">
        <f t="shared" si="363"/>
        <v>68.965517241379317</v>
      </c>
      <c r="G2113" s="44">
        <f t="shared" si="376"/>
        <v>68</v>
      </c>
      <c r="H2113" s="44">
        <f t="shared" si="377"/>
        <v>0.96551724137931672</v>
      </c>
      <c r="I2113" cm="1">
        <f t="array" ref="I2113">INT(F2113)+IF(100-SUM(INT(F$2110:F$2117))&gt;=RANK(H2113,H$2110:H$2117)+COUNTIF(H$2110:H2113,H2113)-1,1,0)</f>
        <v>69</v>
      </c>
      <c r="J2113" t="b">
        <f t="shared" si="378"/>
        <v>1</v>
      </c>
      <c r="K2113" t="str">
        <f t="shared" si="379"/>
        <v>Trichoptera</v>
      </c>
      <c r="L2113">
        <f>_xlfn.XLOOKUP(D2113,BugList!C:C,BugList!N:N)</f>
        <v>4</v>
      </c>
      <c r="M2113">
        <f t="shared" si="380"/>
        <v>276</v>
      </c>
      <c r="N2113" t="b">
        <f>_xlfn.XLOOKUP(D2113,BugList!C:C,BugList!L:L)</f>
        <v>1</v>
      </c>
      <c r="O2113" t="b">
        <f t="shared" si="381"/>
        <v>0</v>
      </c>
      <c r="P2113" s="18" t="b">
        <f>SUMPRODUCT(COUNTIF(_xlfn.XLOOKUP(D2113,BugList!C:C,BugList!P:P), "*SC*"))&gt;0</f>
        <v>0</v>
      </c>
    </row>
    <row r="2114" spans="1:16">
      <c r="A2114" t="s">
        <v>2931</v>
      </c>
      <c r="B2114" s="92">
        <v>228</v>
      </c>
      <c r="C2114" s="34" t="s">
        <v>204</v>
      </c>
      <c r="D2114" s="34" t="s">
        <v>84</v>
      </c>
      <c r="E2114" s="83">
        <v>1</v>
      </c>
      <c r="F2114" s="43">
        <f t="shared" si="363"/>
        <v>0.86206896551724133</v>
      </c>
      <c r="G2114" s="44">
        <f t="shared" si="376"/>
        <v>0</v>
      </c>
      <c r="H2114" s="44">
        <f t="shared" si="377"/>
        <v>0.86206896551724133</v>
      </c>
      <c r="I2114" cm="1">
        <f t="array" ref="I2114">INT(F2114)+IF(100-SUM(INT(F$2110:F$2117))&gt;=RANK(H2114,H$2110:H$2117)+COUNTIF(H$2110:H2114,H2114)-1,1,0)</f>
        <v>1</v>
      </c>
      <c r="J2114" t="b">
        <f t="shared" si="378"/>
        <v>0</v>
      </c>
      <c r="K2114" t="str">
        <f t="shared" si="379"/>
        <v/>
      </c>
      <c r="L2114">
        <f>_xlfn.XLOOKUP(D2114,BugList!C:C,BugList!N:N)</f>
        <v>8</v>
      </c>
      <c r="M2114">
        <f t="shared" si="380"/>
        <v>8</v>
      </c>
      <c r="N2114" t="b">
        <f>_xlfn.XLOOKUP(D2114,BugList!C:C,BugList!L:L)</f>
        <v>0</v>
      </c>
      <c r="O2114" t="b">
        <f t="shared" si="381"/>
        <v>0</v>
      </c>
      <c r="P2114" s="18" t="b">
        <f>SUMPRODUCT(COUNTIF(_xlfn.XLOOKUP(D2114,BugList!C:C,BugList!P:P), "*SC*"))&gt;0</f>
        <v>0</v>
      </c>
    </row>
    <row r="2115" spans="1:16">
      <c r="A2115" t="s">
        <v>2931</v>
      </c>
      <c r="B2115" s="92">
        <v>228</v>
      </c>
      <c r="C2115" s="34" t="s">
        <v>210</v>
      </c>
      <c r="D2115" s="34" t="s">
        <v>210</v>
      </c>
      <c r="E2115" s="83">
        <v>2</v>
      </c>
      <c r="F2115" s="43">
        <f t="shared" si="363"/>
        <v>1.7241379310344827</v>
      </c>
      <c r="G2115" s="44">
        <f t="shared" si="376"/>
        <v>1</v>
      </c>
      <c r="H2115" s="44">
        <f t="shared" si="377"/>
        <v>0.72413793103448265</v>
      </c>
      <c r="I2115" cm="1">
        <f t="array" ref="I2115">INT(F2115)+IF(100-SUM(INT(F$2110:F$2117))&gt;=RANK(H2115,H$2110:H$2117)+COUNTIF(H$2110:H2115,H2115)-1,1,0)</f>
        <v>2</v>
      </c>
      <c r="J2115" t="b">
        <f t="shared" si="378"/>
        <v>0</v>
      </c>
      <c r="K2115" t="str">
        <f t="shared" si="379"/>
        <v/>
      </c>
      <c r="L2115" s="71">
        <v>8</v>
      </c>
      <c r="M2115">
        <f t="shared" si="380"/>
        <v>16</v>
      </c>
      <c r="N2115" s="71" t="b">
        <v>0</v>
      </c>
      <c r="O2115" t="b">
        <f t="shared" si="381"/>
        <v>0</v>
      </c>
      <c r="P2115" s="72" t="b">
        <v>0</v>
      </c>
    </row>
    <row r="2116" spans="1:16">
      <c r="A2116" t="s">
        <v>2931</v>
      </c>
      <c r="B2116" s="92">
        <v>228</v>
      </c>
      <c r="C2116" s="34" t="s">
        <v>2315</v>
      </c>
      <c r="D2116" s="34" t="s">
        <v>2315</v>
      </c>
      <c r="E2116" s="83">
        <v>2</v>
      </c>
      <c r="F2116" s="43">
        <f t="shared" si="363"/>
        <v>1.7241379310344827</v>
      </c>
      <c r="G2116" s="44">
        <f t="shared" si="376"/>
        <v>1</v>
      </c>
      <c r="H2116" s="44">
        <f t="shared" si="377"/>
        <v>0.72413793103448265</v>
      </c>
      <c r="I2116" cm="1">
        <f t="array" ref="I2116">INT(F2116)+IF(100-SUM(INT(F$2110:F$2117))&gt;=RANK(H2116,H$2110:H$2117)+COUNTIF(H$2110:H2116,H2116)-1,1,0)</f>
        <v>2</v>
      </c>
      <c r="J2116" t="b">
        <f t="shared" si="378"/>
        <v>0</v>
      </c>
      <c r="K2116" t="str">
        <f t="shared" si="379"/>
        <v/>
      </c>
      <c r="L2116">
        <f>_xlfn.XLOOKUP(D2116,BugList!C:C,BugList!N:N)</f>
        <v>7</v>
      </c>
      <c r="M2116">
        <f t="shared" si="380"/>
        <v>14</v>
      </c>
      <c r="N2116" t="b">
        <f>_xlfn.XLOOKUP(D2116,BugList!C:C,BugList!L:L)</f>
        <v>0</v>
      </c>
      <c r="O2116" t="b">
        <f t="shared" si="381"/>
        <v>0</v>
      </c>
      <c r="P2116" s="18" t="b">
        <f>SUMPRODUCT(COUNTIF(_xlfn.XLOOKUP(D2116,BugList!C:C,BugList!P:P), "*SC*"))&gt;0</f>
        <v>1</v>
      </c>
    </row>
    <row r="2117" spans="1:16">
      <c r="A2117" t="s">
        <v>2931</v>
      </c>
      <c r="B2117" s="92">
        <v>229</v>
      </c>
      <c r="C2117" s="34" t="s">
        <v>212</v>
      </c>
      <c r="D2117" s="34" t="s">
        <v>1202</v>
      </c>
      <c r="E2117" s="83">
        <v>1</v>
      </c>
      <c r="F2117" s="43">
        <f t="shared" si="363"/>
        <v>0.86206896551724133</v>
      </c>
      <c r="G2117" s="44">
        <f t="shared" si="376"/>
        <v>0</v>
      </c>
      <c r="H2117" s="44">
        <f t="shared" si="377"/>
        <v>0.86206896551724133</v>
      </c>
      <c r="I2117" cm="1">
        <f t="array" ref="I2117">INT(F2117)+IF(100-SUM(INT(F$2110:F$2117))&gt;=RANK(H2117,H$2110:H$2117)+COUNTIF(H$2110:H2117,H2117)-1,1,0)</f>
        <v>1</v>
      </c>
      <c r="J2117" t="b">
        <f t="shared" si="378"/>
        <v>0</v>
      </c>
      <c r="K2117" t="str">
        <f t="shared" si="379"/>
        <v/>
      </c>
      <c r="L2117">
        <f>_xlfn.XLOOKUP(D2117,BugList!C:C,BugList!N:N)</f>
        <v>9</v>
      </c>
      <c r="M2117">
        <f t="shared" si="380"/>
        <v>9</v>
      </c>
      <c r="N2117" t="b">
        <f>_xlfn.XLOOKUP(D2117,BugList!C:C,BugList!L:L)</f>
        <v>1</v>
      </c>
      <c r="O2117" t="b">
        <f t="shared" si="381"/>
        <v>0</v>
      </c>
      <c r="P2117" s="18" t="b">
        <f>SUMPRODUCT(COUNTIF(_xlfn.XLOOKUP(D2117,BugList!C:C,BugList!P:P), "*SC*"))&gt;0</f>
        <v>0</v>
      </c>
    </row>
    <row r="2118" spans="1:16">
      <c r="A2118" t="s">
        <v>2932</v>
      </c>
      <c r="B2118" s="83">
        <v>242</v>
      </c>
      <c r="C2118" s="34" t="s">
        <v>200</v>
      </c>
      <c r="D2118" s="34" t="s">
        <v>98</v>
      </c>
      <c r="E2118" s="83">
        <v>46</v>
      </c>
      <c r="F2118" s="43">
        <f t="shared" si="363"/>
        <v>37.096774193548384</v>
      </c>
      <c r="G2118" s="44">
        <f t="shared" si="376"/>
        <v>37</v>
      </c>
      <c r="H2118" s="44">
        <f t="shared" si="377"/>
        <v>9.6774193548384346E-2</v>
      </c>
      <c r="I2118" cm="1">
        <f t="array" ref="I2118">INT(F2118)+IF(100-SUM(INT(F$2118:F$2130))&gt;=RANK(H2118,H$2118:H$2130)+COUNTIF(H$2118:H2118,H2118)-1,1,0)</f>
        <v>37</v>
      </c>
      <c r="J2118" t="b">
        <f t="shared" si="378"/>
        <v>0</v>
      </c>
      <c r="K2118" t="str">
        <f t="shared" si="379"/>
        <v/>
      </c>
      <c r="L2118">
        <f>_xlfn.XLOOKUP(D2118,BugList!C:C,BugList!N:N)</f>
        <v>4</v>
      </c>
      <c r="M2118">
        <f t="shared" si="380"/>
        <v>148</v>
      </c>
      <c r="N2118" t="b">
        <f>_xlfn.XLOOKUP(D2118,BugList!C:C,BugList!L:L)</f>
        <v>1</v>
      </c>
      <c r="O2118" t="b">
        <f t="shared" si="381"/>
        <v>0</v>
      </c>
      <c r="P2118" s="18" t="b">
        <f>SUMPRODUCT(COUNTIF(_xlfn.XLOOKUP(D2118,BugList!C:C,BugList!P:P), "*SC*"))&gt;0</f>
        <v>1</v>
      </c>
    </row>
    <row r="2119" spans="1:16">
      <c r="A2119" t="s">
        <v>2932</v>
      </c>
      <c r="B2119" s="83">
        <v>242</v>
      </c>
      <c r="C2119" s="34" t="s">
        <v>194</v>
      </c>
      <c r="D2119" s="34" t="s">
        <v>126</v>
      </c>
      <c r="E2119" s="83">
        <v>1</v>
      </c>
      <c r="F2119" s="43">
        <f t="shared" si="363"/>
        <v>0.80645161290322576</v>
      </c>
      <c r="G2119" s="44">
        <f t="shared" si="376"/>
        <v>0</v>
      </c>
      <c r="H2119" s="44">
        <f t="shared" si="377"/>
        <v>0.80645161290322576</v>
      </c>
      <c r="I2119" cm="1">
        <f t="array" ref="I2119">INT(F2119)+IF(100-SUM(INT(F$2118:F$2130))&gt;=RANK(H2119,H$2118:H$2130)+COUNTIF(H$2118:H2119,H2119)-1,1,0)</f>
        <v>1</v>
      </c>
      <c r="J2119" t="b">
        <f t="shared" si="378"/>
        <v>0</v>
      </c>
      <c r="K2119" t="str">
        <f t="shared" si="379"/>
        <v/>
      </c>
      <c r="L2119">
        <f>_xlfn.XLOOKUP(D2119,BugList!C:C,BugList!N:N)</f>
        <v>8</v>
      </c>
      <c r="M2119">
        <f t="shared" si="380"/>
        <v>8</v>
      </c>
      <c r="N2119" t="b">
        <f>_xlfn.XLOOKUP(D2119,BugList!C:C,BugList!L:L)</f>
        <v>1</v>
      </c>
      <c r="O2119" t="b">
        <f t="shared" si="381"/>
        <v>0</v>
      </c>
      <c r="P2119" s="18" t="b">
        <f>SUMPRODUCT(COUNTIF(_xlfn.XLOOKUP(D2119,BugList!C:C,BugList!P:P), "*SC*"))&gt;0</f>
        <v>0</v>
      </c>
    </row>
    <row r="2120" spans="1:16">
      <c r="A2120" t="s">
        <v>2932</v>
      </c>
      <c r="B2120" s="83">
        <v>242</v>
      </c>
      <c r="C2120" s="34" t="s">
        <v>194</v>
      </c>
      <c r="D2120" s="34" t="s">
        <v>90</v>
      </c>
      <c r="E2120" s="83">
        <v>4</v>
      </c>
      <c r="F2120" s="43">
        <f t="shared" si="363"/>
        <v>3.225806451612903</v>
      </c>
      <c r="G2120" s="44">
        <f t="shared" si="376"/>
        <v>3</v>
      </c>
      <c r="H2120" s="44">
        <f t="shared" si="377"/>
        <v>0.22580645161290303</v>
      </c>
      <c r="I2120" cm="1">
        <f t="array" ref="I2120">INT(F2120)+IF(100-SUM(INT(F$2118:F$2130))&gt;=RANK(H2120,H$2118:H$2130)+COUNTIF(H$2118:H2120,H2120)-1,1,0)</f>
        <v>3</v>
      </c>
      <c r="J2120" t="b">
        <f t="shared" si="378"/>
        <v>0</v>
      </c>
      <c r="K2120" t="str">
        <f t="shared" si="379"/>
        <v/>
      </c>
      <c r="L2120">
        <f>_xlfn.XLOOKUP(D2120,BugList!C:C,BugList!N:N)</f>
        <v>6</v>
      </c>
      <c r="M2120">
        <f t="shared" si="380"/>
        <v>18</v>
      </c>
      <c r="N2120" t="b">
        <f>_xlfn.XLOOKUP(D2120,BugList!C:C,BugList!L:L)</f>
        <v>1</v>
      </c>
      <c r="O2120" t="b">
        <f t="shared" si="381"/>
        <v>0</v>
      </c>
      <c r="P2120" s="18" t="b">
        <f>SUMPRODUCT(COUNTIF(_xlfn.XLOOKUP(D2120,BugList!C:C,BugList!P:P), "*SC*"))&gt;0</f>
        <v>0</v>
      </c>
    </row>
    <row r="2121" spans="1:16">
      <c r="A2121" t="s">
        <v>2932</v>
      </c>
      <c r="B2121" s="83">
        <v>242</v>
      </c>
      <c r="C2121" s="34" t="s">
        <v>194</v>
      </c>
      <c r="D2121" s="34" t="s">
        <v>108</v>
      </c>
      <c r="E2121" s="83">
        <v>1</v>
      </c>
      <c r="F2121" s="43">
        <f t="shared" si="363"/>
        <v>0.80645161290322576</v>
      </c>
      <c r="G2121" s="44">
        <f t="shared" si="376"/>
        <v>0</v>
      </c>
      <c r="H2121" s="44">
        <f t="shared" si="377"/>
        <v>0.80645161290322576</v>
      </c>
      <c r="I2121" cm="1">
        <f t="array" ref="I2121">INT(F2121)+IF(100-SUM(INT(F$2118:F$2130))&gt;=RANK(H2121,H$2118:H$2130)+COUNTIF(H$2118:H2121,H2121)-1,1,0)</f>
        <v>1</v>
      </c>
      <c r="J2121" t="b">
        <f t="shared" si="378"/>
        <v>0</v>
      </c>
      <c r="K2121" t="str">
        <f t="shared" si="379"/>
        <v/>
      </c>
      <c r="L2121">
        <f>_xlfn.XLOOKUP(D2121,BugList!C:C,BugList!N:N)</f>
        <v>3</v>
      </c>
      <c r="M2121">
        <f t="shared" si="380"/>
        <v>3</v>
      </c>
      <c r="N2121" t="b">
        <f>_xlfn.XLOOKUP(D2121,BugList!C:C,BugList!L:L)</f>
        <v>1</v>
      </c>
      <c r="O2121" t="b">
        <f t="shared" si="381"/>
        <v>0</v>
      </c>
      <c r="P2121" s="18" t="b">
        <f>SUMPRODUCT(COUNTIF(_xlfn.XLOOKUP(D2121,BugList!C:C,BugList!P:P), "*SC*"))&gt;0</f>
        <v>0</v>
      </c>
    </row>
    <row r="2122" spans="1:16">
      <c r="A2122" t="s">
        <v>2932</v>
      </c>
      <c r="B2122" s="83">
        <v>242</v>
      </c>
      <c r="C2122" s="34" t="s">
        <v>199</v>
      </c>
      <c r="D2122" s="34" t="s">
        <v>154</v>
      </c>
      <c r="E2122" s="83">
        <v>1</v>
      </c>
      <c r="F2122" s="43">
        <f t="shared" si="363"/>
        <v>0.80645161290322576</v>
      </c>
      <c r="G2122" s="44">
        <f t="shared" si="376"/>
        <v>0</v>
      </c>
      <c r="H2122" s="44">
        <f t="shared" si="377"/>
        <v>0.80645161290322576</v>
      </c>
      <c r="I2122" cm="1">
        <f t="array" ref="I2122">INT(F2122)+IF(100-SUM(INT(F$2118:F$2130))&gt;=RANK(H2122,H$2118:H$2130)+COUNTIF(H$2118:H2122,H2122)-1,1,0)</f>
        <v>1</v>
      </c>
      <c r="J2122" t="b">
        <f t="shared" si="378"/>
        <v>1</v>
      </c>
      <c r="K2122" t="str">
        <f t="shared" si="379"/>
        <v>Ephemeroptera</v>
      </c>
      <c r="L2122">
        <f>_xlfn.XLOOKUP(D2122,BugList!C:C,BugList!N:N)</f>
        <v>7</v>
      </c>
      <c r="M2122">
        <f t="shared" si="380"/>
        <v>7</v>
      </c>
      <c r="N2122" t="b">
        <f>_xlfn.XLOOKUP(D2122,BugList!C:C,BugList!L:L)</f>
        <v>1</v>
      </c>
      <c r="O2122" t="b">
        <f t="shared" si="381"/>
        <v>1</v>
      </c>
      <c r="P2122" s="18" t="b">
        <f>SUMPRODUCT(COUNTIF(_xlfn.XLOOKUP(D2122,BugList!C:C,BugList!P:P), "*SC*"))&gt;0</f>
        <v>0</v>
      </c>
    </row>
    <row r="2123" spans="1:16">
      <c r="A2123" t="s">
        <v>2932</v>
      </c>
      <c r="B2123" s="83">
        <v>242</v>
      </c>
      <c r="C2123" s="34" t="s">
        <v>195</v>
      </c>
      <c r="D2123" s="34" t="s">
        <v>97</v>
      </c>
      <c r="E2123" s="83">
        <v>11</v>
      </c>
      <c r="F2123" s="43">
        <f t="shared" si="363"/>
        <v>8.870967741935484</v>
      </c>
      <c r="G2123" s="44">
        <f t="shared" si="376"/>
        <v>8</v>
      </c>
      <c r="H2123" s="44">
        <f t="shared" si="377"/>
        <v>0.87096774193548399</v>
      </c>
      <c r="I2123" cm="1">
        <f t="array" ref="I2123">INT(F2123)+IF(100-SUM(INT(F$2118:F$2130))&gt;=RANK(H2123,H$2118:H$2130)+COUNTIF(H$2118:H2123,H2123)-1,1,0)</f>
        <v>9</v>
      </c>
      <c r="J2123" t="b">
        <f t="shared" si="378"/>
        <v>0</v>
      </c>
      <c r="K2123" t="str">
        <f t="shared" si="379"/>
        <v/>
      </c>
      <c r="L2123">
        <f>_xlfn.XLOOKUP(D2123,BugList!C:C,BugList!N:N)</f>
        <v>9</v>
      </c>
      <c r="M2123">
        <f t="shared" si="380"/>
        <v>81</v>
      </c>
      <c r="N2123" t="b">
        <f>_xlfn.XLOOKUP(D2123,BugList!C:C,BugList!L:L)</f>
        <v>1</v>
      </c>
      <c r="O2123" t="b">
        <f t="shared" si="381"/>
        <v>0</v>
      </c>
      <c r="P2123" s="18" t="b">
        <f>SUMPRODUCT(COUNTIF(_xlfn.XLOOKUP(D2123,BugList!C:C,BugList!P:P), "*SC*"))&gt;0</f>
        <v>0</v>
      </c>
    </row>
    <row r="2124" spans="1:16">
      <c r="A2124" t="s">
        <v>2932</v>
      </c>
      <c r="B2124" s="83">
        <v>242</v>
      </c>
      <c r="C2124" s="34" t="s">
        <v>211</v>
      </c>
      <c r="D2124" s="34" t="s">
        <v>87</v>
      </c>
      <c r="E2124" s="83">
        <v>20</v>
      </c>
      <c r="F2124" s="43">
        <f t="shared" si="363"/>
        <v>16.129032258064516</v>
      </c>
      <c r="G2124" s="44">
        <f t="shared" si="376"/>
        <v>16</v>
      </c>
      <c r="H2124" s="44">
        <f t="shared" si="377"/>
        <v>0.12903225806451601</v>
      </c>
      <c r="I2124" cm="1">
        <f t="array" ref="I2124">INT(F2124)+IF(100-SUM(INT(F$2118:F$2130))&gt;=RANK(H2124,H$2118:H$2130)+COUNTIF(H$2118:H2124,H2124)-1,1,0)</f>
        <v>16</v>
      </c>
      <c r="J2124" t="b">
        <f t="shared" si="378"/>
        <v>0</v>
      </c>
      <c r="K2124" t="str">
        <f t="shared" si="379"/>
        <v/>
      </c>
      <c r="L2124">
        <f>_xlfn.XLOOKUP(D2124,BugList!C:C,BugList!N:N)</f>
        <v>4</v>
      </c>
      <c r="M2124">
        <f t="shared" si="380"/>
        <v>64</v>
      </c>
      <c r="N2124" t="b">
        <f>_xlfn.XLOOKUP(D2124,BugList!C:C,BugList!L:L)</f>
        <v>0</v>
      </c>
      <c r="O2124" t="b">
        <f t="shared" si="381"/>
        <v>0</v>
      </c>
      <c r="P2124" s="18" t="b">
        <f>SUMPRODUCT(COUNTIF(_xlfn.XLOOKUP(D2124,BugList!C:C,BugList!P:P), "*SC*"))&gt;0</f>
        <v>0</v>
      </c>
    </row>
    <row r="2125" spans="1:16">
      <c r="A2125" t="s">
        <v>2932</v>
      </c>
      <c r="B2125" s="83">
        <v>242</v>
      </c>
      <c r="C2125" s="34" t="s">
        <v>198</v>
      </c>
      <c r="D2125" s="34" t="s">
        <v>89</v>
      </c>
      <c r="E2125" s="83">
        <v>26</v>
      </c>
      <c r="F2125" s="43">
        <f t="shared" si="363"/>
        <v>20.967741935483872</v>
      </c>
      <c r="G2125" s="44">
        <f t="shared" si="376"/>
        <v>20</v>
      </c>
      <c r="H2125" s="44">
        <f t="shared" si="377"/>
        <v>0.96774193548387188</v>
      </c>
      <c r="I2125" cm="1">
        <f t="array" ref="I2125">INT(F2125)+IF(100-SUM(INT(F$2118:F$2130))&gt;=RANK(H2125,H$2118:H$2130)+COUNTIF(H$2118:H2125,H2125)-1,1,0)</f>
        <v>21</v>
      </c>
      <c r="J2125" t="b">
        <f t="shared" si="378"/>
        <v>1</v>
      </c>
      <c r="K2125" t="str">
        <f t="shared" si="379"/>
        <v>Trichoptera</v>
      </c>
      <c r="L2125">
        <f>_xlfn.XLOOKUP(D2125,BugList!C:C,BugList!N:N)</f>
        <v>4</v>
      </c>
      <c r="M2125">
        <f t="shared" si="380"/>
        <v>84</v>
      </c>
      <c r="N2125" t="b">
        <f>_xlfn.XLOOKUP(D2125,BugList!C:C,BugList!L:L)</f>
        <v>1</v>
      </c>
      <c r="O2125" t="b">
        <f t="shared" si="381"/>
        <v>0</v>
      </c>
      <c r="P2125" s="18" t="b">
        <f>SUMPRODUCT(COUNTIF(_xlfn.XLOOKUP(D2125,BugList!C:C,BugList!P:P), "*SC*"))&gt;0</f>
        <v>0</v>
      </c>
    </row>
    <row r="2126" spans="1:16">
      <c r="A2126" t="s">
        <v>2932</v>
      </c>
      <c r="B2126" s="83">
        <v>242</v>
      </c>
      <c r="C2126" s="34" t="s">
        <v>204</v>
      </c>
      <c r="D2126" s="34" t="s">
        <v>84</v>
      </c>
      <c r="E2126" s="83">
        <v>1</v>
      </c>
      <c r="F2126" s="43">
        <f t="shared" si="363"/>
        <v>0.80645161290322576</v>
      </c>
      <c r="G2126" s="44">
        <f t="shared" si="376"/>
        <v>0</v>
      </c>
      <c r="H2126" s="44">
        <f t="shared" si="377"/>
        <v>0.80645161290322576</v>
      </c>
      <c r="I2126" cm="1">
        <f t="array" ref="I2126">INT(F2126)+IF(100-SUM(INT(F$2118:F$2130))&gt;=RANK(H2126,H$2118:H$2130)+COUNTIF(H$2118:H2126,H2126)-1,1,0)</f>
        <v>1</v>
      </c>
      <c r="J2126" t="b">
        <f t="shared" si="378"/>
        <v>0</v>
      </c>
      <c r="K2126" t="str">
        <f t="shared" si="379"/>
        <v/>
      </c>
      <c r="L2126">
        <f>_xlfn.XLOOKUP(D2126,BugList!C:C,BugList!N:N)</f>
        <v>8</v>
      </c>
      <c r="M2126">
        <f t="shared" si="380"/>
        <v>8</v>
      </c>
      <c r="N2126" t="b">
        <f>_xlfn.XLOOKUP(D2126,BugList!C:C,BugList!L:L)</f>
        <v>0</v>
      </c>
      <c r="O2126" t="b">
        <f t="shared" si="381"/>
        <v>0</v>
      </c>
      <c r="P2126" s="18" t="b">
        <f>SUMPRODUCT(COUNTIF(_xlfn.XLOOKUP(D2126,BugList!C:C,BugList!P:P), "*SC*"))&gt;0</f>
        <v>0</v>
      </c>
    </row>
    <row r="2127" spans="1:16">
      <c r="A2127" t="s">
        <v>2932</v>
      </c>
      <c r="B2127" s="83">
        <v>242</v>
      </c>
      <c r="C2127" s="34" t="s">
        <v>210</v>
      </c>
      <c r="D2127" s="34" t="s">
        <v>210</v>
      </c>
      <c r="E2127" s="83">
        <v>2</v>
      </c>
      <c r="F2127" s="43">
        <f t="shared" ref="F2127:F2190" si="384">(E2127/(SUMIFS(E:E,A:A,A2127))*100)</f>
        <v>1.6129032258064515</v>
      </c>
      <c r="G2127" s="44">
        <f t="shared" si="376"/>
        <v>1</v>
      </c>
      <c r="H2127" s="44">
        <f t="shared" si="377"/>
        <v>0.61290322580645151</v>
      </c>
      <c r="I2127" cm="1">
        <f t="array" ref="I2127">INT(F2127)+IF(100-SUM(INT(F$2118:F$2130))&gt;=RANK(H2127,H$2118:H$2130)+COUNTIF(H$2118:H2127,H2127)-1,1,0)</f>
        <v>1</v>
      </c>
      <c r="J2127" t="b">
        <f t="shared" si="378"/>
        <v>0</v>
      </c>
      <c r="K2127" t="str">
        <f t="shared" si="379"/>
        <v/>
      </c>
      <c r="L2127" s="71">
        <v>8</v>
      </c>
      <c r="M2127">
        <f t="shared" ref="M2127" si="385">L2127*I2127</f>
        <v>8</v>
      </c>
      <c r="N2127" s="71" t="b">
        <v>0</v>
      </c>
      <c r="O2127" t="b">
        <f t="shared" ref="O2127" si="386">IF(J2127=TRUE,IF(D2127="Hydropsychidae", FALSE, TRUE), FALSE)</f>
        <v>0</v>
      </c>
      <c r="P2127" s="72" t="b">
        <v>0</v>
      </c>
    </row>
    <row r="2128" spans="1:16">
      <c r="A2128" t="s">
        <v>2932</v>
      </c>
      <c r="B2128" s="83">
        <v>242</v>
      </c>
      <c r="C2128" s="34" t="s">
        <v>2315</v>
      </c>
      <c r="D2128" s="34" t="s">
        <v>2315</v>
      </c>
      <c r="E2128" s="83">
        <v>9</v>
      </c>
      <c r="F2128" s="43">
        <f t="shared" si="384"/>
        <v>7.2580645161290329</v>
      </c>
      <c r="G2128" s="44">
        <f t="shared" si="376"/>
        <v>7</v>
      </c>
      <c r="H2128" s="44">
        <f t="shared" si="377"/>
        <v>0.25806451612903292</v>
      </c>
      <c r="I2128" cm="1">
        <f t="array" ref="I2128">INT(F2128)+IF(100-SUM(INT(F$2118:F$2130))&gt;=RANK(H2128,H$2118:H$2130)+COUNTIF(H$2118:H2128,H2128)-1,1,0)</f>
        <v>7</v>
      </c>
      <c r="J2128" t="b">
        <f t="shared" si="378"/>
        <v>0</v>
      </c>
      <c r="K2128" t="str">
        <f t="shared" si="379"/>
        <v/>
      </c>
      <c r="L2128">
        <f>_xlfn.XLOOKUP(D2128,BugList!C:C,BugList!N:N)</f>
        <v>7</v>
      </c>
      <c r="M2128">
        <f t="shared" si="380"/>
        <v>49</v>
      </c>
      <c r="N2128" t="b">
        <f>_xlfn.XLOOKUP(D2128,BugList!C:C,BugList!L:L)</f>
        <v>0</v>
      </c>
      <c r="O2128" t="b">
        <f t="shared" si="381"/>
        <v>0</v>
      </c>
      <c r="P2128" s="18" t="b">
        <f>SUMPRODUCT(COUNTIF(_xlfn.XLOOKUP(D2128,BugList!C:C,BugList!P:P), "*SC*"))&gt;0</f>
        <v>1</v>
      </c>
    </row>
    <row r="2129" spans="1:16">
      <c r="A2129" t="s">
        <v>2932</v>
      </c>
      <c r="B2129" s="83">
        <v>242</v>
      </c>
      <c r="C2129" s="34" t="s">
        <v>205</v>
      </c>
      <c r="D2129" s="34" t="s">
        <v>206</v>
      </c>
      <c r="E2129" s="83">
        <v>1</v>
      </c>
      <c r="F2129" s="43">
        <f t="shared" si="384"/>
        <v>0.80645161290322576</v>
      </c>
      <c r="G2129" s="44">
        <f t="shared" si="376"/>
        <v>0</v>
      </c>
      <c r="H2129" s="44">
        <f t="shared" si="377"/>
        <v>0.80645161290322576</v>
      </c>
      <c r="I2129" cm="1">
        <f t="array" ref="I2129">INT(F2129)+IF(100-SUM(INT(F$2118:F$2130))&gt;=RANK(H2129,H$2118:H$2130)+COUNTIF(H$2118:H2129,H2129)-1,1,0)</f>
        <v>1</v>
      </c>
      <c r="J2129" t="b">
        <f t="shared" si="378"/>
        <v>0</v>
      </c>
      <c r="K2129" t="str">
        <f t="shared" si="379"/>
        <v/>
      </c>
      <c r="L2129" s="71">
        <v>8</v>
      </c>
      <c r="M2129">
        <f t="shared" ref="M2129" si="387">L2129*I2129</f>
        <v>8</v>
      </c>
      <c r="N2129" s="71" t="b">
        <v>0</v>
      </c>
      <c r="O2129" t="b">
        <f t="shared" ref="O2129" si="388">IF(J2129=TRUE,IF(D2129="Hydropsychidae", FALSE, TRUE), FALSE)</f>
        <v>0</v>
      </c>
      <c r="P2129" s="72" t="b">
        <v>0</v>
      </c>
    </row>
    <row r="2130" spans="1:16">
      <c r="A2130" t="s">
        <v>2932</v>
      </c>
      <c r="B2130" s="83">
        <v>242</v>
      </c>
      <c r="C2130" s="34" t="s">
        <v>94</v>
      </c>
      <c r="D2130" s="34" t="s">
        <v>94</v>
      </c>
      <c r="E2130" s="83">
        <v>1</v>
      </c>
      <c r="F2130" s="43">
        <f t="shared" si="384"/>
        <v>0.80645161290322576</v>
      </c>
      <c r="G2130" s="44">
        <f t="shared" si="376"/>
        <v>0</v>
      </c>
      <c r="H2130" s="44">
        <f t="shared" si="377"/>
        <v>0.80645161290322576</v>
      </c>
      <c r="I2130" cm="1">
        <f t="array" ref="I2130">INT(F2130)+IF(100-SUM(INT(F$2118:F$2130))&gt;=RANK(H2130,H$2118:H$2130)+COUNTIF(H$2118:H2130,H2130)-1,1,0)</f>
        <v>1</v>
      </c>
      <c r="J2130" t="b">
        <f t="shared" si="378"/>
        <v>0</v>
      </c>
      <c r="K2130" t="str">
        <f t="shared" si="379"/>
        <v/>
      </c>
      <c r="L2130">
        <f>_xlfn.XLOOKUP(D2130,BugList!C:C,BugList!N:N)</f>
        <v>8</v>
      </c>
      <c r="M2130">
        <f t="shared" si="380"/>
        <v>8</v>
      </c>
      <c r="N2130" t="b">
        <f>_xlfn.XLOOKUP(D2130,BugList!C:C,BugList!L:L)</f>
        <v>0</v>
      </c>
      <c r="O2130" t="b">
        <f t="shared" si="381"/>
        <v>0</v>
      </c>
      <c r="P2130" s="18" t="b">
        <f>SUMPRODUCT(COUNTIF(_xlfn.XLOOKUP(D2130,BugList!C:C,BugList!P:P), "*SC*"))&gt;0</f>
        <v>0</v>
      </c>
    </row>
    <row r="2131" spans="1:16">
      <c r="A2131" t="s">
        <v>2933</v>
      </c>
      <c r="B2131" s="83">
        <v>264</v>
      </c>
      <c r="C2131" s="34" t="s">
        <v>194</v>
      </c>
      <c r="D2131" s="34" t="s">
        <v>126</v>
      </c>
      <c r="E2131" s="83">
        <v>1</v>
      </c>
      <c r="F2131" s="43">
        <f t="shared" si="384"/>
        <v>0.93457943925233633</v>
      </c>
      <c r="G2131" s="44">
        <f t="shared" si="376"/>
        <v>0</v>
      </c>
      <c r="H2131" s="44">
        <f t="shared" si="377"/>
        <v>0.93457943925233633</v>
      </c>
      <c r="I2131" cm="1">
        <f t="array" ref="I2131">INT(F2131)+IF(100-SUM(INT(F$2131:F$2139))&gt;=RANK(H2131,H$2131:H$2139)+COUNTIF(H$2131:H2131,H2131)-1,1,0)</f>
        <v>1</v>
      </c>
      <c r="J2131" t="b">
        <f t="shared" si="378"/>
        <v>0</v>
      </c>
      <c r="K2131" t="str">
        <f t="shared" si="379"/>
        <v/>
      </c>
      <c r="L2131">
        <f>_xlfn.XLOOKUP(D2131,BugList!C:C,BugList!N:N)</f>
        <v>8</v>
      </c>
      <c r="M2131">
        <f t="shared" si="380"/>
        <v>8</v>
      </c>
      <c r="N2131" t="b">
        <f>_xlfn.XLOOKUP(D2131,BugList!C:C,BugList!L:L)</f>
        <v>1</v>
      </c>
      <c r="O2131" t="b">
        <f t="shared" si="381"/>
        <v>0</v>
      </c>
      <c r="P2131" s="18" t="b">
        <f>SUMPRODUCT(COUNTIF(_xlfn.XLOOKUP(D2131,BugList!C:C,BugList!P:P), "*SC*"))&gt;0</f>
        <v>0</v>
      </c>
    </row>
    <row r="2132" spans="1:16">
      <c r="A2132" t="s">
        <v>2933</v>
      </c>
      <c r="B2132" s="83">
        <v>264</v>
      </c>
      <c r="C2132" s="34" t="s">
        <v>194</v>
      </c>
      <c r="D2132" s="34" t="s">
        <v>90</v>
      </c>
      <c r="E2132" s="83">
        <v>51</v>
      </c>
      <c r="F2132" s="43">
        <f t="shared" si="384"/>
        <v>47.663551401869157</v>
      </c>
      <c r="G2132" s="44">
        <f t="shared" si="376"/>
        <v>47</v>
      </c>
      <c r="H2132" s="44">
        <f t="shared" si="377"/>
        <v>0.66355140186915662</v>
      </c>
      <c r="I2132" cm="1">
        <f t="array" ref="I2132">INT(F2132)+IF(100-SUM(INT(F$2131:F$2139))&gt;=RANK(H2132,H$2131:H$2139)+COUNTIF(H$2131:H2132,H2132)-1,1,0)</f>
        <v>47</v>
      </c>
      <c r="J2132" t="b">
        <f t="shared" si="378"/>
        <v>0</v>
      </c>
      <c r="K2132" t="str">
        <f t="shared" si="379"/>
        <v/>
      </c>
      <c r="L2132">
        <f>_xlfn.XLOOKUP(D2132,BugList!C:C,BugList!N:N)</f>
        <v>6</v>
      </c>
      <c r="M2132">
        <f t="shared" si="380"/>
        <v>282</v>
      </c>
      <c r="N2132" t="b">
        <f>_xlfn.XLOOKUP(D2132,BugList!C:C,BugList!L:L)</f>
        <v>1</v>
      </c>
      <c r="O2132" t="b">
        <f t="shared" si="381"/>
        <v>0</v>
      </c>
      <c r="P2132" s="18" t="b">
        <f>SUMPRODUCT(COUNTIF(_xlfn.XLOOKUP(D2132,BugList!C:C,BugList!P:P), "*SC*"))&gt;0</f>
        <v>0</v>
      </c>
    </row>
    <row r="2133" spans="1:16">
      <c r="A2133" t="s">
        <v>2933</v>
      </c>
      <c r="B2133" s="83">
        <v>264</v>
      </c>
      <c r="C2133" s="34" t="s">
        <v>199</v>
      </c>
      <c r="D2133" s="34" t="s">
        <v>111</v>
      </c>
      <c r="E2133" s="83">
        <v>1</v>
      </c>
      <c r="F2133" s="43">
        <f t="shared" si="384"/>
        <v>0.93457943925233633</v>
      </c>
      <c r="G2133" s="44">
        <f t="shared" si="376"/>
        <v>0</v>
      </c>
      <c r="H2133" s="44">
        <f t="shared" si="377"/>
        <v>0.93457943925233633</v>
      </c>
      <c r="I2133" cm="1">
        <f t="array" ref="I2133">INT(F2133)+IF(100-SUM(INT(F$2131:F$2139))&gt;=RANK(H2133,H$2131:H$2139)+COUNTIF(H$2131:H2133,H2133)-1,1,0)</f>
        <v>1</v>
      </c>
      <c r="J2133" t="b">
        <f t="shared" si="378"/>
        <v>1</v>
      </c>
      <c r="K2133" t="str">
        <f t="shared" si="379"/>
        <v>Ephemeroptera</v>
      </c>
      <c r="L2133">
        <f>_xlfn.XLOOKUP(D2133,BugList!C:C,BugList!N:N)</f>
        <v>4</v>
      </c>
      <c r="M2133">
        <f t="shared" si="380"/>
        <v>4</v>
      </c>
      <c r="N2133" t="b">
        <f>_xlfn.XLOOKUP(D2133,BugList!C:C,BugList!L:L)</f>
        <v>1</v>
      </c>
      <c r="O2133" t="b">
        <f t="shared" si="381"/>
        <v>1</v>
      </c>
      <c r="P2133" s="18" t="b">
        <f>SUMPRODUCT(COUNTIF(_xlfn.XLOOKUP(D2133,BugList!C:C,BugList!P:P), "*SC*"))&gt;0</f>
        <v>0</v>
      </c>
    </row>
    <row r="2134" spans="1:16">
      <c r="A2134" t="s">
        <v>2933</v>
      </c>
      <c r="B2134" s="83">
        <v>264</v>
      </c>
      <c r="C2134" s="34" t="s">
        <v>195</v>
      </c>
      <c r="D2134" s="34" t="s">
        <v>97</v>
      </c>
      <c r="E2134" s="83">
        <v>1</v>
      </c>
      <c r="F2134" s="43">
        <f t="shared" si="384"/>
        <v>0.93457943925233633</v>
      </c>
      <c r="G2134" s="44">
        <f t="shared" si="376"/>
        <v>0</v>
      </c>
      <c r="H2134" s="44">
        <f t="shared" si="377"/>
        <v>0.93457943925233633</v>
      </c>
      <c r="I2134" cm="1">
        <f t="array" ref="I2134">INT(F2134)+IF(100-SUM(INT(F$2131:F$2139))&gt;=RANK(H2134,H$2131:H$2139)+COUNTIF(H$2131:H2134,H2134)-1,1,0)</f>
        <v>1</v>
      </c>
      <c r="J2134" t="b">
        <f t="shared" si="378"/>
        <v>0</v>
      </c>
      <c r="K2134" t="str">
        <f t="shared" si="379"/>
        <v/>
      </c>
      <c r="L2134">
        <f>_xlfn.XLOOKUP(D2134,BugList!C:C,BugList!N:N)</f>
        <v>9</v>
      </c>
      <c r="M2134">
        <f t="shared" si="380"/>
        <v>9</v>
      </c>
      <c r="N2134" t="b">
        <f>_xlfn.XLOOKUP(D2134,BugList!C:C,BugList!L:L)</f>
        <v>1</v>
      </c>
      <c r="O2134" t="b">
        <f t="shared" si="381"/>
        <v>0</v>
      </c>
      <c r="P2134" s="18" t="b">
        <f>SUMPRODUCT(COUNTIF(_xlfn.XLOOKUP(D2134,BugList!C:C,BugList!P:P), "*SC*"))&gt;0</f>
        <v>0</v>
      </c>
    </row>
    <row r="2135" spans="1:16">
      <c r="A2135" t="s">
        <v>2933</v>
      </c>
      <c r="B2135" s="83">
        <v>264</v>
      </c>
      <c r="C2135" s="34" t="s">
        <v>211</v>
      </c>
      <c r="D2135" s="34" t="s">
        <v>87</v>
      </c>
      <c r="E2135" s="83">
        <v>12</v>
      </c>
      <c r="F2135" s="43">
        <f t="shared" si="384"/>
        <v>11.214953271028037</v>
      </c>
      <c r="G2135" s="44">
        <f t="shared" si="376"/>
        <v>11</v>
      </c>
      <c r="H2135" s="44">
        <f t="shared" si="377"/>
        <v>0.21495327102803685</v>
      </c>
      <c r="I2135" cm="1">
        <f t="array" ref="I2135">INT(F2135)+IF(100-SUM(INT(F$2131:F$2139))&gt;=RANK(H2135,H$2131:H$2139)+COUNTIF(H$2131:H2135,H2135)-1,1,0)</f>
        <v>11</v>
      </c>
      <c r="J2135" t="b">
        <f t="shared" si="378"/>
        <v>0</v>
      </c>
      <c r="K2135" t="str">
        <f t="shared" si="379"/>
        <v/>
      </c>
      <c r="L2135">
        <f>_xlfn.XLOOKUP(D2135,BugList!C:C,BugList!N:N)</f>
        <v>4</v>
      </c>
      <c r="M2135">
        <f t="shared" si="380"/>
        <v>44</v>
      </c>
      <c r="N2135" t="b">
        <f>_xlfn.XLOOKUP(D2135,BugList!C:C,BugList!L:L)</f>
        <v>0</v>
      </c>
      <c r="O2135" t="b">
        <f t="shared" si="381"/>
        <v>0</v>
      </c>
      <c r="P2135" s="18" t="b">
        <f>SUMPRODUCT(COUNTIF(_xlfn.XLOOKUP(D2135,BugList!C:C,BugList!P:P), "*SC*"))&gt;0</f>
        <v>0</v>
      </c>
    </row>
    <row r="2136" spans="1:16">
      <c r="A2136" t="s">
        <v>2933</v>
      </c>
      <c r="B2136" s="83">
        <v>264</v>
      </c>
      <c r="C2136" s="34" t="s">
        <v>198</v>
      </c>
      <c r="D2136" s="34" t="s">
        <v>89</v>
      </c>
      <c r="E2136" s="83">
        <v>33</v>
      </c>
      <c r="F2136" s="43">
        <f t="shared" si="384"/>
        <v>30.841121495327101</v>
      </c>
      <c r="G2136" s="44">
        <f t="shared" si="376"/>
        <v>30</v>
      </c>
      <c r="H2136" s="44">
        <f t="shared" si="377"/>
        <v>0.84112149532710134</v>
      </c>
      <c r="I2136" cm="1">
        <f t="array" ref="I2136">INT(F2136)+IF(100-SUM(INT(F$2131:F$2139))&gt;=RANK(H2136,H$2131:H$2139)+COUNTIF(H$2131:H2136,H2136)-1,1,0)</f>
        <v>31</v>
      </c>
      <c r="J2136" t="b">
        <f t="shared" si="378"/>
        <v>1</v>
      </c>
      <c r="K2136" t="str">
        <f t="shared" si="379"/>
        <v>Trichoptera</v>
      </c>
      <c r="L2136">
        <f>_xlfn.XLOOKUP(D2136,BugList!C:C,BugList!N:N)</f>
        <v>4</v>
      </c>
      <c r="M2136">
        <f t="shared" si="380"/>
        <v>124</v>
      </c>
      <c r="N2136" t="b">
        <f>_xlfn.XLOOKUP(D2136,BugList!C:C,BugList!L:L)</f>
        <v>1</v>
      </c>
      <c r="O2136" t="b">
        <f t="shared" si="381"/>
        <v>0</v>
      </c>
      <c r="P2136" s="18" t="b">
        <f>SUMPRODUCT(COUNTIF(_xlfn.XLOOKUP(D2136,BugList!C:C,BugList!P:P), "*SC*"))&gt;0</f>
        <v>0</v>
      </c>
    </row>
    <row r="2137" spans="1:16">
      <c r="A2137" t="s">
        <v>2933</v>
      </c>
      <c r="B2137" s="83">
        <v>264</v>
      </c>
      <c r="C2137" s="34" t="s">
        <v>204</v>
      </c>
      <c r="D2137" s="34" t="s">
        <v>84</v>
      </c>
      <c r="E2137" s="83">
        <v>5</v>
      </c>
      <c r="F2137" s="43">
        <f t="shared" si="384"/>
        <v>4.6728971962616823</v>
      </c>
      <c r="G2137" s="44">
        <f t="shared" si="376"/>
        <v>4</v>
      </c>
      <c r="H2137" s="44">
        <f t="shared" si="377"/>
        <v>0.67289719626168232</v>
      </c>
      <c r="I2137" cm="1">
        <f t="array" ref="I2137">INT(F2137)+IF(100-SUM(INT(F$2131:F$2139))&gt;=RANK(H2137,H$2131:H$2139)+COUNTIF(H$2131:H2137,H2137)-1,1,0)</f>
        <v>5</v>
      </c>
      <c r="J2137" t="b">
        <f t="shared" si="378"/>
        <v>0</v>
      </c>
      <c r="K2137" t="str">
        <f t="shared" si="379"/>
        <v/>
      </c>
      <c r="L2137">
        <f>_xlfn.XLOOKUP(D2137,BugList!C:C,BugList!N:N)</f>
        <v>8</v>
      </c>
      <c r="M2137">
        <f t="shared" si="380"/>
        <v>40</v>
      </c>
      <c r="N2137" t="b">
        <f>_xlfn.XLOOKUP(D2137,BugList!C:C,BugList!L:L)</f>
        <v>0</v>
      </c>
      <c r="O2137" t="b">
        <f t="shared" si="381"/>
        <v>0</v>
      </c>
      <c r="P2137" s="18" t="b">
        <f>SUMPRODUCT(COUNTIF(_xlfn.XLOOKUP(D2137,BugList!C:C,BugList!P:P), "*SC*"))&gt;0</f>
        <v>0</v>
      </c>
    </row>
    <row r="2138" spans="1:16">
      <c r="A2138" t="s">
        <v>2933</v>
      </c>
      <c r="B2138" s="83">
        <v>264</v>
      </c>
      <c r="C2138" s="34" t="s">
        <v>2315</v>
      </c>
      <c r="D2138" s="34" t="s">
        <v>2315</v>
      </c>
      <c r="E2138" s="83">
        <v>1</v>
      </c>
      <c r="F2138" s="43">
        <f t="shared" si="384"/>
        <v>0.93457943925233633</v>
      </c>
      <c r="G2138" s="44">
        <f t="shared" si="376"/>
        <v>0</v>
      </c>
      <c r="H2138" s="44">
        <f t="shared" si="377"/>
        <v>0.93457943925233633</v>
      </c>
      <c r="I2138" cm="1">
        <f t="array" ref="I2138">INT(F2138)+IF(100-SUM(INT(F$2131:F$2139))&gt;=RANK(H2138,H$2131:H$2139)+COUNTIF(H$2131:H2138,H2138)-1,1,0)</f>
        <v>1</v>
      </c>
      <c r="J2138" t="b">
        <f t="shared" si="378"/>
        <v>0</v>
      </c>
      <c r="K2138" t="str">
        <f t="shared" si="379"/>
        <v/>
      </c>
      <c r="L2138">
        <f>_xlfn.XLOOKUP(D2138,BugList!C:C,BugList!N:N)</f>
        <v>7</v>
      </c>
      <c r="M2138">
        <f t="shared" si="380"/>
        <v>7</v>
      </c>
      <c r="N2138" t="b">
        <f>_xlfn.XLOOKUP(D2138,BugList!C:C,BugList!L:L)</f>
        <v>0</v>
      </c>
      <c r="O2138" t="b">
        <f t="shared" si="381"/>
        <v>0</v>
      </c>
      <c r="P2138" s="18" t="b">
        <f>SUMPRODUCT(COUNTIF(_xlfn.XLOOKUP(D2138,BugList!C:C,BugList!P:P), "*SC*"))&gt;0</f>
        <v>1</v>
      </c>
    </row>
    <row r="2139" spans="1:16">
      <c r="A2139" t="s">
        <v>2933</v>
      </c>
      <c r="B2139" s="83">
        <v>264</v>
      </c>
      <c r="C2139" s="34" t="s">
        <v>205</v>
      </c>
      <c r="D2139" s="34" t="s">
        <v>206</v>
      </c>
      <c r="E2139" s="83">
        <v>2</v>
      </c>
      <c r="F2139" s="43">
        <f t="shared" si="384"/>
        <v>1.8691588785046727</v>
      </c>
      <c r="G2139" s="44">
        <f t="shared" si="376"/>
        <v>1</v>
      </c>
      <c r="H2139" s="44">
        <f t="shared" si="377"/>
        <v>0.86915887850467266</v>
      </c>
      <c r="I2139" cm="1">
        <f t="array" ref="I2139">INT(F2139)+IF(100-SUM(INT(F$2131:F$2139))&gt;=RANK(H2139,H$2131:H$2139)+COUNTIF(H$2131:H2139,H2139)-1,1,0)</f>
        <v>2</v>
      </c>
      <c r="J2139" t="b">
        <f t="shared" si="378"/>
        <v>0</v>
      </c>
      <c r="K2139" t="str">
        <f t="shared" si="379"/>
        <v/>
      </c>
      <c r="L2139" s="71">
        <v>8</v>
      </c>
      <c r="M2139">
        <f t="shared" ref="M2139" si="389">L2139*I2139</f>
        <v>16</v>
      </c>
      <c r="N2139" s="71" t="b">
        <v>0</v>
      </c>
      <c r="O2139" t="b">
        <f t="shared" ref="O2139" si="390">IF(J2139=TRUE,IF(D2139="Hydropsychidae", FALSE, TRUE), FALSE)</f>
        <v>0</v>
      </c>
      <c r="P2139" s="72" t="b">
        <v>0</v>
      </c>
    </row>
    <row r="2140" spans="1:16">
      <c r="A2140" t="s">
        <v>2934</v>
      </c>
      <c r="B2140" s="83">
        <v>281</v>
      </c>
      <c r="C2140" s="34" t="s">
        <v>200</v>
      </c>
      <c r="D2140" s="34" t="s">
        <v>98</v>
      </c>
      <c r="E2140" s="83">
        <v>3</v>
      </c>
      <c r="F2140" s="43">
        <f t="shared" si="384"/>
        <v>2.5210084033613445</v>
      </c>
      <c r="G2140" s="44">
        <f t="shared" si="376"/>
        <v>2</v>
      </c>
      <c r="H2140" s="44">
        <f t="shared" si="377"/>
        <v>0.52100840336134446</v>
      </c>
      <c r="I2140" cm="1">
        <f t="array" ref="I2140">INT(F2140)+IF(100-SUM(INT(F$2140:F$2150))&gt;=RANK(H2140,H$2140:H$2150)+COUNTIF(H$2140:H2140,H2140)-1,1,0)</f>
        <v>2</v>
      </c>
      <c r="J2140" t="b">
        <f t="shared" si="378"/>
        <v>0</v>
      </c>
      <c r="K2140" t="str">
        <f t="shared" si="379"/>
        <v/>
      </c>
      <c r="L2140">
        <f>_xlfn.XLOOKUP(D2140,BugList!C:C,BugList!N:N)</f>
        <v>4</v>
      </c>
      <c r="M2140">
        <f t="shared" si="380"/>
        <v>8</v>
      </c>
      <c r="N2140" t="b">
        <f>_xlfn.XLOOKUP(D2140,BugList!C:C,BugList!L:L)</f>
        <v>1</v>
      </c>
      <c r="O2140" t="b">
        <f t="shared" si="381"/>
        <v>0</v>
      </c>
      <c r="P2140" s="18" t="b">
        <f>SUMPRODUCT(COUNTIF(_xlfn.XLOOKUP(D2140,BugList!C:C,BugList!P:P), "*SC*"))&gt;0</f>
        <v>1</v>
      </c>
    </row>
    <row r="2141" spans="1:16">
      <c r="A2141" t="s">
        <v>2934</v>
      </c>
      <c r="B2141" s="83">
        <v>281</v>
      </c>
      <c r="C2141" s="34" t="s">
        <v>194</v>
      </c>
      <c r="D2141" s="34" t="s">
        <v>126</v>
      </c>
      <c r="E2141" s="83">
        <v>37</v>
      </c>
      <c r="F2141" s="43">
        <f t="shared" si="384"/>
        <v>31.092436974789916</v>
      </c>
      <c r="G2141" s="44">
        <f t="shared" si="376"/>
        <v>31</v>
      </c>
      <c r="H2141" s="44">
        <f t="shared" si="377"/>
        <v>9.2436974789915638E-2</v>
      </c>
      <c r="I2141" cm="1">
        <f t="array" ref="I2141">INT(F2141)+IF(100-SUM(INT(F$2140:F$2150))&gt;=RANK(H2141,H$2140:H$2150)+COUNTIF(H$2140:H2141,H2141)-1,1,0)</f>
        <v>31</v>
      </c>
      <c r="J2141" t="b">
        <f t="shared" si="378"/>
        <v>0</v>
      </c>
      <c r="K2141" t="str">
        <f t="shared" si="379"/>
        <v/>
      </c>
      <c r="L2141">
        <f>_xlfn.XLOOKUP(D2141,BugList!C:C,BugList!N:N)</f>
        <v>8</v>
      </c>
      <c r="M2141">
        <f t="shared" si="380"/>
        <v>248</v>
      </c>
      <c r="N2141" t="b">
        <f>_xlfn.XLOOKUP(D2141,BugList!C:C,BugList!L:L)</f>
        <v>1</v>
      </c>
      <c r="O2141" t="b">
        <f t="shared" si="381"/>
        <v>0</v>
      </c>
      <c r="P2141" s="18" t="b">
        <f>SUMPRODUCT(COUNTIF(_xlfn.XLOOKUP(D2141,BugList!C:C,BugList!P:P), "*SC*"))&gt;0</f>
        <v>0</v>
      </c>
    </row>
    <row r="2142" spans="1:16">
      <c r="A2142" t="s">
        <v>2934</v>
      </c>
      <c r="B2142" s="83">
        <v>281</v>
      </c>
      <c r="C2142" s="34" t="s">
        <v>194</v>
      </c>
      <c r="D2142" s="34" t="s">
        <v>90</v>
      </c>
      <c r="E2142" s="83">
        <v>15</v>
      </c>
      <c r="F2142" s="43">
        <f t="shared" si="384"/>
        <v>12.605042016806722</v>
      </c>
      <c r="G2142" s="44">
        <f t="shared" si="376"/>
        <v>12</v>
      </c>
      <c r="H2142" s="44">
        <f t="shared" si="377"/>
        <v>0.60504201680672232</v>
      </c>
      <c r="I2142" cm="1">
        <f t="array" ref="I2142">INT(F2142)+IF(100-SUM(INT(F$2140:F$2150))&gt;=RANK(H2142,H$2140:H$2150)+COUNTIF(H$2140:H2142,H2142)-1,1,0)</f>
        <v>13</v>
      </c>
      <c r="J2142" t="b">
        <f t="shared" si="378"/>
        <v>0</v>
      </c>
      <c r="K2142" t="str">
        <f t="shared" si="379"/>
        <v/>
      </c>
      <c r="L2142">
        <f>_xlfn.XLOOKUP(D2142,BugList!C:C,BugList!N:N)</f>
        <v>6</v>
      </c>
      <c r="M2142">
        <f t="shared" si="380"/>
        <v>78</v>
      </c>
      <c r="N2142" t="b">
        <f>_xlfn.XLOOKUP(D2142,BugList!C:C,BugList!L:L)</f>
        <v>1</v>
      </c>
      <c r="O2142" t="b">
        <f t="shared" si="381"/>
        <v>0</v>
      </c>
      <c r="P2142" s="18" t="b">
        <f>SUMPRODUCT(COUNTIF(_xlfn.XLOOKUP(D2142,BugList!C:C,BugList!P:P), "*SC*"))&gt;0</f>
        <v>0</v>
      </c>
    </row>
    <row r="2143" spans="1:16">
      <c r="A2143" t="s">
        <v>2934</v>
      </c>
      <c r="B2143" s="83">
        <v>281</v>
      </c>
      <c r="C2143" s="34" t="s">
        <v>195</v>
      </c>
      <c r="D2143" s="34" t="s">
        <v>97</v>
      </c>
      <c r="E2143" s="83">
        <v>2</v>
      </c>
      <c r="F2143" s="43">
        <f t="shared" si="384"/>
        <v>1.680672268907563</v>
      </c>
      <c r="G2143" s="44">
        <f t="shared" si="376"/>
        <v>1</v>
      </c>
      <c r="H2143" s="44">
        <f t="shared" si="377"/>
        <v>0.68067226890756305</v>
      </c>
      <c r="I2143" cm="1">
        <f t="array" ref="I2143">INT(F2143)+IF(100-SUM(INT(F$2140:F$2150))&gt;=RANK(H2143,H$2140:H$2150)+COUNTIF(H$2140:H2143,H2143)-1,1,0)</f>
        <v>2</v>
      </c>
      <c r="J2143" t="b">
        <f t="shared" si="378"/>
        <v>0</v>
      </c>
      <c r="K2143" t="str">
        <f t="shared" si="379"/>
        <v/>
      </c>
      <c r="L2143">
        <f>_xlfn.XLOOKUP(D2143,BugList!C:C,BugList!N:N)</f>
        <v>9</v>
      </c>
      <c r="M2143">
        <f t="shared" si="380"/>
        <v>18</v>
      </c>
      <c r="N2143" t="b">
        <f>_xlfn.XLOOKUP(D2143,BugList!C:C,BugList!L:L)</f>
        <v>1</v>
      </c>
      <c r="O2143" t="b">
        <f t="shared" si="381"/>
        <v>0</v>
      </c>
      <c r="P2143" s="18" t="b">
        <f>SUMPRODUCT(COUNTIF(_xlfn.XLOOKUP(D2143,BugList!C:C,BugList!P:P), "*SC*"))&gt;0</f>
        <v>0</v>
      </c>
    </row>
    <row r="2144" spans="1:16">
      <c r="A2144" t="s">
        <v>2934</v>
      </c>
      <c r="B2144" s="83">
        <v>281</v>
      </c>
      <c r="C2144" s="34" t="s">
        <v>211</v>
      </c>
      <c r="D2144" s="34" t="s">
        <v>87</v>
      </c>
      <c r="E2144" s="83">
        <v>4</v>
      </c>
      <c r="F2144" s="43">
        <f t="shared" si="384"/>
        <v>3.3613445378151261</v>
      </c>
      <c r="G2144" s="44">
        <f t="shared" si="376"/>
        <v>3</v>
      </c>
      <c r="H2144" s="44">
        <f t="shared" si="377"/>
        <v>0.3613445378151261</v>
      </c>
      <c r="I2144" cm="1">
        <f t="array" ref="I2144">INT(F2144)+IF(100-SUM(INT(F$2140:F$2150))&gt;=RANK(H2144,H$2140:H$2150)+COUNTIF(H$2140:H2144,H2144)-1,1,0)</f>
        <v>3</v>
      </c>
      <c r="J2144" t="b">
        <f t="shared" si="378"/>
        <v>0</v>
      </c>
      <c r="K2144" t="str">
        <f t="shared" si="379"/>
        <v/>
      </c>
      <c r="L2144">
        <f>_xlfn.XLOOKUP(D2144,BugList!C:C,BugList!N:N)</f>
        <v>4</v>
      </c>
      <c r="M2144">
        <f t="shared" si="380"/>
        <v>12</v>
      </c>
      <c r="N2144" t="b">
        <f>_xlfn.XLOOKUP(D2144,BugList!C:C,BugList!L:L)</f>
        <v>0</v>
      </c>
      <c r="O2144" t="b">
        <f t="shared" si="381"/>
        <v>0</v>
      </c>
      <c r="P2144" s="18" t="b">
        <f>SUMPRODUCT(COUNTIF(_xlfn.XLOOKUP(D2144,BugList!C:C,BugList!P:P), "*SC*"))&gt;0</f>
        <v>0</v>
      </c>
    </row>
    <row r="2145" spans="1:16">
      <c r="A2145" t="s">
        <v>2934</v>
      </c>
      <c r="B2145" s="83">
        <v>281</v>
      </c>
      <c r="C2145" s="34" t="s">
        <v>198</v>
      </c>
      <c r="D2145" s="34" t="s">
        <v>89</v>
      </c>
      <c r="E2145" s="83">
        <v>37</v>
      </c>
      <c r="F2145" s="43">
        <f t="shared" si="384"/>
        <v>31.092436974789916</v>
      </c>
      <c r="G2145" s="44">
        <f t="shared" si="376"/>
        <v>31</v>
      </c>
      <c r="H2145" s="44">
        <f t="shared" si="377"/>
        <v>9.2436974789915638E-2</v>
      </c>
      <c r="I2145" cm="1">
        <f t="array" ref="I2145">INT(F2145)+IF(100-SUM(INT(F$2140:F$2150))&gt;=RANK(H2145,H$2140:H$2150)+COUNTIF(H$2140:H2145,H2145)-1,1,0)</f>
        <v>31</v>
      </c>
      <c r="J2145" t="b">
        <f t="shared" si="378"/>
        <v>1</v>
      </c>
      <c r="K2145" t="str">
        <f t="shared" si="379"/>
        <v>Trichoptera</v>
      </c>
      <c r="L2145">
        <f>_xlfn.XLOOKUP(D2145,BugList!C:C,BugList!N:N)</f>
        <v>4</v>
      </c>
      <c r="M2145">
        <f t="shared" si="380"/>
        <v>124</v>
      </c>
      <c r="N2145" t="b">
        <f>_xlfn.XLOOKUP(D2145,BugList!C:C,BugList!L:L)</f>
        <v>1</v>
      </c>
      <c r="O2145" t="b">
        <f t="shared" si="381"/>
        <v>0</v>
      </c>
      <c r="P2145" s="18" t="b">
        <f>SUMPRODUCT(COUNTIF(_xlfn.XLOOKUP(D2145,BugList!C:C,BugList!P:P), "*SC*"))&gt;0</f>
        <v>0</v>
      </c>
    </row>
    <row r="2146" spans="1:16">
      <c r="A2146" t="s">
        <v>2934</v>
      </c>
      <c r="B2146" s="83">
        <v>281</v>
      </c>
      <c r="C2146" s="34" t="s">
        <v>204</v>
      </c>
      <c r="D2146" s="34" t="s">
        <v>84</v>
      </c>
      <c r="E2146" s="83">
        <v>9</v>
      </c>
      <c r="F2146" s="43">
        <f t="shared" si="384"/>
        <v>7.5630252100840334</v>
      </c>
      <c r="G2146" s="44">
        <f t="shared" si="376"/>
        <v>7</v>
      </c>
      <c r="H2146" s="44">
        <f t="shared" si="377"/>
        <v>0.56302521008403339</v>
      </c>
      <c r="I2146" cm="1">
        <f t="array" ref="I2146">INT(F2146)+IF(100-SUM(INT(F$2140:F$2150))&gt;=RANK(H2146,H$2140:H$2150)+COUNTIF(H$2140:H2146,H2146)-1,1,0)</f>
        <v>8</v>
      </c>
      <c r="J2146" t="b">
        <f t="shared" si="378"/>
        <v>0</v>
      </c>
      <c r="K2146" t="str">
        <f t="shared" si="379"/>
        <v/>
      </c>
      <c r="L2146">
        <f>_xlfn.XLOOKUP(D2146,BugList!C:C,BugList!N:N)</f>
        <v>8</v>
      </c>
      <c r="M2146">
        <f t="shared" si="380"/>
        <v>64</v>
      </c>
      <c r="N2146" t="b">
        <f>_xlfn.XLOOKUP(D2146,BugList!C:C,BugList!L:L)</f>
        <v>0</v>
      </c>
      <c r="O2146" t="b">
        <f t="shared" si="381"/>
        <v>0</v>
      </c>
      <c r="P2146" s="18" t="b">
        <f>SUMPRODUCT(COUNTIF(_xlfn.XLOOKUP(D2146,BugList!C:C,BugList!P:P), "*SC*"))&gt;0</f>
        <v>0</v>
      </c>
    </row>
    <row r="2147" spans="1:16">
      <c r="A2147" t="s">
        <v>2934</v>
      </c>
      <c r="B2147" s="83">
        <v>281</v>
      </c>
      <c r="C2147" s="34" t="s">
        <v>201</v>
      </c>
      <c r="D2147" s="34" t="s">
        <v>85</v>
      </c>
      <c r="E2147" s="83">
        <v>6</v>
      </c>
      <c r="F2147" s="43">
        <f t="shared" si="384"/>
        <v>5.0420168067226889</v>
      </c>
      <c r="G2147" s="44">
        <f t="shared" si="376"/>
        <v>5</v>
      </c>
      <c r="H2147" s="44">
        <f t="shared" si="377"/>
        <v>4.2016806722688926E-2</v>
      </c>
      <c r="I2147" cm="1">
        <f t="array" ref="I2147">INT(F2147)+IF(100-SUM(INT(F$2140:F$2150))&gt;=RANK(H2147,H$2140:H$2150)+COUNTIF(H$2140:H2147,H2147)-1,1,0)</f>
        <v>5</v>
      </c>
      <c r="J2147" t="b">
        <f t="shared" si="378"/>
        <v>0</v>
      </c>
      <c r="K2147" t="str">
        <f t="shared" si="379"/>
        <v/>
      </c>
      <c r="L2147">
        <f>_xlfn.XLOOKUP(D2147,BugList!C:C,BugList!N:N)</f>
        <v>4</v>
      </c>
      <c r="M2147">
        <f t="shared" si="380"/>
        <v>20</v>
      </c>
      <c r="N2147" t="b">
        <f>_xlfn.XLOOKUP(D2147,BugList!C:C,BugList!L:L)</f>
        <v>0</v>
      </c>
      <c r="O2147" t="b">
        <f t="shared" si="381"/>
        <v>0</v>
      </c>
      <c r="P2147" s="18" t="b">
        <f>SUMPRODUCT(COUNTIF(_xlfn.XLOOKUP(D2147,BugList!C:C,BugList!P:P), "*SC*"))&gt;0</f>
        <v>0</v>
      </c>
    </row>
    <row r="2148" spans="1:16">
      <c r="A2148" t="s">
        <v>2934</v>
      </c>
      <c r="B2148" s="83">
        <v>281</v>
      </c>
      <c r="C2148" s="34" t="s">
        <v>210</v>
      </c>
      <c r="D2148" s="34" t="s">
        <v>93</v>
      </c>
      <c r="E2148" s="83">
        <v>1</v>
      </c>
      <c r="F2148" s="43">
        <f t="shared" si="384"/>
        <v>0.84033613445378152</v>
      </c>
      <c r="G2148" s="44">
        <f t="shared" si="376"/>
        <v>0</v>
      </c>
      <c r="H2148" s="44">
        <f t="shared" si="377"/>
        <v>0.84033613445378152</v>
      </c>
      <c r="I2148" cm="1">
        <f t="array" ref="I2148">INT(F2148)+IF(100-SUM(INT(F$2140:F$2150))&gt;=RANK(H2148,H$2140:H$2150)+COUNTIF(H$2140:H2148,H2148)-1,1,0)</f>
        <v>1</v>
      </c>
      <c r="J2148" t="b">
        <f t="shared" si="378"/>
        <v>0</v>
      </c>
      <c r="K2148" t="str">
        <f t="shared" si="379"/>
        <v/>
      </c>
      <c r="L2148">
        <f>_xlfn.XLOOKUP(D2148,BugList!C:C,BugList!N:N)</f>
        <v>8</v>
      </c>
      <c r="M2148">
        <f t="shared" si="380"/>
        <v>8</v>
      </c>
      <c r="N2148" t="b">
        <f>_xlfn.XLOOKUP(D2148,BugList!C:C,BugList!L:L)</f>
        <v>0</v>
      </c>
      <c r="O2148" t="b">
        <f t="shared" si="381"/>
        <v>0</v>
      </c>
      <c r="P2148" s="18" t="b">
        <f>SUMPRODUCT(COUNTIF(_xlfn.XLOOKUP(D2148,BugList!C:C,BugList!P:P), "*SC*"))&gt;0</f>
        <v>0</v>
      </c>
    </row>
    <row r="2149" spans="1:16">
      <c r="A2149" t="s">
        <v>2934</v>
      </c>
      <c r="B2149" s="83">
        <v>281</v>
      </c>
      <c r="C2149" s="34" t="s">
        <v>2315</v>
      </c>
      <c r="D2149" s="34" t="s">
        <v>102</v>
      </c>
      <c r="E2149" s="83">
        <v>4</v>
      </c>
      <c r="F2149" s="43">
        <f t="shared" si="384"/>
        <v>3.3613445378151261</v>
      </c>
      <c r="G2149" s="44">
        <f t="shared" si="376"/>
        <v>3</v>
      </c>
      <c r="H2149" s="44">
        <f t="shared" si="377"/>
        <v>0.3613445378151261</v>
      </c>
      <c r="I2149" cm="1">
        <f t="array" ref="I2149">INT(F2149)+IF(100-SUM(INT(F$2140:F$2150))&gt;=RANK(H2149,H$2140:H$2150)+COUNTIF(H$2140:H2149,H2149)-1,1,0)</f>
        <v>3</v>
      </c>
      <c r="J2149" t="b">
        <f t="shared" si="378"/>
        <v>0</v>
      </c>
      <c r="K2149" t="str">
        <f t="shared" si="379"/>
        <v/>
      </c>
      <c r="L2149">
        <f>_xlfn.XLOOKUP(D2149,BugList!C:C,BugList!N:N)</f>
        <v>7</v>
      </c>
      <c r="M2149">
        <f t="shared" si="380"/>
        <v>21</v>
      </c>
      <c r="N2149" t="b">
        <f>_xlfn.XLOOKUP(D2149,BugList!C:C,BugList!L:L)</f>
        <v>0</v>
      </c>
      <c r="O2149" t="b">
        <f t="shared" si="381"/>
        <v>0</v>
      </c>
      <c r="P2149" s="18" t="b">
        <f>SUMPRODUCT(COUNTIF(_xlfn.XLOOKUP(D2149,BugList!C:C,BugList!P:P), "*SC*"))&gt;0</f>
        <v>1</v>
      </c>
    </row>
    <row r="2150" spans="1:16">
      <c r="A2150" t="s">
        <v>2934</v>
      </c>
      <c r="B2150" s="83">
        <v>281</v>
      </c>
      <c r="C2150" s="34" t="s">
        <v>2315</v>
      </c>
      <c r="D2150" s="34" t="s">
        <v>120</v>
      </c>
      <c r="E2150" s="83">
        <v>1</v>
      </c>
      <c r="F2150" s="43">
        <f t="shared" si="384"/>
        <v>0.84033613445378152</v>
      </c>
      <c r="G2150" s="44">
        <f t="shared" ref="G2150:G2210" si="391">INT(F2150)</f>
        <v>0</v>
      </c>
      <c r="H2150" s="44">
        <f t="shared" ref="H2150:H2210" si="392">F2150-G2150</f>
        <v>0.84033613445378152</v>
      </c>
      <c r="I2150" cm="1">
        <f t="array" ref="I2150">INT(F2150)+IF(100-SUM(INT(F$2140:F$2150))&gt;=RANK(H2150,H$2140:H$2150)+COUNTIF(H$2140:H2150,H2150)-1,1,0)</f>
        <v>1</v>
      </c>
      <c r="J2150" t="b">
        <f t="shared" ref="J2150:J2210" si="393">IF(OR(C2150="Ephemeroptera", C2150 ="Plecoptera", C2150= "Trichoptera"), TRUE, FALSE)</f>
        <v>0</v>
      </c>
      <c r="K2150" t="str">
        <f t="shared" ref="K2150:K2210" si="394">IF(J2150=TRUE,C2150,"")</f>
        <v/>
      </c>
      <c r="L2150">
        <f>_xlfn.XLOOKUP(D2150,BugList!C:C,BugList!N:N)</f>
        <v>8</v>
      </c>
      <c r="M2150">
        <f t="shared" ref="M2150:M2210" si="395">L2150*I2150</f>
        <v>8</v>
      </c>
      <c r="N2150" t="b">
        <f>_xlfn.XLOOKUP(D2150,BugList!C:C,BugList!L:L)</f>
        <v>0</v>
      </c>
      <c r="O2150" t="b">
        <f t="shared" ref="O2150:O2210" si="396">IF(J2150=TRUE,IF(D2150="Hydropsychidae", FALSE, TRUE), FALSE)</f>
        <v>0</v>
      </c>
      <c r="P2150" s="18" t="b">
        <f>SUMPRODUCT(COUNTIF(_xlfn.XLOOKUP(D2150,BugList!C:C,BugList!P:P), "*SC*"))&gt;0</f>
        <v>1</v>
      </c>
    </row>
    <row r="2151" spans="1:16">
      <c r="A2151" t="s">
        <v>2935</v>
      </c>
      <c r="B2151" s="83">
        <v>294</v>
      </c>
      <c r="C2151" s="34" t="s">
        <v>200</v>
      </c>
      <c r="D2151" s="34" t="s">
        <v>98</v>
      </c>
      <c r="E2151" s="83">
        <v>4</v>
      </c>
      <c r="F2151" s="43">
        <f t="shared" si="384"/>
        <v>2.7027027027027026</v>
      </c>
      <c r="G2151" s="44">
        <f t="shared" si="391"/>
        <v>2</v>
      </c>
      <c r="H2151" s="44">
        <f t="shared" si="392"/>
        <v>0.70270270270270263</v>
      </c>
      <c r="I2151" cm="1">
        <f t="array" ref="I2151">INT(F2151)+IF(100-SUM(INT(F$2151:F$2158))&gt;=RANK(H2151,H$2151:H$2158)+COUNTIF(H$2151:H2151,H2151)-1,1,0)</f>
        <v>3</v>
      </c>
      <c r="J2151" t="b">
        <f t="shared" si="393"/>
        <v>0</v>
      </c>
      <c r="K2151" t="str">
        <f t="shared" si="394"/>
        <v/>
      </c>
      <c r="L2151">
        <f>_xlfn.XLOOKUP(D2151,BugList!C:C,BugList!N:N)</f>
        <v>4</v>
      </c>
      <c r="M2151">
        <f t="shared" si="395"/>
        <v>12</v>
      </c>
      <c r="N2151" t="b">
        <f>_xlfn.XLOOKUP(D2151,BugList!C:C,BugList!L:L)</f>
        <v>1</v>
      </c>
      <c r="O2151" t="b">
        <f t="shared" si="396"/>
        <v>0</v>
      </c>
      <c r="P2151" s="18" t="b">
        <f>SUMPRODUCT(COUNTIF(_xlfn.XLOOKUP(D2151,BugList!C:C,BugList!P:P), "*SC*"))&gt;0</f>
        <v>1</v>
      </c>
    </row>
    <row r="2152" spans="1:16">
      <c r="A2152" t="s">
        <v>2935</v>
      </c>
      <c r="B2152" s="83">
        <v>294</v>
      </c>
      <c r="C2152" s="34" t="s">
        <v>200</v>
      </c>
      <c r="D2152" s="34" t="s">
        <v>100</v>
      </c>
      <c r="E2152" s="83">
        <v>1</v>
      </c>
      <c r="F2152" s="43">
        <f t="shared" si="384"/>
        <v>0.67567567567567566</v>
      </c>
      <c r="G2152" s="44">
        <f t="shared" si="391"/>
        <v>0</v>
      </c>
      <c r="H2152" s="44">
        <f t="shared" si="392"/>
        <v>0.67567567567567566</v>
      </c>
      <c r="I2152" cm="1">
        <f t="array" ref="I2152">INT(F2152)+IF(100-SUM(INT(F$2151:F$2158))&gt;=RANK(H2152,H$2151:H$2158)+COUNTIF(H$2151:H2152,H2152)-1,1,0)</f>
        <v>1</v>
      </c>
      <c r="J2152" t="b">
        <f t="shared" si="393"/>
        <v>0</v>
      </c>
      <c r="K2152" t="str">
        <f t="shared" si="394"/>
        <v/>
      </c>
      <c r="L2152">
        <f>_xlfn.XLOOKUP(D2152,BugList!C:C,BugList!N:N)</f>
        <v>4</v>
      </c>
      <c r="M2152">
        <f t="shared" si="395"/>
        <v>4</v>
      </c>
      <c r="N2152" t="b">
        <f>_xlfn.XLOOKUP(D2152,BugList!C:C,BugList!L:L)</f>
        <v>1</v>
      </c>
      <c r="O2152" t="b">
        <f t="shared" si="396"/>
        <v>0</v>
      </c>
      <c r="P2152" s="18" t="b">
        <f>SUMPRODUCT(COUNTIF(_xlfn.XLOOKUP(D2152,BugList!C:C,BugList!P:P), "*SC*"))&gt;0</f>
        <v>1</v>
      </c>
    </row>
    <row r="2153" spans="1:16">
      <c r="A2153" t="s">
        <v>2935</v>
      </c>
      <c r="B2153" s="83">
        <v>294</v>
      </c>
      <c r="C2153" s="34" t="s">
        <v>194</v>
      </c>
      <c r="D2153" s="34" t="s">
        <v>90</v>
      </c>
      <c r="E2153" s="83">
        <v>12</v>
      </c>
      <c r="F2153" s="43">
        <f t="shared" si="384"/>
        <v>8.1081081081081088</v>
      </c>
      <c r="G2153" s="44">
        <f t="shared" si="391"/>
        <v>8</v>
      </c>
      <c r="H2153" s="44">
        <f t="shared" si="392"/>
        <v>0.10810810810810878</v>
      </c>
      <c r="I2153" cm="1">
        <f t="array" ref="I2153">INT(F2153)+IF(100-SUM(INT(F$2151:F$2158))&gt;=RANK(H2153,H$2151:H$2158)+COUNTIF(H$2151:H2153,H2153)-1,1,0)</f>
        <v>8</v>
      </c>
      <c r="J2153" t="b">
        <f t="shared" si="393"/>
        <v>0</v>
      </c>
      <c r="K2153" t="str">
        <f t="shared" si="394"/>
        <v/>
      </c>
      <c r="L2153">
        <f>_xlfn.XLOOKUP(D2153,BugList!C:C,BugList!N:N)</f>
        <v>6</v>
      </c>
      <c r="M2153">
        <f t="shared" si="395"/>
        <v>48</v>
      </c>
      <c r="N2153" t="b">
        <f>_xlfn.XLOOKUP(D2153,BugList!C:C,BugList!L:L)</f>
        <v>1</v>
      </c>
      <c r="O2153" t="b">
        <f t="shared" si="396"/>
        <v>0</v>
      </c>
      <c r="P2153" s="18" t="b">
        <f>SUMPRODUCT(COUNTIF(_xlfn.XLOOKUP(D2153,BugList!C:C,BugList!P:P), "*SC*"))&gt;0</f>
        <v>0</v>
      </c>
    </row>
    <row r="2154" spans="1:16">
      <c r="A2154" t="s">
        <v>2935</v>
      </c>
      <c r="B2154" s="83">
        <v>294</v>
      </c>
      <c r="C2154" s="34" t="s">
        <v>199</v>
      </c>
      <c r="D2154" s="34" t="s">
        <v>151</v>
      </c>
      <c r="E2154" s="83">
        <v>3</v>
      </c>
      <c r="F2154" s="43">
        <f t="shared" si="384"/>
        <v>2.0270270270270272</v>
      </c>
      <c r="G2154" s="44">
        <f t="shared" si="391"/>
        <v>2</v>
      </c>
      <c r="H2154" s="44">
        <f t="shared" si="392"/>
        <v>2.7027027027027195E-2</v>
      </c>
      <c r="I2154" cm="1">
        <f t="array" ref="I2154">INT(F2154)+IF(100-SUM(INT(F$2151:F$2158))&gt;=RANK(H2154,H$2151:H$2158)+COUNTIF(H$2151:H2154,H2154)-1,1,0)</f>
        <v>2</v>
      </c>
      <c r="J2154" t="b">
        <f t="shared" si="393"/>
        <v>1</v>
      </c>
      <c r="K2154" t="str">
        <f t="shared" si="394"/>
        <v>Ephemeroptera</v>
      </c>
      <c r="L2154">
        <f>_xlfn.XLOOKUP(D2154,BugList!C:C,BugList!N:N)</f>
        <v>1</v>
      </c>
      <c r="M2154">
        <f t="shared" si="395"/>
        <v>2</v>
      </c>
      <c r="N2154" t="b">
        <f>_xlfn.XLOOKUP(D2154,BugList!C:C,BugList!L:L)</f>
        <v>1</v>
      </c>
      <c r="O2154" t="b">
        <f t="shared" si="396"/>
        <v>1</v>
      </c>
      <c r="P2154" s="18" t="b">
        <f>SUMPRODUCT(COUNTIF(_xlfn.XLOOKUP(D2154,BugList!C:C,BugList!P:P), "*SC*"))&gt;0</f>
        <v>0</v>
      </c>
    </row>
    <row r="2155" spans="1:16">
      <c r="A2155" t="s">
        <v>2935</v>
      </c>
      <c r="B2155" s="83">
        <v>294</v>
      </c>
      <c r="C2155" s="34" t="s">
        <v>198</v>
      </c>
      <c r="D2155" s="34" t="s">
        <v>89</v>
      </c>
      <c r="E2155" s="83">
        <v>122</v>
      </c>
      <c r="F2155" s="43">
        <f t="shared" si="384"/>
        <v>82.432432432432435</v>
      </c>
      <c r="G2155" s="44">
        <f t="shared" si="391"/>
        <v>82</v>
      </c>
      <c r="H2155" s="44">
        <f t="shared" si="392"/>
        <v>0.43243243243243512</v>
      </c>
      <c r="I2155" cm="1">
        <f t="array" ref="I2155">INT(F2155)+IF(100-SUM(INT(F$2151:F$2158))&gt;=RANK(H2155,H$2151:H$2158)+COUNTIF(H$2151:H2155,H2155)-1,1,0)</f>
        <v>82</v>
      </c>
      <c r="J2155" t="b">
        <f t="shared" si="393"/>
        <v>1</v>
      </c>
      <c r="K2155" t="str">
        <f t="shared" si="394"/>
        <v>Trichoptera</v>
      </c>
      <c r="L2155">
        <f>_xlfn.XLOOKUP(D2155,BugList!C:C,BugList!N:N)</f>
        <v>4</v>
      </c>
      <c r="M2155">
        <f t="shared" si="395"/>
        <v>328</v>
      </c>
      <c r="N2155" t="b">
        <f>_xlfn.XLOOKUP(D2155,BugList!C:C,BugList!L:L)</f>
        <v>1</v>
      </c>
      <c r="O2155" t="b">
        <f t="shared" si="396"/>
        <v>0</v>
      </c>
      <c r="P2155" s="18" t="b">
        <f>SUMPRODUCT(COUNTIF(_xlfn.XLOOKUP(D2155,BugList!C:C,BugList!P:P), "*SC*"))&gt;0</f>
        <v>0</v>
      </c>
    </row>
    <row r="2156" spans="1:16">
      <c r="A2156" t="s">
        <v>2935</v>
      </c>
      <c r="B2156" s="83">
        <v>294</v>
      </c>
      <c r="C2156" s="34" t="s">
        <v>204</v>
      </c>
      <c r="D2156" s="34" t="s">
        <v>84</v>
      </c>
      <c r="E2156" s="83">
        <v>1</v>
      </c>
      <c r="F2156" s="43">
        <f t="shared" si="384"/>
        <v>0.67567567567567566</v>
      </c>
      <c r="G2156" s="44">
        <f t="shared" si="391"/>
        <v>0</v>
      </c>
      <c r="H2156" s="44">
        <f t="shared" si="392"/>
        <v>0.67567567567567566</v>
      </c>
      <c r="I2156" cm="1">
        <f t="array" ref="I2156">INT(F2156)+IF(100-SUM(INT(F$2151:F$2158))&gt;=RANK(H2156,H$2151:H$2158)+COUNTIF(H$2151:H2156,H2156)-1,1,0)</f>
        <v>1</v>
      </c>
      <c r="J2156" t="b">
        <f t="shared" si="393"/>
        <v>0</v>
      </c>
      <c r="K2156" t="str">
        <f t="shared" si="394"/>
        <v/>
      </c>
      <c r="L2156">
        <f>_xlfn.XLOOKUP(D2156,BugList!C:C,BugList!N:N)</f>
        <v>8</v>
      </c>
      <c r="M2156">
        <f t="shared" si="395"/>
        <v>8</v>
      </c>
      <c r="N2156" t="b">
        <f>_xlfn.XLOOKUP(D2156,BugList!C:C,BugList!L:L)</f>
        <v>0</v>
      </c>
      <c r="O2156" t="b">
        <f t="shared" si="396"/>
        <v>0</v>
      </c>
      <c r="P2156" s="18" t="b">
        <f>SUMPRODUCT(COUNTIF(_xlfn.XLOOKUP(D2156,BugList!C:C,BugList!P:P), "*SC*"))&gt;0</f>
        <v>0</v>
      </c>
    </row>
    <row r="2157" spans="1:16">
      <c r="A2157" t="s">
        <v>2935</v>
      </c>
      <c r="B2157" s="83">
        <v>294</v>
      </c>
      <c r="C2157" s="34" t="s">
        <v>2315</v>
      </c>
      <c r="D2157" s="34" t="s">
        <v>102</v>
      </c>
      <c r="E2157" s="83">
        <v>1</v>
      </c>
      <c r="F2157" s="43">
        <f t="shared" si="384"/>
        <v>0.67567567567567566</v>
      </c>
      <c r="G2157" s="44">
        <f t="shared" si="391"/>
        <v>0</v>
      </c>
      <c r="H2157" s="44">
        <f t="shared" si="392"/>
        <v>0.67567567567567566</v>
      </c>
      <c r="I2157" cm="1">
        <f t="array" ref="I2157">INT(F2157)+IF(100-SUM(INT(F$2151:F$2158))&gt;=RANK(H2157,H$2151:H$2158)+COUNTIF(H$2151:H2157,H2157)-1,1,0)</f>
        <v>0</v>
      </c>
      <c r="J2157" t="b">
        <f t="shared" si="393"/>
        <v>0</v>
      </c>
      <c r="K2157" t="str">
        <f t="shared" si="394"/>
        <v/>
      </c>
      <c r="L2157">
        <f>_xlfn.XLOOKUP(D2157,BugList!C:C,BugList!N:N)</f>
        <v>7</v>
      </c>
      <c r="M2157">
        <f t="shared" si="395"/>
        <v>0</v>
      </c>
      <c r="N2157" t="b">
        <f>_xlfn.XLOOKUP(D2157,BugList!C:C,BugList!L:L)</f>
        <v>0</v>
      </c>
      <c r="O2157" t="b">
        <f t="shared" si="396"/>
        <v>0</v>
      </c>
      <c r="P2157" s="18" t="b">
        <f>SUMPRODUCT(COUNTIF(_xlfn.XLOOKUP(D2157,BugList!C:C,BugList!P:P), "*SC*"))&gt;0</f>
        <v>1</v>
      </c>
    </row>
    <row r="2158" spans="1:16">
      <c r="A2158" t="s">
        <v>2935</v>
      </c>
      <c r="B2158" s="83">
        <v>294</v>
      </c>
      <c r="C2158" s="34" t="s">
        <v>205</v>
      </c>
      <c r="D2158" s="34" t="s">
        <v>206</v>
      </c>
      <c r="E2158" s="83">
        <v>4</v>
      </c>
      <c r="F2158" s="43">
        <f t="shared" si="384"/>
        <v>2.7027027027027026</v>
      </c>
      <c r="G2158" s="44">
        <f t="shared" si="391"/>
        <v>2</v>
      </c>
      <c r="H2158" s="44">
        <f t="shared" si="392"/>
        <v>0.70270270270270263</v>
      </c>
      <c r="I2158" cm="1">
        <f t="array" ref="I2158">INT(F2158)+IF(100-SUM(INT(F$2151:F$2158))&gt;=RANK(H2158,H$2151:H$2158)+COUNTIF(H$2151:H2158,H2158)-1,1,0)</f>
        <v>3</v>
      </c>
      <c r="J2158" t="b">
        <f t="shared" si="393"/>
        <v>0</v>
      </c>
      <c r="K2158" t="str">
        <f t="shared" si="394"/>
        <v/>
      </c>
      <c r="L2158" s="71">
        <v>8</v>
      </c>
      <c r="M2158">
        <f t="shared" si="395"/>
        <v>24</v>
      </c>
      <c r="N2158" s="71" t="b">
        <v>0</v>
      </c>
      <c r="O2158" t="b">
        <f t="shared" si="396"/>
        <v>0</v>
      </c>
      <c r="P2158" s="72" t="b">
        <v>0</v>
      </c>
    </row>
    <row r="2159" spans="1:16">
      <c r="A2159" t="s">
        <v>2936</v>
      </c>
      <c r="B2159" s="83">
        <v>305</v>
      </c>
      <c r="C2159" s="34" t="s">
        <v>200</v>
      </c>
      <c r="D2159" s="34" t="s">
        <v>98</v>
      </c>
      <c r="E2159" s="83">
        <v>10</v>
      </c>
      <c r="F2159" s="43">
        <f t="shared" si="384"/>
        <v>6.666666666666667</v>
      </c>
      <c r="G2159" s="44">
        <f t="shared" si="391"/>
        <v>6</v>
      </c>
      <c r="H2159" s="44">
        <f t="shared" si="392"/>
        <v>0.66666666666666696</v>
      </c>
      <c r="I2159" cm="1">
        <f t="array" ref="I2159">INT(F2159)+IF(100-SUM(INT(F$2159:F$2172))&gt;=RANK(H2159,H$2159:H$2172)+COUNTIF(H$2159:H2159,H2159)-1,1,0)</f>
        <v>7</v>
      </c>
      <c r="J2159" t="b">
        <f t="shared" si="393"/>
        <v>0</v>
      </c>
      <c r="K2159" t="str">
        <f t="shared" si="394"/>
        <v/>
      </c>
      <c r="L2159">
        <f>_xlfn.XLOOKUP(D2159,BugList!C:C,BugList!N:N)</f>
        <v>4</v>
      </c>
      <c r="M2159">
        <f t="shared" si="395"/>
        <v>28</v>
      </c>
      <c r="N2159" t="b">
        <f>_xlfn.XLOOKUP(D2159,BugList!C:C,BugList!L:L)</f>
        <v>1</v>
      </c>
      <c r="O2159" t="b">
        <f t="shared" si="396"/>
        <v>0</v>
      </c>
      <c r="P2159" s="18" t="b">
        <f>SUMPRODUCT(COUNTIF(_xlfn.XLOOKUP(D2159,BugList!C:C,BugList!P:P), "*SC*"))&gt;0</f>
        <v>1</v>
      </c>
    </row>
    <row r="2160" spans="1:16">
      <c r="A2160" t="s">
        <v>2936</v>
      </c>
      <c r="B2160" s="83">
        <v>305</v>
      </c>
      <c r="C2160" s="34" t="s">
        <v>200</v>
      </c>
      <c r="D2160" s="34" t="s">
        <v>1563</v>
      </c>
      <c r="E2160" s="83">
        <v>1</v>
      </c>
      <c r="F2160" s="43">
        <f t="shared" si="384"/>
        <v>0.66666666666666674</v>
      </c>
      <c r="G2160" s="44">
        <f t="shared" si="391"/>
        <v>0</v>
      </c>
      <c r="H2160" s="44">
        <f t="shared" si="392"/>
        <v>0.66666666666666674</v>
      </c>
      <c r="I2160" cm="1">
        <f t="array" ref="I2160">INT(F2160)+IF(100-SUM(INT(F$2159:F$2172))&gt;=RANK(H2160,H$2159:H$2172)+COUNTIF(H$2159:H2160,H2160)-1,1,0)</f>
        <v>1</v>
      </c>
      <c r="J2160" t="b">
        <f t="shared" si="393"/>
        <v>0</v>
      </c>
      <c r="K2160" t="str">
        <f t="shared" si="394"/>
        <v/>
      </c>
      <c r="L2160">
        <f>_xlfn.XLOOKUP(D2160,BugList!C:C,BugList!N:N)</f>
        <v>5</v>
      </c>
      <c r="M2160">
        <f t="shared" si="395"/>
        <v>5</v>
      </c>
      <c r="N2160" t="b">
        <f>_xlfn.XLOOKUP(D2160,BugList!C:C,BugList!L:L)</f>
        <v>1</v>
      </c>
      <c r="O2160" t="b">
        <f t="shared" si="396"/>
        <v>0</v>
      </c>
      <c r="P2160" s="18" t="b">
        <f>SUMPRODUCT(COUNTIF(_xlfn.XLOOKUP(D2160,BugList!C:C,BugList!P:P), "*SC*"))&gt;0</f>
        <v>0</v>
      </c>
    </row>
    <row r="2161" spans="1:16">
      <c r="A2161" t="s">
        <v>2936</v>
      </c>
      <c r="B2161" s="83">
        <v>305</v>
      </c>
      <c r="C2161" s="34" t="s">
        <v>194</v>
      </c>
      <c r="D2161" s="34" t="s">
        <v>126</v>
      </c>
      <c r="E2161" s="83">
        <v>75</v>
      </c>
      <c r="F2161" s="43">
        <f t="shared" si="384"/>
        <v>50</v>
      </c>
      <c r="G2161" s="44">
        <f t="shared" si="391"/>
        <v>50</v>
      </c>
      <c r="H2161" s="44">
        <f t="shared" si="392"/>
        <v>0</v>
      </c>
      <c r="I2161" cm="1">
        <f t="array" ref="I2161">INT(F2161)+IF(100-SUM(INT(F$2159:F$2172))&gt;=RANK(H2161,H$2159:H$2172)+COUNTIF(H$2159:H2161,H2161)-1,1,0)</f>
        <v>50</v>
      </c>
      <c r="J2161" t="b">
        <f t="shared" si="393"/>
        <v>0</v>
      </c>
      <c r="K2161" t="str">
        <f t="shared" si="394"/>
        <v/>
      </c>
      <c r="L2161">
        <f>_xlfn.XLOOKUP(D2161,BugList!C:C,BugList!N:N)</f>
        <v>8</v>
      </c>
      <c r="M2161">
        <f t="shared" si="395"/>
        <v>400</v>
      </c>
      <c r="N2161" t="b">
        <f>_xlfn.XLOOKUP(D2161,BugList!C:C,BugList!L:L)</f>
        <v>1</v>
      </c>
      <c r="O2161" t="b">
        <f t="shared" si="396"/>
        <v>0</v>
      </c>
      <c r="P2161" s="18" t="b">
        <f>SUMPRODUCT(COUNTIF(_xlfn.XLOOKUP(D2161,BugList!C:C,BugList!P:P), "*SC*"))&gt;0</f>
        <v>0</v>
      </c>
    </row>
    <row r="2162" spans="1:16">
      <c r="A2162" t="s">
        <v>2936</v>
      </c>
      <c r="B2162" s="83">
        <v>305</v>
      </c>
      <c r="C2162" s="34" t="s">
        <v>194</v>
      </c>
      <c r="D2162" s="34" t="s">
        <v>90</v>
      </c>
      <c r="E2162" s="83">
        <v>4</v>
      </c>
      <c r="F2162" s="43">
        <f t="shared" si="384"/>
        <v>2.666666666666667</v>
      </c>
      <c r="G2162" s="44">
        <f t="shared" si="391"/>
        <v>2</v>
      </c>
      <c r="H2162" s="44">
        <f t="shared" si="392"/>
        <v>0.66666666666666696</v>
      </c>
      <c r="I2162" cm="1">
        <f t="array" ref="I2162">INT(F2162)+IF(100-SUM(INT(F$2159:F$2172))&gt;=RANK(H2162,H$2159:H$2172)+COUNTIF(H$2159:H2162,H2162)-1,1,0)</f>
        <v>3</v>
      </c>
      <c r="J2162" t="b">
        <f t="shared" si="393"/>
        <v>0</v>
      </c>
      <c r="K2162" t="str">
        <f t="shared" si="394"/>
        <v/>
      </c>
      <c r="L2162">
        <f>_xlfn.XLOOKUP(D2162,BugList!C:C,BugList!N:N)</f>
        <v>6</v>
      </c>
      <c r="M2162">
        <f t="shared" si="395"/>
        <v>18</v>
      </c>
      <c r="N2162" t="b">
        <f>_xlfn.XLOOKUP(D2162,BugList!C:C,BugList!L:L)</f>
        <v>1</v>
      </c>
      <c r="O2162" t="b">
        <f t="shared" si="396"/>
        <v>0</v>
      </c>
      <c r="P2162" s="18" t="b">
        <f>SUMPRODUCT(COUNTIF(_xlfn.XLOOKUP(D2162,BugList!C:C,BugList!P:P), "*SC*"))&gt;0</f>
        <v>0</v>
      </c>
    </row>
    <row r="2163" spans="1:16">
      <c r="A2163" t="s">
        <v>2936</v>
      </c>
      <c r="B2163" s="83">
        <v>305</v>
      </c>
      <c r="C2163" s="34" t="s">
        <v>194</v>
      </c>
      <c r="D2163" s="34" t="s">
        <v>131</v>
      </c>
      <c r="E2163" s="83">
        <v>2</v>
      </c>
      <c r="F2163" s="43">
        <f t="shared" si="384"/>
        <v>1.3333333333333335</v>
      </c>
      <c r="G2163" s="44">
        <f t="shared" si="391"/>
        <v>1</v>
      </c>
      <c r="H2163" s="44">
        <f t="shared" si="392"/>
        <v>0.33333333333333348</v>
      </c>
      <c r="I2163" cm="1">
        <f t="array" ref="I2163">INT(F2163)+IF(100-SUM(INT(F$2159:F$2172))&gt;=RANK(H2163,H$2159:H$2172)+COUNTIF(H$2159:H2163,H2163)-1,1,0)</f>
        <v>1</v>
      </c>
      <c r="J2163" t="b">
        <f t="shared" si="393"/>
        <v>0</v>
      </c>
      <c r="K2163" t="str">
        <f t="shared" si="394"/>
        <v/>
      </c>
      <c r="L2163">
        <f>_xlfn.XLOOKUP(D2163,BugList!C:C,BugList!N:N)</f>
        <v>6</v>
      </c>
      <c r="M2163">
        <f t="shared" si="395"/>
        <v>6</v>
      </c>
      <c r="N2163" t="b">
        <f>_xlfn.XLOOKUP(D2163,BugList!C:C,BugList!L:L)</f>
        <v>1</v>
      </c>
      <c r="O2163" t="b">
        <f t="shared" si="396"/>
        <v>0</v>
      </c>
      <c r="P2163" s="18" t="b">
        <f>SUMPRODUCT(COUNTIF(_xlfn.XLOOKUP(D2163,BugList!C:C,BugList!P:P), "*SC*"))&gt;0</f>
        <v>0</v>
      </c>
    </row>
    <row r="2164" spans="1:16">
      <c r="A2164" t="s">
        <v>2936</v>
      </c>
      <c r="B2164" s="83">
        <v>305</v>
      </c>
      <c r="C2164" s="34" t="s">
        <v>195</v>
      </c>
      <c r="D2164" s="34" t="s">
        <v>97</v>
      </c>
      <c r="E2164" s="83">
        <v>1</v>
      </c>
      <c r="F2164" s="43">
        <f t="shared" si="384"/>
        <v>0.66666666666666674</v>
      </c>
      <c r="G2164" s="44">
        <f t="shared" si="391"/>
        <v>0</v>
      </c>
      <c r="H2164" s="44">
        <f t="shared" si="392"/>
        <v>0.66666666666666674</v>
      </c>
      <c r="I2164" cm="1">
        <f t="array" ref="I2164">INT(F2164)+IF(100-SUM(INT(F$2159:F$2172))&gt;=RANK(H2164,H$2159:H$2172)+COUNTIF(H$2159:H2164,H2164)-1,1,0)</f>
        <v>1</v>
      </c>
      <c r="J2164" t="b">
        <f t="shared" si="393"/>
        <v>0</v>
      </c>
      <c r="K2164" t="str">
        <f t="shared" si="394"/>
        <v/>
      </c>
      <c r="L2164">
        <f>_xlfn.XLOOKUP(D2164,BugList!C:C,BugList!N:N)</f>
        <v>9</v>
      </c>
      <c r="M2164">
        <f t="shared" si="395"/>
        <v>9</v>
      </c>
      <c r="N2164" t="b">
        <f>_xlfn.XLOOKUP(D2164,BugList!C:C,BugList!L:L)</f>
        <v>1</v>
      </c>
      <c r="O2164" t="b">
        <f t="shared" si="396"/>
        <v>0</v>
      </c>
      <c r="P2164" s="18" t="b">
        <f>SUMPRODUCT(COUNTIF(_xlfn.XLOOKUP(D2164,BugList!C:C,BugList!P:P), "*SC*"))&gt;0</f>
        <v>0</v>
      </c>
    </row>
    <row r="2165" spans="1:16">
      <c r="A2165" t="s">
        <v>2936</v>
      </c>
      <c r="B2165" s="83">
        <v>305</v>
      </c>
      <c r="C2165" s="34" t="s">
        <v>211</v>
      </c>
      <c r="D2165" s="34" t="s">
        <v>87</v>
      </c>
      <c r="E2165" s="83">
        <v>14</v>
      </c>
      <c r="F2165" s="43">
        <f t="shared" si="384"/>
        <v>9.3333333333333339</v>
      </c>
      <c r="G2165" s="44">
        <f t="shared" si="391"/>
        <v>9</v>
      </c>
      <c r="H2165" s="44">
        <f t="shared" si="392"/>
        <v>0.33333333333333393</v>
      </c>
      <c r="I2165" cm="1">
        <f t="array" ref="I2165">INT(F2165)+IF(100-SUM(INT(F$2159:F$2172))&gt;=RANK(H2165,H$2159:H$2172)+COUNTIF(H$2159:H2165,H2165)-1,1,0)</f>
        <v>9</v>
      </c>
      <c r="J2165" t="b">
        <f t="shared" si="393"/>
        <v>0</v>
      </c>
      <c r="K2165" t="str">
        <f t="shared" si="394"/>
        <v/>
      </c>
      <c r="L2165">
        <f>_xlfn.XLOOKUP(D2165,BugList!C:C,BugList!N:N)</f>
        <v>4</v>
      </c>
      <c r="M2165">
        <f t="shared" si="395"/>
        <v>36</v>
      </c>
      <c r="N2165" t="b">
        <f>_xlfn.XLOOKUP(D2165,BugList!C:C,BugList!L:L)</f>
        <v>0</v>
      </c>
      <c r="O2165" t="b">
        <f t="shared" si="396"/>
        <v>0</v>
      </c>
      <c r="P2165" s="18" t="b">
        <f>SUMPRODUCT(COUNTIF(_xlfn.XLOOKUP(D2165,BugList!C:C,BugList!P:P), "*SC*"))&gt;0</f>
        <v>0</v>
      </c>
    </row>
    <row r="2166" spans="1:16">
      <c r="A2166" t="s">
        <v>2936</v>
      </c>
      <c r="B2166" s="83">
        <v>305</v>
      </c>
      <c r="C2166" s="34" t="s">
        <v>198</v>
      </c>
      <c r="D2166" s="34" t="s">
        <v>89</v>
      </c>
      <c r="E2166" s="83">
        <v>30</v>
      </c>
      <c r="F2166" s="43">
        <f t="shared" si="384"/>
        <v>20</v>
      </c>
      <c r="G2166" s="44">
        <f t="shared" si="391"/>
        <v>20</v>
      </c>
      <c r="H2166" s="44">
        <f t="shared" si="392"/>
        <v>0</v>
      </c>
      <c r="I2166" cm="1">
        <f t="array" ref="I2166">INT(F2166)+IF(100-SUM(INT(F$2159:F$2172))&gt;=RANK(H2166,H$2159:H$2172)+COUNTIF(H$2159:H2166,H2166)-1,1,0)</f>
        <v>20</v>
      </c>
      <c r="J2166" t="b">
        <f t="shared" si="393"/>
        <v>1</v>
      </c>
      <c r="K2166" t="str">
        <f t="shared" si="394"/>
        <v>Trichoptera</v>
      </c>
      <c r="L2166">
        <f>_xlfn.XLOOKUP(D2166,BugList!C:C,BugList!N:N)</f>
        <v>4</v>
      </c>
      <c r="M2166">
        <f t="shared" si="395"/>
        <v>80</v>
      </c>
      <c r="N2166" t="b">
        <f>_xlfn.XLOOKUP(D2166,BugList!C:C,BugList!L:L)</f>
        <v>1</v>
      </c>
      <c r="O2166" t="b">
        <f t="shared" si="396"/>
        <v>0</v>
      </c>
      <c r="P2166" s="18" t="b">
        <f>SUMPRODUCT(COUNTIF(_xlfn.XLOOKUP(D2166,BugList!C:C,BugList!P:P), "*SC*"))&gt;0</f>
        <v>0</v>
      </c>
    </row>
    <row r="2167" spans="1:16">
      <c r="A2167" t="s">
        <v>2936</v>
      </c>
      <c r="B2167" s="83">
        <v>305</v>
      </c>
      <c r="C2167" s="34" t="s">
        <v>198</v>
      </c>
      <c r="D2167" s="34" t="s">
        <v>1271</v>
      </c>
      <c r="E2167" s="83">
        <v>1</v>
      </c>
      <c r="F2167" s="43">
        <f t="shared" si="384"/>
        <v>0.66666666666666674</v>
      </c>
      <c r="G2167" s="44">
        <f t="shared" si="391"/>
        <v>0</v>
      </c>
      <c r="H2167" s="44">
        <f t="shared" si="392"/>
        <v>0.66666666666666674</v>
      </c>
      <c r="I2167" s="71">
        <v>1</v>
      </c>
      <c r="J2167" t="b">
        <f t="shared" si="393"/>
        <v>1</v>
      </c>
      <c r="K2167" t="str">
        <f t="shared" si="394"/>
        <v>Trichoptera</v>
      </c>
      <c r="L2167">
        <f>_xlfn.XLOOKUP(D2167,BugList!C:C,BugList!N:N)</f>
        <v>4</v>
      </c>
      <c r="M2167">
        <f t="shared" si="395"/>
        <v>4</v>
      </c>
      <c r="N2167" t="b">
        <f>_xlfn.XLOOKUP(D2167,BugList!C:C,BugList!L:L)</f>
        <v>1</v>
      </c>
      <c r="O2167" t="b">
        <f t="shared" si="396"/>
        <v>1</v>
      </c>
      <c r="P2167" s="18" t="b">
        <f>SUMPRODUCT(COUNTIF(_xlfn.XLOOKUP(D2167,BugList!C:C,BugList!P:P), "*SC*"))&gt;0</f>
        <v>0</v>
      </c>
    </row>
    <row r="2168" spans="1:16">
      <c r="A2168" t="s">
        <v>2936</v>
      </c>
      <c r="B2168" s="83">
        <v>305</v>
      </c>
      <c r="C2168" s="34" t="s">
        <v>204</v>
      </c>
      <c r="D2168" s="34" t="s">
        <v>84</v>
      </c>
      <c r="E2168" s="83">
        <v>5</v>
      </c>
      <c r="F2168" s="43">
        <f t="shared" si="384"/>
        <v>3.3333333333333335</v>
      </c>
      <c r="G2168" s="44">
        <f t="shared" si="391"/>
        <v>3</v>
      </c>
      <c r="H2168" s="44">
        <f t="shared" si="392"/>
        <v>0.33333333333333348</v>
      </c>
      <c r="I2168" cm="1">
        <f t="array" ref="I2168">INT(F2168)+IF(100-SUM(INT(F$2159:F$2172))&gt;=RANK(H2168,H$2159:H$2172)+COUNTIF(H$2159:H2168,H2168)-1,1,0)</f>
        <v>3</v>
      </c>
      <c r="J2168" t="b">
        <f t="shared" si="393"/>
        <v>0</v>
      </c>
      <c r="K2168" t="str">
        <f t="shared" si="394"/>
        <v/>
      </c>
      <c r="L2168">
        <f>_xlfn.XLOOKUP(D2168,BugList!C:C,BugList!N:N)</f>
        <v>8</v>
      </c>
      <c r="M2168">
        <f t="shared" si="395"/>
        <v>24</v>
      </c>
      <c r="N2168" t="b">
        <f>_xlfn.XLOOKUP(D2168,BugList!C:C,BugList!L:L)</f>
        <v>0</v>
      </c>
      <c r="O2168" t="b">
        <f t="shared" si="396"/>
        <v>0</v>
      </c>
      <c r="P2168" s="18" t="b">
        <f>SUMPRODUCT(COUNTIF(_xlfn.XLOOKUP(D2168,BugList!C:C,BugList!P:P), "*SC*"))&gt;0</f>
        <v>0</v>
      </c>
    </row>
    <row r="2169" spans="1:16">
      <c r="A2169" t="s">
        <v>2936</v>
      </c>
      <c r="B2169" s="83">
        <v>305</v>
      </c>
      <c r="C2169" s="34" t="s">
        <v>201</v>
      </c>
      <c r="D2169" s="34" t="s">
        <v>85</v>
      </c>
      <c r="E2169" s="83">
        <v>1</v>
      </c>
      <c r="F2169" s="43">
        <f t="shared" si="384"/>
        <v>0.66666666666666674</v>
      </c>
      <c r="G2169" s="44">
        <f t="shared" si="391"/>
        <v>0</v>
      </c>
      <c r="H2169" s="44">
        <f t="shared" si="392"/>
        <v>0.66666666666666674</v>
      </c>
      <c r="I2169" s="71">
        <v>1</v>
      </c>
      <c r="J2169" t="b">
        <f t="shared" si="393"/>
        <v>0</v>
      </c>
      <c r="K2169" t="str">
        <f t="shared" si="394"/>
        <v/>
      </c>
      <c r="L2169">
        <f>_xlfn.XLOOKUP(D2169,BugList!C:C,BugList!N:N)</f>
        <v>4</v>
      </c>
      <c r="M2169">
        <f t="shared" si="395"/>
        <v>4</v>
      </c>
      <c r="N2169" t="b">
        <f>_xlfn.XLOOKUP(D2169,BugList!C:C,BugList!L:L)</f>
        <v>0</v>
      </c>
      <c r="O2169" t="b">
        <f t="shared" si="396"/>
        <v>0</v>
      </c>
      <c r="P2169" s="18" t="b">
        <f>SUMPRODUCT(COUNTIF(_xlfn.XLOOKUP(D2169,BugList!C:C,BugList!P:P), "*SC*"))&gt;0</f>
        <v>0</v>
      </c>
    </row>
    <row r="2170" spans="1:16">
      <c r="A2170" t="s">
        <v>2936</v>
      </c>
      <c r="B2170" s="83">
        <v>305</v>
      </c>
      <c r="C2170" s="34" t="s">
        <v>202</v>
      </c>
      <c r="D2170" s="34" t="s">
        <v>169</v>
      </c>
      <c r="E2170" s="83">
        <v>1</v>
      </c>
      <c r="F2170" s="43">
        <f t="shared" si="384"/>
        <v>0.66666666666666674</v>
      </c>
      <c r="G2170" s="44">
        <f t="shared" si="391"/>
        <v>0</v>
      </c>
      <c r="H2170" s="44">
        <f t="shared" si="392"/>
        <v>0.66666666666666674</v>
      </c>
      <c r="I2170" cm="1">
        <f t="array" ref="I2170">INT(F2170)+IF(100-SUM(INT(F$2159:F$2172))&gt;=RANK(H2170,H$2159:H$2172)+COUNTIF(H$2159:H2170,H2170)-1,1,0)</f>
        <v>0</v>
      </c>
      <c r="J2170" t="b">
        <f t="shared" si="393"/>
        <v>0</v>
      </c>
      <c r="K2170" t="str">
        <f t="shared" si="394"/>
        <v/>
      </c>
      <c r="L2170">
        <f>_xlfn.XLOOKUP(D2170,BugList!C:C,BugList!N:N)</f>
        <v>5</v>
      </c>
      <c r="M2170">
        <f t="shared" si="395"/>
        <v>0</v>
      </c>
      <c r="N2170" t="b">
        <f>_xlfn.XLOOKUP(D2170,BugList!C:C,BugList!L:L)</f>
        <v>0</v>
      </c>
      <c r="O2170" t="b">
        <f t="shared" si="396"/>
        <v>0</v>
      </c>
      <c r="P2170" s="18" t="b">
        <f>SUMPRODUCT(COUNTIF(_xlfn.XLOOKUP(D2170,BugList!C:C,BugList!P:P), "*SC*"))&gt;0</f>
        <v>0</v>
      </c>
    </row>
    <row r="2171" spans="1:16">
      <c r="A2171" t="s">
        <v>2936</v>
      </c>
      <c r="B2171" s="83">
        <v>305</v>
      </c>
      <c r="C2171" s="34" t="s">
        <v>210</v>
      </c>
      <c r="D2171" s="34" t="s">
        <v>93</v>
      </c>
      <c r="E2171" s="83">
        <v>2</v>
      </c>
      <c r="F2171" s="43">
        <f t="shared" si="384"/>
        <v>1.3333333333333335</v>
      </c>
      <c r="G2171" s="44">
        <f t="shared" si="391"/>
        <v>1</v>
      </c>
      <c r="H2171" s="44">
        <f t="shared" si="392"/>
        <v>0.33333333333333348</v>
      </c>
      <c r="I2171" cm="1">
        <f t="array" ref="I2171">INT(F2171)+IF(100-SUM(INT(F$2159:F$2172))&gt;=RANK(H2171,H$2159:H$2172)+COUNTIF(H$2159:H2171,H2171)-1,1,0)</f>
        <v>1</v>
      </c>
      <c r="J2171" t="b">
        <f t="shared" si="393"/>
        <v>0</v>
      </c>
      <c r="K2171" t="str">
        <f t="shared" si="394"/>
        <v/>
      </c>
      <c r="L2171">
        <f>_xlfn.XLOOKUP(D2171,BugList!C:C,BugList!N:N)</f>
        <v>8</v>
      </c>
      <c r="M2171">
        <f t="shared" si="395"/>
        <v>8</v>
      </c>
      <c r="N2171" t="b">
        <f>_xlfn.XLOOKUP(D2171,BugList!C:C,BugList!L:L)</f>
        <v>0</v>
      </c>
      <c r="O2171" t="b">
        <f t="shared" si="396"/>
        <v>0</v>
      </c>
      <c r="P2171" s="18" t="b">
        <f>SUMPRODUCT(COUNTIF(_xlfn.XLOOKUP(D2171,BugList!C:C,BugList!P:P), "*SC*"))&gt;0</f>
        <v>0</v>
      </c>
    </row>
    <row r="2172" spans="1:16">
      <c r="A2172" t="s">
        <v>2936</v>
      </c>
      <c r="B2172" s="83">
        <v>305</v>
      </c>
      <c r="C2172" s="34" t="s">
        <v>94</v>
      </c>
      <c r="D2172" s="34" t="s">
        <v>94</v>
      </c>
      <c r="E2172" s="83">
        <v>3</v>
      </c>
      <c r="F2172" s="43">
        <f t="shared" si="384"/>
        <v>2</v>
      </c>
      <c r="G2172" s="44">
        <f t="shared" si="391"/>
        <v>2</v>
      </c>
      <c r="H2172" s="44">
        <f t="shared" si="392"/>
        <v>0</v>
      </c>
      <c r="I2172" cm="1">
        <f t="array" ref="I2172">INT(F2172)+IF(100-SUM(INT(F$2159:F$2172))&gt;=RANK(H2172,H$2159:H$2172)+COUNTIF(H$2159:H2172,H2172)-1,1,0)</f>
        <v>2</v>
      </c>
      <c r="J2172" t="b">
        <f t="shared" si="393"/>
        <v>0</v>
      </c>
      <c r="K2172" t="str">
        <f t="shared" si="394"/>
        <v/>
      </c>
      <c r="L2172">
        <f>_xlfn.XLOOKUP(D2172,BugList!C:C,BugList!N:N)</f>
        <v>8</v>
      </c>
      <c r="M2172">
        <f t="shared" si="395"/>
        <v>16</v>
      </c>
      <c r="N2172" t="b">
        <f>_xlfn.XLOOKUP(D2172,BugList!C:C,BugList!L:L)</f>
        <v>0</v>
      </c>
      <c r="O2172" t="b">
        <f t="shared" si="396"/>
        <v>0</v>
      </c>
      <c r="P2172" s="18" t="b">
        <f>SUMPRODUCT(COUNTIF(_xlfn.XLOOKUP(D2172,BugList!C:C,BugList!P:P), "*SC*"))&gt;0</f>
        <v>0</v>
      </c>
    </row>
    <row r="2173" spans="1:16">
      <c r="A2173" t="s">
        <v>2937</v>
      </c>
      <c r="B2173" s="83">
        <v>317</v>
      </c>
      <c r="C2173" s="34" t="s">
        <v>200</v>
      </c>
      <c r="D2173" s="34" t="s">
        <v>98</v>
      </c>
      <c r="E2173" s="83">
        <v>22</v>
      </c>
      <c r="F2173" s="43">
        <f t="shared" si="384"/>
        <v>14.012738853503185</v>
      </c>
      <c r="G2173" s="44">
        <f t="shared" si="391"/>
        <v>14</v>
      </c>
      <c r="H2173" s="44">
        <f t="shared" si="392"/>
        <v>1.2738853503185155E-2</v>
      </c>
      <c r="I2173" cm="1">
        <f t="array" ref="I2173">INT(F2173)+IF(100-SUM(INT(F$2173:F$2182))&gt;=RANK(H2173,H$2173:H$2182)+COUNTIF(H$2173:H2173,H2173)-1,1,0)</f>
        <v>14</v>
      </c>
      <c r="J2173" t="b">
        <f t="shared" si="393"/>
        <v>0</v>
      </c>
      <c r="K2173" t="str">
        <f t="shared" si="394"/>
        <v/>
      </c>
      <c r="L2173">
        <f>_xlfn.XLOOKUP(D2173,BugList!C:C,BugList!N:N)</f>
        <v>4</v>
      </c>
      <c r="M2173">
        <f t="shared" si="395"/>
        <v>56</v>
      </c>
      <c r="N2173" t="b">
        <f>_xlfn.XLOOKUP(D2173,BugList!C:C,BugList!L:L)</f>
        <v>1</v>
      </c>
      <c r="O2173" t="b">
        <f t="shared" si="396"/>
        <v>0</v>
      </c>
      <c r="P2173" s="18" t="b">
        <f>SUMPRODUCT(COUNTIF(_xlfn.XLOOKUP(D2173,BugList!C:C,BugList!P:P), "*SC*"))&gt;0</f>
        <v>1</v>
      </c>
    </row>
    <row r="2174" spans="1:16">
      <c r="A2174" t="s">
        <v>2937</v>
      </c>
      <c r="B2174" s="83">
        <v>317</v>
      </c>
      <c r="C2174" s="34" t="s">
        <v>194</v>
      </c>
      <c r="D2174" s="34" t="s">
        <v>126</v>
      </c>
      <c r="E2174" s="83">
        <v>12</v>
      </c>
      <c r="F2174" s="43">
        <f t="shared" si="384"/>
        <v>7.6433121019108281</v>
      </c>
      <c r="G2174" s="44">
        <f t="shared" si="391"/>
        <v>7</v>
      </c>
      <c r="H2174" s="44">
        <f t="shared" si="392"/>
        <v>0.6433121019108281</v>
      </c>
      <c r="I2174" cm="1">
        <f t="array" ref="I2174">INT(F2174)+IF(100-SUM(INT(F$2173:F$2182))&gt;=RANK(H2174,H$2173:H$2182)+COUNTIF(H$2173:H2174,H2174)-1,1,0)</f>
        <v>8</v>
      </c>
      <c r="J2174" t="b">
        <f t="shared" si="393"/>
        <v>0</v>
      </c>
      <c r="K2174" t="str">
        <f t="shared" si="394"/>
        <v/>
      </c>
      <c r="L2174">
        <f>_xlfn.XLOOKUP(D2174,BugList!C:C,BugList!N:N)</f>
        <v>8</v>
      </c>
      <c r="M2174">
        <f t="shared" si="395"/>
        <v>64</v>
      </c>
      <c r="N2174" t="b">
        <f>_xlfn.XLOOKUP(D2174,BugList!C:C,BugList!L:L)</f>
        <v>1</v>
      </c>
      <c r="O2174" t="b">
        <f t="shared" si="396"/>
        <v>0</v>
      </c>
      <c r="P2174" s="18" t="b">
        <f>SUMPRODUCT(COUNTIF(_xlfn.XLOOKUP(D2174,BugList!C:C,BugList!P:P), "*SC*"))&gt;0</f>
        <v>0</v>
      </c>
    </row>
    <row r="2175" spans="1:16">
      <c r="A2175" t="s">
        <v>2937</v>
      </c>
      <c r="B2175" s="83">
        <v>317</v>
      </c>
      <c r="C2175" s="34" t="s">
        <v>194</v>
      </c>
      <c r="D2175" s="34" t="s">
        <v>90</v>
      </c>
      <c r="E2175" s="83">
        <v>5</v>
      </c>
      <c r="F2175" s="43">
        <f t="shared" si="384"/>
        <v>3.1847133757961785</v>
      </c>
      <c r="G2175" s="44">
        <f t="shared" si="391"/>
        <v>3</v>
      </c>
      <c r="H2175" s="44">
        <f t="shared" si="392"/>
        <v>0.18471337579617852</v>
      </c>
      <c r="I2175" cm="1">
        <f t="array" ref="I2175">INT(F2175)+IF(100-SUM(INT(F$2173:F$2182))&gt;=RANK(H2175,H$2173:H$2182)+COUNTIF(H$2173:H2175,H2175)-1,1,0)</f>
        <v>3</v>
      </c>
      <c r="J2175" t="b">
        <f t="shared" si="393"/>
        <v>0</v>
      </c>
      <c r="K2175" t="str">
        <f t="shared" si="394"/>
        <v/>
      </c>
      <c r="L2175">
        <f>_xlfn.XLOOKUP(D2175,BugList!C:C,BugList!N:N)</f>
        <v>6</v>
      </c>
      <c r="M2175">
        <f t="shared" si="395"/>
        <v>18</v>
      </c>
      <c r="N2175" t="b">
        <f>_xlfn.XLOOKUP(D2175,BugList!C:C,BugList!L:L)</f>
        <v>1</v>
      </c>
      <c r="O2175" t="b">
        <f t="shared" si="396"/>
        <v>0</v>
      </c>
      <c r="P2175" s="18" t="b">
        <f>SUMPRODUCT(COUNTIF(_xlfn.XLOOKUP(D2175,BugList!C:C,BugList!P:P), "*SC*"))&gt;0</f>
        <v>0</v>
      </c>
    </row>
    <row r="2176" spans="1:16">
      <c r="A2176" t="s">
        <v>2937</v>
      </c>
      <c r="B2176" s="83">
        <v>317</v>
      </c>
      <c r="C2176" s="34" t="s">
        <v>211</v>
      </c>
      <c r="D2176" s="34" t="s">
        <v>87</v>
      </c>
      <c r="E2176" s="83">
        <v>49</v>
      </c>
      <c r="F2176" s="43">
        <f t="shared" si="384"/>
        <v>31.210191082802545</v>
      </c>
      <c r="G2176" s="44">
        <f t="shared" si="391"/>
        <v>31</v>
      </c>
      <c r="H2176" s="44">
        <f t="shared" si="392"/>
        <v>0.21019108280254528</v>
      </c>
      <c r="I2176" cm="1">
        <f t="array" ref="I2176">INT(F2176)+IF(100-SUM(INT(F$2173:F$2182))&gt;=RANK(H2176,H$2173:H$2182)+COUNTIF(H$2173:H2176,H2176)-1,1,0)</f>
        <v>31</v>
      </c>
      <c r="J2176" t="b">
        <f t="shared" si="393"/>
        <v>0</v>
      </c>
      <c r="K2176" t="str">
        <f t="shared" si="394"/>
        <v/>
      </c>
      <c r="L2176">
        <f>_xlfn.XLOOKUP(D2176,BugList!C:C,BugList!N:N)</f>
        <v>4</v>
      </c>
      <c r="M2176">
        <f t="shared" si="395"/>
        <v>124</v>
      </c>
      <c r="N2176" t="b">
        <f>_xlfn.XLOOKUP(D2176,BugList!C:C,BugList!L:L)</f>
        <v>0</v>
      </c>
      <c r="O2176" t="b">
        <f t="shared" si="396"/>
        <v>0</v>
      </c>
      <c r="P2176" s="18" t="b">
        <f>SUMPRODUCT(COUNTIF(_xlfn.XLOOKUP(D2176,BugList!C:C,BugList!P:P), "*SC*"))&gt;0</f>
        <v>0</v>
      </c>
    </row>
    <row r="2177" spans="1:16">
      <c r="A2177" t="s">
        <v>2937</v>
      </c>
      <c r="B2177" s="83">
        <v>317</v>
      </c>
      <c r="C2177" s="34" t="s">
        <v>198</v>
      </c>
      <c r="D2177" s="34" t="s">
        <v>89</v>
      </c>
      <c r="E2177" s="83">
        <v>54</v>
      </c>
      <c r="F2177" s="43">
        <f t="shared" si="384"/>
        <v>34.394904458598724</v>
      </c>
      <c r="G2177" s="44">
        <f t="shared" si="391"/>
        <v>34</v>
      </c>
      <c r="H2177" s="44">
        <f t="shared" si="392"/>
        <v>0.39490445859872381</v>
      </c>
      <c r="I2177" cm="1">
        <f t="array" ref="I2177">INT(F2177)+IF(100-SUM(INT(F$2173:F$2182))&gt;=RANK(H2177,H$2173:H$2182)+COUNTIF(H$2173:H2177,H2177)-1,1,0)</f>
        <v>34</v>
      </c>
      <c r="J2177" t="b">
        <f t="shared" si="393"/>
        <v>1</v>
      </c>
      <c r="K2177" t="str">
        <f t="shared" si="394"/>
        <v>Trichoptera</v>
      </c>
      <c r="L2177">
        <f>_xlfn.XLOOKUP(D2177,BugList!C:C,BugList!N:N)</f>
        <v>4</v>
      </c>
      <c r="M2177">
        <f t="shared" si="395"/>
        <v>136</v>
      </c>
      <c r="N2177" t="b">
        <f>_xlfn.XLOOKUP(D2177,BugList!C:C,BugList!L:L)</f>
        <v>1</v>
      </c>
      <c r="O2177" t="b">
        <f t="shared" si="396"/>
        <v>0</v>
      </c>
      <c r="P2177" s="18" t="b">
        <f>SUMPRODUCT(COUNTIF(_xlfn.XLOOKUP(D2177,BugList!C:C,BugList!P:P), "*SC*"))&gt;0</f>
        <v>0</v>
      </c>
    </row>
    <row r="2178" spans="1:16">
      <c r="A2178" t="s">
        <v>2937</v>
      </c>
      <c r="B2178" s="83">
        <v>317</v>
      </c>
      <c r="C2178" s="34" t="s">
        <v>204</v>
      </c>
      <c r="D2178" s="34" t="s">
        <v>84</v>
      </c>
      <c r="E2178" s="83">
        <v>6</v>
      </c>
      <c r="F2178" s="43">
        <f t="shared" si="384"/>
        <v>3.8216560509554141</v>
      </c>
      <c r="G2178" s="44">
        <f t="shared" si="391"/>
        <v>3</v>
      </c>
      <c r="H2178" s="44">
        <f t="shared" si="392"/>
        <v>0.82165605095541405</v>
      </c>
      <c r="I2178" cm="1">
        <f t="array" ref="I2178">INT(F2178)+IF(100-SUM(INT(F$2173:F$2182))&gt;=RANK(H2178,H$2173:H$2182)+COUNTIF(H$2173:H2178,H2178)-1,1,0)</f>
        <v>4</v>
      </c>
      <c r="J2178" t="b">
        <f t="shared" si="393"/>
        <v>0</v>
      </c>
      <c r="K2178" t="str">
        <f t="shared" si="394"/>
        <v/>
      </c>
      <c r="L2178">
        <f>_xlfn.XLOOKUP(D2178,BugList!C:C,BugList!N:N)</f>
        <v>8</v>
      </c>
      <c r="M2178">
        <f t="shared" si="395"/>
        <v>32</v>
      </c>
      <c r="N2178" t="b">
        <f>_xlfn.XLOOKUP(D2178,BugList!C:C,BugList!L:L)</f>
        <v>0</v>
      </c>
      <c r="O2178" t="b">
        <f t="shared" si="396"/>
        <v>0</v>
      </c>
      <c r="P2178" s="18" t="b">
        <f>SUMPRODUCT(COUNTIF(_xlfn.XLOOKUP(D2178,BugList!C:C,BugList!P:P), "*SC*"))&gt;0</f>
        <v>0</v>
      </c>
    </row>
    <row r="2179" spans="1:16">
      <c r="A2179" t="s">
        <v>2937</v>
      </c>
      <c r="B2179" s="83">
        <v>317</v>
      </c>
      <c r="C2179" s="34" t="s">
        <v>210</v>
      </c>
      <c r="D2179" s="34" t="s">
        <v>93</v>
      </c>
      <c r="E2179" s="83">
        <v>3</v>
      </c>
      <c r="F2179" s="43">
        <f t="shared" si="384"/>
        <v>1.910828025477707</v>
      </c>
      <c r="G2179" s="44">
        <f t="shared" si="391"/>
        <v>1</v>
      </c>
      <c r="H2179" s="44">
        <f t="shared" si="392"/>
        <v>0.91082802547770703</v>
      </c>
      <c r="I2179" cm="1">
        <f t="array" ref="I2179">INT(F2179)+IF(100-SUM(INT(F$2173:F$2182))&gt;=RANK(H2179,H$2173:H$2182)+COUNTIF(H$2173:H2179,H2179)-1,1,0)</f>
        <v>2</v>
      </c>
      <c r="J2179" t="b">
        <f t="shared" si="393"/>
        <v>0</v>
      </c>
      <c r="K2179" t="str">
        <f t="shared" si="394"/>
        <v/>
      </c>
      <c r="L2179">
        <f>_xlfn.XLOOKUP(D2179,BugList!C:C,BugList!N:N)</f>
        <v>8</v>
      </c>
      <c r="M2179">
        <f t="shared" si="395"/>
        <v>16</v>
      </c>
      <c r="N2179" t="b">
        <f>_xlfn.XLOOKUP(D2179,BugList!C:C,BugList!L:L)</f>
        <v>0</v>
      </c>
      <c r="O2179" t="b">
        <f t="shared" si="396"/>
        <v>0</v>
      </c>
      <c r="P2179" s="18" t="b">
        <f>SUMPRODUCT(COUNTIF(_xlfn.XLOOKUP(D2179,BugList!C:C,BugList!P:P), "*SC*"))&gt;0</f>
        <v>0</v>
      </c>
    </row>
    <row r="2180" spans="1:16">
      <c r="A2180" t="s">
        <v>2937</v>
      </c>
      <c r="B2180" s="83">
        <v>317</v>
      </c>
      <c r="C2180" s="34" t="s">
        <v>2315</v>
      </c>
      <c r="D2180" s="34" t="s">
        <v>102</v>
      </c>
      <c r="E2180" s="83">
        <v>1</v>
      </c>
      <c r="F2180" s="43">
        <f t="shared" si="384"/>
        <v>0.63694267515923575</v>
      </c>
      <c r="G2180" s="44">
        <f t="shared" si="391"/>
        <v>0</v>
      </c>
      <c r="H2180" s="44">
        <f t="shared" si="392"/>
        <v>0.63694267515923575</v>
      </c>
      <c r="I2180" cm="1">
        <f t="array" ref="I2180">INT(F2180)+IF(100-SUM(INT(F$2173:F$2182))&gt;=RANK(H2180,H$2173:H$2182)+COUNTIF(H$2173:H2180,H2180)-1,1,0)</f>
        <v>1</v>
      </c>
      <c r="J2180" t="b">
        <f t="shared" si="393"/>
        <v>0</v>
      </c>
      <c r="K2180" t="str">
        <f t="shared" si="394"/>
        <v/>
      </c>
      <c r="L2180">
        <f>_xlfn.XLOOKUP(D2180,BugList!C:C,BugList!N:N)</f>
        <v>7</v>
      </c>
      <c r="M2180">
        <f t="shared" si="395"/>
        <v>7</v>
      </c>
      <c r="N2180" t="b">
        <f>_xlfn.XLOOKUP(D2180,BugList!C:C,BugList!L:L)</f>
        <v>0</v>
      </c>
      <c r="O2180" t="b">
        <f t="shared" si="396"/>
        <v>0</v>
      </c>
      <c r="P2180" s="18" t="b">
        <f>SUMPRODUCT(COUNTIF(_xlfn.XLOOKUP(D2180,BugList!C:C,BugList!P:P), "*SC*"))&gt;0</f>
        <v>1</v>
      </c>
    </row>
    <row r="2181" spans="1:16">
      <c r="A2181" t="s">
        <v>2937</v>
      </c>
      <c r="B2181" s="83">
        <v>317</v>
      </c>
      <c r="C2181" s="34" t="s">
        <v>205</v>
      </c>
      <c r="D2181" s="34" t="s">
        <v>206</v>
      </c>
      <c r="E2181" s="83">
        <v>3</v>
      </c>
      <c r="F2181" s="43">
        <f t="shared" si="384"/>
        <v>1.910828025477707</v>
      </c>
      <c r="G2181" s="44">
        <f t="shared" si="391"/>
        <v>1</v>
      </c>
      <c r="H2181" s="44">
        <f t="shared" si="392"/>
        <v>0.91082802547770703</v>
      </c>
      <c r="I2181" cm="1">
        <f t="array" ref="I2181">INT(F2181)+IF(100-SUM(INT(F$2173:F$2182))&gt;=RANK(H2181,H$2173:H$2182)+COUNTIF(H$2173:H2181,H2181)-1,1,0)</f>
        <v>2</v>
      </c>
      <c r="J2181" t="b">
        <f t="shared" si="393"/>
        <v>0</v>
      </c>
      <c r="K2181" t="str">
        <f t="shared" si="394"/>
        <v/>
      </c>
      <c r="L2181" s="71">
        <v>8</v>
      </c>
      <c r="M2181">
        <f t="shared" ref="M2181" si="397">L2181*I2181</f>
        <v>16</v>
      </c>
      <c r="N2181" s="71" t="b">
        <v>0</v>
      </c>
      <c r="O2181" t="b">
        <f t="shared" ref="O2181" si="398">IF(J2181=TRUE,IF(D2181="Hydropsychidae", FALSE, TRUE), FALSE)</f>
        <v>0</v>
      </c>
      <c r="P2181" s="72" t="b">
        <v>0</v>
      </c>
    </row>
    <row r="2182" spans="1:16">
      <c r="A2182" t="s">
        <v>2937</v>
      </c>
      <c r="B2182" s="83">
        <v>317</v>
      </c>
      <c r="C2182" s="34" t="s">
        <v>94</v>
      </c>
      <c r="D2182" s="34" t="s">
        <v>94</v>
      </c>
      <c r="E2182" s="83">
        <v>2</v>
      </c>
      <c r="F2182" s="43">
        <f t="shared" si="384"/>
        <v>1.2738853503184715</v>
      </c>
      <c r="G2182" s="44">
        <f t="shared" si="391"/>
        <v>1</v>
      </c>
      <c r="H2182" s="44">
        <f t="shared" si="392"/>
        <v>0.2738853503184715</v>
      </c>
      <c r="I2182" cm="1">
        <f t="array" ref="I2182">INT(F2182)+IF(100-SUM(INT(F$2173:F$2182))&gt;=RANK(H2182,H$2173:H$2182)+COUNTIF(H$2173:H2182,H2182)-1,1,0)</f>
        <v>1</v>
      </c>
      <c r="J2182" t="b">
        <f t="shared" si="393"/>
        <v>0</v>
      </c>
      <c r="K2182" t="str">
        <f t="shared" si="394"/>
        <v/>
      </c>
      <c r="L2182">
        <f>_xlfn.XLOOKUP(D2182,BugList!C:C,BugList!N:N)</f>
        <v>8</v>
      </c>
      <c r="M2182">
        <f t="shared" si="395"/>
        <v>8</v>
      </c>
      <c r="N2182" t="b">
        <f>_xlfn.XLOOKUP(D2182,BugList!C:C,BugList!L:L)</f>
        <v>0</v>
      </c>
      <c r="O2182" t="b">
        <f t="shared" si="396"/>
        <v>0</v>
      </c>
      <c r="P2182" s="18" t="b">
        <f>SUMPRODUCT(COUNTIF(_xlfn.XLOOKUP(D2182,BugList!C:C,BugList!P:P), "*SC*"))&gt;0</f>
        <v>0</v>
      </c>
    </row>
    <row r="2183" spans="1:16">
      <c r="A2183" t="s">
        <v>2938</v>
      </c>
      <c r="B2183" s="83">
        <v>325</v>
      </c>
      <c r="C2183" s="34" t="s">
        <v>200</v>
      </c>
      <c r="D2183" s="34" t="s">
        <v>98</v>
      </c>
      <c r="E2183" s="83">
        <v>7</v>
      </c>
      <c r="F2183" s="43">
        <f t="shared" si="384"/>
        <v>2.7559055118110236</v>
      </c>
      <c r="G2183" s="44">
        <f t="shared" si="391"/>
        <v>2</v>
      </c>
      <c r="H2183" s="44">
        <f t="shared" si="392"/>
        <v>0.75590551181102361</v>
      </c>
      <c r="I2183" cm="1">
        <f t="array" ref="I2183">INT(F2183)+IF(100-SUM(INT(F$2183:F$2189))&gt;=RANK(H2183,H$2183:H$2189)+COUNTIF(H$2183:H2183,H2183)-1,1,0)</f>
        <v>3</v>
      </c>
      <c r="J2183" t="b">
        <f t="shared" si="393"/>
        <v>0</v>
      </c>
      <c r="K2183" t="str">
        <f t="shared" si="394"/>
        <v/>
      </c>
      <c r="L2183">
        <f>_xlfn.XLOOKUP(D2183,BugList!C:C,BugList!N:N)</f>
        <v>4</v>
      </c>
      <c r="M2183">
        <f t="shared" si="395"/>
        <v>12</v>
      </c>
      <c r="N2183" t="b">
        <f>_xlfn.XLOOKUP(D2183,BugList!C:C,BugList!L:L)</f>
        <v>1</v>
      </c>
      <c r="O2183" t="b">
        <f t="shared" si="396"/>
        <v>0</v>
      </c>
      <c r="P2183" s="18" t="b">
        <f>SUMPRODUCT(COUNTIF(_xlfn.XLOOKUP(D2183,BugList!C:C,BugList!P:P), "*SC*"))&gt;0</f>
        <v>1</v>
      </c>
    </row>
    <row r="2184" spans="1:16">
      <c r="A2184" t="s">
        <v>2938</v>
      </c>
      <c r="B2184" s="83">
        <v>325</v>
      </c>
      <c r="C2184" s="34" t="s">
        <v>194</v>
      </c>
      <c r="D2184" s="34" t="s">
        <v>126</v>
      </c>
      <c r="E2184" s="83">
        <v>32</v>
      </c>
      <c r="F2184" s="43">
        <f t="shared" si="384"/>
        <v>12.598425196850393</v>
      </c>
      <c r="G2184" s="44">
        <f t="shared" si="391"/>
        <v>12</v>
      </c>
      <c r="H2184" s="44">
        <f t="shared" si="392"/>
        <v>0.59842519685039264</v>
      </c>
      <c r="I2184" cm="1">
        <f t="array" ref="I2184">INT(F2184)+IF(100-SUM(INT(F$2183:F$2189))&gt;=RANK(H2184,H$2183:H$2189)+COUNTIF(H$2183:H2184,H2184)-1,1,0)</f>
        <v>13</v>
      </c>
      <c r="J2184" t="b">
        <f t="shared" si="393"/>
        <v>0</v>
      </c>
      <c r="K2184" t="str">
        <f t="shared" si="394"/>
        <v/>
      </c>
      <c r="L2184">
        <f>_xlfn.XLOOKUP(D2184,BugList!C:C,BugList!N:N)</f>
        <v>8</v>
      </c>
      <c r="M2184">
        <f t="shared" si="395"/>
        <v>104</v>
      </c>
      <c r="N2184" t="b">
        <f>_xlfn.XLOOKUP(D2184,BugList!C:C,BugList!L:L)</f>
        <v>1</v>
      </c>
      <c r="O2184" t="b">
        <f t="shared" si="396"/>
        <v>0</v>
      </c>
      <c r="P2184" s="18" t="b">
        <f>SUMPRODUCT(COUNTIF(_xlfn.XLOOKUP(D2184,BugList!C:C,BugList!P:P), "*SC*"))&gt;0</f>
        <v>0</v>
      </c>
    </row>
    <row r="2185" spans="1:16">
      <c r="A2185" t="s">
        <v>2938</v>
      </c>
      <c r="B2185" s="83">
        <v>325</v>
      </c>
      <c r="C2185" s="34" t="s">
        <v>194</v>
      </c>
      <c r="D2185" s="34" t="s">
        <v>101</v>
      </c>
      <c r="E2185" s="83">
        <v>4</v>
      </c>
      <c r="F2185" s="43">
        <f t="shared" si="384"/>
        <v>1.5748031496062991</v>
      </c>
      <c r="G2185" s="44">
        <f t="shared" si="391"/>
        <v>1</v>
      </c>
      <c r="H2185" s="44">
        <f t="shared" si="392"/>
        <v>0.57480314960629908</v>
      </c>
      <c r="I2185" cm="1">
        <f t="array" ref="I2185">INT(F2185)+IF(100-SUM(INT(F$2183:F$2189))&gt;=RANK(H2185,H$2183:H$2189)+COUNTIF(H$2183:H2185,H2185)-1,1,0)</f>
        <v>1</v>
      </c>
      <c r="J2185" t="b">
        <f t="shared" si="393"/>
        <v>0</v>
      </c>
      <c r="K2185" t="str">
        <f t="shared" si="394"/>
        <v/>
      </c>
      <c r="L2185">
        <f>_xlfn.XLOOKUP(D2185,BugList!C:C,BugList!N:N)</f>
        <v>6</v>
      </c>
      <c r="M2185">
        <f t="shared" si="395"/>
        <v>6</v>
      </c>
      <c r="N2185" t="b">
        <f>_xlfn.XLOOKUP(D2185,BugList!C:C,BugList!L:L)</f>
        <v>1</v>
      </c>
      <c r="O2185" t="b">
        <f t="shared" si="396"/>
        <v>0</v>
      </c>
      <c r="P2185" s="18" t="b">
        <f>SUMPRODUCT(COUNTIF(_xlfn.XLOOKUP(D2185,BugList!C:C,BugList!P:P), "*SC*"))&gt;0</f>
        <v>0</v>
      </c>
    </row>
    <row r="2186" spans="1:16">
      <c r="A2186" t="s">
        <v>2938</v>
      </c>
      <c r="B2186" s="83">
        <v>325</v>
      </c>
      <c r="C2186" s="34" t="s">
        <v>198</v>
      </c>
      <c r="D2186" s="34" t="s">
        <v>89</v>
      </c>
      <c r="E2186" s="83">
        <v>205</v>
      </c>
      <c r="F2186" s="43">
        <f t="shared" si="384"/>
        <v>80.70866141732283</v>
      </c>
      <c r="G2186" s="44">
        <f t="shared" si="391"/>
        <v>80</v>
      </c>
      <c r="H2186" s="44">
        <f t="shared" si="392"/>
        <v>0.70866141732282983</v>
      </c>
      <c r="I2186" cm="1">
        <f t="array" ref="I2186">INT(F2186)+IF(100-SUM(INT(F$2183:F$2189))&gt;=RANK(H2186,H$2183:H$2189)+COUNTIF(H$2183:H2186,H2186)-1,1,0)</f>
        <v>81</v>
      </c>
      <c r="J2186" t="b">
        <f t="shared" si="393"/>
        <v>1</v>
      </c>
      <c r="K2186" t="str">
        <f t="shared" si="394"/>
        <v>Trichoptera</v>
      </c>
      <c r="L2186">
        <f>_xlfn.XLOOKUP(D2186,BugList!C:C,BugList!N:N)</f>
        <v>4</v>
      </c>
      <c r="M2186">
        <f t="shared" si="395"/>
        <v>324</v>
      </c>
      <c r="N2186" t="b">
        <f>_xlfn.XLOOKUP(D2186,BugList!C:C,BugList!L:L)</f>
        <v>1</v>
      </c>
      <c r="O2186" t="b">
        <f t="shared" si="396"/>
        <v>0</v>
      </c>
      <c r="P2186" s="18" t="b">
        <f>SUMPRODUCT(COUNTIF(_xlfn.XLOOKUP(D2186,BugList!C:C,BugList!P:P), "*SC*"))&gt;0</f>
        <v>0</v>
      </c>
    </row>
    <row r="2187" spans="1:16">
      <c r="A2187" t="s">
        <v>2938</v>
      </c>
      <c r="B2187" s="83">
        <v>325</v>
      </c>
      <c r="C2187" s="34" t="s">
        <v>204</v>
      </c>
      <c r="D2187" s="34" t="s">
        <v>84</v>
      </c>
      <c r="E2187" s="83">
        <v>3</v>
      </c>
      <c r="F2187" s="43">
        <f t="shared" si="384"/>
        <v>1.1811023622047243</v>
      </c>
      <c r="G2187" s="44">
        <f t="shared" si="391"/>
        <v>1</v>
      </c>
      <c r="H2187" s="44">
        <f t="shared" si="392"/>
        <v>0.18110236220472431</v>
      </c>
      <c r="I2187" cm="1">
        <f t="array" ref="I2187">INT(F2187)+IF(100-SUM(INT(F$2183:F$2189))&gt;=RANK(H2187,H$2183:H$2189)+COUNTIF(H$2183:H2187,H2187)-1,1,0)</f>
        <v>1</v>
      </c>
      <c r="J2187" t="b">
        <f t="shared" si="393"/>
        <v>0</v>
      </c>
      <c r="K2187" t="str">
        <f t="shared" si="394"/>
        <v/>
      </c>
      <c r="L2187">
        <f>_xlfn.XLOOKUP(D2187,BugList!C:C,BugList!N:N)</f>
        <v>8</v>
      </c>
      <c r="M2187">
        <f t="shared" si="395"/>
        <v>8</v>
      </c>
      <c r="N2187" t="b">
        <f>_xlfn.XLOOKUP(D2187,BugList!C:C,BugList!L:L)</f>
        <v>0</v>
      </c>
      <c r="O2187" t="b">
        <f t="shared" si="396"/>
        <v>0</v>
      </c>
      <c r="P2187" s="18" t="b">
        <f>SUMPRODUCT(COUNTIF(_xlfn.XLOOKUP(D2187,BugList!C:C,BugList!P:P), "*SC*"))&gt;0</f>
        <v>0</v>
      </c>
    </row>
    <row r="2188" spans="1:16">
      <c r="A2188" t="s">
        <v>2938</v>
      </c>
      <c r="B2188" s="83">
        <v>325</v>
      </c>
      <c r="C2188" s="34" t="s">
        <v>210</v>
      </c>
      <c r="D2188" s="34" t="s">
        <v>93</v>
      </c>
      <c r="E2188" s="83">
        <v>1</v>
      </c>
      <c r="F2188" s="43">
        <f t="shared" si="384"/>
        <v>0.39370078740157477</v>
      </c>
      <c r="G2188" s="44">
        <f t="shared" si="391"/>
        <v>0</v>
      </c>
      <c r="H2188" s="44">
        <f t="shared" si="392"/>
        <v>0.39370078740157477</v>
      </c>
      <c r="I2188" cm="1">
        <f t="array" ref="I2188">INT(F2188)+IF(100-SUM(INT(F$2183:F$2189))&gt;=RANK(H2188,H$2183:H$2189)+COUNTIF(H$2183:H2188,H2188)-1,1,0)</f>
        <v>0</v>
      </c>
      <c r="J2188" t="b">
        <f t="shared" si="393"/>
        <v>0</v>
      </c>
      <c r="K2188" t="str">
        <f t="shared" si="394"/>
        <v/>
      </c>
      <c r="L2188">
        <f>_xlfn.XLOOKUP(D2188,BugList!C:C,BugList!N:N)</f>
        <v>8</v>
      </c>
      <c r="M2188">
        <f t="shared" si="395"/>
        <v>0</v>
      </c>
      <c r="N2188" t="b">
        <f>_xlfn.XLOOKUP(D2188,BugList!C:C,BugList!L:L)</f>
        <v>0</v>
      </c>
      <c r="O2188" t="b">
        <f t="shared" si="396"/>
        <v>0</v>
      </c>
      <c r="P2188" s="18" t="b">
        <f>SUMPRODUCT(COUNTIF(_xlfn.XLOOKUP(D2188,BugList!C:C,BugList!P:P), "*SC*"))&gt;0</f>
        <v>0</v>
      </c>
    </row>
    <row r="2189" spans="1:16">
      <c r="A2189" t="s">
        <v>2938</v>
      </c>
      <c r="B2189" s="83">
        <v>325</v>
      </c>
      <c r="C2189" s="34" t="s">
        <v>205</v>
      </c>
      <c r="D2189" s="34" t="s">
        <v>206</v>
      </c>
      <c r="E2189" s="83">
        <v>2</v>
      </c>
      <c r="F2189" s="43">
        <f t="shared" si="384"/>
        <v>0.78740157480314954</v>
      </c>
      <c r="G2189" s="44">
        <f t="shared" si="391"/>
        <v>0</v>
      </c>
      <c r="H2189" s="44">
        <f t="shared" si="392"/>
        <v>0.78740157480314954</v>
      </c>
      <c r="I2189" cm="1">
        <f t="array" ref="I2189">INT(F2189)+IF(100-SUM(INT(F$2183:F$2189))&gt;=RANK(H2189,H$2183:H$2189)+COUNTIF(H$2183:H2189,H2189)-1,1,0)</f>
        <v>1</v>
      </c>
      <c r="J2189" t="b">
        <f t="shared" si="393"/>
        <v>0</v>
      </c>
      <c r="K2189" t="str">
        <f t="shared" si="394"/>
        <v/>
      </c>
      <c r="L2189" s="71">
        <v>8</v>
      </c>
      <c r="M2189">
        <f t="shared" ref="M2189" si="399">L2189*I2189</f>
        <v>8</v>
      </c>
      <c r="N2189" s="71" t="b">
        <v>0</v>
      </c>
      <c r="O2189" t="b">
        <f t="shared" ref="O2189" si="400">IF(J2189=TRUE,IF(D2189="Hydropsychidae", FALSE, TRUE), FALSE)</f>
        <v>0</v>
      </c>
      <c r="P2189" s="72" t="b">
        <v>0</v>
      </c>
    </row>
    <row r="2190" spans="1:16">
      <c r="A2190" t="s">
        <v>2939</v>
      </c>
      <c r="B2190" s="83">
        <v>343</v>
      </c>
      <c r="C2190" s="34" t="s">
        <v>200</v>
      </c>
      <c r="D2190" s="34" t="s">
        <v>98</v>
      </c>
      <c r="E2190" s="83">
        <v>22</v>
      </c>
      <c r="F2190" s="43">
        <f t="shared" si="384"/>
        <v>10.628019323671497</v>
      </c>
      <c r="G2190" s="44">
        <f t="shared" si="391"/>
        <v>10</v>
      </c>
      <c r="H2190" s="44">
        <f t="shared" si="392"/>
        <v>0.62801932367149682</v>
      </c>
      <c r="I2190" cm="1">
        <f t="array" ref="I2190">INT(F2190)+IF(100-SUM(INT(F$2190:F$2203))&gt;=RANK(H2190,H$2190:H$2203)+COUNTIF(H$2190:H2190,H2190)-1,1,0)</f>
        <v>11</v>
      </c>
      <c r="J2190" t="b">
        <f t="shared" si="393"/>
        <v>0</v>
      </c>
      <c r="K2190" t="str">
        <f t="shared" si="394"/>
        <v/>
      </c>
      <c r="L2190">
        <f>_xlfn.XLOOKUP(D2190,BugList!C:C,BugList!N:N)</f>
        <v>4</v>
      </c>
      <c r="M2190">
        <f t="shared" si="395"/>
        <v>44</v>
      </c>
      <c r="N2190" t="b">
        <f>_xlfn.XLOOKUP(D2190,BugList!C:C,BugList!L:L)</f>
        <v>1</v>
      </c>
      <c r="O2190" t="b">
        <f t="shared" si="396"/>
        <v>0</v>
      </c>
      <c r="P2190" s="18" t="b">
        <f>SUMPRODUCT(COUNTIF(_xlfn.XLOOKUP(D2190,BugList!C:C,BugList!P:P), "*SC*"))&gt;0</f>
        <v>1</v>
      </c>
    </row>
    <row r="2191" spans="1:16">
      <c r="A2191" t="s">
        <v>2939</v>
      </c>
      <c r="B2191" s="83">
        <v>343</v>
      </c>
      <c r="C2191" s="34" t="s">
        <v>194</v>
      </c>
      <c r="D2191" s="34" t="s">
        <v>126</v>
      </c>
      <c r="E2191" s="83">
        <v>112</v>
      </c>
      <c r="F2191" s="43">
        <f t="shared" ref="F2191:F2254" si="401">(E2191/(SUMIFS(E:E,A:A,A2191))*100)</f>
        <v>54.106280193236714</v>
      </c>
      <c r="G2191" s="44">
        <f t="shared" si="391"/>
        <v>54</v>
      </c>
      <c r="H2191" s="44">
        <f t="shared" si="392"/>
        <v>0.10628019323671367</v>
      </c>
      <c r="I2191" cm="1">
        <f t="array" ref="I2191">INT(F2191)+IF(100-SUM(INT(F$2190:F$2203))&gt;=RANK(H2191,H$2190:H$2203)+COUNTIF(H$2190:H2191,H2191)-1,1,0)</f>
        <v>54</v>
      </c>
      <c r="J2191" t="b">
        <f t="shared" si="393"/>
        <v>0</v>
      </c>
      <c r="K2191" t="str">
        <f t="shared" si="394"/>
        <v/>
      </c>
      <c r="L2191">
        <f>_xlfn.XLOOKUP(D2191,BugList!C:C,BugList!N:N)</f>
        <v>8</v>
      </c>
      <c r="M2191">
        <f t="shared" si="395"/>
        <v>432</v>
      </c>
      <c r="N2191" t="b">
        <f>_xlfn.XLOOKUP(D2191,BugList!C:C,BugList!L:L)</f>
        <v>1</v>
      </c>
      <c r="O2191" t="b">
        <f t="shared" si="396"/>
        <v>0</v>
      </c>
      <c r="P2191" s="18" t="b">
        <f>SUMPRODUCT(COUNTIF(_xlfn.XLOOKUP(D2191,BugList!C:C,BugList!P:P), "*SC*"))&gt;0</f>
        <v>0</v>
      </c>
    </row>
    <row r="2192" spans="1:16">
      <c r="A2192" t="s">
        <v>2939</v>
      </c>
      <c r="B2192" s="83">
        <v>343</v>
      </c>
      <c r="C2192" s="34" t="s">
        <v>194</v>
      </c>
      <c r="D2192" s="34" t="s">
        <v>90</v>
      </c>
      <c r="E2192" s="83">
        <v>3</v>
      </c>
      <c r="F2192" s="43">
        <f t="shared" si="401"/>
        <v>1.4492753623188406</v>
      </c>
      <c r="G2192" s="44">
        <f t="shared" si="391"/>
        <v>1</v>
      </c>
      <c r="H2192" s="44">
        <f t="shared" si="392"/>
        <v>0.44927536231884058</v>
      </c>
      <c r="I2192" cm="1">
        <f t="array" ref="I2192">INT(F2192)+IF(100-SUM(INT(F$2190:F$2203))&gt;=RANK(H2192,H$2190:H$2203)+COUNTIF(H$2190:H2192,H2192)-1,1,0)</f>
        <v>1</v>
      </c>
      <c r="J2192" t="b">
        <f t="shared" si="393"/>
        <v>0</v>
      </c>
      <c r="K2192" t="str">
        <f t="shared" si="394"/>
        <v/>
      </c>
      <c r="L2192">
        <f>_xlfn.XLOOKUP(D2192,BugList!C:C,BugList!N:N)</f>
        <v>6</v>
      </c>
      <c r="M2192">
        <f t="shared" si="395"/>
        <v>6</v>
      </c>
      <c r="N2192" t="b">
        <f>_xlfn.XLOOKUP(D2192,BugList!C:C,BugList!L:L)</f>
        <v>1</v>
      </c>
      <c r="O2192" t="b">
        <f t="shared" si="396"/>
        <v>0</v>
      </c>
      <c r="P2192" s="18" t="b">
        <f>SUMPRODUCT(COUNTIF(_xlfn.XLOOKUP(D2192,BugList!C:C,BugList!P:P), "*SC*"))&gt;0</f>
        <v>0</v>
      </c>
    </row>
    <row r="2193" spans="1:16">
      <c r="A2193" t="s">
        <v>2939</v>
      </c>
      <c r="B2193" s="83">
        <v>343</v>
      </c>
      <c r="C2193" s="34" t="s">
        <v>194</v>
      </c>
      <c r="D2193" s="34" t="s">
        <v>131</v>
      </c>
      <c r="E2193" s="83">
        <v>1</v>
      </c>
      <c r="F2193" s="43">
        <f t="shared" si="401"/>
        <v>0.48309178743961351</v>
      </c>
      <c r="G2193" s="44">
        <f t="shared" si="391"/>
        <v>0</v>
      </c>
      <c r="H2193" s="44">
        <f t="shared" si="392"/>
        <v>0.48309178743961351</v>
      </c>
      <c r="I2193" cm="1">
        <f t="array" ref="I2193">INT(F2193)+IF(100-SUM(INT(F$2190:F$2203))&gt;=RANK(H2193,H$2190:H$2203)+COUNTIF(H$2190:H2193,H2193)-1,1,0)</f>
        <v>1</v>
      </c>
      <c r="J2193" t="b">
        <f t="shared" si="393"/>
        <v>0</v>
      </c>
      <c r="K2193" t="str">
        <f t="shared" si="394"/>
        <v/>
      </c>
      <c r="L2193">
        <f>_xlfn.XLOOKUP(D2193,BugList!C:C,BugList!N:N)</f>
        <v>6</v>
      </c>
      <c r="M2193">
        <f t="shared" si="395"/>
        <v>6</v>
      </c>
      <c r="N2193" t="b">
        <f>_xlfn.XLOOKUP(D2193,BugList!C:C,BugList!L:L)</f>
        <v>1</v>
      </c>
      <c r="O2193" t="b">
        <f t="shared" si="396"/>
        <v>0</v>
      </c>
      <c r="P2193" s="18" t="b">
        <f>SUMPRODUCT(COUNTIF(_xlfn.XLOOKUP(D2193,BugList!C:C,BugList!P:P), "*SC*"))&gt;0</f>
        <v>0</v>
      </c>
    </row>
    <row r="2194" spans="1:16">
      <c r="A2194" t="s">
        <v>2939</v>
      </c>
      <c r="B2194" s="83">
        <v>343</v>
      </c>
      <c r="C2194" s="34" t="s">
        <v>194</v>
      </c>
      <c r="D2194" s="34" t="s">
        <v>101</v>
      </c>
      <c r="E2194" s="83">
        <v>1</v>
      </c>
      <c r="F2194" s="43">
        <f t="shared" si="401"/>
        <v>0.48309178743961351</v>
      </c>
      <c r="G2194" s="44">
        <f t="shared" si="391"/>
        <v>0</v>
      </c>
      <c r="H2194" s="44">
        <f t="shared" si="392"/>
        <v>0.48309178743961351</v>
      </c>
      <c r="I2194" cm="1">
        <f t="array" ref="I2194">INT(F2194)+IF(100-SUM(INT(F$2190:F$2203))&gt;=RANK(H2194,H$2190:H$2203)+COUNTIF(H$2190:H2194,H2194)-1,1,0)</f>
        <v>1</v>
      </c>
      <c r="J2194" t="b">
        <f t="shared" si="393"/>
        <v>0</v>
      </c>
      <c r="K2194" t="str">
        <f t="shared" si="394"/>
        <v/>
      </c>
      <c r="L2194">
        <f>_xlfn.XLOOKUP(D2194,BugList!C:C,BugList!N:N)</f>
        <v>6</v>
      </c>
      <c r="M2194">
        <f t="shared" si="395"/>
        <v>6</v>
      </c>
      <c r="N2194" t="b">
        <f>_xlfn.XLOOKUP(D2194,BugList!C:C,BugList!L:L)</f>
        <v>1</v>
      </c>
      <c r="O2194" t="b">
        <f t="shared" si="396"/>
        <v>0</v>
      </c>
      <c r="P2194" s="18" t="b">
        <f>SUMPRODUCT(COUNTIF(_xlfn.XLOOKUP(D2194,BugList!C:C,BugList!P:P), "*SC*"))&gt;0</f>
        <v>0</v>
      </c>
    </row>
    <row r="2195" spans="1:16">
      <c r="A2195" t="s">
        <v>2939</v>
      </c>
      <c r="B2195" s="83">
        <v>343</v>
      </c>
      <c r="C2195" s="34" t="s">
        <v>199</v>
      </c>
      <c r="D2195" s="34" t="s">
        <v>154</v>
      </c>
      <c r="E2195" s="83">
        <v>6</v>
      </c>
      <c r="F2195" s="43">
        <f t="shared" si="401"/>
        <v>2.8985507246376812</v>
      </c>
      <c r="G2195" s="44">
        <f t="shared" si="391"/>
        <v>2</v>
      </c>
      <c r="H2195" s="44">
        <f t="shared" si="392"/>
        <v>0.89855072463768115</v>
      </c>
      <c r="I2195" cm="1">
        <f t="array" ref="I2195">INT(F2195)+IF(100-SUM(INT(F$2190:F$2203))&gt;=RANK(H2195,H$2190:H$2203)+COUNTIF(H$2190:H2195,H2195)-1,1,0)</f>
        <v>3</v>
      </c>
      <c r="J2195" t="b">
        <f t="shared" si="393"/>
        <v>1</v>
      </c>
      <c r="K2195" t="str">
        <f t="shared" si="394"/>
        <v>Ephemeroptera</v>
      </c>
      <c r="L2195">
        <f>_xlfn.XLOOKUP(D2195,BugList!C:C,BugList!N:N)</f>
        <v>7</v>
      </c>
      <c r="M2195">
        <f t="shared" si="395"/>
        <v>21</v>
      </c>
      <c r="N2195" t="b">
        <f>_xlfn.XLOOKUP(D2195,BugList!C:C,BugList!L:L)</f>
        <v>1</v>
      </c>
      <c r="O2195" t="b">
        <f t="shared" si="396"/>
        <v>1</v>
      </c>
      <c r="P2195" s="18" t="b">
        <f>SUMPRODUCT(COUNTIF(_xlfn.XLOOKUP(D2195,BugList!C:C,BugList!P:P), "*SC*"))&gt;0</f>
        <v>0</v>
      </c>
    </row>
    <row r="2196" spans="1:16">
      <c r="A2196" t="s">
        <v>2939</v>
      </c>
      <c r="B2196" s="83">
        <v>343</v>
      </c>
      <c r="C2196" s="34" t="s">
        <v>195</v>
      </c>
      <c r="D2196" s="34" t="s">
        <v>97</v>
      </c>
      <c r="E2196" s="83">
        <v>3</v>
      </c>
      <c r="F2196" s="43">
        <f t="shared" si="401"/>
        <v>1.4492753623188406</v>
      </c>
      <c r="G2196" s="44">
        <f t="shared" si="391"/>
        <v>1</v>
      </c>
      <c r="H2196" s="44">
        <f t="shared" si="392"/>
        <v>0.44927536231884058</v>
      </c>
      <c r="I2196" cm="1">
        <f t="array" ref="I2196">INT(F2196)+IF(100-SUM(INT(F$2190:F$2203))&gt;=RANK(H2196,H$2190:H$2203)+COUNTIF(H$2190:H2196,H2196)-1,1,0)</f>
        <v>1</v>
      </c>
      <c r="J2196" t="b">
        <f t="shared" si="393"/>
        <v>0</v>
      </c>
      <c r="K2196" t="str">
        <f t="shared" si="394"/>
        <v/>
      </c>
      <c r="L2196">
        <f>_xlfn.XLOOKUP(D2196,BugList!C:C,BugList!N:N)</f>
        <v>9</v>
      </c>
      <c r="M2196">
        <f t="shared" si="395"/>
        <v>9</v>
      </c>
      <c r="N2196" t="b">
        <f>_xlfn.XLOOKUP(D2196,BugList!C:C,BugList!L:L)</f>
        <v>1</v>
      </c>
      <c r="O2196" t="b">
        <f t="shared" si="396"/>
        <v>0</v>
      </c>
      <c r="P2196" s="18" t="b">
        <f>SUMPRODUCT(COUNTIF(_xlfn.XLOOKUP(D2196,BugList!C:C,BugList!P:P), "*SC*"))&gt;0</f>
        <v>0</v>
      </c>
    </row>
    <row r="2197" spans="1:16">
      <c r="A2197" t="s">
        <v>2939</v>
      </c>
      <c r="B2197" s="83">
        <v>343</v>
      </c>
      <c r="C2197" s="34" t="s">
        <v>195</v>
      </c>
      <c r="D2197" s="34" t="s">
        <v>196</v>
      </c>
      <c r="E2197" s="83">
        <v>1</v>
      </c>
      <c r="F2197" s="43">
        <f t="shared" si="401"/>
        <v>0.48309178743961351</v>
      </c>
      <c r="G2197" s="44">
        <f t="shared" si="391"/>
        <v>0</v>
      </c>
      <c r="H2197" s="44">
        <f t="shared" si="392"/>
        <v>0.48309178743961351</v>
      </c>
      <c r="I2197" cm="1">
        <f t="array" ref="I2197">INT(F2197)+IF(100-SUM(INT(F$2190:F$2203))&gt;=RANK(H2197,H$2190:H$2203)+COUNTIF(H$2190:H2197,H2197)-1,1,0)</f>
        <v>1</v>
      </c>
      <c r="J2197" t="b">
        <f t="shared" si="393"/>
        <v>0</v>
      </c>
      <c r="K2197" t="str">
        <f t="shared" si="394"/>
        <v/>
      </c>
      <c r="L2197">
        <f>_xlfn.XLOOKUP(D2197,BugList!C:C,BugList!N:N)</f>
        <v>9</v>
      </c>
      <c r="M2197">
        <f t="shared" si="395"/>
        <v>9</v>
      </c>
      <c r="N2197" t="b">
        <f>_xlfn.XLOOKUP(D2197,BugList!C:C,BugList!L:L)</f>
        <v>1</v>
      </c>
      <c r="O2197" t="b">
        <f t="shared" si="396"/>
        <v>0</v>
      </c>
      <c r="P2197" s="18" t="b">
        <f>SUMPRODUCT(COUNTIF(_xlfn.XLOOKUP(D2197,BugList!C:C,BugList!P:P), "*SC*"))&gt;0</f>
        <v>0</v>
      </c>
    </row>
    <row r="2198" spans="1:16">
      <c r="A2198" t="s">
        <v>2939</v>
      </c>
      <c r="B2198" s="83">
        <v>343</v>
      </c>
      <c r="C2198" s="34" t="s">
        <v>211</v>
      </c>
      <c r="D2198" s="34" t="s">
        <v>87</v>
      </c>
      <c r="E2198" s="83">
        <v>20</v>
      </c>
      <c r="F2198" s="43">
        <f t="shared" si="401"/>
        <v>9.6618357487922708</v>
      </c>
      <c r="G2198" s="44">
        <f t="shared" si="391"/>
        <v>9</v>
      </c>
      <c r="H2198" s="44">
        <f t="shared" si="392"/>
        <v>0.66183574879227081</v>
      </c>
      <c r="I2198" cm="1">
        <f t="array" ref="I2198">INT(F2198)+IF(100-SUM(INT(F$2190:F$2203))&gt;=RANK(H2198,H$2190:H$2203)+COUNTIF(H$2190:H2198,H2198)-1,1,0)</f>
        <v>10</v>
      </c>
      <c r="J2198" t="b">
        <f t="shared" si="393"/>
        <v>0</v>
      </c>
      <c r="K2198" t="str">
        <f t="shared" si="394"/>
        <v/>
      </c>
      <c r="L2198">
        <f>_xlfn.XLOOKUP(D2198,BugList!C:C,BugList!N:N)</f>
        <v>4</v>
      </c>
      <c r="M2198">
        <f t="shared" si="395"/>
        <v>40</v>
      </c>
      <c r="N2198" t="b">
        <f>_xlfn.XLOOKUP(D2198,BugList!C:C,BugList!L:L)</f>
        <v>0</v>
      </c>
      <c r="O2198" t="b">
        <f t="shared" si="396"/>
        <v>0</v>
      </c>
      <c r="P2198" s="18" t="b">
        <f>SUMPRODUCT(COUNTIF(_xlfn.XLOOKUP(D2198,BugList!C:C,BugList!P:P), "*SC*"))&gt;0</f>
        <v>0</v>
      </c>
    </row>
    <row r="2199" spans="1:16">
      <c r="A2199" t="s">
        <v>2939</v>
      </c>
      <c r="B2199" s="83">
        <v>343</v>
      </c>
      <c r="C2199" s="34" t="s">
        <v>198</v>
      </c>
      <c r="D2199" s="34" t="s">
        <v>89</v>
      </c>
      <c r="E2199" s="83">
        <v>21</v>
      </c>
      <c r="F2199" s="43">
        <f t="shared" si="401"/>
        <v>10.144927536231885</v>
      </c>
      <c r="G2199" s="44">
        <f t="shared" si="391"/>
        <v>10</v>
      </c>
      <c r="H2199" s="44">
        <f t="shared" si="392"/>
        <v>0.1449275362318847</v>
      </c>
      <c r="I2199" cm="1">
        <f t="array" ref="I2199">INT(F2199)+IF(100-SUM(INT(F$2190:F$2203))&gt;=RANK(H2199,H$2190:H$2203)+COUNTIF(H$2190:H2199,H2199)-1,1,0)</f>
        <v>10</v>
      </c>
      <c r="J2199" t="b">
        <f t="shared" si="393"/>
        <v>1</v>
      </c>
      <c r="K2199" t="str">
        <f t="shared" si="394"/>
        <v>Trichoptera</v>
      </c>
      <c r="L2199">
        <f>_xlfn.XLOOKUP(D2199,BugList!C:C,BugList!N:N)</f>
        <v>4</v>
      </c>
      <c r="M2199">
        <f t="shared" si="395"/>
        <v>40</v>
      </c>
      <c r="N2199" t="b">
        <f>_xlfn.XLOOKUP(D2199,BugList!C:C,BugList!L:L)</f>
        <v>1</v>
      </c>
      <c r="O2199" t="b">
        <f t="shared" si="396"/>
        <v>0</v>
      </c>
      <c r="P2199" s="18" t="b">
        <f>SUMPRODUCT(COUNTIF(_xlfn.XLOOKUP(D2199,BugList!C:C,BugList!P:P), "*SC*"))&gt;0</f>
        <v>0</v>
      </c>
    </row>
    <row r="2200" spans="1:16">
      <c r="A2200" t="s">
        <v>2939</v>
      </c>
      <c r="B2200" s="83">
        <v>343</v>
      </c>
      <c r="C2200" s="34" t="s">
        <v>204</v>
      </c>
      <c r="D2200" s="34" t="s">
        <v>84</v>
      </c>
      <c r="E2200" s="83">
        <v>2</v>
      </c>
      <c r="F2200" s="43">
        <f t="shared" si="401"/>
        <v>0.96618357487922701</v>
      </c>
      <c r="G2200" s="44">
        <f t="shared" si="391"/>
        <v>0</v>
      </c>
      <c r="H2200" s="44">
        <f t="shared" si="392"/>
        <v>0.96618357487922701</v>
      </c>
      <c r="I2200" cm="1">
        <f t="array" ref="I2200">INT(F2200)+IF(100-SUM(INT(F$2190:F$2203))&gt;=RANK(H2200,H$2190:H$2203)+COUNTIF(H$2190:H2200,H2200)-1,1,0)</f>
        <v>1</v>
      </c>
      <c r="J2200" t="b">
        <f t="shared" si="393"/>
        <v>0</v>
      </c>
      <c r="K2200" t="str">
        <f t="shared" si="394"/>
        <v/>
      </c>
      <c r="L2200">
        <f>_xlfn.XLOOKUP(D2200,BugList!C:C,BugList!N:N)</f>
        <v>8</v>
      </c>
      <c r="M2200">
        <f t="shared" si="395"/>
        <v>8</v>
      </c>
      <c r="N2200" t="b">
        <f>_xlfn.XLOOKUP(D2200,BugList!C:C,BugList!L:L)</f>
        <v>0</v>
      </c>
      <c r="O2200" t="b">
        <f t="shared" si="396"/>
        <v>0</v>
      </c>
      <c r="P2200" s="18" t="b">
        <f>SUMPRODUCT(COUNTIF(_xlfn.XLOOKUP(D2200,BugList!C:C,BugList!P:P), "*SC*"))&gt;0</f>
        <v>0</v>
      </c>
    </row>
    <row r="2201" spans="1:16">
      <c r="A2201" t="s">
        <v>2939</v>
      </c>
      <c r="B2201" s="83">
        <v>343</v>
      </c>
      <c r="C2201" s="34" t="s">
        <v>210</v>
      </c>
      <c r="D2201" s="34" t="s">
        <v>93</v>
      </c>
      <c r="E2201" s="83">
        <v>3</v>
      </c>
      <c r="F2201" s="43">
        <f t="shared" si="401"/>
        <v>1.4492753623188406</v>
      </c>
      <c r="G2201" s="44">
        <f t="shared" si="391"/>
        <v>1</v>
      </c>
      <c r="H2201" s="44">
        <f t="shared" si="392"/>
        <v>0.44927536231884058</v>
      </c>
      <c r="I2201" cm="1">
        <f t="array" ref="I2201">INT(F2201)+IF(100-SUM(INT(F$2190:F$2203))&gt;=RANK(H2201,H$2190:H$2203)+COUNTIF(H$2190:H2201,H2201)-1,1,0)</f>
        <v>1</v>
      </c>
      <c r="J2201" t="b">
        <f t="shared" si="393"/>
        <v>0</v>
      </c>
      <c r="K2201" t="str">
        <f t="shared" si="394"/>
        <v/>
      </c>
      <c r="L2201">
        <f>_xlfn.XLOOKUP(D2201,BugList!C:C,BugList!N:N)</f>
        <v>8</v>
      </c>
      <c r="M2201">
        <f t="shared" si="395"/>
        <v>8</v>
      </c>
      <c r="N2201" t="b">
        <f>_xlfn.XLOOKUP(D2201,BugList!C:C,BugList!L:L)</f>
        <v>0</v>
      </c>
      <c r="O2201" t="b">
        <f t="shared" si="396"/>
        <v>0</v>
      </c>
      <c r="P2201" s="18" t="b">
        <f>SUMPRODUCT(COUNTIF(_xlfn.XLOOKUP(D2201,BugList!C:C,BugList!P:P), "*SC*"))&gt;0</f>
        <v>0</v>
      </c>
    </row>
    <row r="2202" spans="1:16">
      <c r="A2202" t="s">
        <v>2939</v>
      </c>
      <c r="B2202" s="83">
        <v>343</v>
      </c>
      <c r="C2202" s="34" t="s">
        <v>205</v>
      </c>
      <c r="D2202" s="34" t="s">
        <v>206</v>
      </c>
      <c r="E2202" s="83">
        <v>1</v>
      </c>
      <c r="F2202" s="43">
        <f t="shared" si="401"/>
        <v>0.48309178743961351</v>
      </c>
      <c r="G2202" s="44">
        <f t="shared" si="391"/>
        <v>0</v>
      </c>
      <c r="H2202" s="44">
        <f t="shared" si="392"/>
        <v>0.48309178743961351</v>
      </c>
      <c r="I2202" cm="1">
        <f t="array" ref="I2202">INT(F2202)+IF(100-SUM(INT(F$2190:F$2203))&gt;=RANK(H2202,H$2190:H$2203)+COUNTIF(H$2190:H2202,H2202)-1,1,0)</f>
        <v>0</v>
      </c>
      <c r="J2202" t="b">
        <f t="shared" si="393"/>
        <v>0</v>
      </c>
      <c r="K2202" t="str">
        <f t="shared" si="394"/>
        <v/>
      </c>
      <c r="L2202" s="71">
        <v>8</v>
      </c>
      <c r="M2202">
        <f t="shared" ref="M2202" si="402">L2202*I2202</f>
        <v>0</v>
      </c>
      <c r="N2202" s="71" t="b">
        <v>0</v>
      </c>
      <c r="O2202" t="b">
        <f t="shared" ref="O2202" si="403">IF(J2202=TRUE,IF(D2202="Hydropsychidae", FALSE, TRUE), FALSE)</f>
        <v>0</v>
      </c>
      <c r="P2202" s="72" t="b">
        <v>0</v>
      </c>
    </row>
    <row r="2203" spans="1:16">
      <c r="A2203" t="s">
        <v>2939</v>
      </c>
      <c r="B2203" s="83">
        <v>343</v>
      </c>
      <c r="C2203" s="34" t="s">
        <v>94</v>
      </c>
      <c r="D2203" s="34" t="s">
        <v>94</v>
      </c>
      <c r="E2203" s="83">
        <v>11</v>
      </c>
      <c r="F2203" s="43">
        <f t="shared" si="401"/>
        <v>5.3140096618357484</v>
      </c>
      <c r="G2203" s="44">
        <f t="shared" si="391"/>
        <v>5</v>
      </c>
      <c r="H2203" s="44">
        <f t="shared" si="392"/>
        <v>0.31400966183574841</v>
      </c>
      <c r="I2203" cm="1">
        <f t="array" ref="I2203">INT(F2203)+IF(100-SUM(INT(F$2190:F$2203))&gt;=RANK(H2203,H$2190:H$2203)+COUNTIF(H$2190:H2203,H2203)-1,1,0)</f>
        <v>5</v>
      </c>
      <c r="J2203" t="b">
        <f t="shared" si="393"/>
        <v>0</v>
      </c>
      <c r="K2203" t="str">
        <f t="shared" si="394"/>
        <v/>
      </c>
      <c r="L2203">
        <f>_xlfn.XLOOKUP(D2203,BugList!C:C,BugList!N:N)</f>
        <v>8</v>
      </c>
      <c r="M2203">
        <f t="shared" si="395"/>
        <v>40</v>
      </c>
      <c r="N2203" t="b">
        <f>_xlfn.XLOOKUP(D2203,BugList!C:C,BugList!L:L)</f>
        <v>0</v>
      </c>
      <c r="O2203" t="b">
        <f t="shared" si="396"/>
        <v>0</v>
      </c>
      <c r="P2203" s="18" t="b">
        <f>SUMPRODUCT(COUNTIF(_xlfn.XLOOKUP(D2203,BugList!C:C,BugList!P:P), "*SC*"))&gt;0</f>
        <v>0</v>
      </c>
    </row>
    <row r="2204" spans="1:16">
      <c r="A2204" t="s">
        <v>2940</v>
      </c>
      <c r="B2204" s="83">
        <v>359</v>
      </c>
      <c r="C2204" s="34" t="s">
        <v>200</v>
      </c>
      <c r="D2204" s="34" t="s">
        <v>98</v>
      </c>
      <c r="E2204" s="83">
        <v>23</v>
      </c>
      <c r="F2204" s="43">
        <f t="shared" si="401"/>
        <v>21.495327102803738</v>
      </c>
      <c r="G2204" s="44">
        <f t="shared" si="391"/>
        <v>21</v>
      </c>
      <c r="H2204" s="44">
        <f t="shared" si="392"/>
        <v>0.49532710280373848</v>
      </c>
      <c r="I2204" cm="1">
        <f t="array" ref="I2204">INT(F2204)+IF(100-SUM(INT(F$2204:F$2212))&gt;=RANK(H2204,H$2204:H$2212)+COUNTIF(H$2204:H2204,H2204)-1,1,0)</f>
        <v>21</v>
      </c>
      <c r="J2204" t="b">
        <f t="shared" si="393"/>
        <v>0</v>
      </c>
      <c r="K2204" t="str">
        <f t="shared" si="394"/>
        <v/>
      </c>
      <c r="L2204">
        <f>_xlfn.XLOOKUP(D2204,BugList!C:C,BugList!N:N)</f>
        <v>4</v>
      </c>
      <c r="M2204">
        <f t="shared" si="395"/>
        <v>84</v>
      </c>
      <c r="N2204" t="b">
        <f>_xlfn.XLOOKUP(D2204,BugList!C:C,BugList!L:L)</f>
        <v>1</v>
      </c>
      <c r="O2204" t="b">
        <f t="shared" si="396"/>
        <v>0</v>
      </c>
      <c r="P2204" s="18" t="b">
        <f>SUMPRODUCT(COUNTIF(_xlfn.XLOOKUP(D2204,BugList!C:C,BugList!P:P), "*SC*"))&gt;0</f>
        <v>1</v>
      </c>
    </row>
    <row r="2205" spans="1:16">
      <c r="A2205" t="s">
        <v>2940</v>
      </c>
      <c r="B2205" s="83">
        <v>359</v>
      </c>
      <c r="C2205" s="34" t="s">
        <v>194</v>
      </c>
      <c r="D2205" s="34" t="s">
        <v>126</v>
      </c>
      <c r="E2205" s="83">
        <v>37</v>
      </c>
      <c r="F2205" s="43">
        <f t="shared" si="401"/>
        <v>34.579439252336449</v>
      </c>
      <c r="G2205" s="44">
        <f t="shared" si="391"/>
        <v>34</v>
      </c>
      <c r="H2205" s="44">
        <f t="shared" si="392"/>
        <v>0.57943925233644933</v>
      </c>
      <c r="I2205" cm="1">
        <f t="array" ref="I2205">INT(F2205)+IF(100-SUM(INT(F$2204:F$2212))&gt;=RANK(H2205,H$2204:H$2212)+COUNTIF(H$2204:H2205,H2205)-1,1,0)</f>
        <v>34</v>
      </c>
      <c r="J2205" t="b">
        <f t="shared" si="393"/>
        <v>0</v>
      </c>
      <c r="K2205" t="str">
        <f t="shared" si="394"/>
        <v/>
      </c>
      <c r="L2205">
        <f>_xlfn.XLOOKUP(D2205,BugList!C:C,BugList!N:N)</f>
        <v>8</v>
      </c>
      <c r="M2205">
        <f t="shared" si="395"/>
        <v>272</v>
      </c>
      <c r="N2205" t="b">
        <f>_xlfn.XLOOKUP(D2205,BugList!C:C,BugList!L:L)</f>
        <v>1</v>
      </c>
      <c r="O2205" t="b">
        <f t="shared" si="396"/>
        <v>0</v>
      </c>
      <c r="P2205" s="18" t="b">
        <f>SUMPRODUCT(COUNTIF(_xlfn.XLOOKUP(D2205,BugList!C:C,BugList!P:P), "*SC*"))&gt;0</f>
        <v>0</v>
      </c>
    </row>
    <row r="2206" spans="1:16">
      <c r="A2206" t="s">
        <v>2940</v>
      </c>
      <c r="B2206" s="83">
        <v>359</v>
      </c>
      <c r="C2206" s="34" t="s">
        <v>194</v>
      </c>
      <c r="D2206" s="34" t="s">
        <v>131</v>
      </c>
      <c r="E2206" s="83">
        <v>1</v>
      </c>
      <c r="F2206" s="43">
        <f t="shared" si="401"/>
        <v>0.93457943925233633</v>
      </c>
      <c r="G2206" s="44">
        <f t="shared" si="391"/>
        <v>0</v>
      </c>
      <c r="H2206" s="44">
        <f t="shared" si="392"/>
        <v>0.93457943925233633</v>
      </c>
      <c r="I2206" cm="1">
        <f t="array" ref="I2206">INT(F2206)+IF(100-SUM(INT(F$2204:F$2212))&gt;=RANK(H2206,H$2204:H$2212)+COUNTIF(H$2204:H2206,H2206)-1,1,0)</f>
        <v>1</v>
      </c>
      <c r="J2206" t="b">
        <f t="shared" si="393"/>
        <v>0</v>
      </c>
      <c r="K2206" t="str">
        <f t="shared" si="394"/>
        <v/>
      </c>
      <c r="L2206">
        <f>_xlfn.XLOOKUP(D2206,BugList!C:C,BugList!N:N)</f>
        <v>6</v>
      </c>
      <c r="M2206">
        <f t="shared" si="395"/>
        <v>6</v>
      </c>
      <c r="N2206" t="b">
        <f>_xlfn.XLOOKUP(D2206,BugList!C:C,BugList!L:L)</f>
        <v>1</v>
      </c>
      <c r="O2206" t="b">
        <f t="shared" si="396"/>
        <v>0</v>
      </c>
      <c r="P2206" s="18" t="b">
        <f>SUMPRODUCT(COUNTIF(_xlfn.XLOOKUP(D2206,BugList!C:C,BugList!P:P), "*SC*"))&gt;0</f>
        <v>0</v>
      </c>
    </row>
    <row r="2207" spans="1:16">
      <c r="A2207" t="s">
        <v>2940</v>
      </c>
      <c r="B2207" s="83">
        <v>359</v>
      </c>
      <c r="C2207" s="34" t="s">
        <v>194</v>
      </c>
      <c r="D2207" s="34" t="s">
        <v>1758</v>
      </c>
      <c r="E2207" s="83">
        <v>1</v>
      </c>
      <c r="F2207" s="43">
        <f t="shared" si="401"/>
        <v>0.93457943925233633</v>
      </c>
      <c r="G2207" s="44">
        <f t="shared" si="391"/>
        <v>0</v>
      </c>
      <c r="H2207" s="44">
        <f t="shared" si="392"/>
        <v>0.93457943925233633</v>
      </c>
      <c r="I2207" cm="1">
        <f t="array" ref="I2207">INT(F2207)+IF(100-SUM(INT(F$2204:F$2212))&gt;=RANK(H2207,H$2204:H$2212)+COUNTIF(H$2204:H2207,H2207)-1,1,0)</f>
        <v>1</v>
      </c>
      <c r="J2207" t="b">
        <f t="shared" si="393"/>
        <v>0</v>
      </c>
      <c r="K2207" t="str">
        <f t="shared" si="394"/>
        <v/>
      </c>
      <c r="L2207">
        <f>_xlfn.XLOOKUP(D2207,BugList!C:C,BugList!N:N)</f>
        <v>6</v>
      </c>
      <c r="M2207">
        <f t="shared" si="395"/>
        <v>6</v>
      </c>
      <c r="N2207" t="b">
        <f>_xlfn.XLOOKUP(D2207,BugList!C:C,BugList!L:L)</f>
        <v>1</v>
      </c>
      <c r="O2207" t="b">
        <f t="shared" si="396"/>
        <v>0</v>
      </c>
      <c r="P2207" s="18" t="b">
        <f>SUMPRODUCT(COUNTIF(_xlfn.XLOOKUP(D2207,BugList!C:C,BugList!P:P), "*SC*"))&gt;0</f>
        <v>0</v>
      </c>
    </row>
    <row r="2208" spans="1:16">
      <c r="A2208" t="s">
        <v>2940</v>
      </c>
      <c r="B2208" s="83">
        <v>359</v>
      </c>
      <c r="C2208" s="34" t="s">
        <v>211</v>
      </c>
      <c r="D2208" s="34" t="s">
        <v>87</v>
      </c>
      <c r="E2208" s="83">
        <v>16</v>
      </c>
      <c r="F2208" s="43">
        <f t="shared" si="401"/>
        <v>14.953271028037381</v>
      </c>
      <c r="G2208" s="44">
        <f t="shared" si="391"/>
        <v>14</v>
      </c>
      <c r="H2208" s="44">
        <f t="shared" si="392"/>
        <v>0.95327102803738129</v>
      </c>
      <c r="I2208" cm="1">
        <f t="array" ref="I2208">INT(F2208)+IF(100-SUM(INT(F$2204:F$2212))&gt;=RANK(H2208,H$2204:H$2212)+COUNTIF(H$2204:H2208,H2208)-1,1,0)</f>
        <v>15</v>
      </c>
      <c r="J2208" t="b">
        <f t="shared" si="393"/>
        <v>0</v>
      </c>
      <c r="K2208" t="str">
        <f t="shared" si="394"/>
        <v/>
      </c>
      <c r="L2208">
        <f>_xlfn.XLOOKUP(D2208,BugList!C:C,BugList!N:N)</f>
        <v>4</v>
      </c>
      <c r="M2208">
        <f t="shared" si="395"/>
        <v>60</v>
      </c>
      <c r="N2208" t="b">
        <f>_xlfn.XLOOKUP(D2208,BugList!C:C,BugList!L:L)</f>
        <v>0</v>
      </c>
      <c r="O2208" t="b">
        <f t="shared" si="396"/>
        <v>0</v>
      </c>
      <c r="P2208" s="18" t="b">
        <f>SUMPRODUCT(COUNTIF(_xlfn.XLOOKUP(D2208,BugList!C:C,BugList!P:P), "*SC*"))&gt;0</f>
        <v>0</v>
      </c>
    </row>
    <row r="2209" spans="1:16">
      <c r="A2209" t="s">
        <v>2940</v>
      </c>
      <c r="B2209" s="83">
        <v>359</v>
      </c>
      <c r="C2209" s="34" t="s">
        <v>198</v>
      </c>
      <c r="D2209" s="34" t="s">
        <v>89</v>
      </c>
      <c r="E2209" s="83">
        <v>21</v>
      </c>
      <c r="F2209" s="43">
        <f t="shared" si="401"/>
        <v>19.626168224299064</v>
      </c>
      <c r="G2209" s="44">
        <f t="shared" si="391"/>
        <v>19</v>
      </c>
      <c r="H2209" s="44">
        <f t="shared" si="392"/>
        <v>0.62616822429906449</v>
      </c>
      <c r="I2209" cm="1">
        <f t="array" ref="I2209">INT(F2209)+IF(100-SUM(INT(F$2204:F$2212))&gt;=RANK(H2209,H$2204:H$2212)+COUNTIF(H$2204:H2209,H2209)-1,1,0)</f>
        <v>20</v>
      </c>
      <c r="J2209" t="b">
        <f t="shared" si="393"/>
        <v>1</v>
      </c>
      <c r="K2209" t="str">
        <f t="shared" si="394"/>
        <v>Trichoptera</v>
      </c>
      <c r="L2209">
        <f>_xlfn.XLOOKUP(D2209,BugList!C:C,BugList!N:N)</f>
        <v>4</v>
      </c>
      <c r="M2209">
        <f t="shared" si="395"/>
        <v>80</v>
      </c>
      <c r="N2209" t="b">
        <f>_xlfn.XLOOKUP(D2209,BugList!C:C,BugList!L:L)</f>
        <v>1</v>
      </c>
      <c r="O2209" t="b">
        <f t="shared" si="396"/>
        <v>0</v>
      </c>
      <c r="P2209" s="18" t="b">
        <f>SUMPRODUCT(COUNTIF(_xlfn.XLOOKUP(D2209,BugList!C:C,BugList!P:P), "*SC*"))&gt;0</f>
        <v>0</v>
      </c>
    </row>
    <row r="2210" spans="1:16">
      <c r="A2210" t="s">
        <v>2940</v>
      </c>
      <c r="B2210" s="83">
        <v>359</v>
      </c>
      <c r="C2210" s="34" t="s">
        <v>204</v>
      </c>
      <c r="D2210" s="34" t="s">
        <v>84</v>
      </c>
      <c r="E2210" s="83">
        <v>5</v>
      </c>
      <c r="F2210" s="43">
        <f t="shared" si="401"/>
        <v>4.6728971962616823</v>
      </c>
      <c r="G2210" s="44">
        <f t="shared" si="391"/>
        <v>4</v>
      </c>
      <c r="H2210" s="44">
        <f t="shared" si="392"/>
        <v>0.67289719626168232</v>
      </c>
      <c r="I2210" cm="1">
        <f t="array" ref="I2210">INT(F2210)+IF(100-SUM(INT(F$2204:F$2212))&gt;=RANK(H2210,H$2204:H$2212)+COUNTIF(H$2204:H2210,H2210)-1,1,0)</f>
        <v>5</v>
      </c>
      <c r="J2210" t="b">
        <f t="shared" si="393"/>
        <v>0</v>
      </c>
      <c r="K2210" t="str">
        <f t="shared" si="394"/>
        <v/>
      </c>
      <c r="L2210">
        <f>_xlfn.XLOOKUP(D2210,BugList!C:C,BugList!N:N)</f>
        <v>8</v>
      </c>
      <c r="M2210">
        <f t="shared" si="395"/>
        <v>40</v>
      </c>
      <c r="N2210" t="b">
        <f>_xlfn.XLOOKUP(D2210,BugList!C:C,BugList!L:L)</f>
        <v>0</v>
      </c>
      <c r="O2210" t="b">
        <f t="shared" si="396"/>
        <v>0</v>
      </c>
      <c r="P2210" s="18" t="b">
        <f>SUMPRODUCT(COUNTIF(_xlfn.XLOOKUP(D2210,BugList!C:C,BugList!P:P), "*SC*"))&gt;0</f>
        <v>0</v>
      </c>
    </row>
    <row r="2211" spans="1:16">
      <c r="A2211" t="s">
        <v>2940</v>
      </c>
      <c r="B2211" s="83">
        <v>359</v>
      </c>
      <c r="C2211" s="34" t="s">
        <v>205</v>
      </c>
      <c r="D2211" s="34" t="s">
        <v>206</v>
      </c>
      <c r="E2211" s="83">
        <v>1</v>
      </c>
      <c r="F2211" s="43">
        <f t="shared" si="401"/>
        <v>0.93457943925233633</v>
      </c>
      <c r="G2211" s="44">
        <f t="shared" ref="G2211:G2274" si="404">INT(F2211)</f>
        <v>0</v>
      </c>
      <c r="H2211" s="44">
        <f t="shared" ref="H2211:H2274" si="405">F2211-G2211</f>
        <v>0.93457943925233633</v>
      </c>
      <c r="I2211" cm="1">
        <f t="array" ref="I2211">INT(F2211)+IF(100-SUM(INT(F$2204:F$2212))&gt;=RANK(H2211,H$2204:H$2212)+COUNTIF(H$2204:H2211,H2211)-1,1,0)</f>
        <v>1</v>
      </c>
      <c r="J2211" t="b">
        <f t="shared" ref="J2211:J2274" si="406">IF(OR(C2211="Ephemeroptera", C2211 ="Plecoptera", C2211= "Trichoptera"), TRUE, FALSE)</f>
        <v>0</v>
      </c>
      <c r="K2211" t="str">
        <f t="shared" ref="K2211:K2274" si="407">IF(J2211=TRUE,C2211,"")</f>
        <v/>
      </c>
      <c r="L2211" s="71">
        <v>8</v>
      </c>
      <c r="M2211">
        <f t="shared" ref="M2211" si="408">L2211*I2211</f>
        <v>8</v>
      </c>
      <c r="N2211" s="71" t="b">
        <v>0</v>
      </c>
      <c r="O2211" t="b">
        <f t="shared" ref="O2211" si="409">IF(J2211=TRUE,IF(D2211="Hydropsychidae", FALSE, TRUE), FALSE)</f>
        <v>0</v>
      </c>
      <c r="P2211" s="72" t="b">
        <v>0</v>
      </c>
    </row>
    <row r="2212" spans="1:16">
      <c r="A2212" t="s">
        <v>2940</v>
      </c>
      <c r="B2212" s="83">
        <v>359</v>
      </c>
      <c r="C2212" s="34" t="s">
        <v>94</v>
      </c>
      <c r="D2212" s="34" t="s">
        <v>94</v>
      </c>
      <c r="E2212" s="83">
        <v>2</v>
      </c>
      <c r="F2212" s="43">
        <f t="shared" si="401"/>
        <v>1.8691588785046727</v>
      </c>
      <c r="G2212" s="44">
        <f t="shared" si="404"/>
        <v>1</v>
      </c>
      <c r="H2212" s="44">
        <f t="shared" si="405"/>
        <v>0.86915887850467266</v>
      </c>
      <c r="I2212" cm="1">
        <f t="array" ref="I2212">INT(F2212)+IF(100-SUM(INT(F$2204:F$2212))&gt;=RANK(H2212,H$2204:H$2212)+COUNTIF(H$2204:H2212,H2212)-1,1,0)</f>
        <v>2</v>
      </c>
      <c r="J2212" t="b">
        <f t="shared" si="406"/>
        <v>0</v>
      </c>
      <c r="K2212" t="str">
        <f t="shared" si="407"/>
        <v/>
      </c>
      <c r="L2212">
        <f>_xlfn.XLOOKUP(D2212,BugList!C:C,BugList!N:N)</f>
        <v>8</v>
      </c>
      <c r="M2212">
        <f t="shared" ref="M2212:M2274" si="410">L2212*I2212</f>
        <v>16</v>
      </c>
      <c r="N2212" t="b">
        <f>_xlfn.XLOOKUP(D2212,BugList!C:C,BugList!L:L)</f>
        <v>0</v>
      </c>
      <c r="O2212" t="b">
        <f t="shared" ref="O2212:O2274" si="411">IF(J2212=TRUE,IF(D2212="Hydropsychidae", FALSE, TRUE), FALSE)</f>
        <v>0</v>
      </c>
      <c r="P2212" s="18" t="b">
        <f>SUMPRODUCT(COUNTIF(_xlfn.XLOOKUP(D2212,BugList!C:C,BugList!P:P), "*SC*"))&gt;0</f>
        <v>0</v>
      </c>
    </row>
    <row r="2213" spans="1:16">
      <c r="A2213" t="s">
        <v>2941</v>
      </c>
      <c r="B2213" s="83">
        <v>374</v>
      </c>
      <c r="C2213" s="34" t="s">
        <v>200</v>
      </c>
      <c r="D2213" s="34" t="s">
        <v>98</v>
      </c>
      <c r="E2213" s="83">
        <v>49</v>
      </c>
      <c r="F2213" s="43">
        <f t="shared" si="401"/>
        <v>15.654952076677317</v>
      </c>
      <c r="G2213" s="44">
        <f t="shared" si="404"/>
        <v>15</v>
      </c>
      <c r="H2213" s="44">
        <f t="shared" si="405"/>
        <v>0.6549520766773167</v>
      </c>
      <c r="I2213" cm="1">
        <f t="array" ref="I2213">INT(F2213)+IF(100-SUM(INT(F$2213:F$2225))&gt;=RANK(H2213,H$2213:H$2225)+COUNTIF(H$2213:H2213,H2213)-1,1,0)</f>
        <v>16</v>
      </c>
      <c r="J2213" t="b">
        <f t="shared" si="406"/>
        <v>0</v>
      </c>
      <c r="K2213" t="str">
        <f t="shared" si="407"/>
        <v/>
      </c>
      <c r="L2213">
        <f>_xlfn.XLOOKUP(D2213,BugList!C:C,BugList!N:N)</f>
        <v>4</v>
      </c>
      <c r="M2213">
        <f t="shared" si="410"/>
        <v>64</v>
      </c>
      <c r="N2213" t="b">
        <f>_xlfn.XLOOKUP(D2213,BugList!C:C,BugList!L:L)</f>
        <v>1</v>
      </c>
      <c r="O2213" t="b">
        <f t="shared" si="411"/>
        <v>0</v>
      </c>
      <c r="P2213" s="18" t="b">
        <f>SUMPRODUCT(COUNTIF(_xlfn.XLOOKUP(D2213,BugList!C:C,BugList!P:P), "*SC*"))&gt;0</f>
        <v>1</v>
      </c>
    </row>
    <row r="2214" spans="1:16">
      <c r="A2214" t="s">
        <v>2941</v>
      </c>
      <c r="B2214" s="83">
        <v>374</v>
      </c>
      <c r="C2214" s="34" t="s">
        <v>194</v>
      </c>
      <c r="D2214" s="34" t="s">
        <v>124</v>
      </c>
      <c r="E2214" s="83">
        <v>1</v>
      </c>
      <c r="F2214" s="43">
        <f t="shared" si="401"/>
        <v>0.31948881789137379</v>
      </c>
      <c r="G2214" s="44">
        <f t="shared" si="404"/>
        <v>0</v>
      </c>
      <c r="H2214" s="44">
        <f t="shared" si="405"/>
        <v>0.31948881789137379</v>
      </c>
      <c r="I2214" cm="1">
        <f t="array" ref="I2214">INT(F2214)+IF(100-SUM(INT(F$2213:F$2225))&gt;=RANK(H2214,H$2213:H$2225)+COUNTIF(H$2213:H2214,H2214)-1,1,0)</f>
        <v>0</v>
      </c>
      <c r="J2214" t="b">
        <f t="shared" si="406"/>
        <v>0</v>
      </c>
      <c r="K2214" t="str">
        <f t="shared" si="407"/>
        <v/>
      </c>
      <c r="L2214">
        <f>_xlfn.XLOOKUP(D2214,BugList!C:C,BugList!N:N)</f>
        <v>6</v>
      </c>
      <c r="M2214">
        <f t="shared" si="410"/>
        <v>0</v>
      </c>
      <c r="N2214" t="b">
        <f>_xlfn.XLOOKUP(D2214,BugList!C:C,BugList!L:L)</f>
        <v>1</v>
      </c>
      <c r="O2214" t="b">
        <f t="shared" si="411"/>
        <v>0</v>
      </c>
      <c r="P2214" s="18" t="b">
        <f>SUMPRODUCT(COUNTIF(_xlfn.XLOOKUP(D2214,BugList!C:C,BugList!P:P), "*SC*"))&gt;0</f>
        <v>0</v>
      </c>
    </row>
    <row r="2215" spans="1:16">
      <c r="A2215" t="s">
        <v>2941</v>
      </c>
      <c r="B2215" s="83">
        <v>374</v>
      </c>
      <c r="C2215" s="34" t="s">
        <v>194</v>
      </c>
      <c r="D2215" s="34" t="s">
        <v>126</v>
      </c>
      <c r="E2215" s="83">
        <v>25</v>
      </c>
      <c r="F2215" s="43">
        <f t="shared" si="401"/>
        <v>7.9872204472843444</v>
      </c>
      <c r="G2215" s="44">
        <f t="shared" si="404"/>
        <v>7</v>
      </c>
      <c r="H2215" s="44">
        <f t="shared" si="405"/>
        <v>0.98722044728434444</v>
      </c>
      <c r="I2215" cm="1">
        <f t="array" ref="I2215">INT(F2215)+IF(100-SUM(INT(F$2213:F$2225))&gt;=RANK(H2215,H$2213:H$2225)+COUNTIF(H$2213:H2215,H2215)-1,1,0)</f>
        <v>8</v>
      </c>
      <c r="J2215" t="b">
        <f t="shared" si="406"/>
        <v>0</v>
      </c>
      <c r="K2215" t="str">
        <f t="shared" si="407"/>
        <v/>
      </c>
      <c r="L2215">
        <f>_xlfn.XLOOKUP(D2215,BugList!C:C,BugList!N:N)</f>
        <v>8</v>
      </c>
      <c r="M2215">
        <f t="shared" si="410"/>
        <v>64</v>
      </c>
      <c r="N2215" t="b">
        <f>_xlfn.XLOOKUP(D2215,BugList!C:C,BugList!L:L)</f>
        <v>1</v>
      </c>
      <c r="O2215" t="b">
        <f t="shared" si="411"/>
        <v>0</v>
      </c>
      <c r="P2215" s="18" t="b">
        <f>SUMPRODUCT(COUNTIF(_xlfn.XLOOKUP(D2215,BugList!C:C,BugList!P:P), "*SC*"))&gt;0</f>
        <v>0</v>
      </c>
    </row>
    <row r="2216" spans="1:16">
      <c r="A2216" t="s">
        <v>2941</v>
      </c>
      <c r="B2216" s="83">
        <v>374</v>
      </c>
      <c r="C2216" s="34" t="s">
        <v>194</v>
      </c>
      <c r="D2216" s="34" t="s">
        <v>90</v>
      </c>
      <c r="E2216" s="83">
        <v>3</v>
      </c>
      <c r="F2216" s="43">
        <f t="shared" si="401"/>
        <v>0.95846645367412142</v>
      </c>
      <c r="G2216" s="44">
        <f t="shared" si="404"/>
        <v>0</v>
      </c>
      <c r="H2216" s="44">
        <f t="shared" si="405"/>
        <v>0.95846645367412142</v>
      </c>
      <c r="I2216" cm="1">
        <f t="array" ref="I2216">INT(F2216)+IF(100-SUM(INT(F$2213:F$2225))&gt;=RANK(H2216,H$2213:H$2225)+COUNTIF(H$2213:H2216,H2216)-1,1,0)</f>
        <v>1</v>
      </c>
      <c r="J2216" t="b">
        <f t="shared" si="406"/>
        <v>0</v>
      </c>
      <c r="K2216" t="str">
        <f t="shared" si="407"/>
        <v/>
      </c>
      <c r="L2216">
        <f>_xlfn.XLOOKUP(D2216,BugList!C:C,BugList!N:N)</f>
        <v>6</v>
      </c>
      <c r="M2216">
        <f t="shared" si="410"/>
        <v>6</v>
      </c>
      <c r="N2216" t="b">
        <f>_xlfn.XLOOKUP(D2216,BugList!C:C,BugList!L:L)</f>
        <v>1</v>
      </c>
      <c r="O2216" t="b">
        <f t="shared" si="411"/>
        <v>0</v>
      </c>
      <c r="P2216" s="18" t="b">
        <f>SUMPRODUCT(COUNTIF(_xlfn.XLOOKUP(D2216,BugList!C:C,BugList!P:P), "*SC*"))&gt;0</f>
        <v>0</v>
      </c>
    </row>
    <row r="2217" spans="1:16">
      <c r="A2217" t="s">
        <v>2941</v>
      </c>
      <c r="B2217" s="83">
        <v>374</v>
      </c>
      <c r="C2217" s="34" t="s">
        <v>194</v>
      </c>
      <c r="D2217" s="34" t="s">
        <v>131</v>
      </c>
      <c r="E2217" s="83">
        <v>2</v>
      </c>
      <c r="F2217" s="43">
        <f t="shared" si="401"/>
        <v>0.63897763578274758</v>
      </c>
      <c r="G2217" s="44">
        <f t="shared" si="404"/>
        <v>0</v>
      </c>
      <c r="H2217" s="44">
        <f t="shared" si="405"/>
        <v>0.63897763578274758</v>
      </c>
      <c r="I2217" cm="1">
        <f t="array" ref="I2217">INT(F2217)+IF(100-SUM(INT(F$2213:F$2225))&gt;=RANK(H2217,H$2213:H$2225)+COUNTIF(H$2213:H2217,H2217)-1,1,0)</f>
        <v>1</v>
      </c>
      <c r="J2217" t="b">
        <f t="shared" si="406"/>
        <v>0</v>
      </c>
      <c r="K2217" t="str">
        <f t="shared" si="407"/>
        <v/>
      </c>
      <c r="L2217">
        <f>_xlfn.XLOOKUP(D2217,BugList!C:C,BugList!N:N)</f>
        <v>6</v>
      </c>
      <c r="M2217">
        <f t="shared" si="410"/>
        <v>6</v>
      </c>
      <c r="N2217" t="b">
        <f>_xlfn.XLOOKUP(D2217,BugList!C:C,BugList!L:L)</f>
        <v>1</v>
      </c>
      <c r="O2217" t="b">
        <f t="shared" si="411"/>
        <v>0</v>
      </c>
      <c r="P2217" s="18" t="b">
        <f>SUMPRODUCT(COUNTIF(_xlfn.XLOOKUP(D2217,BugList!C:C,BugList!P:P), "*SC*"))&gt;0</f>
        <v>0</v>
      </c>
    </row>
    <row r="2218" spans="1:16">
      <c r="A2218" t="s">
        <v>2941</v>
      </c>
      <c r="B2218" s="83">
        <v>374</v>
      </c>
      <c r="C2218" s="34" t="s">
        <v>194</v>
      </c>
      <c r="D2218" s="34" t="s">
        <v>101</v>
      </c>
      <c r="E2218" s="83">
        <v>3</v>
      </c>
      <c r="F2218" s="43">
        <f t="shared" si="401"/>
        <v>0.95846645367412142</v>
      </c>
      <c r="G2218" s="44">
        <f t="shared" si="404"/>
        <v>0</v>
      </c>
      <c r="H2218" s="44">
        <f t="shared" si="405"/>
        <v>0.95846645367412142</v>
      </c>
      <c r="I2218" cm="1">
        <f t="array" ref="I2218">INT(F2218)+IF(100-SUM(INT(F$2213:F$2225))&gt;=RANK(H2218,H$2213:H$2225)+COUNTIF(H$2213:H2218,H2218)-1,1,0)</f>
        <v>1</v>
      </c>
      <c r="J2218" t="b">
        <f t="shared" si="406"/>
        <v>0</v>
      </c>
      <c r="K2218" t="str">
        <f t="shared" si="407"/>
        <v/>
      </c>
      <c r="L2218">
        <f>_xlfn.XLOOKUP(D2218,BugList!C:C,BugList!N:N)</f>
        <v>6</v>
      </c>
      <c r="M2218">
        <f t="shared" si="410"/>
        <v>6</v>
      </c>
      <c r="N2218" t="b">
        <f>_xlfn.XLOOKUP(D2218,BugList!C:C,BugList!L:L)</f>
        <v>1</v>
      </c>
      <c r="O2218" t="b">
        <f t="shared" si="411"/>
        <v>0</v>
      </c>
      <c r="P2218" s="18" t="b">
        <f>SUMPRODUCT(COUNTIF(_xlfn.XLOOKUP(D2218,BugList!C:C,BugList!P:P), "*SC*"))&gt;0</f>
        <v>0</v>
      </c>
    </row>
    <row r="2219" spans="1:16">
      <c r="A2219" t="s">
        <v>2941</v>
      </c>
      <c r="B2219" s="83">
        <v>374</v>
      </c>
      <c r="C2219" s="34" t="s">
        <v>199</v>
      </c>
      <c r="D2219" s="34" t="s">
        <v>154</v>
      </c>
      <c r="E2219" s="83">
        <v>1</v>
      </c>
      <c r="F2219" s="43">
        <f t="shared" si="401"/>
        <v>0.31948881789137379</v>
      </c>
      <c r="G2219" s="44">
        <f t="shared" si="404"/>
        <v>0</v>
      </c>
      <c r="H2219" s="44">
        <f t="shared" si="405"/>
        <v>0.31948881789137379</v>
      </c>
      <c r="I2219" cm="1">
        <f t="array" ref="I2219">INT(F2219)+IF(100-SUM(INT(F$2213:F$2225))&gt;=RANK(H2219,H$2213:H$2225)+COUNTIF(H$2213:H2219,H2219)-1,1,0)</f>
        <v>0</v>
      </c>
      <c r="J2219" t="b">
        <f t="shared" si="406"/>
        <v>1</v>
      </c>
      <c r="K2219" t="str">
        <f t="shared" si="407"/>
        <v>Ephemeroptera</v>
      </c>
      <c r="L2219">
        <f>_xlfn.XLOOKUP(D2219,BugList!C:C,BugList!N:N)</f>
        <v>7</v>
      </c>
      <c r="M2219">
        <f t="shared" si="410"/>
        <v>0</v>
      </c>
      <c r="N2219" t="b">
        <f>_xlfn.XLOOKUP(D2219,BugList!C:C,BugList!L:L)</f>
        <v>1</v>
      </c>
      <c r="O2219" t="b">
        <f t="shared" si="411"/>
        <v>1</v>
      </c>
      <c r="P2219" s="18" t="b">
        <f>SUMPRODUCT(COUNTIF(_xlfn.XLOOKUP(D2219,BugList!C:C,BugList!P:P), "*SC*"))&gt;0</f>
        <v>0</v>
      </c>
    </row>
    <row r="2220" spans="1:16">
      <c r="A2220" t="s">
        <v>2941</v>
      </c>
      <c r="B2220" s="83">
        <v>374</v>
      </c>
      <c r="C2220" s="34" t="s">
        <v>211</v>
      </c>
      <c r="D2220" s="34" t="s">
        <v>87</v>
      </c>
      <c r="E2220" s="83">
        <v>15</v>
      </c>
      <c r="F2220" s="43">
        <f t="shared" si="401"/>
        <v>4.7923322683706067</v>
      </c>
      <c r="G2220" s="44">
        <f t="shared" si="404"/>
        <v>4</v>
      </c>
      <c r="H2220" s="44">
        <f t="shared" si="405"/>
        <v>0.79233226837060666</v>
      </c>
      <c r="I2220" cm="1">
        <f t="array" ref="I2220">INT(F2220)+IF(100-SUM(INT(F$2213:F$2225))&gt;=RANK(H2220,H$2213:H$2225)+COUNTIF(H$2213:H2220,H2220)-1,1,0)</f>
        <v>5</v>
      </c>
      <c r="J2220" t="b">
        <f t="shared" si="406"/>
        <v>0</v>
      </c>
      <c r="K2220" t="str">
        <f t="shared" si="407"/>
        <v/>
      </c>
      <c r="L2220">
        <f>_xlfn.XLOOKUP(D2220,BugList!C:C,BugList!N:N)</f>
        <v>4</v>
      </c>
      <c r="M2220">
        <f t="shared" si="410"/>
        <v>20</v>
      </c>
      <c r="N2220" t="b">
        <f>_xlfn.XLOOKUP(D2220,BugList!C:C,BugList!L:L)</f>
        <v>0</v>
      </c>
      <c r="O2220" t="b">
        <f t="shared" si="411"/>
        <v>0</v>
      </c>
      <c r="P2220" s="18" t="b">
        <f>SUMPRODUCT(COUNTIF(_xlfn.XLOOKUP(D2220,BugList!C:C,BugList!P:P), "*SC*"))&gt;0</f>
        <v>0</v>
      </c>
    </row>
    <row r="2221" spans="1:16">
      <c r="A2221" t="s">
        <v>2941</v>
      </c>
      <c r="B2221" s="83">
        <v>374</v>
      </c>
      <c r="C2221" s="34" t="s">
        <v>198</v>
      </c>
      <c r="D2221" s="34" t="s">
        <v>89</v>
      </c>
      <c r="E2221" s="83">
        <v>184</v>
      </c>
      <c r="F2221" s="43">
        <f t="shared" si="401"/>
        <v>58.785942492012779</v>
      </c>
      <c r="G2221" s="44">
        <f t="shared" si="404"/>
        <v>58</v>
      </c>
      <c r="H2221" s="44">
        <f t="shared" si="405"/>
        <v>0.78594249201277933</v>
      </c>
      <c r="I2221" cm="1">
        <f t="array" ref="I2221">INT(F2221)+IF(100-SUM(INT(F$2213:F$2225))&gt;=RANK(H2221,H$2213:H$2225)+COUNTIF(H$2213:H2221,H2221)-1,1,0)</f>
        <v>59</v>
      </c>
      <c r="J2221" t="b">
        <f t="shared" si="406"/>
        <v>1</v>
      </c>
      <c r="K2221" t="str">
        <f t="shared" si="407"/>
        <v>Trichoptera</v>
      </c>
      <c r="L2221">
        <f>_xlfn.XLOOKUP(D2221,BugList!C:C,BugList!N:N)</f>
        <v>4</v>
      </c>
      <c r="M2221">
        <f t="shared" si="410"/>
        <v>236</v>
      </c>
      <c r="N2221" t="b">
        <f>_xlfn.XLOOKUP(D2221,BugList!C:C,BugList!L:L)</f>
        <v>1</v>
      </c>
      <c r="O2221" t="b">
        <f t="shared" si="411"/>
        <v>0</v>
      </c>
      <c r="P2221" s="18" t="b">
        <f>SUMPRODUCT(COUNTIF(_xlfn.XLOOKUP(D2221,BugList!C:C,BugList!P:P), "*SC*"))&gt;0</f>
        <v>0</v>
      </c>
    </row>
    <row r="2222" spans="1:16">
      <c r="A2222" t="s">
        <v>2941</v>
      </c>
      <c r="B2222" s="83">
        <v>374</v>
      </c>
      <c r="C2222" s="34" t="s">
        <v>204</v>
      </c>
      <c r="D2222" s="34" t="s">
        <v>84</v>
      </c>
      <c r="E2222" s="83">
        <v>8</v>
      </c>
      <c r="F2222" s="43">
        <f t="shared" si="401"/>
        <v>2.5559105431309903</v>
      </c>
      <c r="G2222" s="44">
        <f t="shared" si="404"/>
        <v>2</v>
      </c>
      <c r="H2222" s="44">
        <f t="shared" si="405"/>
        <v>0.55591054313099031</v>
      </c>
      <c r="I2222" cm="1">
        <f t="array" ref="I2222">INT(F2222)+IF(100-SUM(INT(F$2213:F$2225))&gt;=RANK(H2222,H$2213:H$2225)+COUNTIF(H$2213:H2222,H2222)-1,1,0)</f>
        <v>2</v>
      </c>
      <c r="J2222" t="b">
        <f t="shared" si="406"/>
        <v>0</v>
      </c>
      <c r="K2222" t="str">
        <f t="shared" si="407"/>
        <v/>
      </c>
      <c r="L2222">
        <f>_xlfn.XLOOKUP(D2222,BugList!C:C,BugList!N:N)</f>
        <v>8</v>
      </c>
      <c r="M2222">
        <f t="shared" si="410"/>
        <v>16</v>
      </c>
      <c r="N2222" t="b">
        <f>_xlfn.XLOOKUP(D2222,BugList!C:C,BugList!L:L)</f>
        <v>0</v>
      </c>
      <c r="O2222" t="b">
        <f t="shared" si="411"/>
        <v>0</v>
      </c>
      <c r="P2222" s="18" t="b">
        <f>SUMPRODUCT(COUNTIF(_xlfn.XLOOKUP(D2222,BugList!C:C,BugList!P:P), "*SC*"))&gt;0</f>
        <v>0</v>
      </c>
    </row>
    <row r="2223" spans="1:16">
      <c r="A2223" t="s">
        <v>2941</v>
      </c>
      <c r="B2223" s="83">
        <v>374</v>
      </c>
      <c r="C2223" s="34" t="s">
        <v>210</v>
      </c>
      <c r="D2223" s="34" t="s">
        <v>93</v>
      </c>
      <c r="E2223" s="83">
        <v>19</v>
      </c>
      <c r="F2223" s="43">
        <f t="shared" si="401"/>
        <v>6.0702875399361016</v>
      </c>
      <c r="G2223" s="44">
        <f t="shared" si="404"/>
        <v>6</v>
      </c>
      <c r="H2223" s="44">
        <f t="shared" si="405"/>
        <v>7.0287539936101595E-2</v>
      </c>
      <c r="I2223" cm="1">
        <f t="array" ref="I2223">INT(F2223)+IF(100-SUM(INT(F$2213:F$2225))&gt;=RANK(H2223,H$2213:H$2225)+COUNTIF(H$2213:H2223,H2223)-1,1,0)</f>
        <v>6</v>
      </c>
      <c r="J2223" t="b">
        <f t="shared" si="406"/>
        <v>0</v>
      </c>
      <c r="K2223" t="str">
        <f t="shared" si="407"/>
        <v/>
      </c>
      <c r="L2223">
        <f>_xlfn.XLOOKUP(D2223,BugList!C:C,BugList!N:N)</f>
        <v>8</v>
      </c>
      <c r="M2223">
        <f t="shared" si="410"/>
        <v>48</v>
      </c>
      <c r="N2223" t="b">
        <f>_xlfn.XLOOKUP(D2223,BugList!C:C,BugList!L:L)</f>
        <v>0</v>
      </c>
      <c r="O2223" t="b">
        <f t="shared" si="411"/>
        <v>0</v>
      </c>
      <c r="P2223" s="18" t="b">
        <f>SUMPRODUCT(COUNTIF(_xlfn.XLOOKUP(D2223,BugList!C:C,BugList!P:P), "*SC*"))&gt;0</f>
        <v>0</v>
      </c>
    </row>
    <row r="2224" spans="1:16">
      <c r="A2224" t="s">
        <v>2941</v>
      </c>
      <c r="B2224" s="83">
        <v>374</v>
      </c>
      <c r="C2224" s="34" t="s">
        <v>2315</v>
      </c>
      <c r="D2224" s="34" t="s">
        <v>102</v>
      </c>
      <c r="E2224" s="83">
        <v>2</v>
      </c>
      <c r="F2224" s="43">
        <f t="shared" si="401"/>
        <v>0.63897763578274758</v>
      </c>
      <c r="G2224" s="44">
        <f t="shared" si="404"/>
        <v>0</v>
      </c>
      <c r="H2224" s="44">
        <f t="shared" si="405"/>
        <v>0.63897763578274758</v>
      </c>
      <c r="I2224" cm="1">
        <f t="array" ref="I2224">INT(F2224)+IF(100-SUM(INT(F$2213:F$2225))&gt;=RANK(H2224,H$2213:H$2225)+COUNTIF(H$2213:H2224,H2224)-1,1,0)</f>
        <v>1</v>
      </c>
      <c r="J2224" t="b">
        <f t="shared" si="406"/>
        <v>0</v>
      </c>
      <c r="K2224" t="str">
        <f t="shared" si="407"/>
        <v/>
      </c>
      <c r="L2224">
        <f>_xlfn.XLOOKUP(D2224,BugList!C:C,BugList!N:N)</f>
        <v>7</v>
      </c>
      <c r="M2224">
        <f t="shared" si="410"/>
        <v>7</v>
      </c>
      <c r="N2224" t="b">
        <f>_xlfn.XLOOKUP(D2224,BugList!C:C,BugList!L:L)</f>
        <v>0</v>
      </c>
      <c r="O2224" t="b">
        <f t="shared" si="411"/>
        <v>0</v>
      </c>
      <c r="P2224" s="18" t="b">
        <f>SUMPRODUCT(COUNTIF(_xlfn.XLOOKUP(D2224,BugList!C:C,BugList!P:P), "*SC*"))&gt;0</f>
        <v>1</v>
      </c>
    </row>
    <row r="2225" spans="1:16">
      <c r="A2225" t="s">
        <v>2941</v>
      </c>
      <c r="B2225" s="83">
        <v>374</v>
      </c>
      <c r="C2225" s="34" t="s">
        <v>205</v>
      </c>
      <c r="D2225" s="34" t="s">
        <v>206</v>
      </c>
      <c r="E2225" s="83">
        <v>1</v>
      </c>
      <c r="F2225" s="43">
        <f t="shared" si="401"/>
        <v>0.31948881789137379</v>
      </c>
      <c r="G2225" s="44">
        <f t="shared" si="404"/>
        <v>0</v>
      </c>
      <c r="H2225" s="44">
        <f t="shared" si="405"/>
        <v>0.31948881789137379</v>
      </c>
      <c r="I2225" cm="1">
        <f t="array" ref="I2225">INT(F2225)+IF(100-SUM(INT(F$2213:F$2225))&gt;=RANK(H2225,H$2213:H$2225)+COUNTIF(H$2213:H2225,H2225)-1,1,0)</f>
        <v>0</v>
      </c>
      <c r="J2225" t="b">
        <f t="shared" si="406"/>
        <v>0</v>
      </c>
      <c r="K2225" t="str">
        <f t="shared" si="407"/>
        <v/>
      </c>
      <c r="L2225" s="71">
        <v>8</v>
      </c>
      <c r="M2225">
        <f t="shared" si="410"/>
        <v>0</v>
      </c>
      <c r="N2225" s="71" t="b">
        <v>0</v>
      </c>
      <c r="O2225" t="b">
        <f t="shared" si="411"/>
        <v>0</v>
      </c>
      <c r="P2225" s="72" t="b">
        <v>0</v>
      </c>
    </row>
    <row r="2226" spans="1:16">
      <c r="A2226" t="s">
        <v>2942</v>
      </c>
      <c r="B2226" s="83">
        <v>386</v>
      </c>
      <c r="C2226" s="34" t="s">
        <v>200</v>
      </c>
      <c r="D2226" s="34" t="s">
        <v>98</v>
      </c>
      <c r="E2226" s="83">
        <v>17</v>
      </c>
      <c r="F2226" s="43">
        <f t="shared" si="401"/>
        <v>16.831683168316832</v>
      </c>
      <c r="G2226" s="44">
        <f t="shared" si="404"/>
        <v>16</v>
      </c>
      <c r="H2226" s="44">
        <f t="shared" si="405"/>
        <v>0.83168316831683242</v>
      </c>
      <c r="I2226" cm="1">
        <f t="array" ref="I2226">INT(F2226)+IF(100-SUM(INT(F$2226:F$2237))&gt;=RANK(H2226,H$2226:H$2237)+COUNTIF(H$2226:H2226,H2226)-1,1,0)</f>
        <v>17</v>
      </c>
      <c r="J2226" t="b">
        <f t="shared" si="406"/>
        <v>0</v>
      </c>
      <c r="K2226" t="str">
        <f t="shared" si="407"/>
        <v/>
      </c>
      <c r="L2226">
        <f>_xlfn.XLOOKUP(D2226,BugList!C:C,BugList!N:N)</f>
        <v>4</v>
      </c>
      <c r="M2226">
        <f t="shared" si="410"/>
        <v>68</v>
      </c>
      <c r="N2226" t="b">
        <f>_xlfn.XLOOKUP(D2226,BugList!C:C,BugList!L:L)</f>
        <v>1</v>
      </c>
      <c r="O2226" t="b">
        <f t="shared" si="411"/>
        <v>0</v>
      </c>
      <c r="P2226" s="18" t="b">
        <f>SUMPRODUCT(COUNTIF(_xlfn.XLOOKUP(D2226,BugList!C:C,BugList!P:P), "*SC*"))&gt;0</f>
        <v>1</v>
      </c>
    </row>
    <row r="2227" spans="1:16">
      <c r="A2227" t="s">
        <v>2942</v>
      </c>
      <c r="B2227" s="83">
        <v>386</v>
      </c>
      <c r="C2227" s="34" t="s">
        <v>194</v>
      </c>
      <c r="D2227" s="34" t="s">
        <v>126</v>
      </c>
      <c r="E2227" s="83">
        <v>1</v>
      </c>
      <c r="F2227" s="43">
        <f t="shared" si="401"/>
        <v>0.99009900990099009</v>
      </c>
      <c r="G2227" s="44">
        <f t="shared" si="404"/>
        <v>0</v>
      </c>
      <c r="H2227" s="44">
        <f t="shared" si="405"/>
        <v>0.99009900990099009</v>
      </c>
      <c r="I2227" cm="1">
        <f t="array" ref="I2227">INT(F2227)+IF(100-SUM(INT(F$2226:F$2237))&gt;=RANK(H2227,H$2226:H$2237)+COUNTIF(H$2226:H2227,H2227)-1,1,0)</f>
        <v>1</v>
      </c>
      <c r="J2227" t="b">
        <f t="shared" si="406"/>
        <v>0</v>
      </c>
      <c r="K2227" t="str">
        <f t="shared" si="407"/>
        <v/>
      </c>
      <c r="L2227">
        <f>_xlfn.XLOOKUP(D2227,BugList!C:C,BugList!N:N)</f>
        <v>8</v>
      </c>
      <c r="M2227">
        <f t="shared" si="410"/>
        <v>8</v>
      </c>
      <c r="N2227" t="b">
        <f>_xlfn.XLOOKUP(D2227,BugList!C:C,BugList!L:L)</f>
        <v>1</v>
      </c>
      <c r="O2227" t="b">
        <f t="shared" si="411"/>
        <v>0</v>
      </c>
      <c r="P2227" s="18" t="b">
        <f>SUMPRODUCT(COUNTIF(_xlfn.XLOOKUP(D2227,BugList!C:C,BugList!P:P), "*SC*"))&gt;0</f>
        <v>0</v>
      </c>
    </row>
    <row r="2228" spans="1:16">
      <c r="A2228" t="s">
        <v>2942</v>
      </c>
      <c r="B2228" s="83">
        <v>386</v>
      </c>
      <c r="C2228" s="34" t="s">
        <v>194</v>
      </c>
      <c r="D2228" s="34" t="s">
        <v>90</v>
      </c>
      <c r="E2228" s="83">
        <v>1</v>
      </c>
      <c r="F2228" s="43">
        <f t="shared" si="401"/>
        <v>0.99009900990099009</v>
      </c>
      <c r="G2228" s="44">
        <f t="shared" si="404"/>
        <v>0</v>
      </c>
      <c r="H2228" s="44">
        <f t="shared" si="405"/>
        <v>0.99009900990099009</v>
      </c>
      <c r="I2228" cm="1">
        <f t="array" ref="I2228">INT(F2228)+IF(100-SUM(INT(F$2226:F$2237))&gt;=RANK(H2228,H$2226:H$2237)+COUNTIF(H$2226:H2228,H2228)-1,1,0)</f>
        <v>1</v>
      </c>
      <c r="J2228" t="b">
        <f t="shared" si="406"/>
        <v>0</v>
      </c>
      <c r="K2228" t="str">
        <f t="shared" si="407"/>
        <v/>
      </c>
      <c r="L2228">
        <f>_xlfn.XLOOKUP(D2228,BugList!C:C,BugList!N:N)</f>
        <v>6</v>
      </c>
      <c r="M2228">
        <f t="shared" si="410"/>
        <v>6</v>
      </c>
      <c r="N2228" t="b">
        <f>_xlfn.XLOOKUP(D2228,BugList!C:C,BugList!L:L)</f>
        <v>1</v>
      </c>
      <c r="O2228" t="b">
        <f t="shared" si="411"/>
        <v>0</v>
      </c>
      <c r="P2228" s="18" t="b">
        <f>SUMPRODUCT(COUNTIF(_xlfn.XLOOKUP(D2228,BugList!C:C,BugList!P:P), "*SC*"))&gt;0</f>
        <v>0</v>
      </c>
    </row>
    <row r="2229" spans="1:16">
      <c r="A2229" t="s">
        <v>2942</v>
      </c>
      <c r="B2229" s="83">
        <v>386</v>
      </c>
      <c r="C2229" s="34" t="s">
        <v>194</v>
      </c>
      <c r="D2229" s="34" t="s">
        <v>101</v>
      </c>
      <c r="E2229" s="83">
        <v>2</v>
      </c>
      <c r="F2229" s="43">
        <f t="shared" si="401"/>
        <v>1.9801980198019802</v>
      </c>
      <c r="G2229" s="44">
        <f t="shared" si="404"/>
        <v>1</v>
      </c>
      <c r="H2229" s="44">
        <f t="shared" si="405"/>
        <v>0.98019801980198018</v>
      </c>
      <c r="I2229" cm="1">
        <f t="array" ref="I2229">INT(F2229)+IF(100-SUM(INT(F$2226:F$2237))&gt;=RANK(H2229,H$2226:H$2237)+COUNTIF(H$2226:H2229,H2229)-1,1,0)</f>
        <v>2</v>
      </c>
      <c r="J2229" t="b">
        <f t="shared" si="406"/>
        <v>0</v>
      </c>
      <c r="K2229" t="str">
        <f t="shared" si="407"/>
        <v/>
      </c>
      <c r="L2229">
        <f>_xlfn.XLOOKUP(D2229,BugList!C:C,BugList!N:N)</f>
        <v>6</v>
      </c>
      <c r="M2229">
        <f t="shared" si="410"/>
        <v>12</v>
      </c>
      <c r="N2229" t="b">
        <f>_xlfn.XLOOKUP(D2229,BugList!C:C,BugList!L:L)</f>
        <v>1</v>
      </c>
      <c r="O2229" t="b">
        <f t="shared" si="411"/>
        <v>0</v>
      </c>
      <c r="P2229" s="18" t="b">
        <f>SUMPRODUCT(COUNTIF(_xlfn.XLOOKUP(D2229,BugList!C:C,BugList!P:P), "*SC*"))&gt;0</f>
        <v>0</v>
      </c>
    </row>
    <row r="2230" spans="1:16">
      <c r="A2230" t="s">
        <v>2942</v>
      </c>
      <c r="B2230" s="83">
        <v>386</v>
      </c>
      <c r="C2230" s="34" t="s">
        <v>211</v>
      </c>
      <c r="D2230" s="34" t="s">
        <v>87</v>
      </c>
      <c r="E2230" s="83">
        <v>62</v>
      </c>
      <c r="F2230" s="43">
        <f t="shared" si="401"/>
        <v>61.386138613861384</v>
      </c>
      <c r="G2230" s="44">
        <f t="shared" si="404"/>
        <v>61</v>
      </c>
      <c r="H2230" s="44">
        <f t="shared" si="405"/>
        <v>0.38613861386138382</v>
      </c>
      <c r="I2230" cm="1">
        <f t="array" ref="I2230">INT(F2230)+IF(100-SUM(INT(F$2226:F$2237))&gt;=RANK(H2230,H$2226:H$2237)+COUNTIF(H$2226:H2230,H2230)-1,1,0)</f>
        <v>61</v>
      </c>
      <c r="J2230" t="b">
        <f t="shared" si="406"/>
        <v>0</v>
      </c>
      <c r="K2230" t="str">
        <f t="shared" si="407"/>
        <v/>
      </c>
      <c r="L2230">
        <f>_xlfn.XLOOKUP(D2230,BugList!C:C,BugList!N:N)</f>
        <v>4</v>
      </c>
      <c r="M2230">
        <f t="shared" si="410"/>
        <v>244</v>
      </c>
      <c r="N2230" t="b">
        <f>_xlfn.XLOOKUP(D2230,BugList!C:C,BugList!L:L)</f>
        <v>0</v>
      </c>
      <c r="O2230" t="b">
        <f t="shared" si="411"/>
        <v>0</v>
      </c>
      <c r="P2230" s="18" t="b">
        <f>SUMPRODUCT(COUNTIF(_xlfn.XLOOKUP(D2230,BugList!C:C,BugList!P:P), "*SC*"))&gt;0</f>
        <v>0</v>
      </c>
    </row>
    <row r="2231" spans="1:16">
      <c r="A2231" t="s">
        <v>2942</v>
      </c>
      <c r="B2231" s="83">
        <v>386</v>
      </c>
      <c r="C2231" s="34" t="s">
        <v>198</v>
      </c>
      <c r="D2231" s="34" t="s">
        <v>89</v>
      </c>
      <c r="E2231" s="83">
        <v>6</v>
      </c>
      <c r="F2231" s="43">
        <f t="shared" si="401"/>
        <v>5.9405940594059405</v>
      </c>
      <c r="G2231" s="44">
        <f t="shared" si="404"/>
        <v>5</v>
      </c>
      <c r="H2231" s="44">
        <f t="shared" si="405"/>
        <v>0.94059405940594054</v>
      </c>
      <c r="I2231" cm="1">
        <f t="array" ref="I2231">INT(F2231)+IF(100-SUM(INT(F$2226:F$2237))&gt;=RANK(H2231,H$2226:H$2237)+COUNTIF(H$2226:H2231,H2231)-1,1,0)</f>
        <v>6</v>
      </c>
      <c r="J2231" t="b">
        <f t="shared" si="406"/>
        <v>1</v>
      </c>
      <c r="K2231" t="str">
        <f t="shared" si="407"/>
        <v>Trichoptera</v>
      </c>
      <c r="L2231">
        <f>_xlfn.XLOOKUP(D2231,BugList!C:C,BugList!N:N)</f>
        <v>4</v>
      </c>
      <c r="M2231">
        <f t="shared" si="410"/>
        <v>24</v>
      </c>
      <c r="N2231" t="b">
        <f>_xlfn.XLOOKUP(D2231,BugList!C:C,BugList!L:L)</f>
        <v>1</v>
      </c>
      <c r="O2231" t="b">
        <f t="shared" si="411"/>
        <v>0</v>
      </c>
      <c r="P2231" s="18" t="b">
        <f>SUMPRODUCT(COUNTIF(_xlfn.XLOOKUP(D2231,BugList!C:C,BugList!P:P), "*SC*"))&gt;0</f>
        <v>0</v>
      </c>
    </row>
    <row r="2232" spans="1:16">
      <c r="A2232" t="s">
        <v>2942</v>
      </c>
      <c r="B2232" s="83">
        <v>386</v>
      </c>
      <c r="C2232" s="34" t="s">
        <v>204</v>
      </c>
      <c r="D2232" s="34" t="s">
        <v>84</v>
      </c>
      <c r="E2232" s="83">
        <v>2</v>
      </c>
      <c r="F2232" s="43">
        <f t="shared" si="401"/>
        <v>1.9801980198019802</v>
      </c>
      <c r="G2232" s="44">
        <f t="shared" si="404"/>
        <v>1</v>
      </c>
      <c r="H2232" s="44">
        <f t="shared" si="405"/>
        <v>0.98019801980198018</v>
      </c>
      <c r="I2232" cm="1">
        <f t="array" ref="I2232">INT(F2232)+IF(100-SUM(INT(F$2226:F$2237))&gt;=RANK(H2232,H$2226:H$2237)+COUNTIF(H$2226:H2232,H2232)-1,1,0)</f>
        <v>2</v>
      </c>
      <c r="J2232" t="b">
        <f t="shared" si="406"/>
        <v>0</v>
      </c>
      <c r="K2232" t="str">
        <f t="shared" si="407"/>
        <v/>
      </c>
      <c r="L2232">
        <f>_xlfn.XLOOKUP(D2232,BugList!C:C,BugList!N:N)</f>
        <v>8</v>
      </c>
      <c r="M2232">
        <f t="shared" si="410"/>
        <v>16</v>
      </c>
      <c r="N2232" t="b">
        <f>_xlfn.XLOOKUP(D2232,BugList!C:C,BugList!L:L)</f>
        <v>0</v>
      </c>
      <c r="O2232" t="b">
        <f t="shared" si="411"/>
        <v>0</v>
      </c>
      <c r="P2232" s="18" t="b">
        <f>SUMPRODUCT(COUNTIF(_xlfn.XLOOKUP(D2232,BugList!C:C,BugList!P:P), "*SC*"))&gt;0</f>
        <v>0</v>
      </c>
    </row>
    <row r="2233" spans="1:16">
      <c r="A2233" t="s">
        <v>2942</v>
      </c>
      <c r="B2233" s="83">
        <v>386</v>
      </c>
      <c r="C2233" s="34" t="s">
        <v>210</v>
      </c>
      <c r="D2233" s="34" t="s">
        <v>92</v>
      </c>
      <c r="E2233" s="83">
        <v>1</v>
      </c>
      <c r="F2233" s="43">
        <f t="shared" si="401"/>
        <v>0.99009900990099009</v>
      </c>
      <c r="G2233" s="44">
        <f t="shared" si="404"/>
        <v>0</v>
      </c>
      <c r="H2233" s="44">
        <f t="shared" si="405"/>
        <v>0.99009900990099009</v>
      </c>
      <c r="I2233" cm="1">
        <f t="array" ref="I2233">INT(F2233)+IF(100-SUM(INT(F$2226:F$2237))&gt;=RANK(H2233,H$2226:H$2237)+COUNTIF(H$2226:H2233,H2233)-1,1,0)</f>
        <v>1</v>
      </c>
      <c r="J2233" t="b">
        <f t="shared" si="406"/>
        <v>0</v>
      </c>
      <c r="K2233" t="str">
        <f t="shared" si="407"/>
        <v/>
      </c>
      <c r="L2233">
        <f>_xlfn.XLOOKUP(D2233,BugList!C:C,BugList!N:N)</f>
        <v>8</v>
      </c>
      <c r="M2233">
        <f t="shared" si="410"/>
        <v>8</v>
      </c>
      <c r="N2233" t="b">
        <f>_xlfn.XLOOKUP(D2233,BugList!C:C,BugList!L:L)</f>
        <v>0</v>
      </c>
      <c r="O2233" t="b">
        <f t="shared" si="411"/>
        <v>0</v>
      </c>
      <c r="P2233" s="18" t="b">
        <f>SUMPRODUCT(COUNTIF(_xlfn.XLOOKUP(D2233,BugList!C:C,BugList!P:P), "*SC*"))&gt;0</f>
        <v>0</v>
      </c>
    </row>
    <row r="2234" spans="1:16">
      <c r="A2234" t="s">
        <v>2942</v>
      </c>
      <c r="B2234" s="83">
        <v>386</v>
      </c>
      <c r="C2234" s="34" t="s">
        <v>210</v>
      </c>
      <c r="D2234" s="34" t="s">
        <v>93</v>
      </c>
      <c r="E2234" s="83">
        <v>5</v>
      </c>
      <c r="F2234" s="43">
        <f t="shared" si="401"/>
        <v>4.9504950495049505</v>
      </c>
      <c r="G2234" s="44">
        <f t="shared" si="404"/>
        <v>4</v>
      </c>
      <c r="H2234" s="44">
        <f t="shared" si="405"/>
        <v>0.95049504950495045</v>
      </c>
      <c r="I2234" cm="1">
        <f t="array" ref="I2234">INT(F2234)+IF(100-SUM(INT(F$2226:F$2237))&gt;=RANK(H2234,H$2226:H$2237)+COUNTIF(H$2226:H2234,H2234)-1,1,0)</f>
        <v>5</v>
      </c>
      <c r="J2234" t="b">
        <f t="shared" si="406"/>
        <v>0</v>
      </c>
      <c r="K2234" t="str">
        <f t="shared" si="407"/>
        <v/>
      </c>
      <c r="L2234">
        <f>_xlfn.XLOOKUP(D2234,BugList!C:C,BugList!N:N)</f>
        <v>8</v>
      </c>
      <c r="M2234">
        <f t="shared" si="410"/>
        <v>40</v>
      </c>
      <c r="N2234" t="b">
        <f>_xlfn.XLOOKUP(D2234,BugList!C:C,BugList!L:L)</f>
        <v>0</v>
      </c>
      <c r="O2234" t="b">
        <f t="shared" si="411"/>
        <v>0</v>
      </c>
      <c r="P2234" s="18" t="b">
        <f>SUMPRODUCT(COUNTIF(_xlfn.XLOOKUP(D2234,BugList!C:C,BugList!P:P), "*SC*"))&gt;0</f>
        <v>0</v>
      </c>
    </row>
    <row r="2235" spans="1:16">
      <c r="A2235" t="s">
        <v>2942</v>
      </c>
      <c r="B2235" s="83">
        <v>386</v>
      </c>
      <c r="C2235" s="34" t="s">
        <v>2315</v>
      </c>
      <c r="D2235" s="34" t="s">
        <v>120</v>
      </c>
      <c r="E2235" s="83">
        <v>1</v>
      </c>
      <c r="F2235" s="43">
        <f t="shared" si="401"/>
        <v>0.99009900990099009</v>
      </c>
      <c r="G2235" s="44">
        <f t="shared" si="404"/>
        <v>0</v>
      </c>
      <c r="H2235" s="44">
        <f t="shared" si="405"/>
        <v>0.99009900990099009</v>
      </c>
      <c r="I2235" cm="1">
        <f t="array" ref="I2235">INT(F2235)+IF(100-SUM(INT(F$2226:F$2237))&gt;=RANK(H2235,H$2226:H$2237)+COUNTIF(H$2226:H2235,H2235)-1,1,0)</f>
        <v>1</v>
      </c>
      <c r="J2235" t="b">
        <f t="shared" si="406"/>
        <v>0</v>
      </c>
      <c r="K2235" t="str">
        <f t="shared" si="407"/>
        <v/>
      </c>
      <c r="L2235">
        <f>_xlfn.XLOOKUP(D2235,BugList!C:C,BugList!N:N)</f>
        <v>8</v>
      </c>
      <c r="M2235">
        <f t="shared" si="410"/>
        <v>8</v>
      </c>
      <c r="N2235" t="b">
        <f>_xlfn.XLOOKUP(D2235,BugList!C:C,BugList!L:L)</f>
        <v>0</v>
      </c>
      <c r="O2235" t="b">
        <f t="shared" si="411"/>
        <v>0</v>
      </c>
      <c r="P2235" s="18" t="b">
        <f>SUMPRODUCT(COUNTIF(_xlfn.XLOOKUP(D2235,BugList!C:C,BugList!P:P), "*SC*"))&gt;0</f>
        <v>1</v>
      </c>
    </row>
    <row r="2236" spans="1:16">
      <c r="A2236" t="s">
        <v>2942</v>
      </c>
      <c r="B2236" s="83">
        <v>386</v>
      </c>
      <c r="C2236" s="34" t="s">
        <v>2315</v>
      </c>
      <c r="D2236" s="34" t="s">
        <v>102</v>
      </c>
      <c r="E2236" s="83">
        <v>2</v>
      </c>
      <c r="F2236" s="43">
        <f t="shared" si="401"/>
        <v>1.9801980198019802</v>
      </c>
      <c r="G2236" s="44">
        <f t="shared" si="404"/>
        <v>1</v>
      </c>
      <c r="H2236" s="44">
        <f t="shared" si="405"/>
        <v>0.98019801980198018</v>
      </c>
      <c r="I2236" cm="1">
        <f t="array" ref="I2236">INT(F2236)+IF(100-SUM(INT(F$2226:F$2237))&gt;=RANK(H2236,H$2226:H$2237)+COUNTIF(H$2226:H2236,H2236)-1,1,0)</f>
        <v>2</v>
      </c>
      <c r="J2236" t="b">
        <f t="shared" si="406"/>
        <v>0</v>
      </c>
      <c r="K2236" t="str">
        <f t="shared" si="407"/>
        <v/>
      </c>
      <c r="L2236">
        <f>_xlfn.XLOOKUP(D2236,BugList!C:C,BugList!N:N)</f>
        <v>7</v>
      </c>
      <c r="M2236">
        <f t="shared" si="410"/>
        <v>14</v>
      </c>
      <c r="N2236" t="b">
        <f>_xlfn.XLOOKUP(D2236,BugList!C:C,BugList!L:L)</f>
        <v>0</v>
      </c>
      <c r="O2236" t="b">
        <f t="shared" si="411"/>
        <v>0</v>
      </c>
      <c r="P2236" s="18" t="b">
        <f>SUMPRODUCT(COUNTIF(_xlfn.XLOOKUP(D2236,BugList!C:C,BugList!P:P), "*SC*"))&gt;0</f>
        <v>1</v>
      </c>
    </row>
    <row r="2237" spans="1:16">
      <c r="A2237" t="s">
        <v>2942</v>
      </c>
      <c r="B2237" s="83">
        <v>386</v>
      </c>
      <c r="C2237" s="34" t="s">
        <v>205</v>
      </c>
      <c r="D2237" s="34" t="s">
        <v>206</v>
      </c>
      <c r="E2237" s="83">
        <v>1</v>
      </c>
      <c r="F2237" s="43">
        <f t="shared" si="401"/>
        <v>0.99009900990099009</v>
      </c>
      <c r="G2237" s="44">
        <f t="shared" si="404"/>
        <v>0</v>
      </c>
      <c r="H2237" s="44">
        <f t="shared" si="405"/>
        <v>0.99009900990099009</v>
      </c>
      <c r="I2237" cm="1">
        <f t="array" ref="I2237">INT(F2237)+IF(100-SUM(INT(F$2226:F$2237))&gt;=RANK(H2237,H$2226:H$2237)+COUNTIF(H$2226:H2237,H2237)-1,1,0)</f>
        <v>1</v>
      </c>
      <c r="J2237" t="b">
        <f t="shared" si="406"/>
        <v>0</v>
      </c>
      <c r="K2237" t="str">
        <f t="shared" si="407"/>
        <v/>
      </c>
      <c r="L2237" s="71">
        <v>8</v>
      </c>
      <c r="M2237">
        <f t="shared" ref="M2237" si="412">L2237*I2237</f>
        <v>8</v>
      </c>
      <c r="N2237" s="71" t="b">
        <v>0</v>
      </c>
      <c r="O2237" t="b">
        <f t="shared" ref="O2237" si="413">IF(J2237=TRUE,IF(D2237="Hydropsychidae", FALSE, TRUE), FALSE)</f>
        <v>0</v>
      </c>
      <c r="P2237" s="72" t="b">
        <v>0</v>
      </c>
    </row>
    <row r="2238" spans="1:16">
      <c r="A2238" t="s">
        <v>2943</v>
      </c>
      <c r="B2238" s="83">
        <v>393</v>
      </c>
      <c r="C2238" s="34" t="s">
        <v>200</v>
      </c>
      <c r="D2238" s="34" t="s">
        <v>98</v>
      </c>
      <c r="E2238" s="83">
        <v>22</v>
      </c>
      <c r="F2238" s="43">
        <f t="shared" si="401"/>
        <v>17.599999999999998</v>
      </c>
      <c r="G2238" s="44">
        <f t="shared" si="404"/>
        <v>17</v>
      </c>
      <c r="H2238" s="44">
        <f t="shared" si="405"/>
        <v>0.59999999999999787</v>
      </c>
      <c r="I2238" cm="1">
        <f t="array" ref="I2238">INT(F2238)+IF(100-SUM(INT(F$2238:F$2248))&gt;=RANK(H2238,H$2238:H$2248)+COUNTIF(H$2238:H2238,H2238)-1,1,0)</f>
        <v>17</v>
      </c>
      <c r="J2238" t="b">
        <f t="shared" si="406"/>
        <v>0</v>
      </c>
      <c r="K2238" t="str">
        <f t="shared" si="407"/>
        <v/>
      </c>
      <c r="L2238">
        <f>_xlfn.XLOOKUP(D2238,BugList!C:C,BugList!N:N)</f>
        <v>4</v>
      </c>
      <c r="M2238">
        <f t="shared" si="410"/>
        <v>68</v>
      </c>
      <c r="N2238" t="b">
        <f>_xlfn.XLOOKUP(D2238,BugList!C:C,BugList!L:L)</f>
        <v>1</v>
      </c>
      <c r="O2238" t="b">
        <f t="shared" si="411"/>
        <v>0</v>
      </c>
      <c r="P2238" s="18" t="b">
        <f>SUMPRODUCT(COUNTIF(_xlfn.XLOOKUP(D2238,BugList!C:C,BugList!P:P), "*SC*"))&gt;0</f>
        <v>1</v>
      </c>
    </row>
    <row r="2239" spans="1:16">
      <c r="A2239" t="s">
        <v>2943</v>
      </c>
      <c r="B2239" s="83">
        <v>393</v>
      </c>
      <c r="C2239" s="34" t="s">
        <v>194</v>
      </c>
      <c r="D2239" s="34" t="s">
        <v>90</v>
      </c>
      <c r="E2239" s="83">
        <v>12</v>
      </c>
      <c r="F2239" s="43">
        <f t="shared" si="401"/>
        <v>9.6</v>
      </c>
      <c r="G2239" s="44">
        <f t="shared" si="404"/>
        <v>9</v>
      </c>
      <c r="H2239" s="44">
        <f t="shared" si="405"/>
        <v>0.59999999999999964</v>
      </c>
      <c r="I2239" cm="1">
        <f t="array" ref="I2239">INT(F2239)+IF(100-SUM(INT(F$2238:F$2248))&gt;=RANK(H2239,H$2238:H$2248)+COUNTIF(H$2238:H2239,H2239)-1,1,0)</f>
        <v>9</v>
      </c>
      <c r="J2239" t="b">
        <f t="shared" si="406"/>
        <v>0</v>
      </c>
      <c r="K2239" t="str">
        <f t="shared" si="407"/>
        <v/>
      </c>
      <c r="L2239">
        <f>_xlfn.XLOOKUP(D2239,BugList!C:C,BugList!N:N)</f>
        <v>6</v>
      </c>
      <c r="M2239">
        <f t="shared" si="410"/>
        <v>54</v>
      </c>
      <c r="N2239" t="b">
        <f>_xlfn.XLOOKUP(D2239,BugList!C:C,BugList!L:L)</f>
        <v>1</v>
      </c>
      <c r="O2239" t="b">
        <f t="shared" si="411"/>
        <v>0</v>
      </c>
      <c r="P2239" s="18" t="b">
        <f>SUMPRODUCT(COUNTIF(_xlfn.XLOOKUP(D2239,BugList!C:C,BugList!P:P), "*SC*"))&gt;0</f>
        <v>0</v>
      </c>
    </row>
    <row r="2240" spans="1:16">
      <c r="A2240" t="s">
        <v>2943</v>
      </c>
      <c r="B2240" s="83">
        <v>393</v>
      </c>
      <c r="C2240" s="34" t="s">
        <v>194</v>
      </c>
      <c r="D2240" s="34" t="s">
        <v>101</v>
      </c>
      <c r="E2240" s="83">
        <v>2</v>
      </c>
      <c r="F2240" s="43">
        <f t="shared" si="401"/>
        <v>1.6</v>
      </c>
      <c r="G2240" s="44">
        <f t="shared" si="404"/>
        <v>1</v>
      </c>
      <c r="H2240" s="44">
        <f t="shared" si="405"/>
        <v>0.60000000000000009</v>
      </c>
      <c r="I2240" cm="1">
        <f t="array" ref="I2240">INT(F2240)+IF(100-SUM(INT(F$2238:F$2248))&gt;=RANK(H2240,H$2238:H$2248)+COUNTIF(H$2238:H2240,H2240)-1,1,0)</f>
        <v>1</v>
      </c>
      <c r="J2240" t="b">
        <f t="shared" si="406"/>
        <v>0</v>
      </c>
      <c r="K2240" t="str">
        <f t="shared" si="407"/>
        <v/>
      </c>
      <c r="L2240">
        <f>_xlfn.XLOOKUP(D2240,BugList!C:C,BugList!N:N)</f>
        <v>6</v>
      </c>
      <c r="M2240">
        <f t="shared" si="410"/>
        <v>6</v>
      </c>
      <c r="N2240" t="b">
        <f>_xlfn.XLOOKUP(D2240,BugList!C:C,BugList!L:L)</f>
        <v>1</v>
      </c>
      <c r="O2240" t="b">
        <f t="shared" si="411"/>
        <v>0</v>
      </c>
      <c r="P2240" s="18" t="b">
        <f>SUMPRODUCT(COUNTIF(_xlfn.XLOOKUP(D2240,BugList!C:C,BugList!P:P), "*SC*"))&gt;0</f>
        <v>0</v>
      </c>
    </row>
    <row r="2241" spans="1:16">
      <c r="A2241" t="s">
        <v>2943</v>
      </c>
      <c r="B2241" s="83">
        <v>393</v>
      </c>
      <c r="C2241" s="34" t="s">
        <v>195</v>
      </c>
      <c r="D2241" s="34" t="s">
        <v>97</v>
      </c>
      <c r="E2241" s="83">
        <v>1</v>
      </c>
      <c r="F2241" s="43">
        <f t="shared" si="401"/>
        <v>0.8</v>
      </c>
      <c r="G2241" s="44">
        <f t="shared" si="404"/>
        <v>0</v>
      </c>
      <c r="H2241" s="44">
        <f t="shared" si="405"/>
        <v>0.8</v>
      </c>
      <c r="I2241" s="71">
        <v>2</v>
      </c>
      <c r="J2241" t="b">
        <f t="shared" si="406"/>
        <v>0</v>
      </c>
      <c r="K2241" t="str">
        <f t="shared" si="407"/>
        <v/>
      </c>
      <c r="L2241">
        <f>_xlfn.XLOOKUP(D2241,BugList!C:C,BugList!N:N)</f>
        <v>9</v>
      </c>
      <c r="M2241">
        <f t="shared" si="410"/>
        <v>18</v>
      </c>
      <c r="N2241" t="b">
        <f>_xlfn.XLOOKUP(D2241,BugList!C:C,BugList!L:L)</f>
        <v>1</v>
      </c>
      <c r="O2241" t="b">
        <f t="shared" si="411"/>
        <v>0</v>
      </c>
      <c r="P2241" s="18" t="b">
        <f>SUMPRODUCT(COUNTIF(_xlfn.XLOOKUP(D2241,BugList!C:C,BugList!P:P), "*SC*"))&gt;0</f>
        <v>0</v>
      </c>
    </row>
    <row r="2242" spans="1:16">
      <c r="A2242" t="s">
        <v>2943</v>
      </c>
      <c r="B2242" s="83">
        <v>393</v>
      </c>
      <c r="C2242" s="34" t="s">
        <v>211</v>
      </c>
      <c r="D2242" s="34" t="s">
        <v>87</v>
      </c>
      <c r="E2242" s="83">
        <v>32</v>
      </c>
      <c r="F2242" s="43">
        <f t="shared" si="401"/>
        <v>25.6</v>
      </c>
      <c r="G2242" s="44">
        <f t="shared" si="404"/>
        <v>25</v>
      </c>
      <c r="H2242" s="44">
        <f t="shared" si="405"/>
        <v>0.60000000000000142</v>
      </c>
      <c r="I2242" cm="1">
        <f t="array" ref="I2242">INT(F2242)+IF(100-SUM(INT(F$2238:F$2248))&gt;=RANK(H2242,H$2238:H$2248)+COUNTIF(H$2238:H2242,H2242)-1,1,0)</f>
        <v>26</v>
      </c>
      <c r="J2242" t="b">
        <f t="shared" si="406"/>
        <v>0</v>
      </c>
      <c r="K2242" t="str">
        <f t="shared" si="407"/>
        <v/>
      </c>
      <c r="L2242">
        <f>_xlfn.XLOOKUP(D2242,BugList!C:C,BugList!N:N)</f>
        <v>4</v>
      </c>
      <c r="M2242">
        <f t="shared" si="410"/>
        <v>104</v>
      </c>
      <c r="N2242" t="b">
        <f>_xlfn.XLOOKUP(D2242,BugList!C:C,BugList!L:L)</f>
        <v>0</v>
      </c>
      <c r="O2242" t="b">
        <f t="shared" si="411"/>
        <v>0</v>
      </c>
      <c r="P2242" s="18" t="b">
        <f>SUMPRODUCT(COUNTIF(_xlfn.XLOOKUP(D2242,BugList!C:C,BugList!P:P), "*SC*"))&gt;0</f>
        <v>0</v>
      </c>
    </row>
    <row r="2243" spans="1:16">
      <c r="A2243" t="s">
        <v>2943</v>
      </c>
      <c r="B2243" s="83">
        <v>393</v>
      </c>
      <c r="C2243" s="34" t="s">
        <v>198</v>
      </c>
      <c r="D2243" s="34" t="s">
        <v>89</v>
      </c>
      <c r="E2243" s="83">
        <v>41</v>
      </c>
      <c r="F2243" s="43">
        <f t="shared" si="401"/>
        <v>32.800000000000004</v>
      </c>
      <c r="G2243" s="44">
        <f t="shared" si="404"/>
        <v>32</v>
      </c>
      <c r="H2243" s="44">
        <f t="shared" si="405"/>
        <v>0.80000000000000426</v>
      </c>
      <c r="I2243" cm="1">
        <f t="array" ref="I2243">INT(F2243)+IF(100-SUM(INT(F$2238:F$2248))&gt;=RANK(H2243,H$2238:H$2248)+COUNTIF(H$2238:H2243,H2243)-1,1,0)</f>
        <v>33</v>
      </c>
      <c r="J2243" t="b">
        <f t="shared" si="406"/>
        <v>1</v>
      </c>
      <c r="K2243" t="str">
        <f t="shared" si="407"/>
        <v>Trichoptera</v>
      </c>
      <c r="L2243">
        <f>_xlfn.XLOOKUP(D2243,BugList!C:C,BugList!N:N)</f>
        <v>4</v>
      </c>
      <c r="M2243">
        <f t="shared" si="410"/>
        <v>132</v>
      </c>
      <c r="N2243" t="b">
        <f>_xlfn.XLOOKUP(D2243,BugList!C:C,BugList!L:L)</f>
        <v>1</v>
      </c>
      <c r="O2243" t="b">
        <f t="shared" si="411"/>
        <v>0</v>
      </c>
      <c r="P2243" s="18" t="b">
        <f>SUMPRODUCT(COUNTIF(_xlfn.XLOOKUP(D2243,BugList!C:C,BugList!P:P), "*SC*"))&gt;0</f>
        <v>0</v>
      </c>
    </row>
    <row r="2244" spans="1:16">
      <c r="A2244" t="s">
        <v>2943</v>
      </c>
      <c r="B2244" s="83">
        <v>393</v>
      </c>
      <c r="C2244" s="34" t="s">
        <v>204</v>
      </c>
      <c r="D2244" s="34" t="s">
        <v>84</v>
      </c>
      <c r="E2244" s="83">
        <v>5</v>
      </c>
      <c r="F2244" s="43">
        <f t="shared" si="401"/>
        <v>4</v>
      </c>
      <c r="G2244" s="44">
        <f t="shared" si="404"/>
        <v>4</v>
      </c>
      <c r="H2244" s="44">
        <f t="shared" si="405"/>
        <v>0</v>
      </c>
      <c r="I2244" cm="1">
        <f t="array" ref="I2244">INT(F2244)+IF(100-SUM(INT(F$2238:F$2248))&gt;=RANK(H2244,H$2238:H$2248)+COUNTIF(H$2238:H2244,H2244)-1,1,0)</f>
        <v>4</v>
      </c>
      <c r="J2244" t="b">
        <f t="shared" si="406"/>
        <v>0</v>
      </c>
      <c r="K2244" t="str">
        <f t="shared" si="407"/>
        <v/>
      </c>
      <c r="L2244">
        <f>_xlfn.XLOOKUP(D2244,BugList!C:C,BugList!N:N)</f>
        <v>8</v>
      </c>
      <c r="M2244">
        <f t="shared" si="410"/>
        <v>32</v>
      </c>
      <c r="N2244" t="b">
        <f>_xlfn.XLOOKUP(D2244,BugList!C:C,BugList!L:L)</f>
        <v>0</v>
      </c>
      <c r="O2244" t="b">
        <f t="shared" si="411"/>
        <v>0</v>
      </c>
      <c r="P2244" s="18" t="b">
        <f>SUMPRODUCT(COUNTIF(_xlfn.XLOOKUP(D2244,BugList!C:C,BugList!P:P), "*SC*"))&gt;0</f>
        <v>0</v>
      </c>
    </row>
    <row r="2245" spans="1:16">
      <c r="A2245" t="s">
        <v>2943</v>
      </c>
      <c r="B2245" s="83">
        <v>393</v>
      </c>
      <c r="C2245" s="34" t="s">
        <v>210</v>
      </c>
      <c r="D2245" s="34" t="s">
        <v>93</v>
      </c>
      <c r="E2245" s="83">
        <v>6</v>
      </c>
      <c r="F2245" s="43">
        <f t="shared" si="401"/>
        <v>4.8</v>
      </c>
      <c r="G2245" s="44">
        <f t="shared" si="404"/>
        <v>4</v>
      </c>
      <c r="H2245" s="44">
        <f t="shared" si="405"/>
        <v>0.79999999999999982</v>
      </c>
      <c r="I2245" cm="1">
        <f t="array" ref="I2245">INT(F2245)+IF(100-SUM(INT(F$2238:F$2248))&gt;=RANK(H2245,H$2238:H$2248)+COUNTIF(H$2238:H2245,H2245)-1,1,0)</f>
        <v>5</v>
      </c>
      <c r="J2245" t="b">
        <f t="shared" si="406"/>
        <v>0</v>
      </c>
      <c r="K2245" t="str">
        <f t="shared" si="407"/>
        <v/>
      </c>
      <c r="L2245">
        <f>_xlfn.XLOOKUP(D2245,BugList!C:C,BugList!N:N)</f>
        <v>8</v>
      </c>
      <c r="M2245">
        <f t="shared" si="410"/>
        <v>40</v>
      </c>
      <c r="N2245" t="b">
        <f>_xlfn.XLOOKUP(D2245,BugList!C:C,BugList!L:L)</f>
        <v>0</v>
      </c>
      <c r="O2245" t="b">
        <f t="shared" si="411"/>
        <v>0</v>
      </c>
      <c r="P2245" s="18" t="b">
        <f>SUMPRODUCT(COUNTIF(_xlfn.XLOOKUP(D2245,BugList!C:C,BugList!P:P), "*SC*"))&gt;0</f>
        <v>0</v>
      </c>
    </row>
    <row r="2246" spans="1:16">
      <c r="A2246" t="s">
        <v>2943</v>
      </c>
      <c r="B2246" s="83">
        <v>393</v>
      </c>
      <c r="C2246" s="34" t="s">
        <v>2315</v>
      </c>
      <c r="D2246" s="34" t="s">
        <v>121</v>
      </c>
      <c r="E2246" s="83">
        <v>1</v>
      </c>
      <c r="F2246" s="43">
        <f t="shared" si="401"/>
        <v>0.8</v>
      </c>
      <c r="G2246" s="44">
        <f t="shared" si="404"/>
        <v>0</v>
      </c>
      <c r="H2246" s="44">
        <f t="shared" si="405"/>
        <v>0.8</v>
      </c>
      <c r="I2246" cm="1">
        <f t="array" ref="I2246">INT(F2246)+IF(100-SUM(INT(F$2238:F$2248))&gt;=RANK(H2246,H$2238:H$2248)+COUNTIF(H$2238:H2246,H2246)-1,1,0)</f>
        <v>1</v>
      </c>
      <c r="J2246" t="b">
        <f t="shared" si="406"/>
        <v>0</v>
      </c>
      <c r="K2246" t="str">
        <f t="shared" si="407"/>
        <v/>
      </c>
      <c r="L2246">
        <f>_xlfn.XLOOKUP(D2246,BugList!C:C,BugList!N:N)</f>
        <v>6</v>
      </c>
      <c r="M2246">
        <f t="shared" si="410"/>
        <v>6</v>
      </c>
      <c r="N2246" t="b">
        <f>_xlfn.XLOOKUP(D2246,BugList!C:C,BugList!L:L)</f>
        <v>0</v>
      </c>
      <c r="O2246" t="b">
        <f t="shared" si="411"/>
        <v>0</v>
      </c>
      <c r="P2246" s="18" t="b">
        <f>SUMPRODUCT(COUNTIF(_xlfn.XLOOKUP(D2246,BugList!C:C,BugList!P:P), "*SC*"))&gt;0</f>
        <v>0</v>
      </c>
    </row>
    <row r="2247" spans="1:16">
      <c r="A2247" t="s">
        <v>2943</v>
      </c>
      <c r="B2247" s="83">
        <v>393</v>
      </c>
      <c r="C2247" s="34" t="s">
        <v>205</v>
      </c>
      <c r="D2247" s="34" t="s">
        <v>206</v>
      </c>
      <c r="E2247" s="83">
        <v>1</v>
      </c>
      <c r="F2247" s="43">
        <f t="shared" si="401"/>
        <v>0.8</v>
      </c>
      <c r="G2247" s="44">
        <f t="shared" si="404"/>
        <v>0</v>
      </c>
      <c r="H2247" s="44">
        <f t="shared" si="405"/>
        <v>0.8</v>
      </c>
      <c r="I2247" cm="1">
        <f t="array" ref="I2247">INT(F2247)+IF(100-SUM(INT(F$2238:F$2248))&gt;=RANK(H2247,H$2238:H$2248)+COUNTIF(H$2238:H2247,H2247)-1,1,0)</f>
        <v>1</v>
      </c>
      <c r="J2247" t="b">
        <f t="shared" si="406"/>
        <v>0</v>
      </c>
      <c r="K2247" t="str">
        <f t="shared" si="407"/>
        <v/>
      </c>
      <c r="L2247" s="71">
        <v>8</v>
      </c>
      <c r="M2247">
        <f t="shared" ref="M2247" si="414">L2247*I2247</f>
        <v>8</v>
      </c>
      <c r="N2247" s="71" t="b">
        <v>0</v>
      </c>
      <c r="O2247" t="b">
        <f t="shared" ref="O2247" si="415">IF(J2247=TRUE,IF(D2247="Hydropsychidae", FALSE, TRUE), FALSE)</f>
        <v>0</v>
      </c>
      <c r="P2247" s="72" t="b">
        <v>0</v>
      </c>
    </row>
    <row r="2248" spans="1:16">
      <c r="A2248" t="s">
        <v>2943</v>
      </c>
      <c r="B2248" s="83">
        <v>393</v>
      </c>
      <c r="C2248" s="34" t="s">
        <v>94</v>
      </c>
      <c r="D2248" s="34" t="s">
        <v>94</v>
      </c>
      <c r="E2248" s="83">
        <v>2</v>
      </c>
      <c r="F2248" s="43">
        <f t="shared" si="401"/>
        <v>1.6</v>
      </c>
      <c r="G2248" s="44">
        <f t="shared" si="404"/>
        <v>1</v>
      </c>
      <c r="H2248" s="44">
        <f t="shared" si="405"/>
        <v>0.60000000000000009</v>
      </c>
      <c r="I2248" cm="1">
        <f t="array" ref="I2248">INT(F2248)+IF(100-SUM(INT(F$2238:F$2248))&gt;=RANK(H2248,H$2238:H$2248)+COUNTIF(H$2238:H2248,H2248)-1,1,0)</f>
        <v>1</v>
      </c>
      <c r="J2248" t="b">
        <f t="shared" si="406"/>
        <v>0</v>
      </c>
      <c r="K2248" t="str">
        <f t="shared" si="407"/>
        <v/>
      </c>
      <c r="L2248">
        <f>_xlfn.XLOOKUP(D2248,BugList!C:C,BugList!N:N)</f>
        <v>8</v>
      </c>
      <c r="M2248">
        <f t="shared" si="410"/>
        <v>8</v>
      </c>
      <c r="N2248" t="b">
        <f>_xlfn.XLOOKUP(D2248,BugList!C:C,BugList!L:L)</f>
        <v>0</v>
      </c>
      <c r="O2248" t="b">
        <f t="shared" si="411"/>
        <v>0</v>
      </c>
      <c r="P2248" s="18" t="b">
        <f>SUMPRODUCT(COUNTIF(_xlfn.XLOOKUP(D2248,BugList!C:C,BugList!P:P), "*SC*"))&gt;0</f>
        <v>0</v>
      </c>
    </row>
    <row r="2249" spans="1:16">
      <c r="A2249" t="s">
        <v>2944</v>
      </c>
      <c r="B2249" s="83">
        <v>405</v>
      </c>
      <c r="C2249" s="34" t="s">
        <v>200</v>
      </c>
      <c r="D2249" s="34" t="s">
        <v>98</v>
      </c>
      <c r="E2249" s="83">
        <v>20</v>
      </c>
      <c r="F2249" s="43">
        <f t="shared" si="401"/>
        <v>3.225806451612903</v>
      </c>
      <c r="G2249" s="44">
        <f t="shared" si="404"/>
        <v>3</v>
      </c>
      <c r="H2249" s="44">
        <f t="shared" si="405"/>
        <v>0.22580645161290303</v>
      </c>
      <c r="I2249" cm="1">
        <f t="array" ref="I2249">INT(F2249)+IF(100-SUM(INT(F$2249:F$2263))&gt;=RANK(H2249,H$2249:H$2263)+COUNTIF(H$2249:H2249,H2249)-1,1,0)</f>
        <v>3</v>
      </c>
      <c r="J2249" t="b">
        <f t="shared" si="406"/>
        <v>0</v>
      </c>
      <c r="K2249" t="str">
        <f t="shared" si="407"/>
        <v/>
      </c>
      <c r="L2249">
        <f>_xlfn.XLOOKUP(D2249,BugList!C:C,BugList!N:N)</f>
        <v>4</v>
      </c>
      <c r="M2249">
        <f t="shared" si="410"/>
        <v>12</v>
      </c>
      <c r="N2249" t="b">
        <f>_xlfn.XLOOKUP(D2249,BugList!C:C,BugList!L:L)</f>
        <v>1</v>
      </c>
      <c r="O2249" t="b">
        <f t="shared" si="411"/>
        <v>0</v>
      </c>
      <c r="P2249" s="18" t="b">
        <f>SUMPRODUCT(COUNTIF(_xlfn.XLOOKUP(D2249,BugList!C:C,BugList!P:P), "*SC*"))&gt;0</f>
        <v>1</v>
      </c>
    </row>
    <row r="2250" spans="1:16">
      <c r="A2250" t="s">
        <v>2944</v>
      </c>
      <c r="B2250" s="83">
        <v>405</v>
      </c>
      <c r="C2250" s="34" t="s">
        <v>194</v>
      </c>
      <c r="D2250" s="34" t="s">
        <v>124</v>
      </c>
      <c r="E2250" s="83">
        <v>2</v>
      </c>
      <c r="F2250" s="43">
        <f t="shared" si="401"/>
        <v>0.32258064516129031</v>
      </c>
      <c r="G2250" s="44">
        <f t="shared" si="404"/>
        <v>0</v>
      </c>
      <c r="H2250" s="44">
        <f t="shared" si="405"/>
        <v>0.32258064516129031</v>
      </c>
      <c r="I2250" cm="1">
        <f t="array" ref="I2250">INT(F2250)+IF(100-SUM(INT(F$2249:F$2263))&gt;=RANK(H2250,H$2249:H$2263)+COUNTIF(H$2249:H2250,H2250)-1,1,0)</f>
        <v>1</v>
      </c>
      <c r="J2250" t="b">
        <f t="shared" si="406"/>
        <v>0</v>
      </c>
      <c r="K2250" t="str">
        <f t="shared" si="407"/>
        <v/>
      </c>
      <c r="L2250">
        <f>_xlfn.XLOOKUP(D2250,BugList!C:C,BugList!N:N)</f>
        <v>6</v>
      </c>
      <c r="M2250">
        <f t="shared" si="410"/>
        <v>6</v>
      </c>
      <c r="N2250" t="b">
        <f>_xlfn.XLOOKUP(D2250,BugList!C:C,BugList!L:L)</f>
        <v>1</v>
      </c>
      <c r="O2250" t="b">
        <f t="shared" si="411"/>
        <v>0</v>
      </c>
      <c r="P2250" s="18" t="b">
        <f>SUMPRODUCT(COUNTIF(_xlfn.XLOOKUP(D2250,BugList!C:C,BugList!P:P), "*SC*"))&gt;0</f>
        <v>0</v>
      </c>
    </row>
    <row r="2251" spans="1:16">
      <c r="A2251" t="s">
        <v>2944</v>
      </c>
      <c r="B2251" s="83">
        <v>405</v>
      </c>
      <c r="C2251" s="34" t="s">
        <v>194</v>
      </c>
      <c r="D2251" s="34" t="s">
        <v>126</v>
      </c>
      <c r="E2251" s="83">
        <v>132</v>
      </c>
      <c r="F2251" s="43">
        <f t="shared" si="401"/>
        <v>21.29032258064516</v>
      </c>
      <c r="G2251" s="44">
        <f t="shared" si="404"/>
        <v>21</v>
      </c>
      <c r="H2251" s="44">
        <f t="shared" si="405"/>
        <v>0.29032258064516014</v>
      </c>
      <c r="I2251" cm="1">
        <f t="array" ref="I2251">INT(F2251)+IF(100-SUM(INT(F$2249:F$2263))&gt;=RANK(H2251,H$2249:H$2263)+COUNTIF(H$2249:H2251,H2251)-1,1,0)</f>
        <v>21</v>
      </c>
      <c r="J2251" t="b">
        <f t="shared" si="406"/>
        <v>0</v>
      </c>
      <c r="K2251" t="str">
        <f t="shared" si="407"/>
        <v/>
      </c>
      <c r="L2251">
        <f>_xlfn.XLOOKUP(D2251,BugList!C:C,BugList!N:N)</f>
        <v>8</v>
      </c>
      <c r="M2251">
        <f t="shared" si="410"/>
        <v>168</v>
      </c>
      <c r="N2251" t="b">
        <f>_xlfn.XLOOKUP(D2251,BugList!C:C,BugList!L:L)</f>
        <v>1</v>
      </c>
      <c r="O2251" t="b">
        <f t="shared" si="411"/>
        <v>0</v>
      </c>
      <c r="P2251" s="18" t="b">
        <f>SUMPRODUCT(COUNTIF(_xlfn.XLOOKUP(D2251,BugList!C:C,BugList!P:P), "*SC*"))&gt;0</f>
        <v>0</v>
      </c>
    </row>
    <row r="2252" spans="1:16">
      <c r="A2252" t="s">
        <v>2944</v>
      </c>
      <c r="B2252" s="83">
        <v>405</v>
      </c>
      <c r="C2252" s="34" t="s">
        <v>194</v>
      </c>
      <c r="D2252" s="34" t="s">
        <v>90</v>
      </c>
      <c r="E2252" s="83">
        <v>6</v>
      </c>
      <c r="F2252" s="43">
        <f t="shared" si="401"/>
        <v>0.967741935483871</v>
      </c>
      <c r="G2252" s="44">
        <f t="shared" si="404"/>
        <v>0</v>
      </c>
      <c r="H2252" s="44">
        <f t="shared" si="405"/>
        <v>0.967741935483871</v>
      </c>
      <c r="I2252" cm="1">
        <f t="array" ref="I2252">INT(F2252)+IF(100-SUM(INT(F$2249:F$2263))&gt;=RANK(H2252,H$2249:H$2263)+COUNTIF(H$2249:H2252,H2252)-1,1,0)</f>
        <v>1</v>
      </c>
      <c r="J2252" t="b">
        <f t="shared" si="406"/>
        <v>0</v>
      </c>
      <c r="K2252" t="str">
        <f t="shared" si="407"/>
        <v/>
      </c>
      <c r="L2252">
        <f>_xlfn.XLOOKUP(D2252,BugList!C:C,BugList!N:N)</f>
        <v>6</v>
      </c>
      <c r="M2252">
        <f t="shared" si="410"/>
        <v>6</v>
      </c>
      <c r="N2252" t="b">
        <f>_xlfn.XLOOKUP(D2252,BugList!C:C,BugList!L:L)</f>
        <v>1</v>
      </c>
      <c r="O2252" t="b">
        <f t="shared" si="411"/>
        <v>0</v>
      </c>
      <c r="P2252" s="18" t="b">
        <f>SUMPRODUCT(COUNTIF(_xlfn.XLOOKUP(D2252,BugList!C:C,BugList!P:P), "*SC*"))&gt;0</f>
        <v>0</v>
      </c>
    </row>
    <row r="2253" spans="1:16">
      <c r="A2253" t="s">
        <v>2944</v>
      </c>
      <c r="B2253" s="83">
        <v>405</v>
      </c>
      <c r="C2253" s="34" t="s">
        <v>199</v>
      </c>
      <c r="D2253" s="34" t="s">
        <v>154</v>
      </c>
      <c r="E2253" s="83">
        <v>2</v>
      </c>
      <c r="F2253" s="43">
        <f t="shared" si="401"/>
        <v>0.32258064516129031</v>
      </c>
      <c r="G2253" s="44">
        <f t="shared" si="404"/>
        <v>0</v>
      </c>
      <c r="H2253" s="44">
        <f t="shared" si="405"/>
        <v>0.32258064516129031</v>
      </c>
      <c r="I2253" cm="1">
        <f t="array" ref="I2253">INT(F2253)+IF(100-SUM(INT(F$2249:F$2263))&gt;=RANK(H2253,H$2249:H$2263)+COUNTIF(H$2249:H2253,H2253)-1,1,0)</f>
        <v>1</v>
      </c>
      <c r="J2253" t="b">
        <f t="shared" si="406"/>
        <v>1</v>
      </c>
      <c r="K2253" t="str">
        <f t="shared" si="407"/>
        <v>Ephemeroptera</v>
      </c>
      <c r="L2253">
        <f>_xlfn.XLOOKUP(D2253,BugList!C:C,BugList!N:N)</f>
        <v>7</v>
      </c>
      <c r="M2253">
        <f t="shared" si="410"/>
        <v>7</v>
      </c>
      <c r="N2253" t="b">
        <f>_xlfn.XLOOKUP(D2253,BugList!C:C,BugList!L:L)</f>
        <v>1</v>
      </c>
      <c r="O2253" t="b">
        <f t="shared" si="411"/>
        <v>1</v>
      </c>
      <c r="P2253" s="18" t="b">
        <f>SUMPRODUCT(COUNTIF(_xlfn.XLOOKUP(D2253,BugList!C:C,BugList!P:P), "*SC*"))&gt;0</f>
        <v>0</v>
      </c>
    </row>
    <row r="2254" spans="1:16">
      <c r="A2254" t="s">
        <v>2944</v>
      </c>
      <c r="B2254" s="83">
        <v>405</v>
      </c>
      <c r="C2254" s="34" t="s">
        <v>195</v>
      </c>
      <c r="D2254" s="34" t="s">
        <v>1117</v>
      </c>
      <c r="E2254" s="83">
        <v>1</v>
      </c>
      <c r="F2254" s="43">
        <f t="shared" si="401"/>
        <v>0.16129032258064516</v>
      </c>
      <c r="G2254" s="44">
        <f t="shared" si="404"/>
        <v>0</v>
      </c>
      <c r="H2254" s="44">
        <f t="shared" si="405"/>
        <v>0.16129032258064516</v>
      </c>
      <c r="I2254" cm="1">
        <f t="array" ref="I2254">INT(F2254)+IF(100-SUM(INT(F$2249:F$2263))&gt;=RANK(H2254,H$2249:H$2263)+COUNTIF(H$2249:H2254,H2254)-1,1,0)</f>
        <v>0</v>
      </c>
      <c r="J2254" t="b">
        <f t="shared" si="406"/>
        <v>0</v>
      </c>
      <c r="K2254" t="str">
        <f t="shared" si="407"/>
        <v/>
      </c>
      <c r="L2254">
        <f>_xlfn.XLOOKUP(D2254,BugList!C:C,BugList!N:N)</f>
        <v>9</v>
      </c>
      <c r="M2254">
        <f t="shared" si="410"/>
        <v>0</v>
      </c>
      <c r="N2254" t="b">
        <f>_xlfn.XLOOKUP(D2254,BugList!C:C,BugList!L:L)</f>
        <v>1</v>
      </c>
      <c r="O2254" t="b">
        <f t="shared" si="411"/>
        <v>0</v>
      </c>
      <c r="P2254" s="18" t="b">
        <f>SUMPRODUCT(COUNTIF(_xlfn.XLOOKUP(D2254,BugList!C:C,BugList!P:P), "*SC*"))&gt;0</f>
        <v>0</v>
      </c>
    </row>
    <row r="2255" spans="1:16">
      <c r="A2255" t="s">
        <v>2944</v>
      </c>
      <c r="B2255" s="83">
        <v>405</v>
      </c>
      <c r="C2255" s="34" t="s">
        <v>211</v>
      </c>
      <c r="D2255" s="34" t="s">
        <v>87</v>
      </c>
      <c r="E2255" s="83">
        <v>14</v>
      </c>
      <c r="F2255" s="43">
        <f t="shared" ref="F2255:F2318" si="416">(E2255/(SUMIFS(E:E,A:A,A2255))*100)</f>
        <v>2.258064516129032</v>
      </c>
      <c r="G2255" s="44">
        <f t="shared" si="404"/>
        <v>2</v>
      </c>
      <c r="H2255" s="44">
        <f t="shared" si="405"/>
        <v>0.25806451612903203</v>
      </c>
      <c r="I2255" cm="1">
        <f t="array" ref="I2255">INT(F2255)+IF(100-SUM(INT(F$2249:F$2263))&gt;=RANK(H2255,H$2249:H$2263)+COUNTIF(H$2249:H2255,H2255)-1,1,0)</f>
        <v>2</v>
      </c>
      <c r="J2255" t="b">
        <f t="shared" si="406"/>
        <v>0</v>
      </c>
      <c r="K2255" t="str">
        <f t="shared" si="407"/>
        <v/>
      </c>
      <c r="L2255">
        <f>_xlfn.XLOOKUP(D2255,BugList!C:C,BugList!N:N)</f>
        <v>4</v>
      </c>
      <c r="M2255">
        <f t="shared" si="410"/>
        <v>8</v>
      </c>
      <c r="N2255" t="b">
        <f>_xlfn.XLOOKUP(D2255,BugList!C:C,BugList!L:L)</f>
        <v>0</v>
      </c>
      <c r="O2255" t="b">
        <f t="shared" si="411"/>
        <v>0</v>
      </c>
      <c r="P2255" s="18" t="b">
        <f>SUMPRODUCT(COUNTIF(_xlfn.XLOOKUP(D2255,BugList!C:C,BugList!P:P), "*SC*"))&gt;0</f>
        <v>0</v>
      </c>
    </row>
    <row r="2256" spans="1:16">
      <c r="A2256" t="s">
        <v>2944</v>
      </c>
      <c r="B2256" s="83">
        <v>405</v>
      </c>
      <c r="C2256" s="34" t="s">
        <v>198</v>
      </c>
      <c r="D2256" s="34" t="s">
        <v>89</v>
      </c>
      <c r="E2256" s="83">
        <v>380</v>
      </c>
      <c r="F2256" s="43">
        <f t="shared" si="416"/>
        <v>61.29032258064516</v>
      </c>
      <c r="G2256" s="44">
        <f t="shared" si="404"/>
        <v>61</v>
      </c>
      <c r="H2256" s="44">
        <f t="shared" si="405"/>
        <v>0.29032258064516014</v>
      </c>
      <c r="I2256" cm="1">
        <f t="array" ref="I2256">INT(F2256)+IF(100-SUM(INT(F$2249:F$2263))&gt;=RANK(H2256,H$2249:H$2263)+COUNTIF(H$2249:H2256,H2256)-1,1,0)</f>
        <v>61</v>
      </c>
      <c r="J2256" t="b">
        <f t="shared" si="406"/>
        <v>1</v>
      </c>
      <c r="K2256" t="str">
        <f t="shared" si="407"/>
        <v>Trichoptera</v>
      </c>
      <c r="L2256">
        <f>_xlfn.XLOOKUP(D2256,BugList!C:C,BugList!N:N)</f>
        <v>4</v>
      </c>
      <c r="M2256">
        <f t="shared" si="410"/>
        <v>244</v>
      </c>
      <c r="N2256" t="b">
        <f>_xlfn.XLOOKUP(D2256,BugList!C:C,BugList!L:L)</f>
        <v>1</v>
      </c>
      <c r="O2256" t="b">
        <f t="shared" si="411"/>
        <v>0</v>
      </c>
      <c r="P2256" s="18" t="b">
        <f>SUMPRODUCT(COUNTIF(_xlfn.XLOOKUP(D2256,BugList!C:C,BugList!P:P), "*SC*"))&gt;0</f>
        <v>0</v>
      </c>
    </row>
    <row r="2257" spans="1:16">
      <c r="A2257" t="s">
        <v>2944</v>
      </c>
      <c r="B2257" s="83">
        <v>405</v>
      </c>
      <c r="C2257" s="34" t="s">
        <v>198</v>
      </c>
      <c r="D2257" s="34" t="s">
        <v>1263</v>
      </c>
      <c r="E2257" s="83">
        <v>1</v>
      </c>
      <c r="F2257" s="43">
        <f t="shared" si="416"/>
        <v>0.16129032258064516</v>
      </c>
      <c r="G2257" s="44">
        <f t="shared" si="404"/>
        <v>0</v>
      </c>
      <c r="H2257" s="44">
        <f t="shared" si="405"/>
        <v>0.16129032258064516</v>
      </c>
      <c r="I2257" cm="1">
        <f t="array" ref="I2257">INT(F2257)+IF(100-SUM(INT(F$2249:F$2263))&gt;=RANK(H2257,H$2249:H$2263)+COUNTIF(H$2249:H2257,H2257)-1,1,0)</f>
        <v>0</v>
      </c>
      <c r="J2257" t="b">
        <f t="shared" si="406"/>
        <v>1</v>
      </c>
      <c r="K2257" t="str">
        <f t="shared" si="407"/>
        <v>Trichoptera</v>
      </c>
      <c r="L2257">
        <f>_xlfn.XLOOKUP(D2257,BugList!C:C,BugList!N:N)</f>
        <v>4</v>
      </c>
      <c r="M2257">
        <f t="shared" si="410"/>
        <v>0</v>
      </c>
      <c r="N2257" t="b">
        <f>_xlfn.XLOOKUP(D2257,BugList!C:C,BugList!L:L)</f>
        <v>1</v>
      </c>
      <c r="O2257" t="b">
        <f t="shared" si="411"/>
        <v>1</v>
      </c>
      <c r="P2257" s="18" t="b">
        <f>SUMPRODUCT(COUNTIF(_xlfn.XLOOKUP(D2257,BugList!C:C,BugList!P:P), "*SC*"))&gt;0</f>
        <v>0</v>
      </c>
    </row>
    <row r="2258" spans="1:16">
      <c r="A2258" t="s">
        <v>2944</v>
      </c>
      <c r="B2258" s="83">
        <v>405</v>
      </c>
      <c r="C2258" s="34" t="s">
        <v>202</v>
      </c>
      <c r="D2258" s="34" t="s">
        <v>169</v>
      </c>
      <c r="E2258" s="83">
        <v>1</v>
      </c>
      <c r="F2258" s="43">
        <f t="shared" si="416"/>
        <v>0.16129032258064516</v>
      </c>
      <c r="G2258" s="44">
        <f t="shared" si="404"/>
        <v>0</v>
      </c>
      <c r="H2258" s="44">
        <f t="shared" si="405"/>
        <v>0.16129032258064516</v>
      </c>
      <c r="I2258" cm="1">
        <f t="array" ref="I2258">INT(F2258)+IF(100-SUM(INT(F$2249:F$2263))&gt;=RANK(H2258,H$2249:H$2263)+COUNTIF(H$2249:H2258,H2258)-1,1,0)</f>
        <v>0</v>
      </c>
      <c r="J2258" t="b">
        <f t="shared" si="406"/>
        <v>0</v>
      </c>
      <c r="K2258" t="str">
        <f t="shared" si="407"/>
        <v/>
      </c>
      <c r="L2258">
        <f>_xlfn.XLOOKUP(D2258,BugList!C:C,BugList!N:N)</f>
        <v>5</v>
      </c>
      <c r="M2258">
        <f t="shared" si="410"/>
        <v>0</v>
      </c>
      <c r="N2258" t="b">
        <f>_xlfn.XLOOKUP(D2258,BugList!C:C,BugList!L:L)</f>
        <v>0</v>
      </c>
      <c r="O2258" t="b">
        <f t="shared" si="411"/>
        <v>0</v>
      </c>
      <c r="P2258" s="18" t="b">
        <f>SUMPRODUCT(COUNTIF(_xlfn.XLOOKUP(D2258,BugList!C:C,BugList!P:P), "*SC*"))&gt;0</f>
        <v>0</v>
      </c>
    </row>
    <row r="2259" spans="1:16">
      <c r="A2259" t="s">
        <v>2944</v>
      </c>
      <c r="B2259" s="83">
        <v>405</v>
      </c>
      <c r="C2259" s="34" t="s">
        <v>210</v>
      </c>
      <c r="D2259" s="34" t="s">
        <v>93</v>
      </c>
      <c r="E2259" s="83">
        <v>49</v>
      </c>
      <c r="F2259" s="43">
        <f t="shared" si="416"/>
        <v>7.9032258064516121</v>
      </c>
      <c r="G2259" s="44">
        <f t="shared" si="404"/>
        <v>7</v>
      </c>
      <c r="H2259" s="44">
        <f t="shared" si="405"/>
        <v>0.9032258064516121</v>
      </c>
      <c r="I2259" cm="1">
        <f t="array" ref="I2259">INT(F2259)+IF(100-SUM(INT(F$2249:F$2263))&gt;=RANK(H2259,H$2249:H$2263)+COUNTIF(H$2249:H2259,H2259)-1,1,0)</f>
        <v>8</v>
      </c>
      <c r="J2259" t="b">
        <f t="shared" si="406"/>
        <v>0</v>
      </c>
      <c r="K2259" t="str">
        <f t="shared" si="407"/>
        <v/>
      </c>
      <c r="L2259">
        <f>_xlfn.XLOOKUP(D2259,BugList!C:C,BugList!N:N)</f>
        <v>8</v>
      </c>
      <c r="M2259">
        <f t="shared" si="410"/>
        <v>64</v>
      </c>
      <c r="N2259" t="b">
        <f>_xlfn.XLOOKUP(D2259,BugList!C:C,BugList!L:L)</f>
        <v>0</v>
      </c>
      <c r="O2259" t="b">
        <f t="shared" si="411"/>
        <v>0</v>
      </c>
      <c r="P2259" s="18" t="b">
        <f>SUMPRODUCT(COUNTIF(_xlfn.XLOOKUP(D2259,BugList!C:C,BugList!P:P), "*SC*"))&gt;0</f>
        <v>0</v>
      </c>
    </row>
    <row r="2260" spans="1:16">
      <c r="A2260" t="s">
        <v>2944</v>
      </c>
      <c r="B2260" s="83">
        <v>405</v>
      </c>
      <c r="C2260" s="34" t="s">
        <v>2315</v>
      </c>
      <c r="D2260" s="34" t="s">
        <v>102</v>
      </c>
      <c r="E2260" s="83">
        <v>2</v>
      </c>
      <c r="F2260" s="43">
        <f t="shared" si="416"/>
        <v>0.32258064516129031</v>
      </c>
      <c r="G2260" s="44">
        <f t="shared" si="404"/>
        <v>0</v>
      </c>
      <c r="H2260" s="44">
        <f t="shared" si="405"/>
        <v>0.32258064516129031</v>
      </c>
      <c r="I2260" cm="1">
        <f t="array" ref="I2260">INT(F2260)+IF(100-SUM(INT(F$2249:F$2263))&gt;=RANK(H2260,H$2249:H$2263)+COUNTIF(H$2249:H2260,H2260)-1,1,0)</f>
        <v>0</v>
      </c>
      <c r="J2260" t="b">
        <f t="shared" si="406"/>
        <v>0</v>
      </c>
      <c r="K2260" t="str">
        <f t="shared" si="407"/>
        <v/>
      </c>
      <c r="L2260">
        <f>_xlfn.XLOOKUP(D2260,BugList!C:C,BugList!N:N)</f>
        <v>7</v>
      </c>
      <c r="M2260">
        <f t="shared" si="410"/>
        <v>0</v>
      </c>
      <c r="N2260" t="b">
        <f>_xlfn.XLOOKUP(D2260,BugList!C:C,BugList!L:L)</f>
        <v>0</v>
      </c>
      <c r="O2260" t="b">
        <f t="shared" si="411"/>
        <v>0</v>
      </c>
      <c r="P2260" s="18" t="b">
        <f>SUMPRODUCT(COUNTIF(_xlfn.XLOOKUP(D2260,BugList!C:C,BugList!P:P), "*SC*"))&gt;0</f>
        <v>1</v>
      </c>
    </row>
    <row r="2261" spans="1:16">
      <c r="A2261" t="s">
        <v>2944</v>
      </c>
      <c r="B2261" s="83">
        <v>405</v>
      </c>
      <c r="C2261" s="34" t="s">
        <v>2315</v>
      </c>
      <c r="D2261" s="34" t="s">
        <v>121</v>
      </c>
      <c r="E2261" s="83">
        <v>1</v>
      </c>
      <c r="F2261" s="43">
        <f t="shared" si="416"/>
        <v>0.16129032258064516</v>
      </c>
      <c r="G2261" s="44">
        <f t="shared" si="404"/>
        <v>0</v>
      </c>
      <c r="H2261" s="44">
        <f t="shared" si="405"/>
        <v>0.16129032258064516</v>
      </c>
      <c r="I2261" cm="1">
        <f t="array" ref="I2261">INT(F2261)+IF(100-SUM(INT(F$2249:F$2263))&gt;=RANK(H2261,H$2249:H$2263)+COUNTIF(H$2249:H2261,H2261)-1,1,0)</f>
        <v>0</v>
      </c>
      <c r="J2261" t="b">
        <f t="shared" si="406"/>
        <v>0</v>
      </c>
      <c r="K2261" t="str">
        <f t="shared" si="407"/>
        <v/>
      </c>
      <c r="L2261">
        <f>_xlfn.XLOOKUP(D2261,BugList!C:C,BugList!N:N)</f>
        <v>6</v>
      </c>
      <c r="M2261">
        <f t="shared" si="410"/>
        <v>0</v>
      </c>
      <c r="N2261" t="b">
        <f>_xlfn.XLOOKUP(D2261,BugList!C:C,BugList!L:L)</f>
        <v>0</v>
      </c>
      <c r="O2261" t="b">
        <f t="shared" si="411"/>
        <v>0</v>
      </c>
      <c r="P2261" s="18" t="b">
        <f>SUMPRODUCT(COUNTIF(_xlfn.XLOOKUP(D2261,BugList!C:C,BugList!P:P), "*SC*"))&gt;0</f>
        <v>0</v>
      </c>
    </row>
    <row r="2262" spans="1:16">
      <c r="A2262" t="s">
        <v>2944</v>
      </c>
      <c r="B2262" s="83">
        <v>405</v>
      </c>
      <c r="C2262" s="34" t="s">
        <v>205</v>
      </c>
      <c r="D2262" s="34" t="s">
        <v>206</v>
      </c>
      <c r="E2262" s="83">
        <v>6</v>
      </c>
      <c r="F2262" s="43">
        <f t="shared" si="416"/>
        <v>0.967741935483871</v>
      </c>
      <c r="G2262" s="44">
        <f t="shared" si="404"/>
        <v>0</v>
      </c>
      <c r="H2262" s="44">
        <f t="shared" si="405"/>
        <v>0.967741935483871</v>
      </c>
      <c r="I2262" cm="1">
        <f t="array" ref="I2262">INT(F2262)+IF(100-SUM(INT(F$2249:F$2263))&gt;=RANK(H2262,H$2249:H$2263)+COUNTIF(H$2249:H2262,H2262)-1,1,0)</f>
        <v>1</v>
      </c>
      <c r="J2262" t="b">
        <f t="shared" si="406"/>
        <v>0</v>
      </c>
      <c r="K2262" t="str">
        <f t="shared" si="407"/>
        <v/>
      </c>
      <c r="L2262" s="71">
        <v>8</v>
      </c>
      <c r="M2262">
        <f t="shared" ref="M2262" si="417">L2262*I2262</f>
        <v>8</v>
      </c>
      <c r="N2262" s="71" t="b">
        <v>0</v>
      </c>
      <c r="O2262" t="b">
        <f t="shared" ref="O2262" si="418">IF(J2262=TRUE,IF(D2262="Hydropsychidae", FALSE, TRUE), FALSE)</f>
        <v>0</v>
      </c>
      <c r="P2262" s="72" t="b">
        <v>0</v>
      </c>
    </row>
    <row r="2263" spans="1:16">
      <c r="A2263" t="s">
        <v>2944</v>
      </c>
      <c r="B2263" s="83">
        <v>405</v>
      </c>
      <c r="C2263" s="34" t="s">
        <v>94</v>
      </c>
      <c r="D2263" s="34" t="s">
        <v>94</v>
      </c>
      <c r="E2263" s="83">
        <v>3</v>
      </c>
      <c r="F2263" s="43">
        <f t="shared" si="416"/>
        <v>0.4838709677419355</v>
      </c>
      <c r="G2263" s="44">
        <f t="shared" si="404"/>
        <v>0</v>
      </c>
      <c r="H2263" s="44">
        <f t="shared" si="405"/>
        <v>0.4838709677419355</v>
      </c>
      <c r="I2263" cm="1">
        <f t="array" ref="I2263">INT(F2263)+IF(100-SUM(INT(F$2249:F$2263))&gt;=RANK(H2263,H$2249:H$2263)+COUNTIF(H$2249:H2263,H2263)-1,1,0)</f>
        <v>1</v>
      </c>
      <c r="J2263" t="b">
        <f t="shared" si="406"/>
        <v>0</v>
      </c>
      <c r="K2263" t="str">
        <f t="shared" si="407"/>
        <v/>
      </c>
      <c r="L2263">
        <f>_xlfn.XLOOKUP(D2263,BugList!C:C,BugList!N:N)</f>
        <v>8</v>
      </c>
      <c r="M2263">
        <f t="shared" si="410"/>
        <v>8</v>
      </c>
      <c r="N2263" t="b">
        <f>_xlfn.XLOOKUP(D2263,BugList!C:C,BugList!L:L)</f>
        <v>0</v>
      </c>
      <c r="O2263" t="b">
        <f t="shared" si="411"/>
        <v>0</v>
      </c>
      <c r="P2263" s="18" t="b">
        <f>SUMPRODUCT(COUNTIF(_xlfn.XLOOKUP(D2263,BugList!C:C,BugList!P:P), "*SC*"))&gt;0</f>
        <v>0</v>
      </c>
    </row>
    <row r="2264" spans="1:16">
      <c r="A2264" t="s">
        <v>2945</v>
      </c>
      <c r="B2264" s="83">
        <v>415</v>
      </c>
      <c r="C2264" s="34" t="s">
        <v>200</v>
      </c>
      <c r="D2264" s="34" t="s">
        <v>98</v>
      </c>
      <c r="E2264" s="83">
        <v>18</v>
      </c>
      <c r="F2264" s="43">
        <f t="shared" si="416"/>
        <v>5.1575931232091694</v>
      </c>
      <c r="G2264" s="44">
        <f t="shared" si="404"/>
        <v>5</v>
      </c>
      <c r="H2264" s="44">
        <f t="shared" si="405"/>
        <v>0.15759312320916941</v>
      </c>
      <c r="I2264" cm="1">
        <f t="array" ref="I2264">INT(F2264)+IF(100-SUM(INT(F$2264:F$2273))&gt;=RANK(H2264,H$2264:H$2273)+COUNTIF(H$2264:H2264,H2264)-1,1,0)</f>
        <v>5</v>
      </c>
      <c r="J2264" t="b">
        <f t="shared" si="406"/>
        <v>0</v>
      </c>
      <c r="K2264" t="str">
        <f t="shared" si="407"/>
        <v/>
      </c>
      <c r="L2264">
        <f>_xlfn.XLOOKUP(D2264,BugList!C:C,BugList!N:N)</f>
        <v>4</v>
      </c>
      <c r="M2264">
        <f t="shared" si="410"/>
        <v>20</v>
      </c>
      <c r="N2264" t="b">
        <f>_xlfn.XLOOKUP(D2264,BugList!C:C,BugList!L:L)</f>
        <v>1</v>
      </c>
      <c r="O2264" t="b">
        <f t="shared" si="411"/>
        <v>0</v>
      </c>
      <c r="P2264" s="18" t="b">
        <f>SUMPRODUCT(COUNTIF(_xlfn.XLOOKUP(D2264,BugList!C:C,BugList!P:P), "*SC*"))&gt;0</f>
        <v>1</v>
      </c>
    </row>
    <row r="2265" spans="1:16">
      <c r="A2265" t="s">
        <v>2945</v>
      </c>
      <c r="B2265" s="83">
        <v>415</v>
      </c>
      <c r="C2265" s="34" t="s">
        <v>194</v>
      </c>
      <c r="D2265" s="34" t="s">
        <v>126</v>
      </c>
      <c r="E2265" s="83">
        <v>84</v>
      </c>
      <c r="F2265" s="43">
        <f t="shared" si="416"/>
        <v>24.068767908309454</v>
      </c>
      <c r="G2265" s="44">
        <f t="shared" si="404"/>
        <v>24</v>
      </c>
      <c r="H2265" s="44">
        <f t="shared" si="405"/>
        <v>6.8767908309453674E-2</v>
      </c>
      <c r="I2265" cm="1">
        <f t="array" ref="I2265">INT(F2265)+IF(100-SUM(INT(F$2264:F$2273))&gt;=RANK(H2265,H$2264:H$2273)+COUNTIF(H$2264:H2265,H2265)-1,1,0)</f>
        <v>24</v>
      </c>
      <c r="J2265" t="b">
        <f t="shared" si="406"/>
        <v>0</v>
      </c>
      <c r="K2265" t="str">
        <f t="shared" si="407"/>
        <v/>
      </c>
      <c r="L2265">
        <f>_xlfn.XLOOKUP(D2265,BugList!C:C,BugList!N:N)</f>
        <v>8</v>
      </c>
      <c r="M2265">
        <f t="shared" si="410"/>
        <v>192</v>
      </c>
      <c r="N2265" t="b">
        <f>_xlfn.XLOOKUP(D2265,BugList!C:C,BugList!L:L)</f>
        <v>1</v>
      </c>
      <c r="O2265" t="b">
        <f t="shared" si="411"/>
        <v>0</v>
      </c>
      <c r="P2265" s="18" t="b">
        <f>SUMPRODUCT(COUNTIF(_xlfn.XLOOKUP(D2265,BugList!C:C,BugList!P:P), "*SC*"))&gt;0</f>
        <v>0</v>
      </c>
    </row>
    <row r="2266" spans="1:16">
      <c r="A2266" t="s">
        <v>2945</v>
      </c>
      <c r="B2266" s="83">
        <v>415</v>
      </c>
      <c r="C2266" s="34" t="s">
        <v>195</v>
      </c>
      <c r="D2266" s="34" t="s">
        <v>97</v>
      </c>
      <c r="E2266" s="83">
        <v>2</v>
      </c>
      <c r="F2266" s="43">
        <f t="shared" si="416"/>
        <v>0.57306590257879653</v>
      </c>
      <c r="G2266" s="44">
        <f t="shared" si="404"/>
        <v>0</v>
      </c>
      <c r="H2266" s="44">
        <f t="shared" si="405"/>
        <v>0.57306590257879653</v>
      </c>
      <c r="I2266" cm="1">
        <f t="array" ref="I2266">INT(F2266)+IF(100-SUM(INT(F$2264:F$2273))&gt;=RANK(H2266,H$2264:H$2273)+COUNTIF(H$2264:H2266,H2266)-1,1,0)</f>
        <v>1</v>
      </c>
      <c r="J2266" t="b">
        <f t="shared" si="406"/>
        <v>0</v>
      </c>
      <c r="K2266" t="str">
        <f t="shared" si="407"/>
        <v/>
      </c>
      <c r="L2266">
        <f>_xlfn.XLOOKUP(D2266,BugList!C:C,BugList!N:N)</f>
        <v>9</v>
      </c>
      <c r="M2266">
        <f t="shared" si="410"/>
        <v>9</v>
      </c>
      <c r="N2266" t="b">
        <f>_xlfn.XLOOKUP(D2266,BugList!C:C,BugList!L:L)</f>
        <v>1</v>
      </c>
      <c r="O2266" t="b">
        <f t="shared" si="411"/>
        <v>0</v>
      </c>
      <c r="P2266" s="18" t="b">
        <f>SUMPRODUCT(COUNTIF(_xlfn.XLOOKUP(D2266,BugList!C:C,BugList!P:P), "*SC*"))&gt;0</f>
        <v>0</v>
      </c>
    </row>
    <row r="2267" spans="1:16">
      <c r="A2267" t="s">
        <v>2945</v>
      </c>
      <c r="B2267" s="83">
        <v>415</v>
      </c>
      <c r="C2267" s="34" t="s">
        <v>211</v>
      </c>
      <c r="D2267" s="34" t="s">
        <v>87</v>
      </c>
      <c r="E2267" s="83">
        <v>175</v>
      </c>
      <c r="F2267" s="43">
        <f t="shared" si="416"/>
        <v>50.143266475644701</v>
      </c>
      <c r="G2267" s="44">
        <f t="shared" si="404"/>
        <v>50</v>
      </c>
      <c r="H2267" s="44">
        <f t="shared" si="405"/>
        <v>0.14326647564470107</v>
      </c>
      <c r="I2267" cm="1">
        <f t="array" ref="I2267">INT(F2267)+IF(100-SUM(INT(F$2264:F$2273))&gt;=RANK(H2267,H$2264:H$2273)+COUNTIF(H$2264:H2267,H2267)-1,1,0)</f>
        <v>50</v>
      </c>
      <c r="J2267" t="b">
        <f t="shared" si="406"/>
        <v>0</v>
      </c>
      <c r="K2267" t="str">
        <f t="shared" si="407"/>
        <v/>
      </c>
      <c r="L2267">
        <f>_xlfn.XLOOKUP(D2267,BugList!C:C,BugList!N:N)</f>
        <v>4</v>
      </c>
      <c r="M2267">
        <f t="shared" si="410"/>
        <v>200</v>
      </c>
      <c r="N2267" t="b">
        <f>_xlfn.XLOOKUP(D2267,BugList!C:C,BugList!L:L)</f>
        <v>0</v>
      </c>
      <c r="O2267" t="b">
        <f t="shared" si="411"/>
        <v>0</v>
      </c>
      <c r="P2267" s="18" t="b">
        <f>SUMPRODUCT(COUNTIF(_xlfn.XLOOKUP(D2267,BugList!C:C,BugList!P:P), "*SC*"))&gt;0</f>
        <v>0</v>
      </c>
    </row>
    <row r="2268" spans="1:16">
      <c r="A2268" t="s">
        <v>2945</v>
      </c>
      <c r="B2268" s="83">
        <v>415</v>
      </c>
      <c r="C2268" s="34" t="s">
        <v>198</v>
      </c>
      <c r="D2268" s="34" t="s">
        <v>89</v>
      </c>
      <c r="E2268" s="83">
        <v>60</v>
      </c>
      <c r="F2268" s="43">
        <f t="shared" si="416"/>
        <v>17.191977077363894</v>
      </c>
      <c r="G2268" s="44">
        <f t="shared" si="404"/>
        <v>17</v>
      </c>
      <c r="H2268" s="44">
        <f t="shared" si="405"/>
        <v>0.19197707736389447</v>
      </c>
      <c r="I2268" cm="1">
        <f t="array" ref="I2268">INT(F2268)+IF(100-SUM(INT(F$2264:F$2273))&gt;=RANK(H2268,H$2264:H$2273)+COUNTIF(H$2264:H2268,H2268)-1,1,0)</f>
        <v>17</v>
      </c>
      <c r="J2268" t="b">
        <f t="shared" si="406"/>
        <v>1</v>
      </c>
      <c r="K2268" t="str">
        <f t="shared" si="407"/>
        <v>Trichoptera</v>
      </c>
      <c r="L2268">
        <f>_xlfn.XLOOKUP(D2268,BugList!C:C,BugList!N:N)</f>
        <v>4</v>
      </c>
      <c r="M2268">
        <f t="shared" si="410"/>
        <v>68</v>
      </c>
      <c r="N2268" t="b">
        <f>_xlfn.XLOOKUP(D2268,BugList!C:C,BugList!L:L)</f>
        <v>1</v>
      </c>
      <c r="O2268" t="b">
        <f t="shared" si="411"/>
        <v>0</v>
      </c>
      <c r="P2268" s="18" t="b">
        <f>SUMPRODUCT(COUNTIF(_xlfn.XLOOKUP(D2268,BugList!C:C,BugList!P:P), "*SC*"))&gt;0</f>
        <v>0</v>
      </c>
    </row>
    <row r="2269" spans="1:16">
      <c r="A2269" t="s">
        <v>2945</v>
      </c>
      <c r="B2269" s="83">
        <v>415</v>
      </c>
      <c r="C2269" s="34" t="s">
        <v>204</v>
      </c>
      <c r="D2269" s="34" t="s">
        <v>84</v>
      </c>
      <c r="E2269" s="83">
        <v>3</v>
      </c>
      <c r="F2269" s="43">
        <f t="shared" si="416"/>
        <v>0.8595988538681949</v>
      </c>
      <c r="G2269" s="44">
        <f t="shared" si="404"/>
        <v>0</v>
      </c>
      <c r="H2269" s="44">
        <f t="shared" si="405"/>
        <v>0.8595988538681949</v>
      </c>
      <c r="I2269" cm="1">
        <f t="array" ref="I2269">INT(F2269)+IF(100-SUM(INT(F$2264:F$2273))&gt;=RANK(H2269,H$2264:H$2273)+COUNTIF(H$2264:H2269,H2269)-1,1,0)</f>
        <v>1</v>
      </c>
      <c r="J2269" t="b">
        <f t="shared" si="406"/>
        <v>0</v>
      </c>
      <c r="K2269" t="str">
        <f t="shared" si="407"/>
        <v/>
      </c>
      <c r="L2269">
        <f>_xlfn.XLOOKUP(D2269,BugList!C:C,BugList!N:N)</f>
        <v>8</v>
      </c>
      <c r="M2269">
        <f t="shared" si="410"/>
        <v>8</v>
      </c>
      <c r="N2269" t="b">
        <f>_xlfn.XLOOKUP(D2269,BugList!C:C,BugList!L:L)</f>
        <v>0</v>
      </c>
      <c r="O2269" t="b">
        <f t="shared" si="411"/>
        <v>0</v>
      </c>
      <c r="P2269" s="18" t="b">
        <f>SUMPRODUCT(COUNTIF(_xlfn.XLOOKUP(D2269,BugList!C:C,BugList!P:P), "*SC*"))&gt;0</f>
        <v>0</v>
      </c>
    </row>
    <row r="2270" spans="1:16">
      <c r="A2270" t="s">
        <v>2945</v>
      </c>
      <c r="B2270" s="83">
        <v>415</v>
      </c>
      <c r="C2270" s="34" t="s">
        <v>210</v>
      </c>
      <c r="D2270" s="34" t="s">
        <v>93</v>
      </c>
      <c r="E2270" s="83">
        <v>2</v>
      </c>
      <c r="F2270" s="43">
        <f t="shared" si="416"/>
        <v>0.57306590257879653</v>
      </c>
      <c r="G2270" s="44">
        <f t="shared" si="404"/>
        <v>0</v>
      </c>
      <c r="H2270" s="44">
        <f t="shared" si="405"/>
        <v>0.57306590257879653</v>
      </c>
      <c r="I2270" cm="1">
        <f t="array" ref="I2270">INT(F2270)+IF(100-SUM(INT(F$2264:F$2273))&gt;=RANK(H2270,H$2264:H$2273)+COUNTIF(H$2264:H2270,H2270)-1,1,0)</f>
        <v>1</v>
      </c>
      <c r="J2270" t="b">
        <f t="shared" si="406"/>
        <v>0</v>
      </c>
      <c r="K2270" t="str">
        <f t="shared" si="407"/>
        <v/>
      </c>
      <c r="L2270">
        <f>_xlfn.XLOOKUP(D2270,BugList!C:C,BugList!N:N)</f>
        <v>8</v>
      </c>
      <c r="M2270">
        <f t="shared" si="410"/>
        <v>8</v>
      </c>
      <c r="N2270" t="b">
        <f>_xlfn.XLOOKUP(D2270,BugList!C:C,BugList!L:L)</f>
        <v>0</v>
      </c>
      <c r="O2270" t="b">
        <f t="shared" si="411"/>
        <v>0</v>
      </c>
      <c r="P2270" s="18" t="b">
        <f>SUMPRODUCT(COUNTIF(_xlfn.XLOOKUP(D2270,BugList!C:C,BugList!P:P), "*SC*"))&gt;0</f>
        <v>0</v>
      </c>
    </row>
    <row r="2271" spans="1:16">
      <c r="A2271" t="s">
        <v>2945</v>
      </c>
      <c r="B2271" s="83">
        <v>415</v>
      </c>
      <c r="C2271" s="34" t="s">
        <v>2315</v>
      </c>
      <c r="D2271" s="34" t="s">
        <v>102</v>
      </c>
      <c r="E2271" s="83">
        <v>3</v>
      </c>
      <c r="F2271" s="43">
        <f t="shared" si="416"/>
        <v>0.8595988538681949</v>
      </c>
      <c r="G2271" s="44">
        <f t="shared" si="404"/>
        <v>0</v>
      </c>
      <c r="H2271" s="44">
        <f t="shared" si="405"/>
        <v>0.8595988538681949</v>
      </c>
      <c r="I2271" cm="1">
        <f t="array" ref="I2271">INT(F2271)+IF(100-SUM(INT(F$2264:F$2273))&gt;=RANK(H2271,H$2264:H$2273)+COUNTIF(H$2264:H2271,H2271)-1,1,0)</f>
        <v>1</v>
      </c>
      <c r="J2271" t="b">
        <f t="shared" si="406"/>
        <v>0</v>
      </c>
      <c r="K2271" t="str">
        <f t="shared" si="407"/>
        <v/>
      </c>
      <c r="L2271">
        <f>_xlfn.XLOOKUP(D2271,BugList!C:C,BugList!N:N)</f>
        <v>7</v>
      </c>
      <c r="M2271">
        <f t="shared" si="410"/>
        <v>7</v>
      </c>
      <c r="N2271" t="b">
        <f>_xlfn.XLOOKUP(D2271,BugList!C:C,BugList!L:L)</f>
        <v>0</v>
      </c>
      <c r="O2271" t="b">
        <f t="shared" si="411"/>
        <v>0</v>
      </c>
      <c r="P2271" s="18" t="b">
        <f>SUMPRODUCT(COUNTIF(_xlfn.XLOOKUP(D2271,BugList!C:C,BugList!P:P), "*SC*"))&gt;0</f>
        <v>1</v>
      </c>
    </row>
    <row r="2272" spans="1:16">
      <c r="A2272" t="s">
        <v>2945</v>
      </c>
      <c r="B2272" s="83">
        <v>415</v>
      </c>
      <c r="C2272" s="34" t="s">
        <v>2315</v>
      </c>
      <c r="D2272" s="34" t="s">
        <v>121</v>
      </c>
      <c r="E2272" s="83">
        <v>1</v>
      </c>
      <c r="F2272" s="43">
        <f t="shared" si="416"/>
        <v>0.28653295128939826</v>
      </c>
      <c r="G2272" s="44">
        <f t="shared" si="404"/>
        <v>0</v>
      </c>
      <c r="H2272" s="44">
        <f t="shared" si="405"/>
        <v>0.28653295128939826</v>
      </c>
      <c r="I2272" cm="1">
        <f t="array" ref="I2272">INT(F2272)+IF(100-SUM(INT(F$2264:F$2273))&gt;=RANK(H2272,H$2264:H$2273)+COUNTIF(H$2264:H2272,H2272)-1,1,0)</f>
        <v>0</v>
      </c>
      <c r="J2272" t="b">
        <f t="shared" si="406"/>
        <v>0</v>
      </c>
      <c r="K2272" t="str">
        <f t="shared" si="407"/>
        <v/>
      </c>
      <c r="L2272">
        <f>_xlfn.XLOOKUP(D2272,BugList!C:C,BugList!N:N)</f>
        <v>6</v>
      </c>
      <c r="M2272">
        <f t="shared" si="410"/>
        <v>0</v>
      </c>
      <c r="N2272" t="b">
        <f>_xlfn.XLOOKUP(D2272,BugList!C:C,BugList!L:L)</f>
        <v>0</v>
      </c>
      <c r="O2272" t="b">
        <f t="shared" si="411"/>
        <v>0</v>
      </c>
      <c r="P2272" s="18" t="b">
        <f>SUMPRODUCT(COUNTIF(_xlfn.XLOOKUP(D2272,BugList!C:C,BugList!P:P), "*SC*"))&gt;0</f>
        <v>0</v>
      </c>
    </row>
    <row r="2273" spans="1:16">
      <c r="A2273" t="s">
        <v>2945</v>
      </c>
      <c r="B2273" s="83">
        <v>415</v>
      </c>
      <c r="C2273" s="34" t="s">
        <v>94</v>
      </c>
      <c r="D2273" s="34" t="s">
        <v>94</v>
      </c>
      <c r="E2273" s="83">
        <v>1</v>
      </c>
      <c r="F2273" s="43">
        <f t="shared" si="416"/>
        <v>0.28653295128939826</v>
      </c>
      <c r="G2273" s="44">
        <f t="shared" si="404"/>
        <v>0</v>
      </c>
      <c r="H2273" s="44">
        <f t="shared" si="405"/>
        <v>0.28653295128939826</v>
      </c>
      <c r="I2273" cm="1">
        <f t="array" ref="I2273">INT(F2273)+IF(100-SUM(INT(F$2264:F$2273))&gt;=RANK(H2273,H$2264:H$2273)+COUNTIF(H$2264:H2273,H2273)-1,1,0)</f>
        <v>0</v>
      </c>
      <c r="J2273" t="b">
        <f t="shared" si="406"/>
        <v>0</v>
      </c>
      <c r="K2273" t="str">
        <f t="shared" si="407"/>
        <v/>
      </c>
      <c r="L2273">
        <f>_xlfn.XLOOKUP(D2273,BugList!C:C,BugList!N:N)</f>
        <v>8</v>
      </c>
      <c r="M2273">
        <f t="shared" si="410"/>
        <v>0</v>
      </c>
      <c r="N2273" t="b">
        <f>_xlfn.XLOOKUP(D2273,BugList!C:C,BugList!L:L)</f>
        <v>0</v>
      </c>
      <c r="O2273" t="b">
        <f t="shared" si="411"/>
        <v>0</v>
      </c>
      <c r="P2273" s="18" t="b">
        <f>SUMPRODUCT(COUNTIF(_xlfn.XLOOKUP(D2273,BugList!C:C,BugList!P:P), "*SC*"))&gt;0</f>
        <v>0</v>
      </c>
    </row>
    <row r="2274" spans="1:16">
      <c r="A2274" t="s">
        <v>2946</v>
      </c>
      <c r="B2274" s="83">
        <v>429</v>
      </c>
      <c r="C2274" s="34" t="s">
        <v>200</v>
      </c>
      <c r="D2274" s="34" t="s">
        <v>98</v>
      </c>
      <c r="E2274" s="83">
        <v>5</v>
      </c>
      <c r="F2274" s="43">
        <f t="shared" si="416"/>
        <v>3.90625</v>
      </c>
      <c r="G2274" s="44">
        <f t="shared" si="404"/>
        <v>3</v>
      </c>
      <c r="H2274" s="44">
        <f t="shared" si="405"/>
        <v>0.90625</v>
      </c>
      <c r="I2274" cm="1">
        <f t="array" ref="I2274">INT(F2274)+IF(100-SUM(INT(F$2274:F$2285))&gt;=RANK(H2274,H$2274:H$2285)+COUNTIF(H$2274:H2274,H2274)-1,1,0)</f>
        <v>4</v>
      </c>
      <c r="J2274" t="b">
        <f t="shared" si="406"/>
        <v>0</v>
      </c>
      <c r="K2274" t="str">
        <f t="shared" si="407"/>
        <v/>
      </c>
      <c r="L2274">
        <f>_xlfn.XLOOKUP(D2274,BugList!C:C,BugList!N:N)</f>
        <v>4</v>
      </c>
      <c r="M2274">
        <f t="shared" si="410"/>
        <v>16</v>
      </c>
      <c r="N2274" t="b">
        <f>_xlfn.XLOOKUP(D2274,BugList!C:C,BugList!L:L)</f>
        <v>1</v>
      </c>
      <c r="O2274" t="b">
        <f t="shared" si="411"/>
        <v>0</v>
      </c>
      <c r="P2274" s="18" t="b">
        <f>SUMPRODUCT(COUNTIF(_xlfn.XLOOKUP(D2274,BugList!C:C,BugList!P:P), "*SC*"))&gt;0</f>
        <v>1</v>
      </c>
    </row>
    <row r="2275" spans="1:16">
      <c r="A2275" t="s">
        <v>2946</v>
      </c>
      <c r="B2275" s="83">
        <v>429</v>
      </c>
      <c r="C2275" s="34" t="s">
        <v>194</v>
      </c>
      <c r="D2275" s="34" t="s">
        <v>126</v>
      </c>
      <c r="E2275" s="83">
        <v>27</v>
      </c>
      <c r="F2275" s="43">
        <f t="shared" si="416"/>
        <v>21.09375</v>
      </c>
      <c r="G2275" s="44">
        <f t="shared" ref="G2275:G2338" si="419">INT(F2275)</f>
        <v>21</v>
      </c>
      <c r="H2275" s="44">
        <f t="shared" ref="H2275:H2338" si="420">F2275-G2275</f>
        <v>9.375E-2</v>
      </c>
      <c r="I2275" cm="1">
        <f t="array" ref="I2275">INT(F2275)+IF(100-SUM(INT(F$2274:F$2285))&gt;=RANK(H2275,H$2274:H$2285)+COUNTIF(H$2274:H2275,H2275)-1,1,0)</f>
        <v>21</v>
      </c>
      <c r="J2275" t="b">
        <f t="shared" ref="J2275:J2338" si="421">IF(OR(C2275="Ephemeroptera", C2275 ="Plecoptera", C2275= "Trichoptera"), TRUE, FALSE)</f>
        <v>0</v>
      </c>
      <c r="K2275" t="str">
        <f t="shared" ref="K2275:K2338" si="422">IF(J2275=TRUE,C2275,"")</f>
        <v/>
      </c>
      <c r="L2275">
        <f>_xlfn.XLOOKUP(D2275,BugList!C:C,BugList!N:N)</f>
        <v>8</v>
      </c>
      <c r="M2275">
        <f t="shared" ref="M2275:M2338" si="423">L2275*I2275</f>
        <v>168</v>
      </c>
      <c r="N2275" t="b">
        <f>_xlfn.XLOOKUP(D2275,BugList!C:C,BugList!L:L)</f>
        <v>1</v>
      </c>
      <c r="O2275" t="b">
        <f t="shared" ref="O2275:O2338" si="424">IF(J2275=TRUE,IF(D2275="Hydropsychidae", FALSE, TRUE), FALSE)</f>
        <v>0</v>
      </c>
      <c r="P2275" s="18" t="b">
        <f>SUMPRODUCT(COUNTIF(_xlfn.XLOOKUP(D2275,BugList!C:C,BugList!P:P), "*SC*"))&gt;0</f>
        <v>0</v>
      </c>
    </row>
    <row r="2276" spans="1:16">
      <c r="A2276" t="s">
        <v>2946</v>
      </c>
      <c r="B2276" s="83">
        <v>429</v>
      </c>
      <c r="C2276" s="34" t="s">
        <v>194</v>
      </c>
      <c r="D2276" s="34" t="s">
        <v>90</v>
      </c>
      <c r="E2276" s="83">
        <v>5</v>
      </c>
      <c r="F2276" s="43">
        <f t="shared" si="416"/>
        <v>3.90625</v>
      </c>
      <c r="G2276" s="44">
        <f t="shared" si="419"/>
        <v>3</v>
      </c>
      <c r="H2276" s="44">
        <f t="shared" si="420"/>
        <v>0.90625</v>
      </c>
      <c r="I2276" cm="1">
        <f t="array" ref="I2276">INT(F2276)+IF(100-SUM(INT(F$2274:F$2285))&gt;=RANK(H2276,H$2274:H$2285)+COUNTIF(H$2274:H2276,H2276)-1,1,0)</f>
        <v>4</v>
      </c>
      <c r="J2276" t="b">
        <f t="shared" si="421"/>
        <v>0</v>
      </c>
      <c r="K2276" t="str">
        <f t="shared" si="422"/>
        <v/>
      </c>
      <c r="L2276">
        <f>_xlfn.XLOOKUP(D2276,BugList!C:C,BugList!N:N)</f>
        <v>6</v>
      </c>
      <c r="M2276">
        <f t="shared" si="423"/>
        <v>24</v>
      </c>
      <c r="N2276" t="b">
        <f>_xlfn.XLOOKUP(D2276,BugList!C:C,BugList!L:L)</f>
        <v>1</v>
      </c>
      <c r="O2276" t="b">
        <f t="shared" si="424"/>
        <v>0</v>
      </c>
      <c r="P2276" s="18" t="b">
        <f>SUMPRODUCT(COUNTIF(_xlfn.XLOOKUP(D2276,BugList!C:C,BugList!P:P), "*SC*"))&gt;0</f>
        <v>0</v>
      </c>
    </row>
    <row r="2277" spans="1:16">
      <c r="A2277" t="s">
        <v>2946</v>
      </c>
      <c r="B2277" s="83">
        <v>429</v>
      </c>
      <c r="C2277" s="34" t="s">
        <v>195</v>
      </c>
      <c r="D2277" s="34" t="s">
        <v>97</v>
      </c>
      <c r="E2277" s="83">
        <v>2</v>
      </c>
      <c r="F2277" s="43">
        <f t="shared" si="416"/>
        <v>1.5625</v>
      </c>
      <c r="G2277" s="44">
        <f t="shared" si="419"/>
        <v>1</v>
      </c>
      <c r="H2277" s="44">
        <f t="shared" si="420"/>
        <v>0.5625</v>
      </c>
      <c r="I2277" cm="1">
        <f t="array" ref="I2277">INT(F2277)+IF(100-SUM(INT(F$2274:F$2285))&gt;=RANK(H2277,H$2274:H$2285)+COUNTIF(H$2274:H2277,H2277)-1,1,0)</f>
        <v>2</v>
      </c>
      <c r="J2277" t="b">
        <f t="shared" si="421"/>
        <v>0</v>
      </c>
      <c r="K2277" t="str">
        <f t="shared" si="422"/>
        <v/>
      </c>
      <c r="L2277">
        <f>_xlfn.XLOOKUP(D2277,BugList!C:C,BugList!N:N)</f>
        <v>9</v>
      </c>
      <c r="M2277">
        <f t="shared" si="423"/>
        <v>18</v>
      </c>
      <c r="N2277" t="b">
        <f>_xlfn.XLOOKUP(D2277,BugList!C:C,BugList!L:L)</f>
        <v>1</v>
      </c>
      <c r="O2277" t="b">
        <f t="shared" si="424"/>
        <v>0</v>
      </c>
      <c r="P2277" s="18" t="b">
        <f>SUMPRODUCT(COUNTIF(_xlfn.XLOOKUP(D2277,BugList!C:C,BugList!P:P), "*SC*"))&gt;0</f>
        <v>0</v>
      </c>
    </row>
    <row r="2278" spans="1:16">
      <c r="A2278" t="s">
        <v>2946</v>
      </c>
      <c r="B2278" s="83">
        <v>429</v>
      </c>
      <c r="C2278" s="34" t="s">
        <v>195</v>
      </c>
      <c r="D2278" s="34" t="s">
        <v>196</v>
      </c>
      <c r="E2278" s="83">
        <v>1</v>
      </c>
      <c r="F2278" s="43">
        <f t="shared" si="416"/>
        <v>0.78125</v>
      </c>
      <c r="G2278" s="44">
        <f t="shared" si="419"/>
        <v>0</v>
      </c>
      <c r="H2278" s="44">
        <f t="shared" si="420"/>
        <v>0.78125</v>
      </c>
      <c r="I2278" cm="1">
        <f t="array" ref="I2278">INT(F2278)+IF(100-SUM(INT(F$2274:F$2285))&gt;=RANK(H2278,H$2274:H$2285)+COUNTIF(H$2274:H2278,H2278)-1,1,0)</f>
        <v>1</v>
      </c>
      <c r="J2278" t="b">
        <f t="shared" si="421"/>
        <v>0</v>
      </c>
      <c r="K2278" t="str">
        <f t="shared" si="422"/>
        <v/>
      </c>
      <c r="L2278">
        <f>_xlfn.XLOOKUP(D2278,BugList!C:C,BugList!N:N)</f>
        <v>9</v>
      </c>
      <c r="M2278">
        <f t="shared" si="423"/>
        <v>9</v>
      </c>
      <c r="N2278" t="b">
        <f>_xlfn.XLOOKUP(D2278,BugList!C:C,BugList!L:L)</f>
        <v>1</v>
      </c>
      <c r="O2278" t="b">
        <f t="shared" si="424"/>
        <v>0</v>
      </c>
      <c r="P2278" s="18" t="b">
        <f>SUMPRODUCT(COUNTIF(_xlfn.XLOOKUP(D2278,BugList!C:C,BugList!P:P), "*SC*"))&gt;0</f>
        <v>0</v>
      </c>
    </row>
    <row r="2279" spans="1:16">
      <c r="A2279" t="s">
        <v>2946</v>
      </c>
      <c r="B2279" s="83">
        <v>429</v>
      </c>
      <c r="C2279" s="34" t="s">
        <v>211</v>
      </c>
      <c r="D2279" s="34" t="s">
        <v>87</v>
      </c>
      <c r="E2279" s="83">
        <v>21</v>
      </c>
      <c r="F2279" s="43">
        <f t="shared" si="416"/>
        <v>16.40625</v>
      </c>
      <c r="G2279" s="44">
        <f t="shared" si="419"/>
        <v>16</v>
      </c>
      <c r="H2279" s="44">
        <f t="shared" si="420"/>
        <v>0.40625</v>
      </c>
      <c r="I2279" cm="1">
        <f t="array" ref="I2279">INT(F2279)+IF(100-SUM(INT(F$2274:F$2285))&gt;=RANK(H2279,H$2274:H$2285)+COUNTIF(H$2274:H2279,H2279)-1,1,0)</f>
        <v>16</v>
      </c>
      <c r="J2279" t="b">
        <f t="shared" si="421"/>
        <v>0</v>
      </c>
      <c r="K2279" t="str">
        <f t="shared" si="422"/>
        <v/>
      </c>
      <c r="L2279">
        <f>_xlfn.XLOOKUP(D2279,BugList!C:C,BugList!N:N)</f>
        <v>4</v>
      </c>
      <c r="M2279">
        <f t="shared" si="423"/>
        <v>64</v>
      </c>
      <c r="N2279" t="b">
        <f>_xlfn.XLOOKUP(D2279,BugList!C:C,BugList!L:L)</f>
        <v>0</v>
      </c>
      <c r="O2279" t="b">
        <f t="shared" si="424"/>
        <v>0</v>
      </c>
      <c r="P2279" s="18" t="b">
        <f>SUMPRODUCT(COUNTIF(_xlfn.XLOOKUP(D2279,BugList!C:C,BugList!P:P), "*SC*"))&gt;0</f>
        <v>0</v>
      </c>
    </row>
    <row r="2280" spans="1:16">
      <c r="A2280" t="s">
        <v>2946</v>
      </c>
      <c r="B2280" s="83">
        <v>429</v>
      </c>
      <c r="C2280" s="34" t="s">
        <v>198</v>
      </c>
      <c r="D2280" s="34" t="s">
        <v>89</v>
      </c>
      <c r="E2280" s="83">
        <v>43</v>
      </c>
      <c r="F2280" s="43">
        <f t="shared" si="416"/>
        <v>33.59375</v>
      </c>
      <c r="G2280" s="44">
        <f t="shared" si="419"/>
        <v>33</v>
      </c>
      <c r="H2280" s="44">
        <f t="shared" si="420"/>
        <v>0.59375</v>
      </c>
      <c r="I2280" cm="1">
        <f t="array" ref="I2280">INT(F2280)+IF(100-SUM(INT(F$2274:F$2285))&gt;=RANK(H2280,H$2274:H$2285)+COUNTIF(H$2274:H2280,H2280)-1,1,0)</f>
        <v>34</v>
      </c>
      <c r="J2280" t="b">
        <f t="shared" si="421"/>
        <v>1</v>
      </c>
      <c r="K2280" t="str">
        <f t="shared" si="422"/>
        <v>Trichoptera</v>
      </c>
      <c r="L2280">
        <f>_xlfn.XLOOKUP(D2280,BugList!C:C,BugList!N:N)</f>
        <v>4</v>
      </c>
      <c r="M2280">
        <f t="shared" si="423"/>
        <v>136</v>
      </c>
      <c r="N2280" t="b">
        <f>_xlfn.XLOOKUP(D2280,BugList!C:C,BugList!L:L)</f>
        <v>1</v>
      </c>
      <c r="O2280" t="b">
        <f t="shared" si="424"/>
        <v>0</v>
      </c>
      <c r="P2280" s="18" t="b">
        <f>SUMPRODUCT(COUNTIF(_xlfn.XLOOKUP(D2280,BugList!C:C,BugList!P:P), "*SC*"))&gt;0</f>
        <v>0</v>
      </c>
    </row>
    <row r="2281" spans="1:16">
      <c r="A2281" t="s">
        <v>2946</v>
      </c>
      <c r="B2281" s="83">
        <v>429</v>
      </c>
      <c r="C2281" s="34" t="s">
        <v>204</v>
      </c>
      <c r="D2281" s="34" t="s">
        <v>84</v>
      </c>
      <c r="E2281" s="83">
        <v>7</v>
      </c>
      <c r="F2281" s="43">
        <f t="shared" si="416"/>
        <v>5.46875</v>
      </c>
      <c r="G2281" s="44">
        <f t="shared" si="419"/>
        <v>5</v>
      </c>
      <c r="H2281" s="44">
        <f t="shared" si="420"/>
        <v>0.46875</v>
      </c>
      <c r="I2281" cm="1">
        <f t="array" ref="I2281">INT(F2281)+IF(100-SUM(INT(F$2274:F$2285))&gt;=RANK(H2281,H$2274:H$2285)+COUNTIF(H$2274:H2281,H2281)-1,1,0)</f>
        <v>5</v>
      </c>
      <c r="J2281" t="b">
        <f t="shared" si="421"/>
        <v>0</v>
      </c>
      <c r="K2281" t="str">
        <f t="shared" si="422"/>
        <v/>
      </c>
      <c r="L2281">
        <f>_xlfn.XLOOKUP(D2281,BugList!C:C,BugList!N:N)</f>
        <v>8</v>
      </c>
      <c r="M2281">
        <f t="shared" si="423"/>
        <v>40</v>
      </c>
      <c r="N2281" t="b">
        <f>_xlfn.XLOOKUP(D2281,BugList!C:C,BugList!L:L)</f>
        <v>0</v>
      </c>
      <c r="O2281" t="b">
        <f t="shared" si="424"/>
        <v>0</v>
      </c>
      <c r="P2281" s="18" t="b">
        <f>SUMPRODUCT(COUNTIF(_xlfn.XLOOKUP(D2281,BugList!C:C,BugList!P:P), "*SC*"))&gt;0</f>
        <v>0</v>
      </c>
    </row>
    <row r="2282" spans="1:16">
      <c r="A2282" t="s">
        <v>2946</v>
      </c>
      <c r="B2282" s="83">
        <v>429</v>
      </c>
      <c r="C2282" s="34" t="s">
        <v>210</v>
      </c>
      <c r="D2282" s="34" t="s">
        <v>93</v>
      </c>
      <c r="E2282" s="83">
        <v>7</v>
      </c>
      <c r="F2282" s="43">
        <f t="shared" si="416"/>
        <v>5.46875</v>
      </c>
      <c r="G2282" s="44">
        <f t="shared" si="419"/>
        <v>5</v>
      </c>
      <c r="H2282" s="44">
        <f t="shared" si="420"/>
        <v>0.46875</v>
      </c>
      <c r="I2282" cm="1">
        <f t="array" ref="I2282">INT(F2282)+IF(100-SUM(INT(F$2274:F$2285))&gt;=RANK(H2282,H$2274:H$2285)+COUNTIF(H$2274:H2282,H2282)-1,1,0)</f>
        <v>5</v>
      </c>
      <c r="J2282" t="b">
        <f t="shared" si="421"/>
        <v>0</v>
      </c>
      <c r="K2282" t="str">
        <f t="shared" si="422"/>
        <v/>
      </c>
      <c r="L2282">
        <f>_xlfn.XLOOKUP(D2282,BugList!C:C,BugList!N:N)</f>
        <v>8</v>
      </c>
      <c r="M2282">
        <f t="shared" si="423"/>
        <v>40</v>
      </c>
      <c r="N2282" t="b">
        <f>_xlfn.XLOOKUP(D2282,BugList!C:C,BugList!L:L)</f>
        <v>0</v>
      </c>
      <c r="O2282" t="b">
        <f t="shared" si="424"/>
        <v>0</v>
      </c>
      <c r="P2282" s="18" t="b">
        <f>SUMPRODUCT(COUNTIF(_xlfn.XLOOKUP(D2282,BugList!C:C,BugList!P:P), "*SC*"))&gt;0</f>
        <v>0</v>
      </c>
    </row>
    <row r="2283" spans="1:16">
      <c r="A2283" t="s">
        <v>2946</v>
      </c>
      <c r="B2283" s="83">
        <v>429</v>
      </c>
      <c r="C2283" s="34" t="s">
        <v>2315</v>
      </c>
      <c r="D2283" s="34" t="s">
        <v>102</v>
      </c>
      <c r="E2283" s="83">
        <v>3</v>
      </c>
      <c r="F2283" s="43">
        <f t="shared" si="416"/>
        <v>2.34375</v>
      </c>
      <c r="G2283" s="44">
        <f t="shared" si="419"/>
        <v>2</v>
      </c>
      <c r="H2283" s="44">
        <f t="shared" si="420"/>
        <v>0.34375</v>
      </c>
      <c r="I2283" cm="1">
        <f t="array" ref="I2283">INT(F2283)+IF(100-SUM(INT(F$2274:F$2285))&gt;=RANK(H2283,H$2274:H$2285)+COUNTIF(H$2274:H2283,H2283)-1,1,0)</f>
        <v>2</v>
      </c>
      <c r="J2283" t="b">
        <f t="shared" si="421"/>
        <v>0</v>
      </c>
      <c r="K2283" t="str">
        <f t="shared" si="422"/>
        <v/>
      </c>
      <c r="L2283">
        <f>_xlfn.XLOOKUP(D2283,BugList!C:C,BugList!N:N)</f>
        <v>7</v>
      </c>
      <c r="M2283">
        <f t="shared" si="423"/>
        <v>14</v>
      </c>
      <c r="N2283" t="b">
        <f>_xlfn.XLOOKUP(D2283,BugList!C:C,BugList!L:L)</f>
        <v>0</v>
      </c>
      <c r="O2283" t="b">
        <f t="shared" si="424"/>
        <v>0</v>
      </c>
      <c r="P2283" s="18" t="b">
        <f>SUMPRODUCT(COUNTIF(_xlfn.XLOOKUP(D2283,BugList!C:C,BugList!P:P), "*SC*"))&gt;0</f>
        <v>1</v>
      </c>
    </row>
    <row r="2284" spans="1:16">
      <c r="A2284" t="s">
        <v>2946</v>
      </c>
      <c r="B2284" s="83">
        <v>429</v>
      </c>
      <c r="C2284" s="34" t="s">
        <v>2315</v>
      </c>
      <c r="D2284" s="34" t="s">
        <v>121</v>
      </c>
      <c r="E2284" s="83">
        <v>2</v>
      </c>
      <c r="F2284" s="43">
        <f t="shared" si="416"/>
        <v>1.5625</v>
      </c>
      <c r="G2284" s="44">
        <f t="shared" si="419"/>
        <v>1</v>
      </c>
      <c r="H2284" s="44">
        <f t="shared" si="420"/>
        <v>0.5625</v>
      </c>
      <c r="I2284" cm="1">
        <f t="array" ref="I2284">INT(F2284)+IF(100-SUM(INT(F$2274:F$2285))&gt;=RANK(H2284,H$2274:H$2285)+COUNTIF(H$2274:H2284,H2284)-1,1,0)</f>
        <v>2</v>
      </c>
      <c r="J2284" t="b">
        <f t="shared" si="421"/>
        <v>0</v>
      </c>
      <c r="K2284" t="str">
        <f t="shared" si="422"/>
        <v/>
      </c>
      <c r="L2284">
        <f>_xlfn.XLOOKUP(D2284,BugList!C:C,BugList!N:N)</f>
        <v>6</v>
      </c>
      <c r="M2284">
        <f t="shared" si="423"/>
        <v>12</v>
      </c>
      <c r="N2284" t="b">
        <f>_xlfn.XLOOKUP(D2284,BugList!C:C,BugList!L:L)</f>
        <v>0</v>
      </c>
      <c r="O2284" t="b">
        <f t="shared" si="424"/>
        <v>0</v>
      </c>
      <c r="P2284" s="18" t="b">
        <f>SUMPRODUCT(COUNTIF(_xlfn.XLOOKUP(D2284,BugList!C:C,BugList!P:P), "*SC*"))&gt;0</f>
        <v>0</v>
      </c>
    </row>
    <row r="2285" spans="1:16">
      <c r="A2285" t="s">
        <v>2946</v>
      </c>
      <c r="B2285" s="83">
        <v>429</v>
      </c>
      <c r="C2285" s="34" t="s">
        <v>94</v>
      </c>
      <c r="D2285" s="34" t="s">
        <v>94</v>
      </c>
      <c r="E2285" s="83">
        <v>5</v>
      </c>
      <c r="F2285" s="43">
        <f t="shared" si="416"/>
        <v>3.90625</v>
      </c>
      <c r="G2285" s="44">
        <f t="shared" si="419"/>
        <v>3</v>
      </c>
      <c r="H2285" s="44">
        <f t="shared" si="420"/>
        <v>0.90625</v>
      </c>
      <c r="I2285" cm="1">
        <f t="array" ref="I2285">INT(F2285)+IF(100-SUM(INT(F$2274:F$2285))&gt;=RANK(H2285,H$2274:H$2285)+COUNTIF(H$2274:H2285,H2285)-1,1,0)</f>
        <v>4</v>
      </c>
      <c r="J2285" t="b">
        <f t="shared" si="421"/>
        <v>0</v>
      </c>
      <c r="K2285" t="str">
        <f t="shared" si="422"/>
        <v/>
      </c>
      <c r="L2285">
        <f>_xlfn.XLOOKUP(D2285,BugList!C:C,BugList!N:N)</f>
        <v>8</v>
      </c>
      <c r="M2285">
        <f t="shared" si="423"/>
        <v>32</v>
      </c>
      <c r="N2285" t="b">
        <f>_xlfn.XLOOKUP(D2285,BugList!C:C,BugList!L:L)</f>
        <v>0</v>
      </c>
      <c r="O2285" t="b">
        <f t="shared" si="424"/>
        <v>0</v>
      </c>
      <c r="P2285" s="18" t="b">
        <f>SUMPRODUCT(COUNTIF(_xlfn.XLOOKUP(D2285,BugList!C:C,BugList!P:P), "*SC*"))&gt;0</f>
        <v>0</v>
      </c>
    </row>
    <row r="2286" spans="1:16">
      <c r="A2286" t="s">
        <v>2947</v>
      </c>
      <c r="B2286" s="83">
        <v>445</v>
      </c>
      <c r="C2286" s="34" t="s">
        <v>200</v>
      </c>
      <c r="D2286" s="34" t="s">
        <v>98</v>
      </c>
      <c r="E2286" s="83">
        <v>25</v>
      </c>
      <c r="F2286" s="43">
        <f t="shared" si="416"/>
        <v>6.25</v>
      </c>
      <c r="G2286" s="44">
        <f t="shared" si="419"/>
        <v>6</v>
      </c>
      <c r="H2286" s="44">
        <f t="shared" si="420"/>
        <v>0.25</v>
      </c>
      <c r="I2286" cm="1">
        <f t="array" ref="I2286">INT(F2286)+IF(100-SUM(INT(F$2286:F$2299))&gt;=RANK(H2286,H$2286:H$2299)+COUNTIF(H$2286:H2286,H2286)-1,1,0)</f>
        <v>6</v>
      </c>
      <c r="J2286" t="b">
        <f t="shared" si="421"/>
        <v>0</v>
      </c>
      <c r="K2286" t="str">
        <f t="shared" si="422"/>
        <v/>
      </c>
      <c r="L2286">
        <f>_xlfn.XLOOKUP(D2286,BugList!C:C,BugList!N:N)</f>
        <v>4</v>
      </c>
      <c r="M2286">
        <f t="shared" si="423"/>
        <v>24</v>
      </c>
      <c r="N2286" t="b">
        <f>_xlfn.XLOOKUP(D2286,BugList!C:C,BugList!L:L)</f>
        <v>1</v>
      </c>
      <c r="O2286" t="b">
        <f t="shared" si="424"/>
        <v>0</v>
      </c>
      <c r="P2286" s="18" t="b">
        <f>SUMPRODUCT(COUNTIF(_xlfn.XLOOKUP(D2286,BugList!C:C,BugList!P:P), "*SC*"))&gt;0</f>
        <v>1</v>
      </c>
    </row>
    <row r="2287" spans="1:16">
      <c r="A2287" t="s">
        <v>2947</v>
      </c>
      <c r="B2287" s="83">
        <v>445</v>
      </c>
      <c r="C2287" s="34" t="s">
        <v>194</v>
      </c>
      <c r="D2287" s="34" t="s">
        <v>124</v>
      </c>
      <c r="E2287" s="83">
        <v>3</v>
      </c>
      <c r="F2287" s="43">
        <f t="shared" si="416"/>
        <v>0.75</v>
      </c>
      <c r="G2287" s="44">
        <f t="shared" si="419"/>
        <v>0</v>
      </c>
      <c r="H2287" s="44">
        <f t="shared" si="420"/>
        <v>0.75</v>
      </c>
      <c r="I2287" cm="1">
        <f t="array" ref="I2287">INT(F2287)+IF(100-SUM(INT(F$2286:F$2299))&gt;=RANK(H2287,H$2286:H$2299)+COUNTIF(H$2286:H2287,H2287)-1,1,0)</f>
        <v>1</v>
      </c>
      <c r="J2287" t="b">
        <f t="shared" si="421"/>
        <v>0</v>
      </c>
      <c r="K2287" t="str">
        <f t="shared" si="422"/>
        <v/>
      </c>
      <c r="L2287">
        <f>_xlfn.XLOOKUP(D2287,BugList!C:C,BugList!N:N)</f>
        <v>6</v>
      </c>
      <c r="M2287">
        <f t="shared" si="423"/>
        <v>6</v>
      </c>
      <c r="N2287" t="b">
        <f>_xlfn.XLOOKUP(D2287,BugList!C:C,BugList!L:L)</f>
        <v>1</v>
      </c>
      <c r="O2287" t="b">
        <f t="shared" si="424"/>
        <v>0</v>
      </c>
      <c r="P2287" s="18" t="b">
        <f>SUMPRODUCT(COUNTIF(_xlfn.XLOOKUP(D2287,BugList!C:C,BugList!P:P), "*SC*"))&gt;0</f>
        <v>0</v>
      </c>
    </row>
    <row r="2288" spans="1:16">
      <c r="A2288" t="s">
        <v>2947</v>
      </c>
      <c r="B2288" s="83">
        <v>445</v>
      </c>
      <c r="C2288" s="34" t="s">
        <v>194</v>
      </c>
      <c r="D2288" s="34" t="s">
        <v>126</v>
      </c>
      <c r="E2288" s="83">
        <v>94</v>
      </c>
      <c r="F2288" s="43">
        <f t="shared" si="416"/>
        <v>23.5</v>
      </c>
      <c r="G2288" s="44">
        <f t="shared" si="419"/>
        <v>23</v>
      </c>
      <c r="H2288" s="44">
        <f t="shared" si="420"/>
        <v>0.5</v>
      </c>
      <c r="I2288" cm="1">
        <f t="array" ref="I2288">INT(F2288)+IF(100-SUM(INT(F$2286:F$2299))&gt;=RANK(H2288,H$2286:H$2299)+COUNTIF(H$2286:H2288,H2288)-1,1,0)</f>
        <v>24</v>
      </c>
      <c r="J2288" t="b">
        <f t="shared" si="421"/>
        <v>0</v>
      </c>
      <c r="K2288" t="str">
        <f t="shared" si="422"/>
        <v/>
      </c>
      <c r="L2288">
        <f>_xlfn.XLOOKUP(D2288,BugList!C:C,BugList!N:N)</f>
        <v>8</v>
      </c>
      <c r="M2288">
        <f t="shared" si="423"/>
        <v>192</v>
      </c>
      <c r="N2288" t="b">
        <f>_xlfn.XLOOKUP(D2288,BugList!C:C,BugList!L:L)</f>
        <v>1</v>
      </c>
      <c r="O2288" t="b">
        <f t="shared" si="424"/>
        <v>0</v>
      </c>
      <c r="P2288" s="18" t="b">
        <f>SUMPRODUCT(COUNTIF(_xlfn.XLOOKUP(D2288,BugList!C:C,BugList!P:P), "*SC*"))&gt;0</f>
        <v>0</v>
      </c>
    </row>
    <row r="2289" spans="1:16">
      <c r="A2289" t="s">
        <v>2947</v>
      </c>
      <c r="B2289" s="83">
        <v>445</v>
      </c>
      <c r="C2289" s="34" t="s">
        <v>194</v>
      </c>
      <c r="D2289" s="34" t="s">
        <v>90</v>
      </c>
      <c r="E2289" s="83">
        <v>1</v>
      </c>
      <c r="F2289" s="43">
        <f t="shared" si="416"/>
        <v>0.25</v>
      </c>
      <c r="G2289" s="44">
        <f t="shared" si="419"/>
        <v>0</v>
      </c>
      <c r="H2289" s="44">
        <f t="shared" si="420"/>
        <v>0.25</v>
      </c>
      <c r="I2289" cm="1">
        <f t="array" ref="I2289">INT(F2289)+IF(100-SUM(INT(F$2286:F$2299))&gt;=RANK(H2289,H$2286:H$2299)+COUNTIF(H$2286:H2289,H2289)-1,1,0)</f>
        <v>0</v>
      </c>
      <c r="J2289" t="b">
        <f t="shared" si="421"/>
        <v>0</v>
      </c>
      <c r="K2289" t="str">
        <f t="shared" si="422"/>
        <v/>
      </c>
      <c r="L2289">
        <f>_xlfn.XLOOKUP(D2289,BugList!C:C,BugList!N:N)</f>
        <v>6</v>
      </c>
      <c r="M2289">
        <f t="shared" si="423"/>
        <v>0</v>
      </c>
      <c r="N2289" t="b">
        <f>_xlfn.XLOOKUP(D2289,BugList!C:C,BugList!L:L)</f>
        <v>1</v>
      </c>
      <c r="O2289" t="b">
        <f t="shared" si="424"/>
        <v>0</v>
      </c>
      <c r="P2289" s="18" t="b">
        <f>SUMPRODUCT(COUNTIF(_xlfn.XLOOKUP(D2289,BugList!C:C,BugList!P:P), "*SC*"))&gt;0</f>
        <v>0</v>
      </c>
    </row>
    <row r="2290" spans="1:16">
      <c r="A2290" t="s">
        <v>2947</v>
      </c>
      <c r="B2290" s="83">
        <v>445</v>
      </c>
      <c r="C2290" s="34" t="s">
        <v>199</v>
      </c>
      <c r="D2290" s="34" t="s">
        <v>154</v>
      </c>
      <c r="E2290" s="83">
        <v>3</v>
      </c>
      <c r="F2290" s="43">
        <f t="shared" si="416"/>
        <v>0.75</v>
      </c>
      <c r="G2290" s="44">
        <f t="shared" si="419"/>
        <v>0</v>
      </c>
      <c r="H2290" s="44">
        <f t="shared" si="420"/>
        <v>0.75</v>
      </c>
      <c r="I2290" cm="1">
        <f t="array" ref="I2290">INT(F2290)+IF(100-SUM(INT(F$2286:F$2299))&gt;=RANK(H2290,H$2286:H$2299)+COUNTIF(H$2286:H2290,H2290)-1,1,0)</f>
        <v>1</v>
      </c>
      <c r="J2290" t="b">
        <f t="shared" si="421"/>
        <v>1</v>
      </c>
      <c r="K2290" t="str">
        <f t="shared" si="422"/>
        <v>Ephemeroptera</v>
      </c>
      <c r="L2290">
        <f>_xlfn.XLOOKUP(D2290,BugList!C:C,BugList!N:N)</f>
        <v>7</v>
      </c>
      <c r="M2290">
        <f t="shared" si="423"/>
        <v>7</v>
      </c>
      <c r="N2290" t="b">
        <f>_xlfn.XLOOKUP(D2290,BugList!C:C,BugList!L:L)</f>
        <v>1</v>
      </c>
      <c r="O2290" t="b">
        <f t="shared" si="424"/>
        <v>1</v>
      </c>
      <c r="P2290" s="18" t="b">
        <f>SUMPRODUCT(COUNTIF(_xlfn.XLOOKUP(D2290,BugList!C:C,BugList!P:P), "*SC*"))&gt;0</f>
        <v>0</v>
      </c>
    </row>
    <row r="2291" spans="1:16">
      <c r="A2291" t="s">
        <v>2947</v>
      </c>
      <c r="B2291" s="83">
        <v>445</v>
      </c>
      <c r="C2291" s="34" t="s">
        <v>211</v>
      </c>
      <c r="D2291" s="34" t="s">
        <v>87</v>
      </c>
      <c r="E2291" s="83">
        <v>3</v>
      </c>
      <c r="F2291" s="43">
        <f t="shared" si="416"/>
        <v>0.75</v>
      </c>
      <c r="G2291" s="44">
        <f t="shared" si="419"/>
        <v>0</v>
      </c>
      <c r="H2291" s="44">
        <f t="shared" si="420"/>
        <v>0.75</v>
      </c>
      <c r="I2291" cm="1">
        <f t="array" ref="I2291">INT(F2291)+IF(100-SUM(INT(F$2286:F$2299))&gt;=RANK(H2291,H$2286:H$2299)+COUNTIF(H$2286:H2291,H2291)-1,1,0)</f>
        <v>1</v>
      </c>
      <c r="J2291" t="b">
        <f t="shared" si="421"/>
        <v>0</v>
      </c>
      <c r="K2291" t="str">
        <f t="shared" si="422"/>
        <v/>
      </c>
      <c r="L2291">
        <f>_xlfn.XLOOKUP(D2291,BugList!C:C,BugList!N:N)</f>
        <v>4</v>
      </c>
      <c r="M2291">
        <f t="shared" si="423"/>
        <v>4</v>
      </c>
      <c r="N2291" t="b">
        <f>_xlfn.XLOOKUP(D2291,BugList!C:C,BugList!L:L)</f>
        <v>0</v>
      </c>
      <c r="O2291" t="b">
        <f t="shared" si="424"/>
        <v>0</v>
      </c>
      <c r="P2291" s="18" t="b">
        <f>SUMPRODUCT(COUNTIF(_xlfn.XLOOKUP(D2291,BugList!C:C,BugList!P:P), "*SC*"))&gt;0</f>
        <v>0</v>
      </c>
    </row>
    <row r="2292" spans="1:16">
      <c r="A2292" t="s">
        <v>2947</v>
      </c>
      <c r="B2292" s="83">
        <v>445</v>
      </c>
      <c r="C2292" s="34" t="s">
        <v>198</v>
      </c>
      <c r="D2292" s="34" t="s">
        <v>89</v>
      </c>
      <c r="E2292" s="83">
        <v>210</v>
      </c>
      <c r="F2292" s="43">
        <f t="shared" si="416"/>
        <v>52.5</v>
      </c>
      <c r="G2292" s="44">
        <f t="shared" si="419"/>
        <v>52</v>
      </c>
      <c r="H2292" s="44">
        <f t="shared" si="420"/>
        <v>0.5</v>
      </c>
      <c r="I2292" cm="1">
        <f t="array" ref="I2292">INT(F2292)+IF(100-SUM(INT(F$2286:F$2299))&gt;=RANK(H2292,H$2286:H$2299)+COUNTIF(H$2286:H2292,H2292)-1,1,0)</f>
        <v>53</v>
      </c>
      <c r="J2292" t="b">
        <f t="shared" si="421"/>
        <v>1</v>
      </c>
      <c r="K2292" t="str">
        <f t="shared" si="422"/>
        <v>Trichoptera</v>
      </c>
      <c r="L2292">
        <f>_xlfn.XLOOKUP(D2292,BugList!C:C,BugList!N:N)</f>
        <v>4</v>
      </c>
      <c r="M2292">
        <f t="shared" si="423"/>
        <v>212</v>
      </c>
      <c r="N2292" t="b">
        <f>_xlfn.XLOOKUP(D2292,BugList!C:C,BugList!L:L)</f>
        <v>1</v>
      </c>
      <c r="O2292" t="b">
        <f t="shared" si="424"/>
        <v>0</v>
      </c>
      <c r="P2292" s="18" t="b">
        <f>SUMPRODUCT(COUNTIF(_xlfn.XLOOKUP(D2292,BugList!C:C,BugList!P:P), "*SC*"))&gt;0</f>
        <v>0</v>
      </c>
    </row>
    <row r="2293" spans="1:16">
      <c r="A2293" t="s">
        <v>2947</v>
      </c>
      <c r="B2293" s="83">
        <v>445</v>
      </c>
      <c r="C2293" s="34" t="s">
        <v>202</v>
      </c>
      <c r="D2293" s="34" t="s">
        <v>169</v>
      </c>
      <c r="E2293" s="83">
        <v>3</v>
      </c>
      <c r="F2293" s="43">
        <f t="shared" si="416"/>
        <v>0.75</v>
      </c>
      <c r="G2293" s="44">
        <f t="shared" si="419"/>
        <v>0</v>
      </c>
      <c r="H2293" s="44">
        <f t="shared" si="420"/>
        <v>0.75</v>
      </c>
      <c r="I2293" cm="1">
        <f t="array" ref="I2293">INT(F2293)+IF(100-SUM(INT(F$2286:F$2299))&gt;=RANK(H2293,H$2286:H$2299)+COUNTIF(H$2286:H2293,H2293)-1,1,0)</f>
        <v>1</v>
      </c>
      <c r="J2293" t="b">
        <f t="shared" si="421"/>
        <v>0</v>
      </c>
      <c r="K2293" t="str">
        <f t="shared" si="422"/>
        <v/>
      </c>
      <c r="L2293">
        <f>_xlfn.XLOOKUP(D2293,BugList!C:C,BugList!N:N)</f>
        <v>5</v>
      </c>
      <c r="M2293">
        <f t="shared" si="423"/>
        <v>5</v>
      </c>
      <c r="N2293" t="b">
        <f>_xlfn.XLOOKUP(D2293,BugList!C:C,BugList!L:L)</f>
        <v>0</v>
      </c>
      <c r="O2293" t="b">
        <f t="shared" si="424"/>
        <v>0</v>
      </c>
      <c r="P2293" s="18" t="b">
        <f>SUMPRODUCT(COUNTIF(_xlfn.XLOOKUP(D2293,BugList!C:C,BugList!P:P), "*SC*"))&gt;0</f>
        <v>0</v>
      </c>
    </row>
    <row r="2294" spans="1:16">
      <c r="A2294" t="s">
        <v>2947</v>
      </c>
      <c r="B2294" s="83">
        <v>445</v>
      </c>
      <c r="C2294" s="34" t="s">
        <v>210</v>
      </c>
      <c r="D2294" s="34" t="s">
        <v>93</v>
      </c>
      <c r="E2294" s="83">
        <v>41</v>
      </c>
      <c r="F2294" s="43">
        <f t="shared" si="416"/>
        <v>10.25</v>
      </c>
      <c r="G2294" s="44">
        <f t="shared" si="419"/>
        <v>10</v>
      </c>
      <c r="H2294" s="44">
        <f t="shared" si="420"/>
        <v>0.25</v>
      </c>
      <c r="I2294" cm="1">
        <f t="array" ref="I2294">INT(F2294)+IF(100-SUM(INT(F$2286:F$2299))&gt;=RANK(H2294,H$2286:H$2299)+COUNTIF(H$2286:H2294,H2294)-1,1,0)</f>
        <v>10</v>
      </c>
      <c r="J2294" t="b">
        <f t="shared" si="421"/>
        <v>0</v>
      </c>
      <c r="K2294" t="str">
        <f t="shared" si="422"/>
        <v/>
      </c>
      <c r="L2294">
        <f>_xlfn.XLOOKUP(D2294,BugList!C:C,BugList!N:N)</f>
        <v>8</v>
      </c>
      <c r="M2294">
        <f t="shared" si="423"/>
        <v>80</v>
      </c>
      <c r="N2294" t="b">
        <f>_xlfn.XLOOKUP(D2294,BugList!C:C,BugList!L:L)</f>
        <v>0</v>
      </c>
      <c r="O2294" t="b">
        <f t="shared" si="424"/>
        <v>0</v>
      </c>
      <c r="P2294" s="18" t="b">
        <f>SUMPRODUCT(COUNTIF(_xlfn.XLOOKUP(D2294,BugList!C:C,BugList!P:P), "*SC*"))&gt;0</f>
        <v>0</v>
      </c>
    </row>
    <row r="2295" spans="1:16">
      <c r="A2295" t="s">
        <v>2947</v>
      </c>
      <c r="B2295" s="83">
        <v>445</v>
      </c>
      <c r="C2295" s="34" t="s">
        <v>2315</v>
      </c>
      <c r="D2295" s="34" t="s">
        <v>120</v>
      </c>
      <c r="E2295" s="83">
        <v>1</v>
      </c>
      <c r="F2295" s="43">
        <f t="shared" si="416"/>
        <v>0.25</v>
      </c>
      <c r="G2295" s="44">
        <f t="shared" si="419"/>
        <v>0</v>
      </c>
      <c r="H2295" s="44">
        <f t="shared" si="420"/>
        <v>0.25</v>
      </c>
      <c r="I2295" cm="1">
        <f t="array" ref="I2295">INT(F2295)+IF(100-SUM(INT(F$2286:F$2299))&gt;=RANK(H2295,H$2286:H$2299)+COUNTIF(H$2286:H2295,H2295)-1,1,0)</f>
        <v>0</v>
      </c>
      <c r="J2295" t="b">
        <f t="shared" si="421"/>
        <v>0</v>
      </c>
      <c r="K2295" t="str">
        <f t="shared" si="422"/>
        <v/>
      </c>
      <c r="L2295">
        <f>_xlfn.XLOOKUP(D2295,BugList!C:C,BugList!N:N)</f>
        <v>8</v>
      </c>
      <c r="M2295">
        <f t="shared" si="423"/>
        <v>0</v>
      </c>
      <c r="N2295" t="b">
        <f>_xlfn.XLOOKUP(D2295,BugList!C:C,BugList!L:L)</f>
        <v>0</v>
      </c>
      <c r="O2295" t="b">
        <f t="shared" si="424"/>
        <v>0</v>
      </c>
      <c r="P2295" s="18" t="b">
        <f>SUMPRODUCT(COUNTIF(_xlfn.XLOOKUP(D2295,BugList!C:C,BugList!P:P), "*SC*"))&gt;0</f>
        <v>1</v>
      </c>
    </row>
    <row r="2296" spans="1:16">
      <c r="A2296" t="s">
        <v>2947</v>
      </c>
      <c r="B2296" s="83">
        <v>445</v>
      </c>
      <c r="C2296" s="34" t="s">
        <v>2315</v>
      </c>
      <c r="D2296" s="34" t="s">
        <v>102</v>
      </c>
      <c r="E2296" s="83">
        <v>2</v>
      </c>
      <c r="F2296" s="43">
        <f t="shared" si="416"/>
        <v>0.5</v>
      </c>
      <c r="G2296" s="44">
        <f t="shared" si="419"/>
        <v>0</v>
      </c>
      <c r="H2296" s="44">
        <f t="shared" si="420"/>
        <v>0.5</v>
      </c>
      <c r="I2296" cm="1">
        <f t="array" ref="I2296">INT(F2296)+IF(100-SUM(INT(F$2286:F$2299))&gt;=RANK(H2296,H$2286:H$2299)+COUNTIF(H$2286:H2296,H2296)-1,1,0)</f>
        <v>0</v>
      </c>
      <c r="J2296" t="b">
        <f t="shared" si="421"/>
        <v>0</v>
      </c>
      <c r="K2296" t="str">
        <f t="shared" si="422"/>
        <v/>
      </c>
      <c r="L2296">
        <f>_xlfn.XLOOKUP(D2296,BugList!C:C,BugList!N:N)</f>
        <v>7</v>
      </c>
      <c r="M2296">
        <f t="shared" si="423"/>
        <v>0</v>
      </c>
      <c r="N2296" t="b">
        <f>_xlfn.XLOOKUP(D2296,BugList!C:C,BugList!L:L)</f>
        <v>0</v>
      </c>
      <c r="O2296" t="b">
        <f t="shared" si="424"/>
        <v>0</v>
      </c>
      <c r="P2296" s="18" t="b">
        <f>SUMPRODUCT(COUNTIF(_xlfn.XLOOKUP(D2296,BugList!C:C,BugList!P:P), "*SC*"))&gt;0</f>
        <v>1</v>
      </c>
    </row>
    <row r="2297" spans="1:16">
      <c r="A2297" t="s">
        <v>2947</v>
      </c>
      <c r="B2297" s="83">
        <v>445</v>
      </c>
      <c r="C2297" s="34" t="s">
        <v>2315</v>
      </c>
      <c r="D2297" s="34" t="s">
        <v>121</v>
      </c>
      <c r="E2297" s="83">
        <v>1</v>
      </c>
      <c r="F2297" s="43">
        <f t="shared" si="416"/>
        <v>0.25</v>
      </c>
      <c r="G2297" s="44">
        <f t="shared" si="419"/>
        <v>0</v>
      </c>
      <c r="H2297" s="44">
        <f t="shared" si="420"/>
        <v>0.25</v>
      </c>
      <c r="I2297" cm="1">
        <f t="array" ref="I2297">INT(F2297)+IF(100-SUM(INT(F$2286:F$2299))&gt;=RANK(H2297,H$2286:H$2299)+COUNTIF(H$2286:H2297,H2297)-1,1,0)</f>
        <v>0</v>
      </c>
      <c r="J2297" t="b">
        <f t="shared" si="421"/>
        <v>0</v>
      </c>
      <c r="K2297" t="str">
        <f t="shared" si="422"/>
        <v/>
      </c>
      <c r="L2297">
        <f>_xlfn.XLOOKUP(D2297,BugList!C:C,BugList!N:N)</f>
        <v>6</v>
      </c>
      <c r="M2297">
        <f t="shared" si="423"/>
        <v>0</v>
      </c>
      <c r="N2297" t="b">
        <f>_xlfn.XLOOKUP(D2297,BugList!C:C,BugList!L:L)</f>
        <v>0</v>
      </c>
      <c r="O2297" t="b">
        <f t="shared" si="424"/>
        <v>0</v>
      </c>
      <c r="P2297" s="18" t="b">
        <f>SUMPRODUCT(COUNTIF(_xlfn.XLOOKUP(D2297,BugList!C:C,BugList!P:P), "*SC*"))&gt;0</f>
        <v>0</v>
      </c>
    </row>
    <row r="2298" spans="1:16">
      <c r="A2298" t="s">
        <v>2947</v>
      </c>
      <c r="B2298" s="83">
        <v>445</v>
      </c>
      <c r="C2298" s="34" t="s">
        <v>205</v>
      </c>
      <c r="D2298" s="34" t="s">
        <v>206</v>
      </c>
      <c r="E2298" s="83">
        <v>5</v>
      </c>
      <c r="F2298" s="43">
        <f t="shared" si="416"/>
        <v>1.25</v>
      </c>
      <c r="G2298" s="44">
        <f t="shared" si="419"/>
        <v>1</v>
      </c>
      <c r="H2298" s="44">
        <f t="shared" si="420"/>
        <v>0.25</v>
      </c>
      <c r="I2298" cm="1">
        <f t="array" ref="I2298">INT(F2298)+IF(100-SUM(INT(F$2286:F$2299))&gt;=RANK(H2298,H$2286:H$2299)+COUNTIF(H$2286:H2298,H2298)-1,1,0)</f>
        <v>1</v>
      </c>
      <c r="J2298" t="b">
        <f t="shared" si="421"/>
        <v>0</v>
      </c>
      <c r="K2298" t="str">
        <f t="shared" si="422"/>
        <v/>
      </c>
      <c r="L2298" s="71">
        <v>8</v>
      </c>
      <c r="M2298">
        <f t="shared" si="423"/>
        <v>8</v>
      </c>
      <c r="N2298" s="71" t="b">
        <v>0</v>
      </c>
      <c r="O2298" t="b">
        <f t="shared" si="424"/>
        <v>0</v>
      </c>
      <c r="P2298" s="72" t="b">
        <v>0</v>
      </c>
    </row>
    <row r="2299" spans="1:16">
      <c r="A2299" t="s">
        <v>2947</v>
      </c>
      <c r="B2299" s="83">
        <v>445</v>
      </c>
      <c r="C2299" s="34" t="s">
        <v>94</v>
      </c>
      <c r="D2299" s="34" t="s">
        <v>94</v>
      </c>
      <c r="E2299" s="83">
        <v>8</v>
      </c>
      <c r="F2299" s="43">
        <f t="shared" si="416"/>
        <v>2</v>
      </c>
      <c r="G2299" s="44">
        <f t="shared" si="419"/>
        <v>2</v>
      </c>
      <c r="H2299" s="44">
        <f t="shared" si="420"/>
        <v>0</v>
      </c>
      <c r="I2299" cm="1">
        <f t="array" ref="I2299">INT(F2299)+IF(100-SUM(INT(F$2286:F$2299))&gt;=RANK(H2299,H$2286:H$2299)+COUNTIF(H$2286:H2299,H2299)-1,1,0)</f>
        <v>2</v>
      </c>
      <c r="J2299" t="b">
        <f t="shared" si="421"/>
        <v>0</v>
      </c>
      <c r="K2299" t="str">
        <f t="shared" si="422"/>
        <v/>
      </c>
      <c r="L2299">
        <f>_xlfn.XLOOKUP(D2299,BugList!C:C,BugList!N:N)</f>
        <v>8</v>
      </c>
      <c r="M2299">
        <f t="shared" si="423"/>
        <v>16</v>
      </c>
      <c r="N2299" t="b">
        <f>_xlfn.XLOOKUP(D2299,BugList!C:C,BugList!L:L)</f>
        <v>0</v>
      </c>
      <c r="O2299" t="b">
        <f t="shared" si="424"/>
        <v>0</v>
      </c>
      <c r="P2299" s="18" t="b">
        <f>SUMPRODUCT(COUNTIF(_xlfn.XLOOKUP(D2299,BugList!C:C,BugList!P:P), "*SC*"))&gt;0</f>
        <v>0</v>
      </c>
    </row>
    <row r="2300" spans="1:16">
      <c r="A2300" t="s">
        <v>2948</v>
      </c>
      <c r="B2300" s="83">
        <v>452</v>
      </c>
      <c r="C2300" s="34" t="s">
        <v>200</v>
      </c>
      <c r="D2300" s="34" t="s">
        <v>98</v>
      </c>
      <c r="E2300" s="83">
        <v>21</v>
      </c>
      <c r="F2300" s="43">
        <f t="shared" si="416"/>
        <v>4.5356371490280782</v>
      </c>
      <c r="G2300" s="44">
        <f t="shared" si="419"/>
        <v>4</v>
      </c>
      <c r="H2300" s="44">
        <f t="shared" si="420"/>
        <v>0.53563714902807824</v>
      </c>
      <c r="I2300" cm="1">
        <f t="array" ref="I2300">INT(F2300)+IF(100-SUM(INT(F$2300:F$2312))&gt;=RANK(H2300,H$2300:H$2312)+COUNTIF(H$2300:H2300,H2300)-1,1,0)</f>
        <v>5</v>
      </c>
      <c r="J2300" t="b">
        <f t="shared" si="421"/>
        <v>0</v>
      </c>
      <c r="K2300" t="str">
        <f t="shared" si="422"/>
        <v/>
      </c>
      <c r="L2300">
        <f>_xlfn.XLOOKUP(D2300,BugList!C:C,BugList!N:N)</f>
        <v>4</v>
      </c>
      <c r="M2300">
        <f t="shared" si="423"/>
        <v>20</v>
      </c>
      <c r="N2300" t="b">
        <f>_xlfn.XLOOKUP(D2300,BugList!C:C,BugList!L:L)</f>
        <v>1</v>
      </c>
      <c r="O2300" t="b">
        <f t="shared" si="424"/>
        <v>0</v>
      </c>
      <c r="P2300" s="18" t="b">
        <f>SUMPRODUCT(COUNTIF(_xlfn.XLOOKUP(D2300,BugList!C:C,BugList!P:P), "*SC*"))&gt;0</f>
        <v>1</v>
      </c>
    </row>
    <row r="2301" spans="1:16">
      <c r="A2301" t="s">
        <v>2948</v>
      </c>
      <c r="B2301" s="83">
        <v>452</v>
      </c>
      <c r="C2301" s="34" t="s">
        <v>194</v>
      </c>
      <c r="D2301" s="34" t="s">
        <v>124</v>
      </c>
      <c r="E2301" s="83">
        <v>1</v>
      </c>
      <c r="F2301" s="43">
        <f t="shared" si="416"/>
        <v>0.21598272138228944</v>
      </c>
      <c r="G2301" s="44">
        <f t="shared" si="419"/>
        <v>0</v>
      </c>
      <c r="H2301" s="44">
        <f t="shared" si="420"/>
        <v>0.21598272138228944</v>
      </c>
      <c r="I2301" cm="1">
        <f t="array" ref="I2301">INT(F2301)+IF(100-SUM(INT(F$2300:F$2312))&gt;=RANK(H2301,H$2300:H$2312)+COUNTIF(H$2300:H2301,H2301)-1,1,0)</f>
        <v>0</v>
      </c>
      <c r="J2301" t="b">
        <f t="shared" si="421"/>
        <v>0</v>
      </c>
      <c r="K2301" t="str">
        <f t="shared" si="422"/>
        <v/>
      </c>
      <c r="L2301">
        <f>_xlfn.XLOOKUP(D2301,BugList!C:C,BugList!N:N)</f>
        <v>6</v>
      </c>
      <c r="M2301">
        <f t="shared" si="423"/>
        <v>0</v>
      </c>
      <c r="N2301" t="b">
        <f>_xlfn.XLOOKUP(D2301,BugList!C:C,BugList!L:L)</f>
        <v>1</v>
      </c>
      <c r="O2301" t="b">
        <f t="shared" si="424"/>
        <v>0</v>
      </c>
      <c r="P2301" s="18" t="b">
        <f>SUMPRODUCT(COUNTIF(_xlfn.XLOOKUP(D2301,BugList!C:C,BugList!P:P), "*SC*"))&gt;0</f>
        <v>0</v>
      </c>
    </row>
    <row r="2302" spans="1:16">
      <c r="A2302" t="s">
        <v>2948</v>
      </c>
      <c r="B2302" s="83">
        <v>452</v>
      </c>
      <c r="C2302" s="34" t="s">
        <v>194</v>
      </c>
      <c r="D2302" s="34" t="s">
        <v>126</v>
      </c>
      <c r="E2302" s="83">
        <v>23</v>
      </c>
      <c r="F2302" s="43">
        <f t="shared" si="416"/>
        <v>4.967602591792657</v>
      </c>
      <c r="G2302" s="44">
        <f t="shared" si="419"/>
        <v>4</v>
      </c>
      <c r="H2302" s="44">
        <f t="shared" si="420"/>
        <v>0.96760259179265695</v>
      </c>
      <c r="I2302" cm="1">
        <f t="array" ref="I2302">INT(F2302)+IF(100-SUM(INT(F$2300:F$2312))&gt;=RANK(H2302,H$2300:H$2312)+COUNTIF(H$2300:H2302,H2302)-1,1,0)</f>
        <v>5</v>
      </c>
      <c r="J2302" t="b">
        <f t="shared" si="421"/>
        <v>0</v>
      </c>
      <c r="K2302" t="str">
        <f t="shared" si="422"/>
        <v/>
      </c>
      <c r="L2302">
        <f>_xlfn.XLOOKUP(D2302,BugList!C:C,BugList!N:N)</f>
        <v>8</v>
      </c>
      <c r="M2302">
        <f t="shared" si="423"/>
        <v>40</v>
      </c>
      <c r="N2302" t="b">
        <f>_xlfn.XLOOKUP(D2302,BugList!C:C,BugList!L:L)</f>
        <v>1</v>
      </c>
      <c r="O2302" t="b">
        <f t="shared" si="424"/>
        <v>0</v>
      </c>
      <c r="P2302" s="18" t="b">
        <f>SUMPRODUCT(COUNTIF(_xlfn.XLOOKUP(D2302,BugList!C:C,BugList!P:P), "*SC*"))&gt;0</f>
        <v>0</v>
      </c>
    </row>
    <row r="2303" spans="1:16">
      <c r="A2303" t="s">
        <v>2948</v>
      </c>
      <c r="B2303" s="83">
        <v>452</v>
      </c>
      <c r="C2303" s="34" t="s">
        <v>194</v>
      </c>
      <c r="D2303" s="34" t="s">
        <v>90</v>
      </c>
      <c r="E2303" s="83">
        <v>2</v>
      </c>
      <c r="F2303" s="43">
        <f t="shared" si="416"/>
        <v>0.43196544276457888</v>
      </c>
      <c r="G2303" s="44">
        <f t="shared" si="419"/>
        <v>0</v>
      </c>
      <c r="H2303" s="44">
        <f t="shared" si="420"/>
        <v>0.43196544276457888</v>
      </c>
      <c r="I2303" cm="1">
        <f t="array" ref="I2303">INT(F2303)+IF(100-SUM(INT(F$2300:F$2312))&gt;=RANK(H2303,H$2300:H$2312)+COUNTIF(H$2300:H2303,H2303)-1,1,0)</f>
        <v>1</v>
      </c>
      <c r="J2303" t="b">
        <f t="shared" si="421"/>
        <v>0</v>
      </c>
      <c r="K2303" t="str">
        <f t="shared" si="422"/>
        <v/>
      </c>
      <c r="L2303">
        <f>_xlfn.XLOOKUP(D2303,BugList!C:C,BugList!N:N)</f>
        <v>6</v>
      </c>
      <c r="M2303">
        <f t="shared" si="423"/>
        <v>6</v>
      </c>
      <c r="N2303" t="b">
        <f>_xlfn.XLOOKUP(D2303,BugList!C:C,BugList!L:L)</f>
        <v>1</v>
      </c>
      <c r="O2303" t="b">
        <f t="shared" si="424"/>
        <v>0</v>
      </c>
      <c r="P2303" s="18" t="b">
        <f>SUMPRODUCT(COUNTIF(_xlfn.XLOOKUP(D2303,BugList!C:C,BugList!P:P), "*SC*"))&gt;0</f>
        <v>0</v>
      </c>
    </row>
    <row r="2304" spans="1:16">
      <c r="A2304" t="s">
        <v>2948</v>
      </c>
      <c r="B2304" s="83">
        <v>452</v>
      </c>
      <c r="C2304" s="34" t="s">
        <v>195</v>
      </c>
      <c r="D2304" s="34" t="s">
        <v>97</v>
      </c>
      <c r="E2304" s="83">
        <v>6</v>
      </c>
      <c r="F2304" s="43">
        <f t="shared" si="416"/>
        <v>1.2958963282937366</v>
      </c>
      <c r="G2304" s="44">
        <f t="shared" si="419"/>
        <v>1</v>
      </c>
      <c r="H2304" s="44">
        <f t="shared" si="420"/>
        <v>0.29589632829373658</v>
      </c>
      <c r="I2304" cm="1">
        <f t="array" ref="I2304">INT(F2304)+IF(100-SUM(INT(F$2300:F$2312))&gt;=RANK(H2304,H$2300:H$2312)+COUNTIF(H$2300:H2304,H2304)-1,1,0)</f>
        <v>1</v>
      </c>
      <c r="J2304" t="b">
        <f t="shared" si="421"/>
        <v>0</v>
      </c>
      <c r="K2304" t="str">
        <f t="shared" si="422"/>
        <v/>
      </c>
      <c r="L2304">
        <f>_xlfn.XLOOKUP(D2304,BugList!C:C,BugList!N:N)</f>
        <v>9</v>
      </c>
      <c r="M2304">
        <f t="shared" si="423"/>
        <v>9</v>
      </c>
      <c r="N2304" t="b">
        <f>_xlfn.XLOOKUP(D2304,BugList!C:C,BugList!L:L)</f>
        <v>1</v>
      </c>
      <c r="O2304" t="b">
        <f t="shared" si="424"/>
        <v>0</v>
      </c>
      <c r="P2304" s="18" t="b">
        <f>SUMPRODUCT(COUNTIF(_xlfn.XLOOKUP(D2304,BugList!C:C,BugList!P:P), "*SC*"))&gt;0</f>
        <v>0</v>
      </c>
    </row>
    <row r="2305" spans="1:16">
      <c r="A2305" t="s">
        <v>2948</v>
      </c>
      <c r="B2305" s="83">
        <v>452</v>
      </c>
      <c r="C2305" s="34" t="s">
        <v>211</v>
      </c>
      <c r="D2305" s="34" t="s">
        <v>87</v>
      </c>
      <c r="E2305" s="83">
        <v>6</v>
      </c>
      <c r="F2305" s="43">
        <f t="shared" si="416"/>
        <v>1.2958963282937366</v>
      </c>
      <c r="G2305" s="44">
        <f t="shared" si="419"/>
        <v>1</v>
      </c>
      <c r="H2305" s="44">
        <f t="shared" si="420"/>
        <v>0.29589632829373658</v>
      </c>
      <c r="I2305" cm="1">
        <f t="array" ref="I2305">INT(F2305)+IF(100-SUM(INT(F$2300:F$2312))&gt;=RANK(H2305,H$2300:H$2312)+COUNTIF(H$2300:H2305,H2305)-1,1,0)</f>
        <v>1</v>
      </c>
      <c r="J2305" t="b">
        <f t="shared" si="421"/>
        <v>0</v>
      </c>
      <c r="K2305" t="str">
        <f t="shared" si="422"/>
        <v/>
      </c>
      <c r="L2305">
        <f>_xlfn.XLOOKUP(D2305,BugList!C:C,BugList!N:N)</f>
        <v>4</v>
      </c>
      <c r="M2305">
        <f t="shared" si="423"/>
        <v>4</v>
      </c>
      <c r="N2305" t="b">
        <f>_xlfn.XLOOKUP(D2305,BugList!C:C,BugList!L:L)</f>
        <v>0</v>
      </c>
      <c r="O2305" t="b">
        <f t="shared" si="424"/>
        <v>0</v>
      </c>
      <c r="P2305" s="18" t="b">
        <f>SUMPRODUCT(COUNTIF(_xlfn.XLOOKUP(D2305,BugList!C:C,BugList!P:P), "*SC*"))&gt;0</f>
        <v>0</v>
      </c>
    </row>
    <row r="2306" spans="1:16">
      <c r="A2306" t="s">
        <v>2948</v>
      </c>
      <c r="B2306" s="83">
        <v>452</v>
      </c>
      <c r="C2306" s="34" t="s">
        <v>198</v>
      </c>
      <c r="D2306" s="34" t="s">
        <v>89</v>
      </c>
      <c r="E2306" s="83">
        <v>390</v>
      </c>
      <c r="F2306" s="43">
        <f t="shared" si="416"/>
        <v>84.233261339092863</v>
      </c>
      <c r="G2306" s="44">
        <f t="shared" si="419"/>
        <v>84</v>
      </c>
      <c r="H2306" s="44">
        <f t="shared" si="420"/>
        <v>0.23326133909286284</v>
      </c>
      <c r="I2306" cm="1">
        <f t="array" ref="I2306">INT(F2306)+IF(100-SUM(INT(F$2300:F$2312))&gt;=RANK(H2306,H$2300:H$2312)+COUNTIF(H$2300:H2306,H2306)-1,1,0)</f>
        <v>84</v>
      </c>
      <c r="J2306" t="b">
        <f t="shared" si="421"/>
        <v>1</v>
      </c>
      <c r="K2306" t="str">
        <f t="shared" si="422"/>
        <v>Trichoptera</v>
      </c>
      <c r="L2306">
        <f>_xlfn.XLOOKUP(D2306,BugList!C:C,BugList!N:N)</f>
        <v>4</v>
      </c>
      <c r="M2306">
        <f t="shared" si="423"/>
        <v>336</v>
      </c>
      <c r="N2306" t="b">
        <f>_xlfn.XLOOKUP(D2306,BugList!C:C,BugList!L:L)</f>
        <v>1</v>
      </c>
      <c r="O2306" t="b">
        <f t="shared" si="424"/>
        <v>0</v>
      </c>
      <c r="P2306" s="18" t="b">
        <f>SUMPRODUCT(COUNTIF(_xlfn.XLOOKUP(D2306,BugList!C:C,BugList!P:P), "*SC*"))&gt;0</f>
        <v>0</v>
      </c>
    </row>
    <row r="2307" spans="1:16">
      <c r="A2307" t="s">
        <v>2948</v>
      </c>
      <c r="B2307" s="83">
        <v>452</v>
      </c>
      <c r="C2307" s="34" t="s">
        <v>204</v>
      </c>
      <c r="D2307" s="34" t="s">
        <v>84</v>
      </c>
      <c r="E2307" s="83">
        <v>2</v>
      </c>
      <c r="F2307" s="43">
        <f t="shared" si="416"/>
        <v>0.43196544276457888</v>
      </c>
      <c r="G2307" s="44">
        <f t="shared" si="419"/>
        <v>0</v>
      </c>
      <c r="H2307" s="44">
        <f t="shared" si="420"/>
        <v>0.43196544276457888</v>
      </c>
      <c r="I2307" cm="1">
        <f t="array" ref="I2307">INT(F2307)+IF(100-SUM(INT(F$2300:F$2312))&gt;=RANK(H2307,H$2300:H$2312)+COUNTIF(H$2300:H2307,H2307)-1,1,0)</f>
        <v>1</v>
      </c>
      <c r="J2307" t="b">
        <f t="shared" si="421"/>
        <v>0</v>
      </c>
      <c r="K2307" t="str">
        <f t="shared" si="422"/>
        <v/>
      </c>
      <c r="L2307">
        <f>_xlfn.XLOOKUP(D2307,BugList!C:C,BugList!N:N)</f>
        <v>8</v>
      </c>
      <c r="M2307">
        <f t="shared" si="423"/>
        <v>8</v>
      </c>
      <c r="N2307" t="b">
        <f>_xlfn.XLOOKUP(D2307,BugList!C:C,BugList!L:L)</f>
        <v>0</v>
      </c>
      <c r="O2307" t="b">
        <f t="shared" si="424"/>
        <v>0</v>
      </c>
      <c r="P2307" s="18" t="b">
        <f>SUMPRODUCT(COUNTIF(_xlfn.XLOOKUP(D2307,BugList!C:C,BugList!P:P), "*SC*"))&gt;0</f>
        <v>0</v>
      </c>
    </row>
    <row r="2308" spans="1:16">
      <c r="A2308" t="s">
        <v>2948</v>
      </c>
      <c r="B2308" s="83">
        <v>452</v>
      </c>
      <c r="C2308" s="34" t="s">
        <v>210</v>
      </c>
      <c r="D2308" s="34" t="s">
        <v>93</v>
      </c>
      <c r="E2308" s="83">
        <v>4</v>
      </c>
      <c r="F2308" s="43">
        <f t="shared" si="416"/>
        <v>0.86393088552915775</v>
      </c>
      <c r="G2308" s="44">
        <f t="shared" si="419"/>
        <v>0</v>
      </c>
      <c r="H2308" s="44">
        <f t="shared" si="420"/>
        <v>0.86393088552915775</v>
      </c>
      <c r="I2308" cm="1">
        <f t="array" ref="I2308">INT(F2308)+IF(100-SUM(INT(F$2300:F$2312))&gt;=RANK(H2308,H$2300:H$2312)+COUNTIF(H$2300:H2308,H2308)-1,1,0)</f>
        <v>1</v>
      </c>
      <c r="J2308" t="b">
        <f t="shared" si="421"/>
        <v>0</v>
      </c>
      <c r="K2308" t="str">
        <f t="shared" si="422"/>
        <v/>
      </c>
      <c r="L2308">
        <f>_xlfn.XLOOKUP(D2308,BugList!C:C,BugList!N:N)</f>
        <v>8</v>
      </c>
      <c r="M2308">
        <f t="shared" si="423"/>
        <v>8</v>
      </c>
      <c r="N2308" t="b">
        <f>_xlfn.XLOOKUP(D2308,BugList!C:C,BugList!L:L)</f>
        <v>0</v>
      </c>
      <c r="O2308" t="b">
        <f t="shared" si="424"/>
        <v>0</v>
      </c>
      <c r="P2308" s="18" t="b">
        <f>SUMPRODUCT(COUNTIF(_xlfn.XLOOKUP(D2308,BugList!C:C,BugList!P:P), "*SC*"))&gt;0</f>
        <v>0</v>
      </c>
    </row>
    <row r="2309" spans="1:16">
      <c r="A2309" t="s">
        <v>2948</v>
      </c>
      <c r="B2309" s="83">
        <v>452</v>
      </c>
      <c r="C2309" s="34" t="s">
        <v>2315</v>
      </c>
      <c r="D2309" s="34" t="s">
        <v>120</v>
      </c>
      <c r="E2309" s="83">
        <v>2</v>
      </c>
      <c r="F2309" s="43">
        <f t="shared" si="416"/>
        <v>0.43196544276457888</v>
      </c>
      <c r="G2309" s="44">
        <f t="shared" si="419"/>
        <v>0</v>
      </c>
      <c r="H2309" s="44">
        <f t="shared" si="420"/>
        <v>0.43196544276457888</v>
      </c>
      <c r="I2309" cm="1">
        <f t="array" ref="I2309">INT(F2309)+IF(100-SUM(INT(F$2300:F$2312))&gt;=RANK(H2309,H$2300:H$2312)+COUNTIF(H$2300:H2309,H2309)-1,1,0)</f>
        <v>0</v>
      </c>
      <c r="J2309" t="b">
        <f t="shared" si="421"/>
        <v>0</v>
      </c>
      <c r="K2309" t="str">
        <f t="shared" si="422"/>
        <v/>
      </c>
      <c r="L2309">
        <f>_xlfn.XLOOKUP(D2309,BugList!C:C,BugList!N:N)</f>
        <v>8</v>
      </c>
      <c r="M2309">
        <f t="shared" si="423"/>
        <v>0</v>
      </c>
      <c r="N2309" t="b">
        <f>_xlfn.XLOOKUP(D2309,BugList!C:C,BugList!L:L)</f>
        <v>0</v>
      </c>
      <c r="O2309" t="b">
        <f t="shared" si="424"/>
        <v>0</v>
      </c>
      <c r="P2309" s="18" t="b">
        <f>SUMPRODUCT(COUNTIF(_xlfn.XLOOKUP(D2309,BugList!C:C,BugList!P:P), "*SC*"))&gt;0</f>
        <v>1</v>
      </c>
    </row>
    <row r="2310" spans="1:16">
      <c r="A2310" t="s">
        <v>2948</v>
      </c>
      <c r="B2310" s="83">
        <v>452</v>
      </c>
      <c r="C2310" s="34" t="s">
        <v>205</v>
      </c>
      <c r="D2310" s="34" t="s">
        <v>206</v>
      </c>
      <c r="E2310" s="83">
        <v>1</v>
      </c>
      <c r="F2310" s="43">
        <f t="shared" si="416"/>
        <v>0.21598272138228944</v>
      </c>
      <c r="G2310" s="44">
        <f t="shared" si="419"/>
        <v>0</v>
      </c>
      <c r="H2310" s="44">
        <f t="shared" si="420"/>
        <v>0.21598272138228944</v>
      </c>
      <c r="I2310" cm="1">
        <f t="array" ref="I2310">INT(F2310)+IF(100-SUM(INT(F$2300:F$2312))&gt;=RANK(H2310,H$2300:H$2312)+COUNTIF(H$2300:H2310,H2310)-1,1,0)</f>
        <v>0</v>
      </c>
      <c r="J2310" t="b">
        <f t="shared" si="421"/>
        <v>0</v>
      </c>
      <c r="K2310" t="str">
        <f t="shared" si="422"/>
        <v/>
      </c>
      <c r="L2310" s="71">
        <v>8</v>
      </c>
      <c r="M2310">
        <f t="shared" si="423"/>
        <v>0</v>
      </c>
      <c r="N2310" s="71" t="b">
        <v>0</v>
      </c>
      <c r="O2310" t="b">
        <f t="shared" si="424"/>
        <v>0</v>
      </c>
      <c r="P2310" s="72" t="b">
        <v>0</v>
      </c>
    </row>
    <row r="2311" spans="1:16">
      <c r="A2311" t="s">
        <v>2948</v>
      </c>
      <c r="B2311" s="83">
        <v>452</v>
      </c>
      <c r="C2311" s="34" t="s">
        <v>94</v>
      </c>
      <c r="D2311" s="34" t="s">
        <v>94</v>
      </c>
      <c r="E2311" s="83">
        <v>4</v>
      </c>
      <c r="F2311" s="43">
        <f t="shared" si="416"/>
        <v>0.86393088552915775</v>
      </c>
      <c r="G2311" s="44">
        <f t="shared" si="419"/>
        <v>0</v>
      </c>
      <c r="H2311" s="44">
        <f t="shared" si="420"/>
        <v>0.86393088552915775</v>
      </c>
      <c r="I2311" cm="1">
        <f t="array" ref="I2311">INT(F2311)+IF(100-SUM(INT(F$2300:F$2312))&gt;=RANK(H2311,H$2300:H$2312)+COUNTIF(H$2300:H2311,H2311)-1,1,0)</f>
        <v>1</v>
      </c>
      <c r="J2311" t="b">
        <f t="shared" si="421"/>
        <v>0</v>
      </c>
      <c r="K2311" t="str">
        <f t="shared" si="422"/>
        <v/>
      </c>
      <c r="L2311">
        <f>_xlfn.XLOOKUP(D2311,BugList!C:C,BugList!N:N)</f>
        <v>8</v>
      </c>
      <c r="M2311">
        <f t="shared" si="423"/>
        <v>8</v>
      </c>
      <c r="N2311" t="b">
        <f>_xlfn.XLOOKUP(D2311,BugList!C:C,BugList!L:L)</f>
        <v>0</v>
      </c>
      <c r="O2311" t="b">
        <f t="shared" si="424"/>
        <v>0</v>
      </c>
      <c r="P2311" s="18" t="b">
        <f>SUMPRODUCT(COUNTIF(_xlfn.XLOOKUP(D2311,BugList!C:C,BugList!P:P), "*SC*"))&gt;0</f>
        <v>0</v>
      </c>
    </row>
    <row r="2312" spans="1:16">
      <c r="A2312" t="s">
        <v>2948</v>
      </c>
      <c r="B2312" s="83">
        <v>452</v>
      </c>
      <c r="C2312" s="34" t="s">
        <v>94</v>
      </c>
      <c r="D2312" s="34" t="s">
        <v>594</v>
      </c>
      <c r="E2312" s="83">
        <v>1</v>
      </c>
      <c r="F2312" s="43">
        <f t="shared" si="416"/>
        <v>0.21598272138228944</v>
      </c>
      <c r="G2312" s="44">
        <f t="shared" si="419"/>
        <v>0</v>
      </c>
      <c r="H2312" s="44">
        <f t="shared" si="420"/>
        <v>0.21598272138228944</v>
      </c>
      <c r="I2312" cm="1">
        <f t="array" ref="I2312">INT(F2312)+IF(100-SUM(INT(F$2300:F$2312))&gt;=RANK(H2312,H$2300:H$2312)+COUNTIF(H$2300:H2312,H2312)-1,1,0)</f>
        <v>0</v>
      </c>
      <c r="J2312" t="b">
        <f t="shared" si="421"/>
        <v>0</v>
      </c>
      <c r="K2312" t="str">
        <f t="shared" si="422"/>
        <v/>
      </c>
      <c r="L2312">
        <f>_xlfn.XLOOKUP(D2312,BugList!C:C,BugList!N:N)</f>
        <v>6</v>
      </c>
      <c r="M2312">
        <f t="shared" si="423"/>
        <v>0</v>
      </c>
      <c r="N2312" t="b">
        <f>_xlfn.XLOOKUP(D2312,BugList!C:C,BugList!L:L)</f>
        <v>0</v>
      </c>
      <c r="O2312" t="b">
        <f t="shared" si="424"/>
        <v>0</v>
      </c>
      <c r="P2312" s="18" t="b">
        <f>SUMPRODUCT(COUNTIF(_xlfn.XLOOKUP(D2312,BugList!C:C,BugList!P:P), "*SC*"))&gt;0</f>
        <v>0</v>
      </c>
    </row>
    <row r="2313" spans="1:16">
      <c r="A2313" t="s">
        <v>2949</v>
      </c>
      <c r="B2313" s="83">
        <v>464</v>
      </c>
      <c r="C2313" s="34" t="s">
        <v>200</v>
      </c>
      <c r="D2313" s="34" t="s">
        <v>98</v>
      </c>
      <c r="E2313" s="83">
        <v>2</v>
      </c>
      <c r="F2313" s="43">
        <f t="shared" si="416"/>
        <v>0.49019607843137253</v>
      </c>
      <c r="G2313" s="44">
        <f t="shared" si="419"/>
        <v>0</v>
      </c>
      <c r="H2313" s="44">
        <f t="shared" si="420"/>
        <v>0.49019607843137253</v>
      </c>
      <c r="I2313" cm="1">
        <f t="array" ref="I2313">INT(F2313)+IF(100-SUM(INT(F$2313:F$2322))&gt;=RANK(H2313,H$2313:H$2322)+COUNTIF(H$2313:H2313,H2313)-1,1,0)</f>
        <v>1</v>
      </c>
      <c r="J2313" t="b">
        <f t="shared" si="421"/>
        <v>0</v>
      </c>
      <c r="K2313" t="str">
        <f t="shared" si="422"/>
        <v/>
      </c>
      <c r="L2313">
        <f>_xlfn.XLOOKUP(D2313,BugList!C:C,BugList!N:N)</f>
        <v>4</v>
      </c>
      <c r="M2313">
        <f t="shared" si="423"/>
        <v>4</v>
      </c>
      <c r="N2313" t="b">
        <f>_xlfn.XLOOKUP(D2313,BugList!C:C,BugList!L:L)</f>
        <v>1</v>
      </c>
      <c r="O2313" t="b">
        <f t="shared" si="424"/>
        <v>0</v>
      </c>
      <c r="P2313" s="18" t="b">
        <f>SUMPRODUCT(COUNTIF(_xlfn.XLOOKUP(D2313,BugList!C:C,BugList!P:P), "*SC*"))&gt;0</f>
        <v>1</v>
      </c>
    </row>
    <row r="2314" spans="1:16">
      <c r="A2314" t="s">
        <v>2949</v>
      </c>
      <c r="B2314" s="83">
        <v>464</v>
      </c>
      <c r="C2314" s="34" t="s">
        <v>194</v>
      </c>
      <c r="D2314" s="34" t="s">
        <v>90</v>
      </c>
      <c r="E2314" s="83">
        <v>19</v>
      </c>
      <c r="F2314" s="43">
        <f t="shared" si="416"/>
        <v>4.6568627450980395</v>
      </c>
      <c r="G2314" s="44">
        <f t="shared" si="419"/>
        <v>4</v>
      </c>
      <c r="H2314" s="44">
        <f t="shared" si="420"/>
        <v>0.65686274509803955</v>
      </c>
      <c r="I2314" cm="1">
        <f t="array" ref="I2314">INT(F2314)+IF(100-SUM(INT(F$2313:F$2322))&gt;=RANK(H2314,H$2313:H$2322)+COUNTIF(H$2313:H2314,H2314)-1,1,0)</f>
        <v>5</v>
      </c>
      <c r="J2314" t="b">
        <f t="shared" si="421"/>
        <v>0</v>
      </c>
      <c r="K2314" t="str">
        <f t="shared" si="422"/>
        <v/>
      </c>
      <c r="L2314">
        <f>_xlfn.XLOOKUP(D2314,BugList!C:C,BugList!N:N)</f>
        <v>6</v>
      </c>
      <c r="M2314">
        <f t="shared" si="423"/>
        <v>30</v>
      </c>
      <c r="N2314" t="b">
        <f>_xlfn.XLOOKUP(D2314,BugList!C:C,BugList!L:L)</f>
        <v>1</v>
      </c>
      <c r="O2314" t="b">
        <f t="shared" si="424"/>
        <v>0</v>
      </c>
      <c r="P2314" s="18" t="b">
        <f>SUMPRODUCT(COUNTIF(_xlfn.XLOOKUP(D2314,BugList!C:C,BugList!P:P), "*SC*"))&gt;0</f>
        <v>0</v>
      </c>
    </row>
    <row r="2315" spans="1:16">
      <c r="A2315" t="s">
        <v>2949</v>
      </c>
      <c r="B2315" s="83">
        <v>464</v>
      </c>
      <c r="C2315" s="34" t="s">
        <v>211</v>
      </c>
      <c r="D2315" s="34" t="s">
        <v>87</v>
      </c>
      <c r="E2315" s="83">
        <v>4</v>
      </c>
      <c r="F2315" s="43">
        <f t="shared" si="416"/>
        <v>0.98039215686274506</v>
      </c>
      <c r="G2315" s="44">
        <f t="shared" si="419"/>
        <v>0</v>
      </c>
      <c r="H2315" s="44">
        <f t="shared" si="420"/>
        <v>0.98039215686274506</v>
      </c>
      <c r="I2315" cm="1">
        <f t="array" ref="I2315">INT(F2315)+IF(100-SUM(INT(F$2313:F$2322))&gt;=RANK(H2315,H$2313:H$2322)+COUNTIF(H$2313:H2315,H2315)-1,1,0)</f>
        <v>1</v>
      </c>
      <c r="J2315" t="b">
        <f t="shared" si="421"/>
        <v>0</v>
      </c>
      <c r="K2315" t="str">
        <f t="shared" si="422"/>
        <v/>
      </c>
      <c r="L2315">
        <f>_xlfn.XLOOKUP(D2315,BugList!C:C,BugList!N:N)</f>
        <v>4</v>
      </c>
      <c r="M2315">
        <f t="shared" si="423"/>
        <v>4</v>
      </c>
      <c r="N2315" t="b">
        <f>_xlfn.XLOOKUP(D2315,BugList!C:C,BugList!L:L)</f>
        <v>0</v>
      </c>
      <c r="O2315" t="b">
        <f t="shared" si="424"/>
        <v>0</v>
      </c>
      <c r="P2315" s="18" t="b">
        <f>SUMPRODUCT(COUNTIF(_xlfn.XLOOKUP(D2315,BugList!C:C,BugList!P:P), "*SC*"))&gt;0</f>
        <v>0</v>
      </c>
    </row>
    <row r="2316" spans="1:16">
      <c r="A2316" t="s">
        <v>2949</v>
      </c>
      <c r="B2316" s="83">
        <v>464</v>
      </c>
      <c r="C2316" s="34" t="s">
        <v>198</v>
      </c>
      <c r="D2316" s="34" t="s">
        <v>89</v>
      </c>
      <c r="E2316" s="83">
        <v>364</v>
      </c>
      <c r="F2316" s="43">
        <f t="shared" si="416"/>
        <v>89.215686274509807</v>
      </c>
      <c r="G2316" s="44">
        <f t="shared" si="419"/>
        <v>89</v>
      </c>
      <c r="H2316" s="44">
        <f t="shared" si="420"/>
        <v>0.21568627450980671</v>
      </c>
      <c r="I2316" cm="1">
        <f t="array" ref="I2316">INT(F2316)+IF(100-SUM(INT(F$2313:F$2322))&gt;=RANK(H2316,H$2313:H$2322)+COUNTIF(H$2313:H2316,H2316)-1,1,0)</f>
        <v>89</v>
      </c>
      <c r="J2316" t="b">
        <f t="shared" si="421"/>
        <v>1</v>
      </c>
      <c r="K2316" t="str">
        <f t="shared" si="422"/>
        <v>Trichoptera</v>
      </c>
      <c r="L2316">
        <f>_xlfn.XLOOKUP(D2316,BugList!C:C,BugList!N:N)</f>
        <v>4</v>
      </c>
      <c r="M2316">
        <f t="shared" si="423"/>
        <v>356</v>
      </c>
      <c r="N2316" t="b">
        <f>_xlfn.XLOOKUP(D2316,BugList!C:C,BugList!L:L)</f>
        <v>1</v>
      </c>
      <c r="O2316" t="b">
        <f t="shared" si="424"/>
        <v>0</v>
      </c>
      <c r="P2316" s="18" t="b">
        <f>SUMPRODUCT(COUNTIF(_xlfn.XLOOKUP(D2316,BugList!C:C,BugList!P:P), "*SC*"))&gt;0</f>
        <v>0</v>
      </c>
    </row>
    <row r="2317" spans="1:16">
      <c r="A2317" t="s">
        <v>2949</v>
      </c>
      <c r="B2317" s="83">
        <v>464</v>
      </c>
      <c r="C2317" s="34" t="s">
        <v>204</v>
      </c>
      <c r="D2317" s="34" t="s">
        <v>84</v>
      </c>
      <c r="E2317" s="83">
        <v>1</v>
      </c>
      <c r="F2317" s="43">
        <f t="shared" si="416"/>
        <v>0.24509803921568626</v>
      </c>
      <c r="G2317" s="44">
        <f t="shared" si="419"/>
        <v>0</v>
      </c>
      <c r="H2317" s="44">
        <f t="shared" si="420"/>
        <v>0.24509803921568626</v>
      </c>
      <c r="I2317" cm="1">
        <f t="array" ref="I2317">INT(F2317)+IF(100-SUM(INT(F$2313:F$2322))&gt;=RANK(H2317,H$2313:H$2322)+COUNTIF(H$2313:H2317,H2317)-1,1,0)</f>
        <v>0</v>
      </c>
      <c r="J2317" t="b">
        <f t="shared" si="421"/>
        <v>0</v>
      </c>
      <c r="K2317" t="str">
        <f t="shared" si="422"/>
        <v/>
      </c>
      <c r="L2317">
        <f>_xlfn.XLOOKUP(D2317,BugList!C:C,BugList!N:N)</f>
        <v>8</v>
      </c>
      <c r="M2317">
        <f t="shared" si="423"/>
        <v>0</v>
      </c>
      <c r="N2317" t="b">
        <f>_xlfn.XLOOKUP(D2317,BugList!C:C,BugList!L:L)</f>
        <v>0</v>
      </c>
      <c r="O2317" t="b">
        <f t="shared" si="424"/>
        <v>0</v>
      </c>
      <c r="P2317" s="18" t="b">
        <f>SUMPRODUCT(COUNTIF(_xlfn.XLOOKUP(D2317,BugList!C:C,BugList!P:P), "*SC*"))&gt;0</f>
        <v>0</v>
      </c>
    </row>
    <row r="2318" spans="1:16">
      <c r="A2318" t="s">
        <v>2949</v>
      </c>
      <c r="B2318" s="83">
        <v>464</v>
      </c>
      <c r="C2318" s="34" t="s">
        <v>202</v>
      </c>
      <c r="D2318" s="34" t="s">
        <v>169</v>
      </c>
      <c r="E2318" s="83">
        <v>2</v>
      </c>
      <c r="F2318" s="43">
        <f t="shared" si="416"/>
        <v>0.49019607843137253</v>
      </c>
      <c r="G2318" s="44">
        <f t="shared" si="419"/>
        <v>0</v>
      </c>
      <c r="H2318" s="44">
        <f t="shared" si="420"/>
        <v>0.49019607843137253</v>
      </c>
      <c r="I2318" cm="1">
        <f t="array" ref="I2318">INT(F2318)+IF(100-SUM(INT(F$2313:F$2322))&gt;=RANK(H2318,H$2313:H$2322)+COUNTIF(H$2313:H2318,H2318)-1,1,0)</f>
        <v>1</v>
      </c>
      <c r="J2318" t="b">
        <f t="shared" si="421"/>
        <v>0</v>
      </c>
      <c r="K2318" t="str">
        <f t="shared" si="422"/>
        <v/>
      </c>
      <c r="L2318">
        <f>_xlfn.XLOOKUP(D2318,BugList!C:C,BugList!N:N)</f>
        <v>5</v>
      </c>
      <c r="M2318">
        <f t="shared" si="423"/>
        <v>5</v>
      </c>
      <c r="N2318" t="b">
        <f>_xlfn.XLOOKUP(D2318,BugList!C:C,BugList!L:L)</f>
        <v>0</v>
      </c>
      <c r="O2318" t="b">
        <f t="shared" si="424"/>
        <v>0</v>
      </c>
      <c r="P2318" s="18" t="b">
        <f>SUMPRODUCT(COUNTIF(_xlfn.XLOOKUP(D2318,BugList!C:C,BugList!P:P), "*SC*"))&gt;0</f>
        <v>0</v>
      </c>
    </row>
    <row r="2319" spans="1:16">
      <c r="A2319" t="s">
        <v>2949</v>
      </c>
      <c r="B2319" s="83">
        <v>464</v>
      </c>
      <c r="C2319" s="34" t="s">
        <v>210</v>
      </c>
      <c r="D2319" s="34" t="s">
        <v>93</v>
      </c>
      <c r="E2319" s="83">
        <v>11</v>
      </c>
      <c r="F2319" s="43">
        <f t="shared" ref="F2319:F2360" si="425">(E2319/(SUMIFS(E:E,A:A,A2319))*100)</f>
        <v>2.6960784313725492</v>
      </c>
      <c r="G2319" s="44">
        <f t="shared" si="419"/>
        <v>2</v>
      </c>
      <c r="H2319" s="44">
        <f t="shared" si="420"/>
        <v>0.69607843137254921</v>
      </c>
      <c r="I2319" cm="1">
        <f t="array" ref="I2319">INT(F2319)+IF(100-SUM(INT(F$2313:F$2322))&gt;=RANK(H2319,H$2313:H$2322)+COUNTIF(H$2313:H2319,H2319)-1,1,0)</f>
        <v>3</v>
      </c>
      <c r="J2319" t="b">
        <f t="shared" si="421"/>
        <v>0</v>
      </c>
      <c r="K2319" t="str">
        <f t="shared" si="422"/>
        <v/>
      </c>
      <c r="L2319">
        <f>_xlfn.XLOOKUP(D2319,BugList!C:C,BugList!N:N)</f>
        <v>8</v>
      </c>
      <c r="M2319">
        <f t="shared" si="423"/>
        <v>24</v>
      </c>
      <c r="N2319" t="b">
        <f>_xlfn.XLOOKUP(D2319,BugList!C:C,BugList!L:L)</f>
        <v>0</v>
      </c>
      <c r="O2319" t="b">
        <f t="shared" si="424"/>
        <v>0</v>
      </c>
      <c r="P2319" s="18" t="b">
        <f>SUMPRODUCT(COUNTIF(_xlfn.XLOOKUP(D2319,BugList!C:C,BugList!P:P), "*SC*"))&gt;0</f>
        <v>0</v>
      </c>
    </row>
    <row r="2320" spans="1:16">
      <c r="A2320" t="s">
        <v>2949</v>
      </c>
      <c r="B2320" s="83">
        <v>464</v>
      </c>
      <c r="C2320" s="34" t="s">
        <v>2315</v>
      </c>
      <c r="D2320" s="34" t="s">
        <v>121</v>
      </c>
      <c r="E2320" s="83">
        <v>1</v>
      </c>
      <c r="F2320" s="43">
        <f t="shared" si="425"/>
        <v>0.24509803921568626</v>
      </c>
      <c r="G2320" s="44">
        <f t="shared" si="419"/>
        <v>0</v>
      </c>
      <c r="H2320" s="44">
        <f t="shared" si="420"/>
        <v>0.24509803921568626</v>
      </c>
      <c r="I2320" cm="1">
        <f t="array" ref="I2320">INT(F2320)+IF(100-SUM(INT(F$2313:F$2322))&gt;=RANK(H2320,H$2313:H$2322)+COUNTIF(H$2313:H2320,H2320)-1,1,0)</f>
        <v>0</v>
      </c>
      <c r="J2320" t="b">
        <f t="shared" si="421"/>
        <v>0</v>
      </c>
      <c r="K2320" t="str">
        <f t="shared" si="422"/>
        <v/>
      </c>
      <c r="L2320">
        <f>_xlfn.XLOOKUP(D2320,BugList!C:C,BugList!N:N)</f>
        <v>6</v>
      </c>
      <c r="M2320">
        <f t="shared" si="423"/>
        <v>0</v>
      </c>
      <c r="N2320" t="b">
        <f>_xlfn.XLOOKUP(D2320,BugList!C:C,BugList!L:L)</f>
        <v>0</v>
      </c>
      <c r="O2320" t="b">
        <f t="shared" si="424"/>
        <v>0</v>
      </c>
      <c r="P2320" s="18" t="b">
        <f>SUMPRODUCT(COUNTIF(_xlfn.XLOOKUP(D2320,BugList!C:C,BugList!P:P), "*SC*"))&gt;0</f>
        <v>0</v>
      </c>
    </row>
    <row r="2321" spans="1:16">
      <c r="A2321" t="s">
        <v>2949</v>
      </c>
      <c r="B2321" s="83">
        <v>464</v>
      </c>
      <c r="C2321" s="34" t="s">
        <v>205</v>
      </c>
      <c r="D2321" s="34" t="s">
        <v>206</v>
      </c>
      <c r="E2321" s="83">
        <v>2</v>
      </c>
      <c r="F2321" s="43">
        <f t="shared" si="425"/>
        <v>0.49019607843137253</v>
      </c>
      <c r="G2321" s="44">
        <f t="shared" si="419"/>
        <v>0</v>
      </c>
      <c r="H2321" s="44">
        <f t="shared" si="420"/>
        <v>0.49019607843137253</v>
      </c>
      <c r="I2321" cm="1">
        <f t="array" ref="I2321">INT(F2321)+IF(100-SUM(INT(F$2313:F$2322))&gt;=RANK(H2321,H$2313:H$2322)+COUNTIF(H$2313:H2321,H2321)-1,1,0)</f>
        <v>0</v>
      </c>
      <c r="J2321" t="b">
        <f t="shared" si="421"/>
        <v>0</v>
      </c>
      <c r="K2321" t="str">
        <f t="shared" si="422"/>
        <v/>
      </c>
      <c r="L2321" s="71">
        <v>8</v>
      </c>
      <c r="M2321">
        <f t="shared" si="423"/>
        <v>0</v>
      </c>
      <c r="N2321" s="71" t="b">
        <v>0</v>
      </c>
      <c r="O2321" t="b">
        <f t="shared" si="424"/>
        <v>0</v>
      </c>
      <c r="P2321" s="72" t="b">
        <v>0</v>
      </c>
    </row>
    <row r="2322" spans="1:16">
      <c r="A2322" t="s">
        <v>2949</v>
      </c>
      <c r="B2322" s="83">
        <v>464</v>
      </c>
      <c r="C2322" s="34" t="s">
        <v>94</v>
      </c>
      <c r="D2322" s="34" t="s">
        <v>94</v>
      </c>
      <c r="E2322" s="83">
        <v>2</v>
      </c>
      <c r="F2322" s="43">
        <f t="shared" si="425"/>
        <v>0.49019607843137253</v>
      </c>
      <c r="G2322" s="44">
        <f t="shared" si="419"/>
        <v>0</v>
      </c>
      <c r="H2322" s="44">
        <f t="shared" si="420"/>
        <v>0.49019607843137253</v>
      </c>
      <c r="I2322" cm="1">
        <f t="array" ref="I2322">INT(F2322)+IF(100-SUM(INT(F$2313:F$2322))&gt;=RANK(H2322,H$2313:H$2322)+COUNTIF(H$2313:H2322,H2322)-1,1,0)</f>
        <v>0</v>
      </c>
      <c r="J2322" t="b">
        <f t="shared" si="421"/>
        <v>0</v>
      </c>
      <c r="K2322" t="str">
        <f t="shared" si="422"/>
        <v/>
      </c>
      <c r="L2322">
        <f>_xlfn.XLOOKUP(D2322,BugList!C:C,BugList!N:N)</f>
        <v>8</v>
      </c>
      <c r="M2322">
        <f t="shared" si="423"/>
        <v>0</v>
      </c>
      <c r="N2322" t="b">
        <f>_xlfn.XLOOKUP(D2322,BugList!C:C,BugList!L:L)</f>
        <v>0</v>
      </c>
      <c r="O2322" t="b">
        <f t="shared" si="424"/>
        <v>0</v>
      </c>
      <c r="P2322" s="18" t="b">
        <f>SUMPRODUCT(COUNTIF(_xlfn.XLOOKUP(D2322,BugList!C:C,BugList!P:P), "*SC*"))&gt;0</f>
        <v>0</v>
      </c>
    </row>
    <row r="2323" spans="1:16">
      <c r="A2323" t="s">
        <v>2950</v>
      </c>
      <c r="B2323" s="83">
        <v>477</v>
      </c>
      <c r="C2323" s="34" t="s">
        <v>200</v>
      </c>
      <c r="D2323" s="34" t="s">
        <v>98</v>
      </c>
      <c r="E2323" s="83">
        <v>21</v>
      </c>
      <c r="F2323" s="43">
        <f t="shared" si="425"/>
        <v>4.8837209302325579</v>
      </c>
      <c r="G2323" s="44">
        <f t="shared" si="419"/>
        <v>4</v>
      </c>
      <c r="H2323" s="44">
        <f t="shared" si="420"/>
        <v>0.88372093023255793</v>
      </c>
      <c r="I2323" cm="1">
        <f t="array" ref="I2323">INT(F2323)+IF(100-SUM(INT(F$2323:F$2332))&gt;=RANK(H2323,H$2323:H$2332)+COUNTIF(H$2323:H2323,H2323)-1,1,0)</f>
        <v>5</v>
      </c>
      <c r="J2323" t="b">
        <f t="shared" si="421"/>
        <v>0</v>
      </c>
      <c r="K2323" t="str">
        <f t="shared" si="422"/>
        <v/>
      </c>
      <c r="L2323">
        <f>_xlfn.XLOOKUP(D2323,BugList!C:C,BugList!N:N)</f>
        <v>4</v>
      </c>
      <c r="M2323">
        <f t="shared" si="423"/>
        <v>20</v>
      </c>
      <c r="N2323" t="b">
        <f>_xlfn.XLOOKUP(D2323,BugList!C:C,BugList!L:L)</f>
        <v>1</v>
      </c>
      <c r="O2323" t="b">
        <f t="shared" si="424"/>
        <v>0</v>
      </c>
      <c r="P2323" s="18" t="b">
        <f>SUMPRODUCT(COUNTIF(_xlfn.XLOOKUP(D2323,BugList!C:C,BugList!P:P), "*SC*"))&gt;0</f>
        <v>1</v>
      </c>
    </row>
    <row r="2324" spans="1:16">
      <c r="A2324" t="s">
        <v>2950</v>
      </c>
      <c r="B2324" s="83">
        <v>477</v>
      </c>
      <c r="C2324" s="34" t="s">
        <v>194</v>
      </c>
      <c r="D2324" s="34" t="s">
        <v>126</v>
      </c>
      <c r="E2324" s="83">
        <v>149</v>
      </c>
      <c r="F2324" s="43">
        <f t="shared" si="425"/>
        <v>34.651162790697676</v>
      </c>
      <c r="G2324" s="44">
        <f t="shared" si="419"/>
        <v>34</v>
      </c>
      <c r="H2324" s="44">
        <f t="shared" si="420"/>
        <v>0.65116279069767558</v>
      </c>
      <c r="I2324" cm="1">
        <f t="array" ref="I2324">INT(F2324)+IF(100-SUM(INT(F$2323:F$2332))&gt;=RANK(H2324,H$2323:H$2332)+COUNTIF(H$2323:H2324,H2324)-1,1,0)</f>
        <v>35</v>
      </c>
      <c r="J2324" t="b">
        <f t="shared" si="421"/>
        <v>0</v>
      </c>
      <c r="K2324" t="str">
        <f t="shared" si="422"/>
        <v/>
      </c>
      <c r="L2324">
        <f>_xlfn.XLOOKUP(D2324,BugList!C:C,BugList!N:N)</f>
        <v>8</v>
      </c>
      <c r="M2324">
        <f t="shared" si="423"/>
        <v>280</v>
      </c>
      <c r="N2324" t="b">
        <f>_xlfn.XLOOKUP(D2324,BugList!C:C,BugList!L:L)</f>
        <v>1</v>
      </c>
      <c r="O2324" t="b">
        <f t="shared" si="424"/>
        <v>0</v>
      </c>
      <c r="P2324" s="18" t="b">
        <f>SUMPRODUCT(COUNTIF(_xlfn.XLOOKUP(D2324,BugList!C:C,BugList!P:P), "*SC*"))&gt;0</f>
        <v>0</v>
      </c>
    </row>
    <row r="2325" spans="1:16">
      <c r="A2325" t="s">
        <v>2950</v>
      </c>
      <c r="B2325" s="83">
        <v>477</v>
      </c>
      <c r="C2325" s="34" t="s">
        <v>199</v>
      </c>
      <c r="D2325" s="34" t="s">
        <v>154</v>
      </c>
      <c r="E2325" s="83">
        <v>1</v>
      </c>
      <c r="F2325" s="43">
        <f t="shared" si="425"/>
        <v>0.23255813953488372</v>
      </c>
      <c r="G2325" s="44">
        <f t="shared" si="419"/>
        <v>0</v>
      </c>
      <c r="H2325" s="44">
        <f t="shared" si="420"/>
        <v>0.23255813953488372</v>
      </c>
      <c r="I2325" cm="1">
        <f t="array" ref="I2325">INT(F2325)+IF(100-SUM(INT(F$2323:F$2332))&gt;=RANK(H2325,H$2323:H$2332)+COUNTIF(H$2323:H2325,H2325)-1,1,0)</f>
        <v>0</v>
      </c>
      <c r="J2325" t="b">
        <f t="shared" si="421"/>
        <v>1</v>
      </c>
      <c r="K2325" t="str">
        <f t="shared" si="422"/>
        <v>Ephemeroptera</v>
      </c>
      <c r="L2325">
        <f>_xlfn.XLOOKUP(D2325,BugList!C:C,BugList!N:N)</f>
        <v>7</v>
      </c>
      <c r="M2325">
        <f t="shared" si="423"/>
        <v>0</v>
      </c>
      <c r="N2325" t="b">
        <f>_xlfn.XLOOKUP(D2325,BugList!C:C,BugList!L:L)</f>
        <v>1</v>
      </c>
      <c r="O2325" t="b">
        <f t="shared" si="424"/>
        <v>1</v>
      </c>
      <c r="P2325" s="18" t="b">
        <f>SUMPRODUCT(COUNTIF(_xlfn.XLOOKUP(D2325,BugList!C:C,BugList!P:P), "*SC*"))&gt;0</f>
        <v>0</v>
      </c>
    </row>
    <row r="2326" spans="1:16">
      <c r="A2326" t="s">
        <v>2950</v>
      </c>
      <c r="B2326" s="83">
        <v>477</v>
      </c>
      <c r="C2326" s="34" t="s">
        <v>211</v>
      </c>
      <c r="D2326" s="34" t="s">
        <v>87</v>
      </c>
      <c r="E2326" s="83">
        <v>20</v>
      </c>
      <c r="F2326" s="43">
        <f t="shared" si="425"/>
        <v>4.6511627906976747</v>
      </c>
      <c r="G2326" s="44">
        <f t="shared" si="419"/>
        <v>4</v>
      </c>
      <c r="H2326" s="44">
        <f t="shared" si="420"/>
        <v>0.65116279069767469</v>
      </c>
      <c r="I2326" cm="1">
        <f t="array" ref="I2326">INT(F2326)+IF(100-SUM(INT(F$2323:F$2332))&gt;=RANK(H2326,H$2323:H$2332)+COUNTIF(H$2323:H2326,H2326)-1,1,0)</f>
        <v>5</v>
      </c>
      <c r="J2326" t="b">
        <f t="shared" si="421"/>
        <v>0</v>
      </c>
      <c r="K2326" t="str">
        <f t="shared" si="422"/>
        <v/>
      </c>
      <c r="L2326">
        <f>_xlfn.XLOOKUP(D2326,BugList!C:C,BugList!N:N)</f>
        <v>4</v>
      </c>
      <c r="M2326">
        <f t="shared" si="423"/>
        <v>20</v>
      </c>
      <c r="N2326" t="b">
        <f>_xlfn.XLOOKUP(D2326,BugList!C:C,BugList!L:L)</f>
        <v>0</v>
      </c>
      <c r="O2326" t="b">
        <f t="shared" si="424"/>
        <v>0</v>
      </c>
      <c r="P2326" s="18" t="b">
        <f>SUMPRODUCT(COUNTIF(_xlfn.XLOOKUP(D2326,BugList!C:C,BugList!P:P), "*SC*"))&gt;0</f>
        <v>0</v>
      </c>
    </row>
    <row r="2327" spans="1:16">
      <c r="A2327" t="s">
        <v>2950</v>
      </c>
      <c r="B2327" s="83">
        <v>477</v>
      </c>
      <c r="C2327" s="34" t="s">
        <v>198</v>
      </c>
      <c r="D2327" s="34" t="s">
        <v>89</v>
      </c>
      <c r="E2327" s="83">
        <v>192</v>
      </c>
      <c r="F2327" s="43">
        <f t="shared" si="425"/>
        <v>44.651162790697676</v>
      </c>
      <c r="G2327" s="44">
        <f t="shared" si="419"/>
        <v>44</v>
      </c>
      <c r="H2327" s="44">
        <f t="shared" si="420"/>
        <v>0.65116279069767558</v>
      </c>
      <c r="I2327" cm="1">
        <f t="array" ref="I2327">INT(F2327)+IF(100-SUM(INT(F$2323:F$2332))&gt;=RANK(H2327,H$2323:H$2332)+COUNTIF(H$2323:H2327,H2327)-1,1,0)</f>
        <v>45</v>
      </c>
      <c r="J2327" t="b">
        <f t="shared" si="421"/>
        <v>1</v>
      </c>
      <c r="K2327" t="str">
        <f t="shared" si="422"/>
        <v>Trichoptera</v>
      </c>
      <c r="L2327">
        <f>_xlfn.XLOOKUP(D2327,BugList!C:C,BugList!N:N)</f>
        <v>4</v>
      </c>
      <c r="M2327">
        <f t="shared" si="423"/>
        <v>180</v>
      </c>
      <c r="N2327" t="b">
        <f>_xlfn.XLOOKUP(D2327,BugList!C:C,BugList!L:L)</f>
        <v>1</v>
      </c>
      <c r="O2327" t="b">
        <f t="shared" si="424"/>
        <v>0</v>
      </c>
      <c r="P2327" s="18" t="b">
        <f>SUMPRODUCT(COUNTIF(_xlfn.XLOOKUP(D2327,BugList!C:C,BugList!P:P), "*SC*"))&gt;0</f>
        <v>0</v>
      </c>
    </row>
    <row r="2328" spans="1:16">
      <c r="A2328" t="s">
        <v>2950</v>
      </c>
      <c r="B2328" s="83">
        <v>477</v>
      </c>
      <c r="C2328" s="34" t="s">
        <v>198</v>
      </c>
      <c r="D2328" s="34" t="s">
        <v>1263</v>
      </c>
      <c r="E2328" s="83">
        <v>1</v>
      </c>
      <c r="F2328" s="43">
        <f t="shared" si="425"/>
        <v>0.23255813953488372</v>
      </c>
      <c r="G2328" s="44">
        <f t="shared" si="419"/>
        <v>0</v>
      </c>
      <c r="H2328" s="44">
        <f t="shared" si="420"/>
        <v>0.23255813953488372</v>
      </c>
      <c r="I2328" cm="1">
        <f t="array" ref="I2328">INT(F2328)+IF(100-SUM(INT(F$2323:F$2332))&gt;=RANK(H2328,H$2323:H$2332)+COUNTIF(H$2323:H2328,H2328)-1,1,0)</f>
        <v>0</v>
      </c>
      <c r="J2328" t="b">
        <f t="shared" si="421"/>
        <v>1</v>
      </c>
      <c r="K2328" t="str">
        <f t="shared" si="422"/>
        <v>Trichoptera</v>
      </c>
      <c r="L2328">
        <f>_xlfn.XLOOKUP(D2328,BugList!C:C,BugList!N:N)</f>
        <v>4</v>
      </c>
      <c r="M2328">
        <f t="shared" si="423"/>
        <v>0</v>
      </c>
      <c r="N2328" t="b">
        <f>_xlfn.XLOOKUP(D2328,BugList!C:C,BugList!L:L)</f>
        <v>1</v>
      </c>
      <c r="O2328" t="b">
        <f t="shared" si="424"/>
        <v>1</v>
      </c>
      <c r="P2328" s="18" t="b">
        <f>SUMPRODUCT(COUNTIF(_xlfn.XLOOKUP(D2328,BugList!C:C,BugList!P:P), "*SC*"))&gt;0</f>
        <v>0</v>
      </c>
    </row>
    <row r="2329" spans="1:16">
      <c r="A2329" t="s">
        <v>2950</v>
      </c>
      <c r="B2329" s="83">
        <v>477</v>
      </c>
      <c r="C2329" s="34" t="s">
        <v>210</v>
      </c>
      <c r="D2329" s="34" t="s">
        <v>93</v>
      </c>
      <c r="E2329" s="83">
        <v>34</v>
      </c>
      <c r="F2329" s="43">
        <f t="shared" si="425"/>
        <v>7.9069767441860463</v>
      </c>
      <c r="G2329" s="44">
        <f t="shared" si="419"/>
        <v>7</v>
      </c>
      <c r="H2329" s="44">
        <f t="shared" si="420"/>
        <v>0.90697674418604635</v>
      </c>
      <c r="I2329" cm="1">
        <f t="array" ref="I2329">INT(F2329)+IF(100-SUM(INT(F$2323:F$2332))&gt;=RANK(H2329,H$2323:H$2332)+COUNTIF(H$2323:H2329,H2329)-1,1,0)</f>
        <v>8</v>
      </c>
      <c r="J2329" t="b">
        <f t="shared" si="421"/>
        <v>0</v>
      </c>
      <c r="K2329" t="str">
        <f t="shared" si="422"/>
        <v/>
      </c>
      <c r="L2329">
        <f>_xlfn.XLOOKUP(D2329,BugList!C:C,BugList!N:N)</f>
        <v>8</v>
      </c>
      <c r="M2329">
        <f t="shared" si="423"/>
        <v>64</v>
      </c>
      <c r="N2329" t="b">
        <f>_xlfn.XLOOKUP(D2329,BugList!C:C,BugList!L:L)</f>
        <v>0</v>
      </c>
      <c r="O2329" t="b">
        <f t="shared" si="424"/>
        <v>0</v>
      </c>
      <c r="P2329" s="18" t="b">
        <f>SUMPRODUCT(COUNTIF(_xlfn.XLOOKUP(D2329,BugList!C:C,BugList!P:P), "*SC*"))&gt;0</f>
        <v>0</v>
      </c>
    </row>
    <row r="2330" spans="1:16">
      <c r="A2330" t="s">
        <v>2950</v>
      </c>
      <c r="B2330" s="83">
        <v>477</v>
      </c>
      <c r="C2330" s="34" t="s">
        <v>2315</v>
      </c>
      <c r="D2330" s="34" t="s">
        <v>102</v>
      </c>
      <c r="E2330" s="83">
        <v>1</v>
      </c>
      <c r="F2330" s="43">
        <f t="shared" si="425"/>
        <v>0.23255813953488372</v>
      </c>
      <c r="G2330" s="44">
        <f t="shared" si="419"/>
        <v>0</v>
      </c>
      <c r="H2330" s="44">
        <f t="shared" si="420"/>
        <v>0.23255813953488372</v>
      </c>
      <c r="I2330" cm="1">
        <f t="array" ref="I2330">INT(F2330)+IF(100-SUM(INT(F$2323:F$2332))&gt;=RANK(H2330,H$2323:H$2332)+COUNTIF(H$2323:H2330,H2330)-1,1,0)</f>
        <v>0</v>
      </c>
      <c r="J2330" t="b">
        <f t="shared" si="421"/>
        <v>0</v>
      </c>
      <c r="K2330" t="str">
        <f t="shared" si="422"/>
        <v/>
      </c>
      <c r="L2330">
        <f>_xlfn.XLOOKUP(D2330,BugList!C:C,BugList!N:N)</f>
        <v>7</v>
      </c>
      <c r="M2330">
        <f t="shared" si="423"/>
        <v>0</v>
      </c>
      <c r="N2330" t="b">
        <f>_xlfn.XLOOKUP(D2330,BugList!C:C,BugList!L:L)</f>
        <v>0</v>
      </c>
      <c r="O2330" t="b">
        <f t="shared" si="424"/>
        <v>0</v>
      </c>
      <c r="P2330" s="18" t="b">
        <f>SUMPRODUCT(COUNTIF(_xlfn.XLOOKUP(D2330,BugList!C:C,BugList!P:P), "*SC*"))&gt;0</f>
        <v>1</v>
      </c>
    </row>
    <row r="2331" spans="1:16">
      <c r="A2331" t="s">
        <v>2950</v>
      </c>
      <c r="B2331" s="83">
        <v>477</v>
      </c>
      <c r="C2331" s="34" t="s">
        <v>205</v>
      </c>
      <c r="D2331" s="34" t="s">
        <v>206</v>
      </c>
      <c r="E2331" s="83">
        <v>4</v>
      </c>
      <c r="F2331" s="43">
        <f t="shared" si="425"/>
        <v>0.93023255813953487</v>
      </c>
      <c r="G2331" s="44">
        <f t="shared" si="419"/>
        <v>0</v>
      </c>
      <c r="H2331" s="44">
        <f t="shared" si="420"/>
        <v>0.93023255813953487</v>
      </c>
      <c r="I2331" cm="1">
        <f t="array" ref="I2331">INT(F2331)+IF(100-SUM(INT(F$2323:F$2332))&gt;=RANK(H2331,H$2323:H$2332)+COUNTIF(H$2323:H2331,H2331)-1,1,0)</f>
        <v>1</v>
      </c>
      <c r="J2331" t="b">
        <f t="shared" si="421"/>
        <v>0</v>
      </c>
      <c r="K2331" t="str">
        <f t="shared" si="422"/>
        <v/>
      </c>
      <c r="L2331" s="71">
        <v>8</v>
      </c>
      <c r="M2331">
        <f t="shared" si="423"/>
        <v>8</v>
      </c>
      <c r="N2331" s="71" t="b">
        <v>0</v>
      </c>
      <c r="O2331" t="b">
        <f t="shared" si="424"/>
        <v>0</v>
      </c>
      <c r="P2331" s="72" t="b">
        <v>0</v>
      </c>
    </row>
    <row r="2332" spans="1:16">
      <c r="A2332" t="s">
        <v>2950</v>
      </c>
      <c r="B2332" s="83">
        <v>477</v>
      </c>
      <c r="C2332" s="34" t="s">
        <v>94</v>
      </c>
      <c r="D2332" s="34" t="s">
        <v>94</v>
      </c>
      <c r="E2332" s="83">
        <v>7</v>
      </c>
      <c r="F2332" s="43">
        <f t="shared" si="425"/>
        <v>1.6279069767441861</v>
      </c>
      <c r="G2332" s="44">
        <f t="shared" si="419"/>
        <v>1</v>
      </c>
      <c r="H2332" s="44">
        <f t="shared" si="420"/>
        <v>0.62790697674418605</v>
      </c>
      <c r="I2332" cm="1">
        <f t="array" ref="I2332">INT(F2332)+IF(100-SUM(INT(F$2323:F$2332))&gt;=RANK(H2332,H$2323:H$2332)+COUNTIF(H$2323:H2332,H2332)-1,1,0)</f>
        <v>1</v>
      </c>
      <c r="J2332" t="b">
        <f t="shared" si="421"/>
        <v>0</v>
      </c>
      <c r="K2332" t="str">
        <f t="shared" si="422"/>
        <v/>
      </c>
      <c r="L2332">
        <f>_xlfn.XLOOKUP(D2332,BugList!C:C,BugList!N:N)</f>
        <v>8</v>
      </c>
      <c r="M2332">
        <f t="shared" si="423"/>
        <v>8</v>
      </c>
      <c r="N2332" t="b">
        <f>_xlfn.XLOOKUP(D2332,BugList!C:C,BugList!L:L)</f>
        <v>0</v>
      </c>
      <c r="O2332" t="b">
        <f t="shared" si="424"/>
        <v>0</v>
      </c>
      <c r="P2332" s="18" t="b">
        <f>SUMPRODUCT(COUNTIF(_xlfn.XLOOKUP(D2332,BugList!C:C,BugList!P:P), "*SC*"))&gt;0</f>
        <v>0</v>
      </c>
    </row>
    <row r="2333" spans="1:16">
      <c r="A2333" t="s">
        <v>2951</v>
      </c>
      <c r="B2333" s="83">
        <v>491</v>
      </c>
      <c r="C2333" s="34" t="s">
        <v>200</v>
      </c>
      <c r="D2333" s="34" t="s">
        <v>98</v>
      </c>
      <c r="E2333" s="83">
        <v>7</v>
      </c>
      <c r="F2333" s="43">
        <f t="shared" si="425"/>
        <v>5.1470588235294112</v>
      </c>
      <c r="G2333" s="44">
        <f t="shared" si="419"/>
        <v>5</v>
      </c>
      <c r="H2333" s="44">
        <f t="shared" si="420"/>
        <v>0.14705882352941124</v>
      </c>
      <c r="I2333" cm="1">
        <f t="array" ref="I2333">INT(F2333)+IF(100-SUM(INT(F$2333:F$2339))&gt;=RANK(H2333,H$2333:H$2339)+COUNTIF(H$2333:H2333,H2333)-1,1,0)</f>
        <v>5</v>
      </c>
      <c r="J2333" t="b">
        <f t="shared" si="421"/>
        <v>0</v>
      </c>
      <c r="K2333" t="str">
        <f t="shared" si="422"/>
        <v/>
      </c>
      <c r="L2333">
        <f>_xlfn.XLOOKUP(D2333,BugList!C:C,BugList!N:N)</f>
        <v>4</v>
      </c>
      <c r="M2333">
        <f t="shared" si="423"/>
        <v>20</v>
      </c>
      <c r="N2333" t="b">
        <f>_xlfn.XLOOKUP(D2333,BugList!C:C,BugList!L:L)</f>
        <v>1</v>
      </c>
      <c r="O2333" t="b">
        <f t="shared" si="424"/>
        <v>0</v>
      </c>
      <c r="P2333" s="18" t="b">
        <f>SUMPRODUCT(COUNTIF(_xlfn.XLOOKUP(D2333,BugList!C:C,BugList!P:P), "*SC*"))&gt;0</f>
        <v>1</v>
      </c>
    </row>
    <row r="2334" spans="1:16">
      <c r="A2334" t="s">
        <v>2951</v>
      </c>
      <c r="B2334" s="83">
        <v>491</v>
      </c>
      <c r="C2334" s="34" t="s">
        <v>194</v>
      </c>
      <c r="D2334" s="34" t="s">
        <v>126</v>
      </c>
      <c r="E2334" s="83">
        <v>1</v>
      </c>
      <c r="F2334" s="43">
        <f t="shared" si="425"/>
        <v>0.73529411764705876</v>
      </c>
      <c r="G2334" s="44">
        <f t="shared" si="419"/>
        <v>0</v>
      </c>
      <c r="H2334" s="44">
        <f t="shared" si="420"/>
        <v>0.73529411764705876</v>
      </c>
      <c r="I2334" cm="1">
        <f t="array" ref="I2334">INT(F2334)+IF(100-SUM(INT(F$2333:F$2339))&gt;=RANK(H2334,H$2333:H$2339)+COUNTIF(H$2333:H2334,H2334)-1,1,0)</f>
        <v>1</v>
      </c>
      <c r="J2334" t="b">
        <f t="shared" si="421"/>
        <v>0</v>
      </c>
      <c r="K2334" t="str">
        <f t="shared" si="422"/>
        <v/>
      </c>
      <c r="L2334">
        <f>_xlfn.XLOOKUP(D2334,BugList!C:C,BugList!N:N)</f>
        <v>8</v>
      </c>
      <c r="M2334">
        <f t="shared" si="423"/>
        <v>8</v>
      </c>
      <c r="N2334" t="b">
        <f>_xlfn.XLOOKUP(D2334,BugList!C:C,BugList!L:L)</f>
        <v>1</v>
      </c>
      <c r="O2334" t="b">
        <f t="shared" si="424"/>
        <v>0</v>
      </c>
      <c r="P2334" s="18" t="b">
        <f>SUMPRODUCT(COUNTIF(_xlfn.XLOOKUP(D2334,BugList!C:C,BugList!P:P), "*SC*"))&gt;0</f>
        <v>0</v>
      </c>
    </row>
    <row r="2335" spans="1:16">
      <c r="A2335" t="s">
        <v>2951</v>
      </c>
      <c r="B2335" s="83">
        <v>491</v>
      </c>
      <c r="C2335" s="34" t="s">
        <v>194</v>
      </c>
      <c r="D2335" s="34" t="s">
        <v>90</v>
      </c>
      <c r="E2335" s="83">
        <v>7</v>
      </c>
      <c r="F2335" s="43">
        <f t="shared" si="425"/>
        <v>5.1470588235294112</v>
      </c>
      <c r="G2335" s="44">
        <f t="shared" si="419"/>
        <v>5</v>
      </c>
      <c r="H2335" s="44">
        <f t="shared" si="420"/>
        <v>0.14705882352941124</v>
      </c>
      <c r="I2335" cm="1">
        <f t="array" ref="I2335">INT(F2335)+IF(100-SUM(INT(F$2333:F$2339))&gt;=RANK(H2335,H$2333:H$2339)+COUNTIF(H$2333:H2335,H2335)-1,1,0)</f>
        <v>5</v>
      </c>
      <c r="J2335" t="b">
        <f t="shared" si="421"/>
        <v>0</v>
      </c>
      <c r="K2335" t="str">
        <f t="shared" si="422"/>
        <v/>
      </c>
      <c r="L2335">
        <f>_xlfn.XLOOKUP(D2335,BugList!C:C,BugList!N:N)</f>
        <v>6</v>
      </c>
      <c r="M2335">
        <f t="shared" si="423"/>
        <v>30</v>
      </c>
      <c r="N2335" t="b">
        <f>_xlfn.XLOOKUP(D2335,BugList!C:C,BugList!L:L)</f>
        <v>1</v>
      </c>
      <c r="O2335" t="b">
        <f t="shared" si="424"/>
        <v>0</v>
      </c>
      <c r="P2335" s="18" t="b">
        <f>SUMPRODUCT(COUNTIF(_xlfn.XLOOKUP(D2335,BugList!C:C,BugList!P:P), "*SC*"))&gt;0</f>
        <v>0</v>
      </c>
    </row>
    <row r="2336" spans="1:16">
      <c r="A2336" t="s">
        <v>2951</v>
      </c>
      <c r="B2336" s="83">
        <v>491</v>
      </c>
      <c r="C2336" s="34" t="s">
        <v>2954</v>
      </c>
      <c r="D2336" s="34" t="s">
        <v>87</v>
      </c>
      <c r="E2336" s="83">
        <v>7</v>
      </c>
      <c r="F2336" s="43">
        <f t="shared" si="425"/>
        <v>5.1470588235294112</v>
      </c>
      <c r="G2336" s="44">
        <f t="shared" si="419"/>
        <v>5</v>
      </c>
      <c r="H2336" s="44">
        <f t="shared" si="420"/>
        <v>0.14705882352941124</v>
      </c>
      <c r="I2336" cm="1">
        <f t="array" ref="I2336">INT(F2336)+IF(100-SUM(INT(F$2333:F$2339))&gt;=RANK(H2336,H$2333:H$2339)+COUNTIF(H$2333:H2336,H2336)-1,1,0)</f>
        <v>5</v>
      </c>
      <c r="J2336" t="b">
        <f t="shared" si="421"/>
        <v>0</v>
      </c>
      <c r="K2336" t="str">
        <f t="shared" si="422"/>
        <v/>
      </c>
      <c r="L2336">
        <f>_xlfn.XLOOKUP(D2336,BugList!C:C,BugList!N:N)</f>
        <v>4</v>
      </c>
      <c r="M2336">
        <f t="shared" si="423"/>
        <v>20</v>
      </c>
      <c r="N2336" t="b">
        <f>_xlfn.XLOOKUP(D2336,BugList!C:C,BugList!L:L)</f>
        <v>0</v>
      </c>
      <c r="O2336" t="b">
        <f t="shared" si="424"/>
        <v>0</v>
      </c>
      <c r="P2336" s="18" t="b">
        <f>SUMPRODUCT(COUNTIF(_xlfn.XLOOKUP(D2336,BugList!C:C,BugList!P:P), "*SC*"))&gt;0</f>
        <v>0</v>
      </c>
    </row>
    <row r="2337" spans="1:16">
      <c r="A2337" t="s">
        <v>2951</v>
      </c>
      <c r="B2337" s="83">
        <v>491</v>
      </c>
      <c r="C2337" s="34" t="s">
        <v>198</v>
      </c>
      <c r="D2337" s="34" t="s">
        <v>89</v>
      </c>
      <c r="E2337" s="83">
        <v>109</v>
      </c>
      <c r="F2337" s="43">
        <f t="shared" si="425"/>
        <v>80.14705882352942</v>
      </c>
      <c r="G2337" s="44">
        <f t="shared" si="419"/>
        <v>80</v>
      </c>
      <c r="H2337" s="44">
        <f t="shared" si="420"/>
        <v>0.14705882352942012</v>
      </c>
      <c r="I2337" cm="1">
        <f t="array" ref="I2337">INT(F2337)+IF(100-SUM(INT(F$2333:F$2339))&gt;=RANK(H2337,H$2333:H$2339)+COUNTIF(H$2333:H2337,H2337)-1,1,0)</f>
        <v>80</v>
      </c>
      <c r="J2337" t="b">
        <f t="shared" si="421"/>
        <v>1</v>
      </c>
      <c r="K2337" t="str">
        <f t="shared" si="422"/>
        <v>Trichoptera</v>
      </c>
      <c r="L2337">
        <f>_xlfn.XLOOKUP(D2337,BugList!C:C,BugList!N:N)</f>
        <v>4</v>
      </c>
      <c r="M2337">
        <f t="shared" si="423"/>
        <v>320</v>
      </c>
      <c r="N2337" t="b">
        <f>_xlfn.XLOOKUP(D2337,BugList!C:C,BugList!L:L)</f>
        <v>1</v>
      </c>
      <c r="O2337" t="b">
        <f t="shared" si="424"/>
        <v>0</v>
      </c>
      <c r="P2337" s="18" t="b">
        <f>SUMPRODUCT(COUNTIF(_xlfn.XLOOKUP(D2337,BugList!C:C,BugList!P:P), "*SC*"))&gt;0</f>
        <v>0</v>
      </c>
    </row>
    <row r="2338" spans="1:16">
      <c r="A2338" t="s">
        <v>2951</v>
      </c>
      <c r="B2338" s="83">
        <v>491</v>
      </c>
      <c r="C2338" s="34" t="s">
        <v>204</v>
      </c>
      <c r="D2338" s="34" t="s">
        <v>84</v>
      </c>
      <c r="E2338" s="83">
        <v>1</v>
      </c>
      <c r="F2338" s="43">
        <f t="shared" si="425"/>
        <v>0.73529411764705876</v>
      </c>
      <c r="G2338" s="44">
        <f t="shared" si="419"/>
        <v>0</v>
      </c>
      <c r="H2338" s="44">
        <f t="shared" si="420"/>
        <v>0.73529411764705876</v>
      </c>
      <c r="I2338" cm="1">
        <f t="array" ref="I2338">INT(F2338)+IF(100-SUM(INT(F$2333:F$2339))&gt;=RANK(H2338,H$2333:H$2339)+COUNTIF(H$2333:H2338,H2338)-1,1,0)</f>
        <v>1</v>
      </c>
      <c r="J2338" t="b">
        <f t="shared" si="421"/>
        <v>0</v>
      </c>
      <c r="K2338" t="str">
        <f t="shared" si="422"/>
        <v/>
      </c>
      <c r="L2338">
        <f>_xlfn.XLOOKUP(D2338,BugList!C:C,BugList!N:N)</f>
        <v>8</v>
      </c>
      <c r="M2338">
        <f t="shared" si="423"/>
        <v>8</v>
      </c>
      <c r="N2338" t="b">
        <f>_xlfn.XLOOKUP(D2338,BugList!C:C,BugList!L:L)</f>
        <v>0</v>
      </c>
      <c r="O2338" t="b">
        <f t="shared" si="424"/>
        <v>0</v>
      </c>
      <c r="P2338" s="18" t="b">
        <f>SUMPRODUCT(COUNTIF(_xlfn.XLOOKUP(D2338,BugList!C:C,BugList!P:P), "*SC*"))&gt;0</f>
        <v>0</v>
      </c>
    </row>
    <row r="2339" spans="1:16">
      <c r="A2339" t="s">
        <v>2951</v>
      </c>
      <c r="B2339" s="83">
        <v>491</v>
      </c>
      <c r="C2339" s="34" t="s">
        <v>210</v>
      </c>
      <c r="D2339" s="34" t="s">
        <v>93</v>
      </c>
      <c r="E2339" s="83">
        <v>4</v>
      </c>
      <c r="F2339" s="43">
        <f t="shared" si="425"/>
        <v>2.9411764705882351</v>
      </c>
      <c r="G2339" s="44">
        <f t="shared" ref="G2339:G2360" si="426">INT(F2339)</f>
        <v>2</v>
      </c>
      <c r="H2339" s="44">
        <f t="shared" ref="H2339:H2360" si="427">F2339-G2339</f>
        <v>0.94117647058823506</v>
      </c>
      <c r="I2339" cm="1">
        <f t="array" ref="I2339">INT(F2339)+IF(100-SUM(INT(F$2333:F$2339))&gt;=RANK(H2339,H$2333:H$2339)+COUNTIF(H$2333:H2339,H2339)-1,1,0)</f>
        <v>3</v>
      </c>
      <c r="J2339" t="b">
        <f t="shared" ref="J2339:J2360" si="428">IF(OR(C2339="Ephemeroptera", C2339 ="Plecoptera", C2339= "Trichoptera"), TRUE, FALSE)</f>
        <v>0</v>
      </c>
      <c r="K2339" t="str">
        <f t="shared" ref="K2339:K2360" si="429">IF(J2339=TRUE,C2339,"")</f>
        <v/>
      </c>
      <c r="L2339">
        <f>_xlfn.XLOOKUP(D2339,BugList!C:C,BugList!N:N)</f>
        <v>8</v>
      </c>
      <c r="M2339">
        <f t="shared" ref="M2339:M2360" si="430">L2339*I2339</f>
        <v>24</v>
      </c>
      <c r="N2339" t="b">
        <f>_xlfn.XLOOKUP(D2339,BugList!C:C,BugList!L:L)</f>
        <v>0</v>
      </c>
      <c r="O2339" t="b">
        <f t="shared" ref="O2339:O2360" si="431">IF(J2339=TRUE,IF(D2339="Hydropsychidae", FALSE, TRUE), FALSE)</f>
        <v>0</v>
      </c>
      <c r="P2339" s="18" t="b">
        <f>SUMPRODUCT(COUNTIF(_xlfn.XLOOKUP(D2339,BugList!C:C,BugList!P:P), "*SC*"))&gt;0</f>
        <v>0</v>
      </c>
    </row>
    <row r="2340" spans="1:16">
      <c r="A2340" t="s">
        <v>2952</v>
      </c>
      <c r="B2340" s="83">
        <v>504</v>
      </c>
      <c r="C2340" s="34" t="s">
        <v>200</v>
      </c>
      <c r="D2340" s="34" t="s">
        <v>98</v>
      </c>
      <c r="E2340" s="83">
        <v>7</v>
      </c>
      <c r="F2340" s="43">
        <f t="shared" si="425"/>
        <v>2.0408163265306123</v>
      </c>
      <c r="G2340" s="44">
        <f t="shared" si="426"/>
        <v>2</v>
      </c>
      <c r="H2340" s="44">
        <f t="shared" si="427"/>
        <v>4.081632653061229E-2</v>
      </c>
      <c r="I2340" cm="1">
        <f t="array" ref="I2340">INT(F2340)+IF(100-SUM(INT(F$2340:F$2350))&gt;=RANK(H2340,H$2340:H$2350)+COUNTIF(H$2340:H2340,H2340)-1,1,0)</f>
        <v>2</v>
      </c>
      <c r="J2340" t="b">
        <f t="shared" si="428"/>
        <v>0</v>
      </c>
      <c r="K2340" t="str">
        <f t="shared" si="429"/>
        <v/>
      </c>
      <c r="L2340">
        <f>_xlfn.XLOOKUP(D2340,BugList!C:C,BugList!N:N)</f>
        <v>4</v>
      </c>
      <c r="M2340">
        <f t="shared" si="430"/>
        <v>8</v>
      </c>
      <c r="N2340" t="b">
        <f>_xlfn.XLOOKUP(D2340,BugList!C:C,BugList!L:L)</f>
        <v>1</v>
      </c>
      <c r="O2340" t="b">
        <f t="shared" si="431"/>
        <v>0</v>
      </c>
      <c r="P2340" s="18" t="b">
        <f>SUMPRODUCT(COUNTIF(_xlfn.XLOOKUP(D2340,BugList!C:C,BugList!P:P), "*SC*"))&gt;0</f>
        <v>1</v>
      </c>
    </row>
    <row r="2341" spans="1:16">
      <c r="A2341" t="s">
        <v>2952</v>
      </c>
      <c r="B2341" s="83">
        <v>504</v>
      </c>
      <c r="C2341" s="34" t="s">
        <v>194</v>
      </c>
      <c r="D2341" s="34" t="s">
        <v>126</v>
      </c>
      <c r="E2341" s="83">
        <v>49</v>
      </c>
      <c r="F2341" s="43">
        <f t="shared" si="425"/>
        <v>14.285714285714285</v>
      </c>
      <c r="G2341" s="44">
        <f t="shared" si="426"/>
        <v>14</v>
      </c>
      <c r="H2341" s="44">
        <f t="shared" si="427"/>
        <v>0.2857142857142847</v>
      </c>
      <c r="I2341" cm="1">
        <f t="array" ref="I2341">INT(F2341)+IF(100-SUM(INT(F$2340:F$2350))&gt;=RANK(H2341,H$2340:H$2350)+COUNTIF(H$2340:H2341,H2341)-1,1,0)</f>
        <v>14</v>
      </c>
      <c r="J2341" t="b">
        <f t="shared" si="428"/>
        <v>0</v>
      </c>
      <c r="K2341" t="str">
        <f t="shared" si="429"/>
        <v/>
      </c>
      <c r="L2341">
        <f>_xlfn.XLOOKUP(D2341,BugList!C:C,BugList!N:N)</f>
        <v>8</v>
      </c>
      <c r="M2341">
        <f t="shared" si="430"/>
        <v>112</v>
      </c>
      <c r="N2341" t="b">
        <f>_xlfn.XLOOKUP(D2341,BugList!C:C,BugList!L:L)</f>
        <v>1</v>
      </c>
      <c r="O2341" t="b">
        <f t="shared" si="431"/>
        <v>0</v>
      </c>
      <c r="P2341" s="18" t="b">
        <f>SUMPRODUCT(COUNTIF(_xlfn.XLOOKUP(D2341,BugList!C:C,BugList!P:P), "*SC*"))&gt;0</f>
        <v>0</v>
      </c>
    </row>
    <row r="2342" spans="1:16">
      <c r="A2342" t="s">
        <v>2952</v>
      </c>
      <c r="B2342" s="83">
        <v>504</v>
      </c>
      <c r="C2342" s="34" t="s">
        <v>198</v>
      </c>
      <c r="D2342" s="34" t="s">
        <v>89</v>
      </c>
      <c r="E2342" s="83">
        <v>211</v>
      </c>
      <c r="F2342" s="43">
        <f t="shared" si="425"/>
        <v>61.516034985422742</v>
      </c>
      <c r="G2342" s="44">
        <f t="shared" si="426"/>
        <v>61</v>
      </c>
      <c r="H2342" s="44">
        <f t="shared" si="427"/>
        <v>0.51603498542274195</v>
      </c>
      <c r="I2342" cm="1">
        <f t="array" ref="I2342">INT(F2342)+IF(100-SUM(INT(F$2340:F$2350))&gt;=RANK(H2342,H$2340:H$2350)+COUNTIF(H$2340:H2342,H2342)-1,1,0)</f>
        <v>62</v>
      </c>
      <c r="J2342" t="b">
        <f t="shared" si="428"/>
        <v>1</v>
      </c>
      <c r="K2342" t="str">
        <f t="shared" si="429"/>
        <v>Trichoptera</v>
      </c>
      <c r="L2342">
        <f>_xlfn.XLOOKUP(D2342,BugList!C:C,BugList!N:N)</f>
        <v>4</v>
      </c>
      <c r="M2342">
        <f t="shared" si="430"/>
        <v>248</v>
      </c>
      <c r="N2342" t="b">
        <f>_xlfn.XLOOKUP(D2342,BugList!C:C,BugList!L:L)</f>
        <v>1</v>
      </c>
      <c r="O2342" t="b">
        <f t="shared" si="431"/>
        <v>0</v>
      </c>
      <c r="P2342" s="18" t="b">
        <f>SUMPRODUCT(COUNTIF(_xlfn.XLOOKUP(D2342,BugList!C:C,BugList!P:P), "*SC*"))&gt;0</f>
        <v>0</v>
      </c>
    </row>
    <row r="2343" spans="1:16">
      <c r="A2343" t="s">
        <v>2952</v>
      </c>
      <c r="B2343" s="83">
        <v>504</v>
      </c>
      <c r="C2343" s="34" t="s">
        <v>198</v>
      </c>
      <c r="D2343" s="34" t="s">
        <v>1263</v>
      </c>
      <c r="E2343" s="83">
        <v>1</v>
      </c>
      <c r="F2343" s="43">
        <f t="shared" si="425"/>
        <v>0.29154518950437319</v>
      </c>
      <c r="G2343" s="44">
        <f t="shared" si="426"/>
        <v>0</v>
      </c>
      <c r="H2343" s="44">
        <f t="shared" si="427"/>
        <v>0.29154518950437319</v>
      </c>
      <c r="I2343" cm="1">
        <f t="array" ref="I2343">INT(F2343)+IF(100-SUM(INT(F$2340:F$2350))&gt;=RANK(H2343,H$2340:H$2350)+COUNTIF(H$2340:H2343,H2343)-1,1,0)</f>
        <v>0</v>
      </c>
      <c r="J2343" t="b">
        <f t="shared" si="428"/>
        <v>1</v>
      </c>
      <c r="K2343" t="str">
        <f t="shared" si="429"/>
        <v>Trichoptera</v>
      </c>
      <c r="L2343">
        <f>_xlfn.XLOOKUP(D2343,BugList!C:C,BugList!N:N)</f>
        <v>4</v>
      </c>
      <c r="M2343">
        <f t="shared" si="430"/>
        <v>0</v>
      </c>
      <c r="N2343" t="b">
        <f>_xlfn.XLOOKUP(D2343,BugList!C:C,BugList!L:L)</f>
        <v>1</v>
      </c>
      <c r="O2343" t="b">
        <f t="shared" si="431"/>
        <v>1</v>
      </c>
      <c r="P2343" s="18" t="b">
        <f>SUMPRODUCT(COUNTIF(_xlfn.XLOOKUP(D2343,BugList!C:C,BugList!P:P), "*SC*"))&gt;0</f>
        <v>0</v>
      </c>
    </row>
    <row r="2344" spans="1:16">
      <c r="A2344" t="s">
        <v>2952</v>
      </c>
      <c r="B2344" s="83">
        <v>504</v>
      </c>
      <c r="C2344" s="34" t="s">
        <v>204</v>
      </c>
      <c r="D2344" s="34" t="s">
        <v>84</v>
      </c>
      <c r="E2344" s="83">
        <v>4</v>
      </c>
      <c r="F2344" s="43">
        <f t="shared" si="425"/>
        <v>1.1661807580174928</v>
      </c>
      <c r="G2344" s="44">
        <f t="shared" si="426"/>
        <v>1</v>
      </c>
      <c r="H2344" s="44">
        <f t="shared" si="427"/>
        <v>0.16618075801749277</v>
      </c>
      <c r="I2344" cm="1">
        <f t="array" ref="I2344">INT(F2344)+IF(100-SUM(INT(F$2340:F$2350))&gt;=RANK(H2344,H$2340:H$2350)+COUNTIF(H$2340:H2344,H2344)-1,1,0)</f>
        <v>1</v>
      </c>
      <c r="J2344" t="b">
        <f t="shared" si="428"/>
        <v>0</v>
      </c>
      <c r="K2344" t="str">
        <f t="shared" si="429"/>
        <v/>
      </c>
      <c r="L2344">
        <f>_xlfn.XLOOKUP(D2344,BugList!C:C,BugList!N:N)</f>
        <v>8</v>
      </c>
      <c r="M2344">
        <f t="shared" si="430"/>
        <v>8</v>
      </c>
      <c r="N2344" t="b">
        <f>_xlfn.XLOOKUP(D2344,BugList!C:C,BugList!L:L)</f>
        <v>0</v>
      </c>
      <c r="O2344" t="b">
        <f t="shared" si="431"/>
        <v>0</v>
      </c>
      <c r="P2344" s="18" t="b">
        <f>SUMPRODUCT(COUNTIF(_xlfn.XLOOKUP(D2344,BugList!C:C,BugList!P:P), "*SC*"))&gt;0</f>
        <v>0</v>
      </c>
    </row>
    <row r="2345" spans="1:16">
      <c r="A2345" t="s">
        <v>2952</v>
      </c>
      <c r="B2345" s="83">
        <v>504</v>
      </c>
      <c r="C2345" s="34" t="s">
        <v>201</v>
      </c>
      <c r="D2345" s="34" t="s">
        <v>85</v>
      </c>
      <c r="E2345" s="83">
        <v>4</v>
      </c>
      <c r="F2345" s="43">
        <f t="shared" si="425"/>
        <v>1.1661807580174928</v>
      </c>
      <c r="G2345" s="44">
        <f t="shared" si="426"/>
        <v>1</v>
      </c>
      <c r="H2345" s="44">
        <f t="shared" si="427"/>
        <v>0.16618075801749277</v>
      </c>
      <c r="I2345" cm="1">
        <f t="array" ref="I2345">INT(F2345)+IF(100-SUM(INT(F$2340:F$2350))&gt;=RANK(H2345,H$2340:H$2350)+COUNTIF(H$2340:H2345,H2345)-1,1,0)</f>
        <v>1</v>
      </c>
      <c r="J2345" t="b">
        <f t="shared" si="428"/>
        <v>0</v>
      </c>
      <c r="K2345" t="str">
        <f t="shared" si="429"/>
        <v/>
      </c>
      <c r="L2345">
        <f>_xlfn.XLOOKUP(D2345,BugList!C:C,BugList!N:N)</f>
        <v>4</v>
      </c>
      <c r="M2345">
        <f t="shared" si="430"/>
        <v>4</v>
      </c>
      <c r="N2345" t="b">
        <f>_xlfn.XLOOKUP(D2345,BugList!C:C,BugList!L:L)</f>
        <v>0</v>
      </c>
      <c r="O2345" t="b">
        <f t="shared" si="431"/>
        <v>0</v>
      </c>
      <c r="P2345" s="18" t="b">
        <f>SUMPRODUCT(COUNTIF(_xlfn.XLOOKUP(D2345,BugList!C:C,BugList!P:P), "*SC*"))&gt;0</f>
        <v>0</v>
      </c>
    </row>
    <row r="2346" spans="1:16">
      <c r="A2346" t="s">
        <v>2952</v>
      </c>
      <c r="B2346" s="83">
        <v>504</v>
      </c>
      <c r="C2346" s="34" t="s">
        <v>210</v>
      </c>
      <c r="D2346" s="34" t="s">
        <v>93</v>
      </c>
      <c r="E2346" s="83">
        <v>49</v>
      </c>
      <c r="F2346" s="43">
        <f t="shared" si="425"/>
        <v>14.285714285714285</v>
      </c>
      <c r="G2346" s="44">
        <f t="shared" si="426"/>
        <v>14</v>
      </c>
      <c r="H2346" s="44">
        <f t="shared" si="427"/>
        <v>0.2857142857142847</v>
      </c>
      <c r="I2346" cm="1">
        <f t="array" ref="I2346">INT(F2346)+IF(100-SUM(INT(F$2340:F$2350))&gt;=RANK(H2346,H$2340:H$2350)+COUNTIF(H$2340:H2346,H2346)-1,1,0)</f>
        <v>14</v>
      </c>
      <c r="J2346" t="b">
        <f t="shared" si="428"/>
        <v>0</v>
      </c>
      <c r="K2346" t="str">
        <f t="shared" si="429"/>
        <v/>
      </c>
      <c r="L2346">
        <f>_xlfn.XLOOKUP(D2346,BugList!C:C,BugList!N:N)</f>
        <v>8</v>
      </c>
      <c r="M2346">
        <f t="shared" si="430"/>
        <v>112</v>
      </c>
      <c r="N2346" t="b">
        <f>_xlfn.XLOOKUP(D2346,BugList!C:C,BugList!L:L)</f>
        <v>0</v>
      </c>
      <c r="O2346" t="b">
        <f t="shared" si="431"/>
        <v>0</v>
      </c>
      <c r="P2346" s="18" t="b">
        <f>SUMPRODUCT(COUNTIF(_xlfn.XLOOKUP(D2346,BugList!C:C,BugList!P:P), "*SC*"))&gt;0</f>
        <v>0</v>
      </c>
    </row>
    <row r="2347" spans="1:16">
      <c r="A2347" t="s">
        <v>2952</v>
      </c>
      <c r="B2347" s="83">
        <v>504</v>
      </c>
      <c r="C2347" s="34" t="s">
        <v>2315</v>
      </c>
      <c r="D2347" s="34" t="s">
        <v>102</v>
      </c>
      <c r="E2347" s="83">
        <v>2</v>
      </c>
      <c r="F2347" s="43">
        <f t="shared" si="425"/>
        <v>0.58309037900874638</v>
      </c>
      <c r="G2347" s="44">
        <f t="shared" si="426"/>
        <v>0</v>
      </c>
      <c r="H2347" s="44">
        <f t="shared" si="427"/>
        <v>0.58309037900874638</v>
      </c>
      <c r="I2347" cm="1">
        <f t="array" ref="I2347">INT(F2347)+IF(100-SUM(INT(F$2340:F$2350))&gt;=RANK(H2347,H$2340:H$2350)+COUNTIF(H$2340:H2347,H2347)-1,1,0)</f>
        <v>1</v>
      </c>
      <c r="J2347" t="b">
        <f t="shared" si="428"/>
        <v>0</v>
      </c>
      <c r="K2347" t="str">
        <f t="shared" si="429"/>
        <v/>
      </c>
      <c r="L2347">
        <f>_xlfn.XLOOKUP(D2347,BugList!C:C,BugList!N:N)</f>
        <v>7</v>
      </c>
      <c r="M2347">
        <f t="shared" si="430"/>
        <v>7</v>
      </c>
      <c r="N2347" t="b">
        <f>_xlfn.XLOOKUP(D2347,BugList!C:C,BugList!L:L)</f>
        <v>0</v>
      </c>
      <c r="O2347" t="b">
        <f t="shared" si="431"/>
        <v>0</v>
      </c>
      <c r="P2347" s="18" t="b">
        <f>SUMPRODUCT(COUNTIF(_xlfn.XLOOKUP(D2347,BugList!C:C,BugList!P:P), "*SC*"))&gt;0</f>
        <v>1</v>
      </c>
    </row>
    <row r="2348" spans="1:16">
      <c r="A2348" t="s">
        <v>2952</v>
      </c>
      <c r="B2348" s="83">
        <v>504</v>
      </c>
      <c r="C2348" s="34" t="s">
        <v>205</v>
      </c>
      <c r="D2348" s="34" t="s">
        <v>206</v>
      </c>
      <c r="E2348" s="83">
        <v>5</v>
      </c>
      <c r="F2348" s="43">
        <f t="shared" si="425"/>
        <v>1.4577259475218658</v>
      </c>
      <c r="G2348" s="44">
        <f t="shared" si="426"/>
        <v>1</v>
      </c>
      <c r="H2348" s="44">
        <f t="shared" si="427"/>
        <v>0.45772594752186579</v>
      </c>
      <c r="I2348" cm="1">
        <f t="array" ref="I2348">INT(F2348)+IF(100-SUM(INT(F$2340:F$2350))&gt;=RANK(H2348,H$2340:H$2350)+COUNTIF(H$2340:H2348,H2348)-1,1,0)</f>
        <v>2</v>
      </c>
      <c r="J2348" t="b">
        <f t="shared" si="428"/>
        <v>0</v>
      </c>
      <c r="K2348" t="str">
        <f t="shared" si="429"/>
        <v/>
      </c>
      <c r="L2348" s="71">
        <v>8</v>
      </c>
      <c r="M2348">
        <f t="shared" si="430"/>
        <v>16</v>
      </c>
      <c r="N2348" s="71" t="b">
        <v>0</v>
      </c>
      <c r="O2348" t="b">
        <f t="shared" si="431"/>
        <v>0</v>
      </c>
      <c r="P2348" s="72" t="b">
        <v>0</v>
      </c>
    </row>
    <row r="2349" spans="1:16">
      <c r="A2349" t="s">
        <v>2952</v>
      </c>
      <c r="B2349" s="83">
        <v>504</v>
      </c>
      <c r="C2349" s="34" t="s">
        <v>94</v>
      </c>
      <c r="D2349" s="34" t="s">
        <v>94</v>
      </c>
      <c r="E2349" s="83">
        <v>10</v>
      </c>
      <c r="F2349" s="43">
        <f t="shared" si="425"/>
        <v>2.9154518950437316</v>
      </c>
      <c r="G2349" s="44">
        <f t="shared" si="426"/>
        <v>2</v>
      </c>
      <c r="H2349" s="44">
        <f t="shared" si="427"/>
        <v>0.91545189504373159</v>
      </c>
      <c r="I2349" cm="1">
        <f t="array" ref="I2349">INT(F2349)+IF(100-SUM(INT(F$2340:F$2350))&gt;=RANK(H2349,H$2340:H$2350)+COUNTIF(H$2340:H2349,H2349)-1,1,0)</f>
        <v>3</v>
      </c>
      <c r="J2349" t="b">
        <f t="shared" si="428"/>
        <v>0</v>
      </c>
      <c r="K2349" t="str">
        <f t="shared" si="429"/>
        <v/>
      </c>
      <c r="L2349">
        <f>_xlfn.XLOOKUP(D2349,BugList!C:C,BugList!N:N)</f>
        <v>8</v>
      </c>
      <c r="M2349">
        <f t="shared" si="430"/>
        <v>24</v>
      </c>
      <c r="N2349" t="b">
        <f>_xlfn.XLOOKUP(D2349,BugList!C:C,BugList!L:L)</f>
        <v>0</v>
      </c>
      <c r="O2349" t="b">
        <f t="shared" si="431"/>
        <v>0</v>
      </c>
      <c r="P2349" s="18" t="b">
        <f>SUMPRODUCT(COUNTIF(_xlfn.XLOOKUP(D2349,BugList!C:C,BugList!P:P), "*SC*"))&gt;0</f>
        <v>0</v>
      </c>
    </row>
    <row r="2350" spans="1:16">
      <c r="A2350" t="s">
        <v>2952</v>
      </c>
      <c r="B2350" s="83">
        <v>504</v>
      </c>
      <c r="C2350" s="34" t="s">
        <v>2315</v>
      </c>
      <c r="D2350" s="34" t="s">
        <v>2315</v>
      </c>
      <c r="E2350" s="83">
        <v>1</v>
      </c>
      <c r="F2350" s="43">
        <f t="shared" si="425"/>
        <v>0.29154518950437319</v>
      </c>
      <c r="G2350" s="44">
        <f t="shared" si="426"/>
        <v>0</v>
      </c>
      <c r="H2350" s="44">
        <f t="shared" si="427"/>
        <v>0.29154518950437319</v>
      </c>
      <c r="I2350" cm="1">
        <f t="array" ref="I2350">INT(F2350)+IF(100-SUM(INT(F$2340:F$2350))&gt;=RANK(H2350,H$2340:H$2350)+COUNTIF(H$2340:H2350,H2350)-1,1,0)</f>
        <v>0</v>
      </c>
      <c r="J2350" t="b">
        <f t="shared" si="428"/>
        <v>0</v>
      </c>
      <c r="K2350" t="str">
        <f t="shared" si="429"/>
        <v/>
      </c>
      <c r="L2350">
        <f>_xlfn.XLOOKUP(D2350,BugList!C:C,BugList!N:N)</f>
        <v>7</v>
      </c>
      <c r="M2350">
        <f t="shared" si="430"/>
        <v>0</v>
      </c>
      <c r="N2350" t="b">
        <f>_xlfn.XLOOKUP(D2350,BugList!C:C,BugList!L:L)</f>
        <v>0</v>
      </c>
      <c r="O2350" t="b">
        <f t="shared" si="431"/>
        <v>0</v>
      </c>
      <c r="P2350" s="18" t="b">
        <f>SUMPRODUCT(COUNTIF(_xlfn.XLOOKUP(D2350,BugList!C:C,BugList!P:P), "*SC*"))&gt;0</f>
        <v>1</v>
      </c>
    </row>
    <row r="2351" spans="1:16">
      <c r="A2351" t="s">
        <v>2953</v>
      </c>
      <c r="B2351" s="83">
        <v>520</v>
      </c>
      <c r="C2351" s="34" t="s">
        <v>200</v>
      </c>
      <c r="D2351" s="34" t="s">
        <v>98</v>
      </c>
      <c r="E2351" s="83">
        <v>12</v>
      </c>
      <c r="F2351" s="43">
        <f t="shared" si="425"/>
        <v>1.5625</v>
      </c>
      <c r="G2351" s="44">
        <f t="shared" si="426"/>
        <v>1</v>
      </c>
      <c r="H2351" s="44">
        <f t="shared" si="427"/>
        <v>0.5625</v>
      </c>
      <c r="I2351" cm="1">
        <f t="array" ref="I2351">INT(F2351)+IF(100-SUM(INT(F$2351:F$2360))&gt;=RANK(H2351,H$2351:H$2360)+COUNTIF(H$2351:H2351,H2351)-1,1,0)</f>
        <v>2</v>
      </c>
      <c r="J2351" t="b">
        <f t="shared" si="428"/>
        <v>0</v>
      </c>
      <c r="K2351" t="str">
        <f t="shared" si="429"/>
        <v/>
      </c>
      <c r="L2351">
        <f>_xlfn.XLOOKUP(D2351,BugList!C:C,BugList!N:N)</f>
        <v>4</v>
      </c>
      <c r="M2351">
        <f t="shared" si="430"/>
        <v>8</v>
      </c>
      <c r="N2351" t="b">
        <f>_xlfn.XLOOKUP(D2351,BugList!C:C,BugList!L:L)</f>
        <v>1</v>
      </c>
      <c r="O2351" t="b">
        <f t="shared" si="431"/>
        <v>0</v>
      </c>
      <c r="P2351" s="18" t="b">
        <f>SUMPRODUCT(COUNTIF(_xlfn.XLOOKUP(D2351,BugList!C:C,BugList!P:P), "*SC*"))&gt;0</f>
        <v>1</v>
      </c>
    </row>
    <row r="2352" spans="1:16">
      <c r="A2352" t="s">
        <v>2953</v>
      </c>
      <c r="B2352" s="83">
        <v>520</v>
      </c>
      <c r="C2352" s="34" t="s">
        <v>194</v>
      </c>
      <c r="D2352" s="34" t="s">
        <v>126</v>
      </c>
      <c r="E2352" s="83">
        <v>5</v>
      </c>
      <c r="F2352" s="43">
        <f t="shared" si="425"/>
        <v>0.65104166666666674</v>
      </c>
      <c r="G2352" s="44">
        <f t="shared" si="426"/>
        <v>0</v>
      </c>
      <c r="H2352" s="44">
        <f t="shared" si="427"/>
        <v>0.65104166666666674</v>
      </c>
      <c r="I2352" cm="1">
        <f t="array" ref="I2352">INT(F2352)+IF(100-SUM(INT(F$2351:F$2360))&gt;=RANK(H2352,H$2351:H$2360)+COUNTIF(H$2351:H2352,H2352)-1,1,0)</f>
        <v>1</v>
      </c>
      <c r="J2352" t="b">
        <f t="shared" si="428"/>
        <v>0</v>
      </c>
      <c r="K2352" t="str">
        <f t="shared" si="429"/>
        <v/>
      </c>
      <c r="L2352">
        <f>_xlfn.XLOOKUP(D2352,BugList!C:C,BugList!N:N)</f>
        <v>8</v>
      </c>
      <c r="M2352">
        <f t="shared" si="430"/>
        <v>8</v>
      </c>
      <c r="N2352" t="b">
        <f>_xlfn.XLOOKUP(D2352,BugList!C:C,BugList!L:L)</f>
        <v>1</v>
      </c>
      <c r="O2352" t="b">
        <f t="shared" si="431"/>
        <v>0</v>
      </c>
      <c r="P2352" s="18" t="b">
        <f>SUMPRODUCT(COUNTIF(_xlfn.XLOOKUP(D2352,BugList!C:C,BugList!P:P), "*SC*"))&gt;0</f>
        <v>0</v>
      </c>
    </row>
    <row r="2353" spans="1:16">
      <c r="A2353" t="s">
        <v>2953</v>
      </c>
      <c r="B2353" s="83">
        <v>520</v>
      </c>
      <c r="C2353" s="34" t="s">
        <v>194</v>
      </c>
      <c r="D2353" s="34" t="s">
        <v>90</v>
      </c>
      <c r="E2353" s="83">
        <v>19</v>
      </c>
      <c r="F2353" s="43">
        <f t="shared" si="425"/>
        <v>2.473958333333333</v>
      </c>
      <c r="G2353" s="44">
        <f t="shared" si="426"/>
        <v>2</v>
      </c>
      <c r="H2353" s="44">
        <f t="shared" si="427"/>
        <v>0.47395833333333304</v>
      </c>
      <c r="I2353" cm="1">
        <f t="array" ref="I2353">INT(F2353)+IF(100-SUM(INT(F$2351:F$2360))&gt;=RANK(H2353,H$2351:H$2360)+COUNTIF(H$2351:H2353,H2353)-1,1,0)</f>
        <v>2</v>
      </c>
      <c r="J2353" t="b">
        <f t="shared" si="428"/>
        <v>0</v>
      </c>
      <c r="K2353" t="str">
        <f t="shared" si="429"/>
        <v/>
      </c>
      <c r="L2353">
        <f>_xlfn.XLOOKUP(D2353,BugList!C:C,BugList!N:N)</f>
        <v>6</v>
      </c>
      <c r="M2353">
        <f t="shared" si="430"/>
        <v>12</v>
      </c>
      <c r="N2353" t="b">
        <f>_xlfn.XLOOKUP(D2353,BugList!C:C,BugList!L:L)</f>
        <v>1</v>
      </c>
      <c r="O2353" t="b">
        <f t="shared" si="431"/>
        <v>0</v>
      </c>
      <c r="P2353" s="18" t="b">
        <f>SUMPRODUCT(COUNTIF(_xlfn.XLOOKUP(D2353,BugList!C:C,BugList!P:P), "*SC*"))&gt;0</f>
        <v>0</v>
      </c>
    </row>
    <row r="2354" spans="1:16">
      <c r="A2354" t="s">
        <v>2953</v>
      </c>
      <c r="B2354" s="83">
        <v>520</v>
      </c>
      <c r="C2354" s="34" t="s">
        <v>198</v>
      </c>
      <c r="D2354" s="34" t="s">
        <v>177</v>
      </c>
      <c r="E2354" s="83">
        <v>1</v>
      </c>
      <c r="F2354" s="43">
        <f t="shared" si="425"/>
        <v>0.13020833333333331</v>
      </c>
      <c r="G2354" s="44">
        <f t="shared" si="426"/>
        <v>0</v>
      </c>
      <c r="H2354" s="44">
        <f t="shared" si="427"/>
        <v>0.13020833333333331</v>
      </c>
      <c r="I2354" cm="1">
        <f t="array" ref="I2354">INT(F2354)+IF(100-SUM(INT(F$2351:F$2360))&gt;=RANK(H2354,H$2351:H$2360)+COUNTIF(H$2351:H2354,H2354)-1,1,0)</f>
        <v>0</v>
      </c>
      <c r="J2354" t="b">
        <f t="shared" si="428"/>
        <v>1</v>
      </c>
      <c r="K2354" t="str">
        <f t="shared" si="429"/>
        <v>Trichoptera</v>
      </c>
      <c r="L2354">
        <f>_xlfn.XLOOKUP(D2354,BugList!C:C,BugList!N:N)</f>
        <v>0</v>
      </c>
      <c r="M2354">
        <f t="shared" si="430"/>
        <v>0</v>
      </c>
      <c r="N2354" t="b">
        <f>_xlfn.XLOOKUP(D2354,BugList!C:C,BugList!L:L)</f>
        <v>1</v>
      </c>
      <c r="O2354" t="b">
        <f t="shared" si="431"/>
        <v>1</v>
      </c>
      <c r="P2354" s="18" t="b">
        <f>SUMPRODUCT(COUNTIF(_xlfn.XLOOKUP(D2354,BugList!C:C,BugList!P:P), "*SC*"))&gt;0</f>
        <v>1</v>
      </c>
    </row>
    <row r="2355" spans="1:16">
      <c r="A2355" t="s">
        <v>2953</v>
      </c>
      <c r="B2355" s="83">
        <v>520</v>
      </c>
      <c r="C2355" s="34" t="s">
        <v>198</v>
      </c>
      <c r="D2355" s="34" t="s">
        <v>89</v>
      </c>
      <c r="E2355" s="83">
        <v>689</v>
      </c>
      <c r="F2355" s="43">
        <f t="shared" si="425"/>
        <v>89.713541666666657</v>
      </c>
      <c r="G2355" s="44">
        <f t="shared" si="426"/>
        <v>89</v>
      </c>
      <c r="H2355" s="44">
        <f t="shared" si="427"/>
        <v>0.71354166666665719</v>
      </c>
      <c r="I2355" cm="1">
        <f t="array" ref="I2355">INT(F2355)+IF(100-SUM(INT(F$2351:F$2360))&gt;=RANK(H2355,H$2351:H$2360)+COUNTIF(H$2351:H2355,H2355)-1,1,0)</f>
        <v>90</v>
      </c>
      <c r="J2355" t="b">
        <f t="shared" si="428"/>
        <v>1</v>
      </c>
      <c r="K2355" t="str">
        <f t="shared" si="429"/>
        <v>Trichoptera</v>
      </c>
      <c r="L2355">
        <f>_xlfn.XLOOKUP(D2355,BugList!C:C,BugList!N:N)</f>
        <v>4</v>
      </c>
      <c r="M2355">
        <f t="shared" si="430"/>
        <v>360</v>
      </c>
      <c r="N2355" t="b">
        <f>_xlfn.XLOOKUP(D2355,BugList!C:C,BugList!L:L)</f>
        <v>1</v>
      </c>
      <c r="O2355" t="b">
        <f t="shared" si="431"/>
        <v>0</v>
      </c>
      <c r="P2355" s="18" t="b">
        <f>SUMPRODUCT(COUNTIF(_xlfn.XLOOKUP(D2355,BugList!C:C,BugList!P:P), "*SC*"))&gt;0</f>
        <v>0</v>
      </c>
    </row>
    <row r="2356" spans="1:16">
      <c r="A2356" t="s">
        <v>2953</v>
      </c>
      <c r="B2356" s="83">
        <v>520</v>
      </c>
      <c r="C2356" s="34" t="s">
        <v>204</v>
      </c>
      <c r="D2356" s="34" t="s">
        <v>84</v>
      </c>
      <c r="E2356" s="83">
        <v>2</v>
      </c>
      <c r="F2356" s="43">
        <f t="shared" si="425"/>
        <v>0.26041666666666663</v>
      </c>
      <c r="G2356" s="44">
        <f t="shared" si="426"/>
        <v>0</v>
      </c>
      <c r="H2356" s="44">
        <f t="shared" si="427"/>
        <v>0.26041666666666663</v>
      </c>
      <c r="I2356" cm="1">
        <f t="array" ref="I2356">INT(F2356)+IF(100-SUM(INT(F$2351:F$2360))&gt;=RANK(H2356,H$2351:H$2360)+COUNTIF(H$2351:H2356,H2356)-1,1,0)</f>
        <v>0</v>
      </c>
      <c r="J2356" t="b">
        <f t="shared" si="428"/>
        <v>0</v>
      </c>
      <c r="K2356" t="str">
        <f t="shared" si="429"/>
        <v/>
      </c>
      <c r="L2356">
        <f>_xlfn.XLOOKUP(D2356,BugList!C:C,BugList!N:N)</f>
        <v>8</v>
      </c>
      <c r="M2356">
        <f t="shared" si="430"/>
        <v>0</v>
      </c>
      <c r="N2356" t="b">
        <f>_xlfn.XLOOKUP(D2356,BugList!C:C,BugList!L:L)</f>
        <v>0</v>
      </c>
      <c r="O2356" t="b">
        <f t="shared" si="431"/>
        <v>0</v>
      </c>
      <c r="P2356" s="18" t="b">
        <f>SUMPRODUCT(COUNTIF(_xlfn.XLOOKUP(D2356,BugList!C:C,BugList!P:P), "*SC*"))&gt;0</f>
        <v>0</v>
      </c>
    </row>
    <row r="2357" spans="1:16">
      <c r="A2357" t="s">
        <v>2953</v>
      </c>
      <c r="B2357" s="83">
        <v>520</v>
      </c>
      <c r="C2357" s="34" t="s">
        <v>210</v>
      </c>
      <c r="D2357" s="34" t="s">
        <v>92</v>
      </c>
      <c r="E2357" s="83">
        <v>4</v>
      </c>
      <c r="F2357" s="43">
        <f t="shared" si="425"/>
        <v>0.52083333333333326</v>
      </c>
      <c r="G2357" s="44">
        <f t="shared" si="426"/>
        <v>0</v>
      </c>
      <c r="H2357" s="44">
        <f t="shared" si="427"/>
        <v>0.52083333333333326</v>
      </c>
      <c r="I2357" cm="1">
        <f t="array" ref="I2357">INT(F2357)+IF(100-SUM(INT(F$2351:F$2360))&gt;=RANK(H2357,H$2351:H$2360)+COUNTIF(H$2351:H2357,H2357)-1,1,0)</f>
        <v>1</v>
      </c>
      <c r="J2357" t="b">
        <f t="shared" si="428"/>
        <v>0</v>
      </c>
      <c r="K2357" t="str">
        <f t="shared" si="429"/>
        <v/>
      </c>
      <c r="L2357">
        <f>_xlfn.XLOOKUP(D2357,BugList!C:C,BugList!N:N)</f>
        <v>8</v>
      </c>
      <c r="M2357">
        <f t="shared" si="430"/>
        <v>8</v>
      </c>
      <c r="N2357" t="b">
        <f>_xlfn.XLOOKUP(D2357,BugList!C:C,BugList!L:L)</f>
        <v>0</v>
      </c>
      <c r="O2357" t="b">
        <f t="shared" si="431"/>
        <v>0</v>
      </c>
      <c r="P2357" s="18" t="b">
        <f>SUMPRODUCT(COUNTIF(_xlfn.XLOOKUP(D2357,BugList!C:C,BugList!P:P), "*SC*"))&gt;0</f>
        <v>0</v>
      </c>
    </row>
    <row r="2358" spans="1:16">
      <c r="A2358" t="s">
        <v>2953</v>
      </c>
      <c r="B2358" s="83">
        <v>520</v>
      </c>
      <c r="C2358" s="34" t="s">
        <v>210</v>
      </c>
      <c r="D2358" s="34" t="s">
        <v>93</v>
      </c>
      <c r="E2358" s="83">
        <v>17</v>
      </c>
      <c r="F2358" s="43">
        <f t="shared" si="425"/>
        <v>2.213541666666667</v>
      </c>
      <c r="G2358" s="44">
        <f t="shared" si="426"/>
        <v>2</v>
      </c>
      <c r="H2358" s="44">
        <f t="shared" si="427"/>
        <v>0.21354166666666696</v>
      </c>
      <c r="I2358" cm="1">
        <f t="array" ref="I2358">INT(F2358)+IF(100-SUM(INT(F$2351:F$2360))&gt;=RANK(H2358,H$2351:H$2360)+COUNTIF(H$2351:H2358,H2358)-1,1,0)</f>
        <v>2</v>
      </c>
      <c r="J2358" t="b">
        <f t="shared" si="428"/>
        <v>0</v>
      </c>
      <c r="K2358" t="str">
        <f t="shared" si="429"/>
        <v/>
      </c>
      <c r="L2358">
        <f>_xlfn.XLOOKUP(D2358,BugList!C:C,BugList!N:N)</f>
        <v>8</v>
      </c>
      <c r="M2358">
        <f t="shared" si="430"/>
        <v>16</v>
      </c>
      <c r="N2358" t="b">
        <f>_xlfn.XLOOKUP(D2358,BugList!C:C,BugList!L:L)</f>
        <v>0</v>
      </c>
      <c r="O2358" t="b">
        <f t="shared" si="431"/>
        <v>0</v>
      </c>
      <c r="P2358" s="18" t="b">
        <f>SUMPRODUCT(COUNTIF(_xlfn.XLOOKUP(D2358,BugList!C:C,BugList!P:P), "*SC*"))&gt;0</f>
        <v>0</v>
      </c>
    </row>
    <row r="2359" spans="1:16">
      <c r="A2359" t="s">
        <v>2953</v>
      </c>
      <c r="B2359" s="83">
        <v>520</v>
      </c>
      <c r="C2359" s="34" t="s">
        <v>2315</v>
      </c>
      <c r="D2359" s="34" t="s">
        <v>102</v>
      </c>
      <c r="E2359" s="83">
        <v>3</v>
      </c>
      <c r="F2359" s="43">
        <f t="shared" si="425"/>
        <v>0.390625</v>
      </c>
      <c r="G2359" s="44">
        <f t="shared" si="426"/>
        <v>0</v>
      </c>
      <c r="H2359" s="44">
        <f t="shared" si="427"/>
        <v>0.390625</v>
      </c>
      <c r="I2359" cm="1">
        <f t="array" ref="I2359">INT(F2359)+IF(100-SUM(INT(F$2351:F$2360))&gt;=RANK(H2359,H$2351:H$2360)+COUNTIF(H$2351:H2359,H2359)-1,1,0)</f>
        <v>0</v>
      </c>
      <c r="J2359" t="b">
        <f t="shared" si="428"/>
        <v>0</v>
      </c>
      <c r="K2359" t="str">
        <f t="shared" si="429"/>
        <v/>
      </c>
      <c r="L2359">
        <f>_xlfn.XLOOKUP(D2359,BugList!C:C,BugList!N:N)</f>
        <v>7</v>
      </c>
      <c r="M2359">
        <f t="shared" si="430"/>
        <v>0</v>
      </c>
      <c r="N2359" t="b">
        <f>_xlfn.XLOOKUP(D2359,BugList!C:C,BugList!L:L)</f>
        <v>0</v>
      </c>
      <c r="O2359" t="b">
        <f t="shared" si="431"/>
        <v>0</v>
      </c>
      <c r="P2359" s="18" t="b">
        <f>SUMPRODUCT(COUNTIF(_xlfn.XLOOKUP(D2359,BugList!C:C,BugList!P:P), "*SC*"))&gt;0</f>
        <v>1</v>
      </c>
    </row>
    <row r="2360" spans="1:16">
      <c r="A2360" t="s">
        <v>2953</v>
      </c>
      <c r="B2360" s="83">
        <v>520</v>
      </c>
      <c r="C2360" s="34" t="s">
        <v>205</v>
      </c>
      <c r="D2360" s="34" t="s">
        <v>206</v>
      </c>
      <c r="E2360" s="83">
        <v>16</v>
      </c>
      <c r="F2360" s="43">
        <f t="shared" si="425"/>
        <v>2.083333333333333</v>
      </c>
      <c r="G2360" s="44">
        <f t="shared" si="426"/>
        <v>2</v>
      </c>
      <c r="H2360" s="44">
        <f t="shared" si="427"/>
        <v>8.3333333333333037E-2</v>
      </c>
      <c r="I2360" cm="1">
        <f t="array" ref="I2360">INT(F2360)+IF(100-SUM(INT(F$2351:F$2360))&gt;=RANK(H2360,H$2351:H$2360)+COUNTIF(H$2351:H2360,H2360)-1,1,0)</f>
        <v>2</v>
      </c>
      <c r="J2360" t="b">
        <f t="shared" si="428"/>
        <v>0</v>
      </c>
      <c r="K2360" t="str">
        <f t="shared" si="429"/>
        <v/>
      </c>
      <c r="L2360" s="71">
        <v>8</v>
      </c>
      <c r="M2360">
        <f t="shared" si="430"/>
        <v>16</v>
      </c>
      <c r="N2360" s="71" t="b">
        <v>0</v>
      </c>
      <c r="O2360" t="b">
        <f t="shared" si="431"/>
        <v>0</v>
      </c>
      <c r="P2360" s="72" t="b">
        <v>0</v>
      </c>
    </row>
  </sheetData>
  <conditionalFormatting sqref="D2">
    <cfRule type="cellIs" dxfId="0" priority="1" operator="equal">
      <formula>"Crayfish"</formula>
    </cfRule>
  </conditionalFormatting>
  <pageMargins left="0.7" right="0.7" top="0.75" bottom="0.75" header="0.3" footer="0.3"/>
  <pageSetup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051F6-5430-462B-851E-5D7789927D94}">
  <dimension ref="A1:AB1627"/>
  <sheetViews>
    <sheetView workbookViewId="0">
      <pane ySplit="1" topLeftCell="A109" activePane="bottomLeft" state="frozen"/>
      <selection pane="bottomLeft" activeCell="J1649" sqref="J1649"/>
    </sheetView>
  </sheetViews>
  <sheetFormatPr baseColWidth="10" defaultColWidth="8.83203125" defaultRowHeight="15"/>
  <cols>
    <col min="2" max="2" width="17.6640625" customWidth="1"/>
    <col min="3" max="3" width="15.5" customWidth="1"/>
    <col min="4" max="4" width="16.83203125" customWidth="1"/>
    <col min="5" max="5" width="17.5" customWidth="1"/>
    <col min="9" max="9" width="12.5" customWidth="1"/>
    <col min="10" max="10" width="13.83203125" customWidth="1"/>
    <col min="11" max="11" width="14.83203125" customWidth="1"/>
    <col min="23" max="23" width="16.5" customWidth="1"/>
    <col min="24" max="24" width="12.33203125" customWidth="1"/>
    <col min="28" max="28" width="12.5" customWidth="1"/>
  </cols>
  <sheetData>
    <row r="1" spans="1:28">
      <c r="A1" s="7" t="s">
        <v>64</v>
      </c>
      <c r="B1" s="7" t="s">
        <v>213</v>
      </c>
      <c r="C1" s="7" t="s">
        <v>66</v>
      </c>
      <c r="D1" s="7" t="s">
        <v>67</v>
      </c>
      <c r="E1" s="7" t="s">
        <v>214</v>
      </c>
      <c r="F1" s="7" t="s">
        <v>215</v>
      </c>
      <c r="G1" s="7" t="s">
        <v>216</v>
      </c>
      <c r="H1" s="7" t="s">
        <v>217</v>
      </c>
      <c r="I1" s="7" t="s">
        <v>218</v>
      </c>
      <c r="J1" s="7" t="s">
        <v>219</v>
      </c>
      <c r="K1" s="7" t="s">
        <v>220</v>
      </c>
      <c r="L1" s="7" t="s">
        <v>221</v>
      </c>
      <c r="M1" s="7" t="s">
        <v>222</v>
      </c>
      <c r="N1" s="7" t="s">
        <v>75</v>
      </c>
      <c r="O1" s="7" t="s">
        <v>223</v>
      </c>
      <c r="P1" s="7" t="s">
        <v>224</v>
      </c>
      <c r="Q1" s="7" t="s">
        <v>225</v>
      </c>
      <c r="R1" s="7" t="s">
        <v>226</v>
      </c>
      <c r="S1" s="7" t="s">
        <v>227</v>
      </c>
      <c r="T1" s="7" t="s">
        <v>228</v>
      </c>
      <c r="U1" s="7" t="s">
        <v>229</v>
      </c>
      <c r="V1" s="7" t="s">
        <v>230</v>
      </c>
      <c r="W1" s="7" t="s">
        <v>231</v>
      </c>
      <c r="X1" s="7" t="s">
        <v>232</v>
      </c>
      <c r="Y1" s="7" t="s">
        <v>233</v>
      </c>
      <c r="Z1" s="7" t="s">
        <v>234</v>
      </c>
      <c r="AA1" s="7" t="s">
        <v>68</v>
      </c>
      <c r="AB1" s="7" t="s">
        <v>235</v>
      </c>
    </row>
    <row r="2" spans="1:28" ht="16">
      <c r="A2" s="6">
        <v>1</v>
      </c>
      <c r="B2" s="8" t="s">
        <v>205</v>
      </c>
      <c r="C2" s="8" t="s">
        <v>88</v>
      </c>
      <c r="D2" s="8" t="s">
        <v>236</v>
      </c>
      <c r="E2" s="8" t="s">
        <v>236</v>
      </c>
      <c r="F2" s="6">
        <v>1</v>
      </c>
      <c r="G2" s="6" t="b">
        <v>0</v>
      </c>
      <c r="H2" s="8"/>
      <c r="I2" s="6" t="b">
        <v>0</v>
      </c>
      <c r="J2" s="6" t="b">
        <v>0</v>
      </c>
      <c r="K2" s="6" t="b">
        <v>0</v>
      </c>
      <c r="L2" s="6" t="b">
        <v>0</v>
      </c>
      <c r="M2" s="6" t="b">
        <v>0</v>
      </c>
      <c r="N2" s="6">
        <v>8</v>
      </c>
      <c r="O2" s="8" t="s">
        <v>237</v>
      </c>
      <c r="P2" s="8" t="s">
        <v>238</v>
      </c>
      <c r="Q2" s="8" t="s">
        <v>239</v>
      </c>
      <c r="R2" s="6">
        <v>8</v>
      </c>
      <c r="S2" s="8" t="s">
        <v>75</v>
      </c>
      <c r="T2" s="9"/>
      <c r="U2" s="8" t="s">
        <v>240</v>
      </c>
      <c r="V2" s="8" t="s">
        <v>240</v>
      </c>
      <c r="W2" s="8" t="s">
        <v>240</v>
      </c>
      <c r="X2" s="8" t="s">
        <v>240</v>
      </c>
      <c r="Y2" s="8" t="s">
        <v>241</v>
      </c>
      <c r="Z2" s="6" t="b">
        <v>0</v>
      </c>
      <c r="AA2" s="9"/>
      <c r="AB2" s="9"/>
    </row>
    <row r="3" spans="1:28" ht="32">
      <c r="A3" s="6">
        <v>2</v>
      </c>
      <c r="B3" s="8" t="s">
        <v>205</v>
      </c>
      <c r="C3" s="8" t="s">
        <v>88</v>
      </c>
      <c r="D3" s="8" t="s">
        <v>242</v>
      </c>
      <c r="E3" s="8" t="s">
        <v>236</v>
      </c>
      <c r="F3" s="6">
        <v>1</v>
      </c>
      <c r="G3" s="6" t="b">
        <v>0</v>
      </c>
      <c r="H3" s="8" t="s">
        <v>240</v>
      </c>
      <c r="I3" s="6" t="b">
        <v>0</v>
      </c>
      <c r="J3" s="6" t="b">
        <v>0</v>
      </c>
      <c r="K3" s="6" t="b">
        <v>0</v>
      </c>
      <c r="L3" s="6" t="b">
        <v>0</v>
      </c>
      <c r="M3" s="6" t="b">
        <v>0</v>
      </c>
      <c r="N3" s="6">
        <v>8</v>
      </c>
      <c r="O3" s="8" t="s">
        <v>237</v>
      </c>
      <c r="P3" s="8" t="s">
        <v>238</v>
      </c>
      <c r="Q3" s="8" t="s">
        <v>239</v>
      </c>
      <c r="R3" s="6">
        <v>8</v>
      </c>
      <c r="S3" s="8" t="s">
        <v>75</v>
      </c>
      <c r="T3" s="9"/>
      <c r="U3" s="8" t="s">
        <v>240</v>
      </c>
      <c r="V3" s="8" t="s">
        <v>240</v>
      </c>
      <c r="W3" s="8" t="s">
        <v>240</v>
      </c>
      <c r="X3" s="8" t="s">
        <v>240</v>
      </c>
      <c r="Y3" s="8" t="s">
        <v>240</v>
      </c>
      <c r="Z3" s="6" t="b">
        <v>0</v>
      </c>
      <c r="AA3" s="9"/>
      <c r="AB3" s="9"/>
    </row>
    <row r="4" spans="1:28" ht="32">
      <c r="A4" s="6">
        <v>3</v>
      </c>
      <c r="B4" s="8" t="s">
        <v>205</v>
      </c>
      <c r="C4" s="8" t="s">
        <v>88</v>
      </c>
      <c r="D4" s="8" t="s">
        <v>243</v>
      </c>
      <c r="E4" s="8" t="s">
        <v>236</v>
      </c>
      <c r="F4" s="6">
        <v>1</v>
      </c>
      <c r="G4" s="6" t="b">
        <v>0</v>
      </c>
      <c r="H4" s="8" t="s">
        <v>240</v>
      </c>
      <c r="I4" s="6" t="b">
        <v>0</v>
      </c>
      <c r="J4" s="6" t="b">
        <v>0</v>
      </c>
      <c r="K4" s="6" t="b">
        <v>0</v>
      </c>
      <c r="L4" s="6" t="b">
        <v>0</v>
      </c>
      <c r="M4" s="6" t="b">
        <v>0</v>
      </c>
      <c r="N4" s="6">
        <v>8</v>
      </c>
      <c r="O4" s="8" t="s">
        <v>237</v>
      </c>
      <c r="P4" s="8" t="s">
        <v>238</v>
      </c>
      <c r="Q4" s="8" t="s">
        <v>239</v>
      </c>
      <c r="R4" s="6">
        <v>8</v>
      </c>
      <c r="S4" s="8" t="s">
        <v>75</v>
      </c>
      <c r="T4" s="6">
        <v>7</v>
      </c>
      <c r="U4" s="8" t="s">
        <v>240</v>
      </c>
      <c r="V4" s="8" t="s">
        <v>240</v>
      </c>
      <c r="W4" s="8" t="s">
        <v>240</v>
      </c>
      <c r="X4" s="8" t="s">
        <v>240</v>
      </c>
      <c r="Y4" s="8" t="s">
        <v>240</v>
      </c>
      <c r="Z4" s="6" t="b">
        <v>0</v>
      </c>
      <c r="AA4" s="9"/>
      <c r="AB4" s="9"/>
    </row>
    <row r="5" spans="1:28" ht="32">
      <c r="A5" s="6">
        <v>4</v>
      </c>
      <c r="B5" s="8" t="s">
        <v>205</v>
      </c>
      <c r="C5" s="8" t="s">
        <v>88</v>
      </c>
      <c r="D5" s="8" t="s">
        <v>244</v>
      </c>
      <c r="E5" s="8" t="s">
        <v>236</v>
      </c>
      <c r="F5" s="6">
        <v>1</v>
      </c>
      <c r="G5" s="6" t="b">
        <v>0</v>
      </c>
      <c r="H5" s="8" t="s">
        <v>240</v>
      </c>
      <c r="I5" s="6" t="b">
        <v>0</v>
      </c>
      <c r="J5" s="6" t="b">
        <v>0</v>
      </c>
      <c r="K5" s="6" t="b">
        <v>0</v>
      </c>
      <c r="L5" s="6" t="b">
        <v>0</v>
      </c>
      <c r="M5" s="6" t="b">
        <v>0</v>
      </c>
      <c r="N5" s="6">
        <v>8</v>
      </c>
      <c r="O5" s="8" t="s">
        <v>237</v>
      </c>
      <c r="P5" s="8" t="s">
        <v>238</v>
      </c>
      <c r="Q5" s="8" t="s">
        <v>239</v>
      </c>
      <c r="R5" s="6">
        <v>8</v>
      </c>
      <c r="S5" s="8" t="s">
        <v>75</v>
      </c>
      <c r="T5" s="9"/>
      <c r="U5" s="8" t="s">
        <v>240</v>
      </c>
      <c r="V5" s="8" t="s">
        <v>240</v>
      </c>
      <c r="W5" s="8" t="s">
        <v>240</v>
      </c>
      <c r="X5" s="8" t="s">
        <v>240</v>
      </c>
      <c r="Y5" s="8" t="s">
        <v>240</v>
      </c>
      <c r="Z5" s="6" t="b">
        <v>0</v>
      </c>
      <c r="AA5" s="9"/>
      <c r="AB5" s="9"/>
    </row>
    <row r="6" spans="1:28" ht="16">
      <c r="A6" s="6">
        <v>5</v>
      </c>
      <c r="B6" s="8" t="s">
        <v>205</v>
      </c>
      <c r="C6" s="8" t="s">
        <v>88</v>
      </c>
      <c r="D6" s="8" t="s">
        <v>245</v>
      </c>
      <c r="E6" s="8" t="s">
        <v>236</v>
      </c>
      <c r="F6" s="6">
        <v>1</v>
      </c>
      <c r="G6" s="6" t="b">
        <v>0</v>
      </c>
      <c r="H6" s="8" t="s">
        <v>240</v>
      </c>
      <c r="I6" s="6" t="b">
        <v>0</v>
      </c>
      <c r="J6" s="6" t="b">
        <v>0</v>
      </c>
      <c r="K6" s="6" t="b">
        <v>0</v>
      </c>
      <c r="L6" s="6" t="b">
        <v>0</v>
      </c>
      <c r="M6" s="6" t="b">
        <v>0</v>
      </c>
      <c r="N6" s="6">
        <v>8</v>
      </c>
      <c r="O6" s="8" t="s">
        <v>237</v>
      </c>
      <c r="P6" s="8" t="s">
        <v>238</v>
      </c>
      <c r="Q6" s="8" t="s">
        <v>239</v>
      </c>
      <c r="R6" s="6">
        <v>8</v>
      </c>
      <c r="S6" s="8" t="s">
        <v>75</v>
      </c>
      <c r="T6" s="9"/>
      <c r="U6" s="8" t="s">
        <v>240</v>
      </c>
      <c r="V6" s="8" t="s">
        <v>240</v>
      </c>
      <c r="W6" s="8" t="s">
        <v>240</v>
      </c>
      <c r="X6" s="8" t="s">
        <v>240</v>
      </c>
      <c r="Y6" s="8" t="s">
        <v>240</v>
      </c>
      <c r="Z6" s="6" t="b">
        <v>0</v>
      </c>
      <c r="AA6" s="9"/>
      <c r="AB6" s="9"/>
    </row>
    <row r="7" spans="1:28" ht="32">
      <c r="A7" s="6">
        <v>6</v>
      </c>
      <c r="B7" s="8" t="s">
        <v>205</v>
      </c>
      <c r="C7" s="8" t="s">
        <v>88</v>
      </c>
      <c r="D7" s="8" t="s">
        <v>246</v>
      </c>
      <c r="E7" s="8" t="s">
        <v>236</v>
      </c>
      <c r="F7" s="6">
        <v>1</v>
      </c>
      <c r="G7" s="6" t="b">
        <v>0</v>
      </c>
      <c r="H7" s="8" t="s">
        <v>240</v>
      </c>
      <c r="I7" s="6" t="b">
        <v>0</v>
      </c>
      <c r="J7" s="6" t="b">
        <v>0</v>
      </c>
      <c r="K7" s="6" t="b">
        <v>0</v>
      </c>
      <c r="L7" s="6" t="b">
        <v>0</v>
      </c>
      <c r="M7" s="6" t="b">
        <v>0</v>
      </c>
      <c r="N7" s="6">
        <v>8</v>
      </c>
      <c r="O7" s="8" t="s">
        <v>237</v>
      </c>
      <c r="P7" s="8" t="s">
        <v>238</v>
      </c>
      <c r="Q7" s="8" t="s">
        <v>239</v>
      </c>
      <c r="R7" s="6">
        <v>9</v>
      </c>
      <c r="S7" s="8" t="s">
        <v>247</v>
      </c>
      <c r="T7" s="9"/>
      <c r="U7" s="8" t="s">
        <v>240</v>
      </c>
      <c r="V7" s="8" t="s">
        <v>240</v>
      </c>
      <c r="W7" s="8" t="s">
        <v>240</v>
      </c>
      <c r="X7" s="8" t="s">
        <v>240</v>
      </c>
      <c r="Y7" s="8" t="s">
        <v>240</v>
      </c>
      <c r="Z7" s="6" t="b">
        <v>0</v>
      </c>
      <c r="AA7" s="9"/>
      <c r="AB7" s="9"/>
    </row>
    <row r="8" spans="1:28" ht="32">
      <c r="A8" s="6">
        <v>7</v>
      </c>
      <c r="B8" s="8" t="s">
        <v>205</v>
      </c>
      <c r="C8" s="8" t="s">
        <v>88</v>
      </c>
      <c r="D8" s="8" t="s">
        <v>248</v>
      </c>
      <c r="E8" s="8" t="s">
        <v>236</v>
      </c>
      <c r="F8" s="6">
        <v>1</v>
      </c>
      <c r="G8" s="6" t="b">
        <v>0</v>
      </c>
      <c r="H8" s="8" t="s">
        <v>240</v>
      </c>
      <c r="I8" s="6" t="b">
        <v>0</v>
      </c>
      <c r="J8" s="6" t="b">
        <v>0</v>
      </c>
      <c r="K8" s="6" t="b">
        <v>0</v>
      </c>
      <c r="L8" s="6" t="b">
        <v>0</v>
      </c>
      <c r="M8" s="6" t="b">
        <v>0</v>
      </c>
      <c r="N8" s="6">
        <v>8</v>
      </c>
      <c r="O8" s="8" t="s">
        <v>237</v>
      </c>
      <c r="P8" s="8" t="s">
        <v>238</v>
      </c>
      <c r="Q8" s="8" t="s">
        <v>239</v>
      </c>
      <c r="R8" s="6">
        <v>6.6</v>
      </c>
      <c r="S8" s="8" t="s">
        <v>247</v>
      </c>
      <c r="T8" s="9"/>
      <c r="U8" s="8" t="s">
        <v>240</v>
      </c>
      <c r="V8" s="8" t="s">
        <v>240</v>
      </c>
      <c r="W8" s="8" t="s">
        <v>240</v>
      </c>
      <c r="X8" s="8" t="s">
        <v>240</v>
      </c>
      <c r="Y8" s="8" t="s">
        <v>240</v>
      </c>
      <c r="Z8" s="6" t="b">
        <v>0</v>
      </c>
      <c r="AA8" s="9"/>
      <c r="AB8" s="9"/>
    </row>
    <row r="9" spans="1:28" ht="16">
      <c r="A9" s="6">
        <v>8</v>
      </c>
      <c r="B9" s="8" t="s">
        <v>205</v>
      </c>
      <c r="C9" s="8" t="s">
        <v>88</v>
      </c>
      <c r="D9" s="8" t="s">
        <v>249</v>
      </c>
      <c r="E9" s="8" t="s">
        <v>236</v>
      </c>
      <c r="F9" s="6">
        <v>1</v>
      </c>
      <c r="G9" s="6" t="b">
        <v>0</v>
      </c>
      <c r="H9" s="8" t="s">
        <v>240</v>
      </c>
      <c r="I9" s="6" t="b">
        <v>0</v>
      </c>
      <c r="J9" s="6" t="b">
        <v>0</v>
      </c>
      <c r="K9" s="6" t="b">
        <v>0</v>
      </c>
      <c r="L9" s="6" t="b">
        <v>0</v>
      </c>
      <c r="M9" s="6" t="b">
        <v>0</v>
      </c>
      <c r="N9" s="6">
        <v>8</v>
      </c>
      <c r="O9" s="8" t="s">
        <v>237</v>
      </c>
      <c r="P9" s="8" t="s">
        <v>238</v>
      </c>
      <c r="Q9" s="8" t="s">
        <v>239</v>
      </c>
      <c r="R9" s="6">
        <v>8</v>
      </c>
      <c r="S9" s="8" t="s">
        <v>75</v>
      </c>
      <c r="T9" s="6">
        <v>7</v>
      </c>
      <c r="U9" s="8" t="s">
        <v>250</v>
      </c>
      <c r="V9" s="8" t="s">
        <v>240</v>
      </c>
      <c r="W9" s="8" t="s">
        <v>240</v>
      </c>
      <c r="X9" s="8" t="s">
        <v>240</v>
      </c>
      <c r="Y9" s="8" t="s">
        <v>240</v>
      </c>
      <c r="Z9" s="6" t="b">
        <v>0</v>
      </c>
      <c r="AA9" s="9"/>
      <c r="AB9" s="9"/>
    </row>
    <row r="10" spans="1:28" ht="32">
      <c r="A10" s="6">
        <v>9</v>
      </c>
      <c r="B10" s="8" t="s">
        <v>205</v>
      </c>
      <c r="C10" s="8" t="s">
        <v>88</v>
      </c>
      <c r="D10" s="8" t="s">
        <v>251</v>
      </c>
      <c r="E10" s="8" t="s">
        <v>236</v>
      </c>
      <c r="F10" s="6">
        <v>1</v>
      </c>
      <c r="G10" s="6" t="b">
        <v>0</v>
      </c>
      <c r="H10" s="8" t="s">
        <v>240</v>
      </c>
      <c r="I10" s="6" t="b">
        <v>0</v>
      </c>
      <c r="J10" s="6" t="b">
        <v>0</v>
      </c>
      <c r="K10" s="6" t="b">
        <v>0</v>
      </c>
      <c r="L10" s="6" t="b">
        <v>0</v>
      </c>
      <c r="M10" s="6" t="b">
        <v>0</v>
      </c>
      <c r="N10" s="6">
        <v>8</v>
      </c>
      <c r="O10" s="8" t="s">
        <v>237</v>
      </c>
      <c r="P10" s="8" t="s">
        <v>238</v>
      </c>
      <c r="Q10" s="8" t="s">
        <v>239</v>
      </c>
      <c r="R10" s="6">
        <v>8</v>
      </c>
      <c r="S10" s="8" t="s">
        <v>75</v>
      </c>
      <c r="T10" s="9"/>
      <c r="U10" s="8" t="s">
        <v>240</v>
      </c>
      <c r="V10" s="8" t="s">
        <v>240</v>
      </c>
      <c r="W10" s="8" t="s">
        <v>240</v>
      </c>
      <c r="X10" s="8" t="s">
        <v>240</v>
      </c>
      <c r="Y10" s="8" t="s">
        <v>240</v>
      </c>
      <c r="Z10" s="6" t="b">
        <v>0</v>
      </c>
      <c r="AA10" s="9"/>
      <c r="AB10" s="9"/>
    </row>
    <row r="11" spans="1:28" ht="16">
      <c r="A11" s="6">
        <v>10</v>
      </c>
      <c r="B11" s="8" t="s">
        <v>252</v>
      </c>
      <c r="C11" s="8" t="s">
        <v>253</v>
      </c>
      <c r="D11" s="8" t="s">
        <v>254</v>
      </c>
      <c r="E11" s="8" t="s">
        <v>254</v>
      </c>
      <c r="F11" s="6">
        <v>10</v>
      </c>
      <c r="G11" s="6" t="b">
        <v>0</v>
      </c>
      <c r="H11" s="8" t="s">
        <v>240</v>
      </c>
      <c r="I11" s="6" t="b">
        <v>0</v>
      </c>
      <c r="J11" s="6" t="b">
        <v>0</v>
      </c>
      <c r="K11" s="6" t="b">
        <v>0</v>
      </c>
      <c r="L11" s="6" t="b">
        <v>0</v>
      </c>
      <c r="M11" s="6" t="b">
        <v>0</v>
      </c>
      <c r="N11" s="6">
        <v>4</v>
      </c>
      <c r="O11" s="8" t="s">
        <v>237</v>
      </c>
      <c r="P11" s="8" t="s">
        <v>255</v>
      </c>
      <c r="Q11" s="8" t="s">
        <v>237</v>
      </c>
      <c r="R11" s="6">
        <v>4</v>
      </c>
      <c r="S11" s="8" t="s">
        <v>75</v>
      </c>
      <c r="T11" s="9"/>
      <c r="U11" s="8" t="s">
        <v>240</v>
      </c>
      <c r="V11" s="8" t="s">
        <v>240</v>
      </c>
      <c r="W11" s="8" t="s">
        <v>240</v>
      </c>
      <c r="X11" s="8" t="s">
        <v>240</v>
      </c>
      <c r="Y11" s="8" t="s">
        <v>240</v>
      </c>
      <c r="Z11" s="6" t="b">
        <v>0</v>
      </c>
      <c r="AA11" s="9"/>
      <c r="AB11" s="9"/>
    </row>
    <row r="12" spans="1:28" ht="32">
      <c r="A12" s="6">
        <v>11</v>
      </c>
      <c r="B12" s="8" t="s">
        <v>252</v>
      </c>
      <c r="C12" s="8" t="s">
        <v>253</v>
      </c>
      <c r="D12" s="8" t="s">
        <v>256</v>
      </c>
      <c r="E12" s="8" t="s">
        <v>254</v>
      </c>
      <c r="F12" s="6">
        <v>10</v>
      </c>
      <c r="G12" s="6" t="b">
        <v>0</v>
      </c>
      <c r="H12" s="8" t="s">
        <v>240</v>
      </c>
      <c r="I12" s="6" t="b">
        <v>0</v>
      </c>
      <c r="J12" s="6" t="b">
        <v>0</v>
      </c>
      <c r="K12" s="6" t="b">
        <v>0</v>
      </c>
      <c r="L12" s="6" t="b">
        <v>0</v>
      </c>
      <c r="M12" s="6" t="b">
        <v>0</v>
      </c>
      <c r="N12" s="6">
        <v>4</v>
      </c>
      <c r="O12" s="8" t="s">
        <v>237</v>
      </c>
      <c r="P12" s="8" t="s">
        <v>255</v>
      </c>
      <c r="Q12" s="8" t="s">
        <v>237</v>
      </c>
      <c r="R12" s="6">
        <v>4</v>
      </c>
      <c r="S12" s="8" t="s">
        <v>75</v>
      </c>
      <c r="T12" s="9"/>
      <c r="U12" s="8" t="s">
        <v>240</v>
      </c>
      <c r="V12" s="8" t="s">
        <v>240</v>
      </c>
      <c r="W12" s="8" t="s">
        <v>240</v>
      </c>
      <c r="X12" s="8" t="s">
        <v>240</v>
      </c>
      <c r="Y12" s="8" t="s">
        <v>257</v>
      </c>
      <c r="Z12" s="6" t="b">
        <v>0</v>
      </c>
      <c r="AA12" s="9"/>
      <c r="AB12" s="9"/>
    </row>
    <row r="13" spans="1:28" ht="16">
      <c r="A13" s="6">
        <v>12</v>
      </c>
      <c r="B13" s="8" t="s">
        <v>252</v>
      </c>
      <c r="C13" s="8" t="s">
        <v>258</v>
      </c>
      <c r="D13" s="8" t="s">
        <v>259</v>
      </c>
      <c r="E13" s="8" t="s">
        <v>259</v>
      </c>
      <c r="F13" s="6">
        <v>12</v>
      </c>
      <c r="G13" s="6" t="b">
        <v>0</v>
      </c>
      <c r="H13" s="8" t="s">
        <v>240</v>
      </c>
      <c r="I13" s="6" t="b">
        <v>0</v>
      </c>
      <c r="J13" s="6" t="b">
        <v>0</v>
      </c>
      <c r="K13" s="6" t="b">
        <v>0</v>
      </c>
      <c r="L13" s="6" t="b">
        <v>0</v>
      </c>
      <c r="M13" s="6" t="b">
        <v>0</v>
      </c>
      <c r="N13" s="6">
        <v>4</v>
      </c>
      <c r="O13" s="8" t="s">
        <v>237</v>
      </c>
      <c r="P13" s="8" t="s">
        <v>255</v>
      </c>
      <c r="Q13" s="8" t="s">
        <v>237</v>
      </c>
      <c r="R13" s="6">
        <v>4</v>
      </c>
      <c r="S13" s="8" t="s">
        <v>75</v>
      </c>
      <c r="T13" s="9"/>
      <c r="U13" s="8" t="s">
        <v>240</v>
      </c>
      <c r="V13" s="8" t="s">
        <v>240</v>
      </c>
      <c r="W13" s="8" t="s">
        <v>240</v>
      </c>
      <c r="X13" s="8" t="s">
        <v>240</v>
      </c>
      <c r="Y13" s="8" t="s">
        <v>240</v>
      </c>
      <c r="Z13" s="6" t="b">
        <v>0</v>
      </c>
      <c r="AA13" s="9"/>
      <c r="AB13" s="9"/>
    </row>
    <row r="14" spans="1:28" ht="16">
      <c r="A14" s="6">
        <v>13</v>
      </c>
      <c r="B14" s="8" t="s">
        <v>252</v>
      </c>
      <c r="C14" s="8" t="s">
        <v>260</v>
      </c>
      <c r="D14" s="8" t="s">
        <v>260</v>
      </c>
      <c r="E14" s="8" t="s">
        <v>260</v>
      </c>
      <c r="F14" s="6">
        <v>13</v>
      </c>
      <c r="G14" s="6" t="b">
        <v>0</v>
      </c>
      <c r="H14" s="8" t="s">
        <v>240</v>
      </c>
      <c r="I14" s="6" t="b">
        <v>0</v>
      </c>
      <c r="J14" s="6" t="b">
        <v>0</v>
      </c>
      <c r="K14" s="6" t="b">
        <v>0</v>
      </c>
      <c r="L14" s="6" t="b">
        <v>0</v>
      </c>
      <c r="M14" s="6" t="b">
        <v>0</v>
      </c>
      <c r="N14" s="6">
        <v>4</v>
      </c>
      <c r="O14" s="8" t="s">
        <v>237</v>
      </c>
      <c r="P14" s="8" t="s">
        <v>255</v>
      </c>
      <c r="Q14" s="8" t="s">
        <v>237</v>
      </c>
      <c r="R14" s="6">
        <v>4</v>
      </c>
      <c r="S14" s="8" t="s">
        <v>75</v>
      </c>
      <c r="T14" s="9"/>
      <c r="U14" s="8" t="s">
        <v>240</v>
      </c>
      <c r="V14" s="8" t="s">
        <v>240</v>
      </c>
      <c r="W14" s="8" t="s">
        <v>240</v>
      </c>
      <c r="X14" s="8" t="s">
        <v>240</v>
      </c>
      <c r="Y14" s="8" t="s">
        <v>240</v>
      </c>
      <c r="Z14" s="6" t="b">
        <v>0</v>
      </c>
      <c r="AA14" s="9"/>
      <c r="AB14" s="9"/>
    </row>
    <row r="15" spans="1:28" ht="16">
      <c r="A15" s="6">
        <v>14</v>
      </c>
      <c r="B15" s="8" t="s">
        <v>252</v>
      </c>
      <c r="C15" s="8" t="s">
        <v>260</v>
      </c>
      <c r="D15" s="8" t="s">
        <v>261</v>
      </c>
      <c r="E15" s="8" t="s">
        <v>261</v>
      </c>
      <c r="F15" s="6">
        <v>14</v>
      </c>
      <c r="G15" s="6" t="b">
        <v>0</v>
      </c>
      <c r="H15" s="8" t="s">
        <v>240</v>
      </c>
      <c r="I15" s="6" t="b">
        <v>0</v>
      </c>
      <c r="J15" s="6" t="b">
        <v>0</v>
      </c>
      <c r="K15" s="6" t="b">
        <v>0</v>
      </c>
      <c r="L15" s="6" t="b">
        <v>0</v>
      </c>
      <c r="M15" s="6" t="b">
        <v>0</v>
      </c>
      <c r="N15" s="6">
        <v>4</v>
      </c>
      <c r="O15" s="8" t="s">
        <v>237</v>
      </c>
      <c r="P15" s="8" t="s">
        <v>255</v>
      </c>
      <c r="Q15" s="8" t="s">
        <v>237</v>
      </c>
      <c r="R15" s="6">
        <v>4</v>
      </c>
      <c r="S15" s="8" t="s">
        <v>75</v>
      </c>
      <c r="T15" s="9"/>
      <c r="U15" s="8" t="s">
        <v>240</v>
      </c>
      <c r="V15" s="8" t="s">
        <v>240</v>
      </c>
      <c r="W15" s="8" t="s">
        <v>240</v>
      </c>
      <c r="X15" s="8" t="s">
        <v>240</v>
      </c>
      <c r="Y15" s="8" t="s">
        <v>240</v>
      </c>
      <c r="Z15" s="6" t="b">
        <v>0</v>
      </c>
      <c r="AA15" s="9"/>
      <c r="AB15" s="9"/>
    </row>
    <row r="16" spans="1:28" ht="16">
      <c r="A16" s="6">
        <v>15</v>
      </c>
      <c r="B16" s="8" t="s">
        <v>252</v>
      </c>
      <c r="C16" s="8" t="s">
        <v>258</v>
      </c>
      <c r="D16" s="8" t="s">
        <v>262</v>
      </c>
      <c r="E16" s="8" t="s">
        <v>262</v>
      </c>
      <c r="F16" s="6">
        <v>15</v>
      </c>
      <c r="G16" s="6" t="b">
        <v>0</v>
      </c>
      <c r="H16" s="8" t="s">
        <v>240</v>
      </c>
      <c r="I16" s="6" t="b">
        <v>0</v>
      </c>
      <c r="J16" s="6" t="b">
        <v>0</v>
      </c>
      <c r="K16" s="6" t="b">
        <v>0</v>
      </c>
      <c r="L16" s="6" t="b">
        <v>0</v>
      </c>
      <c r="M16" s="6" t="b">
        <v>0</v>
      </c>
      <c r="N16" s="6">
        <v>4</v>
      </c>
      <c r="O16" s="8" t="s">
        <v>237</v>
      </c>
      <c r="P16" s="8" t="s">
        <v>255</v>
      </c>
      <c r="Q16" s="8" t="s">
        <v>237</v>
      </c>
      <c r="R16" s="6">
        <v>4</v>
      </c>
      <c r="S16" s="8" t="s">
        <v>75</v>
      </c>
      <c r="T16" s="9"/>
      <c r="U16" s="8" t="s">
        <v>240</v>
      </c>
      <c r="V16" s="8" t="s">
        <v>240</v>
      </c>
      <c r="W16" s="8" t="s">
        <v>240</v>
      </c>
      <c r="X16" s="8" t="s">
        <v>240</v>
      </c>
      <c r="Y16" s="8" t="s">
        <v>240</v>
      </c>
      <c r="Z16" s="6" t="b">
        <v>0</v>
      </c>
      <c r="AA16" s="9"/>
      <c r="AB16" s="9"/>
    </row>
    <row r="17" spans="1:28" ht="16">
      <c r="A17" s="6">
        <v>16</v>
      </c>
      <c r="B17" s="8" t="s">
        <v>252</v>
      </c>
      <c r="C17" s="8" t="s">
        <v>258</v>
      </c>
      <c r="D17" s="8" t="s">
        <v>258</v>
      </c>
      <c r="E17" s="8" t="s">
        <v>258</v>
      </c>
      <c r="F17" s="6">
        <v>16</v>
      </c>
      <c r="G17" s="6" t="b">
        <v>0</v>
      </c>
      <c r="H17" s="8" t="s">
        <v>240</v>
      </c>
      <c r="I17" s="6" t="b">
        <v>0</v>
      </c>
      <c r="J17" s="6" t="b">
        <v>0</v>
      </c>
      <c r="K17" s="6" t="b">
        <v>0</v>
      </c>
      <c r="L17" s="6" t="b">
        <v>0</v>
      </c>
      <c r="M17" s="6" t="b">
        <v>0</v>
      </c>
      <c r="N17" s="6">
        <v>4</v>
      </c>
      <c r="O17" s="8" t="s">
        <v>237</v>
      </c>
      <c r="P17" s="8" t="s">
        <v>255</v>
      </c>
      <c r="Q17" s="8" t="s">
        <v>237</v>
      </c>
      <c r="R17" s="6">
        <v>4</v>
      </c>
      <c r="S17" s="8" t="s">
        <v>75</v>
      </c>
      <c r="T17" s="9"/>
      <c r="U17" s="8" t="s">
        <v>240</v>
      </c>
      <c r="V17" s="8" t="s">
        <v>240</v>
      </c>
      <c r="W17" s="8" t="s">
        <v>240</v>
      </c>
      <c r="X17" s="8" t="s">
        <v>240</v>
      </c>
      <c r="Y17" s="8" t="s">
        <v>240</v>
      </c>
      <c r="Z17" s="6" t="b">
        <v>0</v>
      </c>
      <c r="AA17" s="9"/>
      <c r="AB17" s="9"/>
    </row>
    <row r="18" spans="1:28" ht="16">
      <c r="A18" s="6">
        <v>17</v>
      </c>
      <c r="B18" s="8" t="s">
        <v>252</v>
      </c>
      <c r="C18" s="8" t="s">
        <v>260</v>
      </c>
      <c r="D18" s="8" t="s">
        <v>263</v>
      </c>
      <c r="E18" s="8" t="s">
        <v>263</v>
      </c>
      <c r="F18" s="6">
        <v>17</v>
      </c>
      <c r="G18" s="6" t="b">
        <v>0</v>
      </c>
      <c r="H18" s="8" t="s">
        <v>240</v>
      </c>
      <c r="I18" s="6" t="b">
        <v>0</v>
      </c>
      <c r="J18" s="6" t="b">
        <v>0</v>
      </c>
      <c r="K18" s="6" t="b">
        <v>0</v>
      </c>
      <c r="L18" s="6" t="b">
        <v>0</v>
      </c>
      <c r="M18" s="6" t="b">
        <v>0</v>
      </c>
      <c r="N18" s="6">
        <v>4</v>
      </c>
      <c r="O18" s="8" t="s">
        <v>237</v>
      </c>
      <c r="P18" s="8" t="s">
        <v>255</v>
      </c>
      <c r="Q18" s="8" t="s">
        <v>237</v>
      </c>
      <c r="R18" s="6">
        <v>4</v>
      </c>
      <c r="S18" s="8" t="s">
        <v>75</v>
      </c>
      <c r="T18" s="9"/>
      <c r="U18" s="8" t="s">
        <v>240</v>
      </c>
      <c r="V18" s="8" t="s">
        <v>240</v>
      </c>
      <c r="W18" s="8" t="s">
        <v>240</v>
      </c>
      <c r="X18" s="8" t="s">
        <v>240</v>
      </c>
      <c r="Y18" s="8" t="s">
        <v>240</v>
      </c>
      <c r="Z18" s="6" t="b">
        <v>0</v>
      </c>
      <c r="AA18" s="9"/>
      <c r="AB18" s="9"/>
    </row>
    <row r="19" spans="1:28" ht="32">
      <c r="A19" s="6">
        <v>18</v>
      </c>
      <c r="B19" s="8" t="s">
        <v>252</v>
      </c>
      <c r="C19" s="8" t="s">
        <v>260</v>
      </c>
      <c r="D19" s="8" t="s">
        <v>264</v>
      </c>
      <c r="E19" s="8" t="s">
        <v>263</v>
      </c>
      <c r="F19" s="6">
        <v>17</v>
      </c>
      <c r="G19" s="6" t="b">
        <v>0</v>
      </c>
      <c r="H19" s="8" t="s">
        <v>240</v>
      </c>
      <c r="I19" s="6" t="b">
        <v>0</v>
      </c>
      <c r="J19" s="6" t="b">
        <v>0</v>
      </c>
      <c r="K19" s="6" t="b">
        <v>0</v>
      </c>
      <c r="L19" s="6" t="b">
        <v>0</v>
      </c>
      <c r="M19" s="6" t="b">
        <v>0</v>
      </c>
      <c r="N19" s="6">
        <v>4</v>
      </c>
      <c r="O19" s="8" t="s">
        <v>237</v>
      </c>
      <c r="P19" s="8" t="s">
        <v>255</v>
      </c>
      <c r="Q19" s="8" t="s">
        <v>237</v>
      </c>
      <c r="R19" s="6">
        <v>4</v>
      </c>
      <c r="S19" s="8" t="s">
        <v>75</v>
      </c>
      <c r="T19" s="9"/>
      <c r="U19" s="8" t="s">
        <v>240</v>
      </c>
      <c r="V19" s="8" t="s">
        <v>240</v>
      </c>
      <c r="W19" s="8" t="s">
        <v>240</v>
      </c>
      <c r="X19" s="8" t="s">
        <v>240</v>
      </c>
      <c r="Y19" s="8" t="s">
        <v>240</v>
      </c>
      <c r="Z19" s="6" t="b">
        <v>0</v>
      </c>
      <c r="AA19" s="9"/>
      <c r="AB19" s="9"/>
    </row>
    <row r="20" spans="1:28" ht="16">
      <c r="A20" s="6">
        <v>19</v>
      </c>
      <c r="B20" s="8" t="s">
        <v>252</v>
      </c>
      <c r="C20" s="8" t="s">
        <v>253</v>
      </c>
      <c r="D20" s="8" t="s">
        <v>265</v>
      </c>
      <c r="E20" s="8" t="s">
        <v>265</v>
      </c>
      <c r="F20" s="6">
        <v>19</v>
      </c>
      <c r="G20" s="6" t="b">
        <v>0</v>
      </c>
      <c r="H20" s="8" t="s">
        <v>240</v>
      </c>
      <c r="I20" s="6" t="b">
        <v>0</v>
      </c>
      <c r="J20" s="6" t="b">
        <v>0</v>
      </c>
      <c r="K20" s="6" t="b">
        <v>0</v>
      </c>
      <c r="L20" s="6" t="b">
        <v>0</v>
      </c>
      <c r="M20" s="6" t="b">
        <v>0</v>
      </c>
      <c r="N20" s="6">
        <v>4</v>
      </c>
      <c r="O20" s="8" t="s">
        <v>237</v>
      </c>
      <c r="P20" s="8" t="s">
        <v>255</v>
      </c>
      <c r="Q20" s="8" t="s">
        <v>237</v>
      </c>
      <c r="R20" s="6">
        <v>4</v>
      </c>
      <c r="S20" s="8" t="s">
        <v>75</v>
      </c>
      <c r="T20" s="9"/>
      <c r="U20" s="8" t="s">
        <v>240</v>
      </c>
      <c r="V20" s="8" t="s">
        <v>240</v>
      </c>
      <c r="W20" s="8" t="s">
        <v>240</v>
      </c>
      <c r="X20" s="8" t="s">
        <v>240</v>
      </c>
      <c r="Y20" s="8" t="s">
        <v>240</v>
      </c>
      <c r="Z20" s="6" t="b">
        <v>0</v>
      </c>
      <c r="AA20" s="9"/>
      <c r="AB20" s="9"/>
    </row>
    <row r="21" spans="1:28" ht="32">
      <c r="A21" s="6">
        <v>20</v>
      </c>
      <c r="B21" s="8" t="s">
        <v>252</v>
      </c>
      <c r="C21" s="8" t="s">
        <v>253</v>
      </c>
      <c r="D21" s="8" t="s">
        <v>266</v>
      </c>
      <c r="E21" s="8" t="s">
        <v>265</v>
      </c>
      <c r="F21" s="6">
        <v>19</v>
      </c>
      <c r="G21" s="6" t="b">
        <v>0</v>
      </c>
      <c r="H21" s="8" t="s">
        <v>240</v>
      </c>
      <c r="I21" s="6" t="b">
        <v>0</v>
      </c>
      <c r="J21" s="6" t="b">
        <v>0</v>
      </c>
      <c r="K21" s="6" t="b">
        <v>0</v>
      </c>
      <c r="L21" s="6" t="b">
        <v>0</v>
      </c>
      <c r="M21" s="6" t="b">
        <v>0</v>
      </c>
      <c r="N21" s="6">
        <v>4</v>
      </c>
      <c r="O21" s="8" t="s">
        <v>237</v>
      </c>
      <c r="P21" s="8" t="s">
        <v>255</v>
      </c>
      <c r="Q21" s="8" t="s">
        <v>237</v>
      </c>
      <c r="R21" s="6">
        <v>4</v>
      </c>
      <c r="S21" s="8" t="s">
        <v>75</v>
      </c>
      <c r="T21" s="9"/>
      <c r="U21" s="8" t="s">
        <v>240</v>
      </c>
      <c r="V21" s="8" t="s">
        <v>240</v>
      </c>
      <c r="W21" s="8" t="s">
        <v>240</v>
      </c>
      <c r="X21" s="8" t="s">
        <v>240</v>
      </c>
      <c r="Y21" s="8" t="s">
        <v>267</v>
      </c>
      <c r="Z21" s="6" t="b">
        <v>0</v>
      </c>
      <c r="AA21" s="9"/>
      <c r="AB21" s="9"/>
    </row>
    <row r="22" spans="1:28" ht="16">
      <c r="A22" s="6">
        <v>21</v>
      </c>
      <c r="B22" s="8" t="s">
        <v>252</v>
      </c>
      <c r="C22" s="8" t="s">
        <v>253</v>
      </c>
      <c r="D22" s="8" t="s">
        <v>268</v>
      </c>
      <c r="E22" s="8" t="s">
        <v>265</v>
      </c>
      <c r="F22" s="6">
        <v>19</v>
      </c>
      <c r="G22" s="6" t="b">
        <v>0</v>
      </c>
      <c r="H22" s="8" t="s">
        <v>240</v>
      </c>
      <c r="I22" s="6" t="b">
        <v>0</v>
      </c>
      <c r="J22" s="6" t="b">
        <v>0</v>
      </c>
      <c r="K22" s="6" t="b">
        <v>0</v>
      </c>
      <c r="L22" s="6" t="b">
        <v>0</v>
      </c>
      <c r="M22" s="6" t="b">
        <v>0</v>
      </c>
      <c r="N22" s="6">
        <v>4</v>
      </c>
      <c r="O22" s="8" t="s">
        <v>237</v>
      </c>
      <c r="P22" s="8" t="s">
        <v>255</v>
      </c>
      <c r="Q22" s="8" t="s">
        <v>237</v>
      </c>
      <c r="R22" s="6">
        <v>4</v>
      </c>
      <c r="S22" s="8" t="s">
        <v>75</v>
      </c>
      <c r="T22" s="9"/>
      <c r="U22" s="8" t="s">
        <v>240</v>
      </c>
      <c r="V22" s="8" t="s">
        <v>240</v>
      </c>
      <c r="W22" s="8" t="s">
        <v>240</v>
      </c>
      <c r="X22" s="8" t="s">
        <v>240</v>
      </c>
      <c r="Y22" s="8" t="s">
        <v>240</v>
      </c>
      <c r="Z22" s="6" t="b">
        <v>0</v>
      </c>
      <c r="AA22" s="9"/>
      <c r="AB22" s="9"/>
    </row>
    <row r="23" spans="1:28" ht="16">
      <c r="A23" s="6">
        <v>22</v>
      </c>
      <c r="B23" s="8" t="s">
        <v>252</v>
      </c>
      <c r="C23" s="8" t="s">
        <v>269</v>
      </c>
      <c r="D23" s="8" t="s">
        <v>270</v>
      </c>
      <c r="E23" s="8" t="s">
        <v>270</v>
      </c>
      <c r="F23" s="6">
        <v>22</v>
      </c>
      <c r="G23" s="6" t="b">
        <v>0</v>
      </c>
      <c r="H23" s="8" t="s">
        <v>240</v>
      </c>
      <c r="I23" s="6" t="b">
        <v>0</v>
      </c>
      <c r="J23" s="6" t="b">
        <v>0</v>
      </c>
      <c r="K23" s="6" t="b">
        <v>0</v>
      </c>
      <c r="L23" s="6" t="b">
        <v>0</v>
      </c>
      <c r="M23" s="6" t="b">
        <v>0</v>
      </c>
      <c r="N23" s="6">
        <v>3</v>
      </c>
      <c r="O23" s="8" t="s">
        <v>237</v>
      </c>
      <c r="P23" s="8" t="s">
        <v>255</v>
      </c>
      <c r="Q23" s="8" t="s">
        <v>237</v>
      </c>
      <c r="R23" s="6">
        <v>3</v>
      </c>
      <c r="S23" s="8" t="s">
        <v>75</v>
      </c>
      <c r="T23" s="9"/>
      <c r="U23" s="8" t="s">
        <v>240</v>
      </c>
      <c r="V23" s="8" t="s">
        <v>240</v>
      </c>
      <c r="W23" s="8" t="s">
        <v>240</v>
      </c>
      <c r="X23" s="8" t="s">
        <v>240</v>
      </c>
      <c r="Y23" s="8" t="s">
        <v>240</v>
      </c>
      <c r="Z23" s="6" t="b">
        <v>0</v>
      </c>
      <c r="AA23" s="9"/>
      <c r="AB23" s="9"/>
    </row>
    <row r="24" spans="1:28" ht="16">
      <c r="A24" s="6">
        <v>23</v>
      </c>
      <c r="B24" s="8" t="s">
        <v>252</v>
      </c>
      <c r="C24" s="8" t="s">
        <v>269</v>
      </c>
      <c r="D24" s="8" t="s">
        <v>271</v>
      </c>
      <c r="E24" s="8" t="s">
        <v>270</v>
      </c>
      <c r="F24" s="6">
        <v>22</v>
      </c>
      <c r="G24" s="6" t="b">
        <v>0</v>
      </c>
      <c r="H24" s="8" t="s">
        <v>240</v>
      </c>
      <c r="I24" s="6" t="b">
        <v>0</v>
      </c>
      <c r="J24" s="6" t="b">
        <v>0</v>
      </c>
      <c r="K24" s="6" t="b">
        <v>0</v>
      </c>
      <c r="L24" s="6" t="b">
        <v>0</v>
      </c>
      <c r="M24" s="6" t="b">
        <v>0</v>
      </c>
      <c r="N24" s="6">
        <v>3</v>
      </c>
      <c r="O24" s="8" t="s">
        <v>237</v>
      </c>
      <c r="P24" s="8" t="s">
        <v>255</v>
      </c>
      <c r="Q24" s="8" t="s">
        <v>237</v>
      </c>
      <c r="R24" s="6">
        <v>3</v>
      </c>
      <c r="S24" s="8" t="s">
        <v>75</v>
      </c>
      <c r="T24" s="9"/>
      <c r="U24" s="8" t="s">
        <v>240</v>
      </c>
      <c r="V24" s="8" t="s">
        <v>240</v>
      </c>
      <c r="W24" s="8" t="s">
        <v>240</v>
      </c>
      <c r="X24" s="8" t="s">
        <v>240</v>
      </c>
      <c r="Y24" s="8" t="s">
        <v>240</v>
      </c>
      <c r="Z24" s="6" t="b">
        <v>0</v>
      </c>
      <c r="AA24" s="9"/>
      <c r="AB24" s="9"/>
    </row>
    <row r="25" spans="1:28" ht="16">
      <c r="A25" s="6">
        <v>24</v>
      </c>
      <c r="B25" s="8" t="s">
        <v>252</v>
      </c>
      <c r="C25" s="8" t="s">
        <v>269</v>
      </c>
      <c r="D25" s="8" t="s">
        <v>272</v>
      </c>
      <c r="E25" s="8" t="s">
        <v>272</v>
      </c>
      <c r="F25" s="6">
        <v>24</v>
      </c>
      <c r="G25" s="6" t="b">
        <v>0</v>
      </c>
      <c r="H25" s="8" t="s">
        <v>240</v>
      </c>
      <c r="I25" s="6" t="b">
        <v>0</v>
      </c>
      <c r="J25" s="6" t="b">
        <v>0</v>
      </c>
      <c r="K25" s="6" t="b">
        <v>0</v>
      </c>
      <c r="L25" s="6" t="b">
        <v>0</v>
      </c>
      <c r="M25" s="6" t="b">
        <v>0</v>
      </c>
      <c r="N25" s="6">
        <v>3</v>
      </c>
      <c r="O25" s="8" t="s">
        <v>237</v>
      </c>
      <c r="P25" s="8" t="s">
        <v>255</v>
      </c>
      <c r="Q25" s="8" t="s">
        <v>237</v>
      </c>
      <c r="R25" s="6">
        <v>3</v>
      </c>
      <c r="S25" s="8" t="s">
        <v>75</v>
      </c>
      <c r="T25" s="9"/>
      <c r="U25" s="8" t="s">
        <v>240</v>
      </c>
      <c r="V25" s="8" t="s">
        <v>240</v>
      </c>
      <c r="W25" s="8" t="s">
        <v>240</v>
      </c>
      <c r="X25" s="8" t="s">
        <v>240</v>
      </c>
      <c r="Y25" s="8" t="s">
        <v>273</v>
      </c>
      <c r="Z25" s="6" t="b">
        <v>0</v>
      </c>
      <c r="AA25" s="9"/>
      <c r="AB25" s="9"/>
    </row>
    <row r="26" spans="1:28" ht="16">
      <c r="A26" s="6">
        <v>25</v>
      </c>
      <c r="B26" s="8" t="s">
        <v>252</v>
      </c>
      <c r="C26" s="8" t="s">
        <v>253</v>
      </c>
      <c r="D26" s="8" t="s">
        <v>253</v>
      </c>
      <c r="E26" s="8" t="s">
        <v>253</v>
      </c>
      <c r="F26" s="6">
        <v>25</v>
      </c>
      <c r="G26" s="6" t="b">
        <v>0</v>
      </c>
      <c r="H26" s="8" t="s">
        <v>240</v>
      </c>
      <c r="I26" s="6" t="b">
        <v>0</v>
      </c>
      <c r="J26" s="6" t="b">
        <v>0</v>
      </c>
      <c r="K26" s="6" t="b">
        <v>0</v>
      </c>
      <c r="L26" s="6" t="b">
        <v>0</v>
      </c>
      <c r="M26" s="6" t="b">
        <v>0</v>
      </c>
      <c r="N26" s="6">
        <v>4</v>
      </c>
      <c r="O26" s="8" t="s">
        <v>237</v>
      </c>
      <c r="P26" s="8" t="s">
        <v>255</v>
      </c>
      <c r="Q26" s="8" t="s">
        <v>237</v>
      </c>
      <c r="R26" s="6">
        <v>4</v>
      </c>
      <c r="S26" s="8" t="s">
        <v>75</v>
      </c>
      <c r="T26" s="9"/>
      <c r="U26" s="8" t="s">
        <v>240</v>
      </c>
      <c r="V26" s="8" t="s">
        <v>240</v>
      </c>
      <c r="W26" s="8" t="s">
        <v>240</v>
      </c>
      <c r="X26" s="8" t="s">
        <v>240</v>
      </c>
      <c r="Y26" s="8" t="s">
        <v>240</v>
      </c>
      <c r="Z26" s="6" t="b">
        <v>0</v>
      </c>
      <c r="AA26" s="9"/>
      <c r="AB26" s="9"/>
    </row>
    <row r="27" spans="1:28" ht="16">
      <c r="A27" s="6">
        <v>26</v>
      </c>
      <c r="B27" s="8" t="s">
        <v>252</v>
      </c>
      <c r="C27" s="8" t="s">
        <v>253</v>
      </c>
      <c r="D27" s="8" t="s">
        <v>274</v>
      </c>
      <c r="E27" s="8" t="s">
        <v>274</v>
      </c>
      <c r="F27" s="6">
        <v>26</v>
      </c>
      <c r="G27" s="6" t="b">
        <v>0</v>
      </c>
      <c r="H27" s="8" t="s">
        <v>240</v>
      </c>
      <c r="I27" s="6" t="b">
        <v>0</v>
      </c>
      <c r="J27" s="6" t="b">
        <v>0</v>
      </c>
      <c r="K27" s="6" t="b">
        <v>0</v>
      </c>
      <c r="L27" s="6" t="b">
        <v>0</v>
      </c>
      <c r="M27" s="6" t="b">
        <v>0</v>
      </c>
      <c r="N27" s="6">
        <v>4</v>
      </c>
      <c r="O27" s="8" t="s">
        <v>237</v>
      </c>
      <c r="P27" s="8" t="s">
        <v>255</v>
      </c>
      <c r="Q27" s="8" t="s">
        <v>237</v>
      </c>
      <c r="R27" s="6">
        <v>4</v>
      </c>
      <c r="S27" s="8" t="s">
        <v>75</v>
      </c>
      <c r="T27" s="9"/>
      <c r="U27" s="8" t="s">
        <v>240</v>
      </c>
      <c r="V27" s="8" t="s">
        <v>240</v>
      </c>
      <c r="W27" s="8" t="s">
        <v>240</v>
      </c>
      <c r="X27" s="8" t="s">
        <v>240</v>
      </c>
      <c r="Y27" s="8" t="s">
        <v>275</v>
      </c>
      <c r="Z27" s="6" t="b">
        <v>0</v>
      </c>
      <c r="AA27" s="9"/>
      <c r="AB27" s="9"/>
    </row>
    <row r="28" spans="1:28" ht="16">
      <c r="A28" s="6">
        <v>27</v>
      </c>
      <c r="B28" s="8" t="s">
        <v>252</v>
      </c>
      <c r="C28" s="8" t="s">
        <v>258</v>
      </c>
      <c r="D28" s="8" t="s">
        <v>276</v>
      </c>
      <c r="E28" s="8" t="s">
        <v>276</v>
      </c>
      <c r="F28" s="6">
        <v>27</v>
      </c>
      <c r="G28" s="6" t="b">
        <v>0</v>
      </c>
      <c r="H28" s="8" t="s">
        <v>240</v>
      </c>
      <c r="I28" s="6" t="b">
        <v>0</v>
      </c>
      <c r="J28" s="6" t="b">
        <v>0</v>
      </c>
      <c r="K28" s="6" t="b">
        <v>0</v>
      </c>
      <c r="L28" s="6" t="b">
        <v>0</v>
      </c>
      <c r="M28" s="6" t="b">
        <v>0</v>
      </c>
      <c r="N28" s="6">
        <v>4</v>
      </c>
      <c r="O28" s="8" t="s">
        <v>237</v>
      </c>
      <c r="P28" s="8" t="s">
        <v>255</v>
      </c>
      <c r="Q28" s="8" t="s">
        <v>237</v>
      </c>
      <c r="R28" s="6">
        <v>4</v>
      </c>
      <c r="S28" s="8" t="s">
        <v>75</v>
      </c>
      <c r="T28" s="9"/>
      <c r="U28" s="8" t="s">
        <v>240</v>
      </c>
      <c r="V28" s="8" t="s">
        <v>240</v>
      </c>
      <c r="W28" s="8" t="s">
        <v>240</v>
      </c>
      <c r="X28" s="8" t="s">
        <v>240</v>
      </c>
      <c r="Y28" s="8" t="s">
        <v>240</v>
      </c>
      <c r="Z28" s="6" t="b">
        <v>0</v>
      </c>
      <c r="AA28" s="9"/>
      <c r="AB28" s="9"/>
    </row>
    <row r="29" spans="1:28" ht="16">
      <c r="A29" s="6">
        <v>28</v>
      </c>
      <c r="B29" s="8" t="s">
        <v>252</v>
      </c>
      <c r="C29" s="8" t="s">
        <v>269</v>
      </c>
      <c r="D29" s="8" t="s">
        <v>277</v>
      </c>
      <c r="E29" s="8" t="s">
        <v>277</v>
      </c>
      <c r="F29" s="6">
        <v>28</v>
      </c>
      <c r="G29" s="6" t="b">
        <v>0</v>
      </c>
      <c r="H29" s="8" t="s">
        <v>240</v>
      </c>
      <c r="I29" s="6" t="b">
        <v>0</v>
      </c>
      <c r="J29" s="6" t="b">
        <v>0</v>
      </c>
      <c r="K29" s="6" t="b">
        <v>0</v>
      </c>
      <c r="L29" s="6" t="b">
        <v>0</v>
      </c>
      <c r="M29" s="6" t="b">
        <v>0</v>
      </c>
      <c r="N29" s="6">
        <v>3</v>
      </c>
      <c r="O29" s="8" t="s">
        <v>237</v>
      </c>
      <c r="P29" s="8" t="s">
        <v>255</v>
      </c>
      <c r="Q29" s="8" t="s">
        <v>237</v>
      </c>
      <c r="R29" s="6">
        <v>3</v>
      </c>
      <c r="S29" s="8" t="s">
        <v>75</v>
      </c>
      <c r="T29" s="9"/>
      <c r="U29" s="8" t="s">
        <v>240</v>
      </c>
      <c r="V29" s="8" t="s">
        <v>240</v>
      </c>
      <c r="W29" s="8" t="s">
        <v>240</v>
      </c>
      <c r="X29" s="8" t="s">
        <v>240</v>
      </c>
      <c r="Y29" s="8" t="s">
        <v>240</v>
      </c>
      <c r="Z29" s="6" t="b">
        <v>0</v>
      </c>
      <c r="AA29" s="9"/>
      <c r="AB29" s="9"/>
    </row>
    <row r="30" spans="1:28" ht="16">
      <c r="A30" s="6">
        <v>29</v>
      </c>
      <c r="B30" s="8" t="s">
        <v>252</v>
      </c>
      <c r="C30" s="8" t="s">
        <v>269</v>
      </c>
      <c r="D30" s="8" t="s">
        <v>269</v>
      </c>
      <c r="E30" s="8" t="s">
        <v>269</v>
      </c>
      <c r="F30" s="6">
        <v>29</v>
      </c>
      <c r="G30" s="6" t="b">
        <v>0</v>
      </c>
      <c r="H30" s="8" t="s">
        <v>240</v>
      </c>
      <c r="I30" s="6" t="b">
        <v>0</v>
      </c>
      <c r="J30" s="6" t="b">
        <v>0</v>
      </c>
      <c r="K30" s="6" t="b">
        <v>0</v>
      </c>
      <c r="L30" s="6" t="b">
        <v>0</v>
      </c>
      <c r="M30" s="6" t="b">
        <v>0</v>
      </c>
      <c r="N30" s="6">
        <v>3</v>
      </c>
      <c r="O30" s="8" t="s">
        <v>237</v>
      </c>
      <c r="P30" s="8" t="s">
        <v>255</v>
      </c>
      <c r="Q30" s="8" t="s">
        <v>237</v>
      </c>
      <c r="R30" s="6">
        <v>3</v>
      </c>
      <c r="S30" s="8" t="s">
        <v>75</v>
      </c>
      <c r="T30" s="9"/>
      <c r="U30" s="8" t="s">
        <v>240</v>
      </c>
      <c r="V30" s="8" t="s">
        <v>240</v>
      </c>
      <c r="W30" s="8" t="s">
        <v>240</v>
      </c>
      <c r="X30" s="8" t="s">
        <v>240</v>
      </c>
      <c r="Y30" s="8" t="s">
        <v>240</v>
      </c>
      <c r="Z30" s="6" t="b">
        <v>0</v>
      </c>
      <c r="AA30" s="9"/>
      <c r="AB30" s="9"/>
    </row>
    <row r="31" spans="1:28" ht="16">
      <c r="A31" s="6">
        <v>30</v>
      </c>
      <c r="B31" s="8" t="s">
        <v>252</v>
      </c>
      <c r="C31" s="8" t="s">
        <v>258</v>
      </c>
      <c r="D31" s="8" t="s">
        <v>278</v>
      </c>
      <c r="E31" s="8" t="s">
        <v>278</v>
      </c>
      <c r="F31" s="6">
        <v>30</v>
      </c>
      <c r="G31" s="6" t="b">
        <v>0</v>
      </c>
      <c r="H31" s="8" t="s">
        <v>240</v>
      </c>
      <c r="I31" s="6" t="b">
        <v>0</v>
      </c>
      <c r="J31" s="6" t="b">
        <v>0</v>
      </c>
      <c r="K31" s="6" t="b">
        <v>0</v>
      </c>
      <c r="L31" s="6" t="b">
        <v>0</v>
      </c>
      <c r="M31" s="6" t="b">
        <v>0</v>
      </c>
      <c r="N31" s="6">
        <v>4</v>
      </c>
      <c r="O31" s="8" t="s">
        <v>237</v>
      </c>
      <c r="P31" s="8" t="s">
        <v>255</v>
      </c>
      <c r="Q31" s="8" t="s">
        <v>237</v>
      </c>
      <c r="R31" s="6">
        <v>4</v>
      </c>
      <c r="S31" s="8" t="s">
        <v>75</v>
      </c>
      <c r="T31" s="9"/>
      <c r="U31" s="8" t="s">
        <v>240</v>
      </c>
      <c r="V31" s="8" t="s">
        <v>240</v>
      </c>
      <c r="W31" s="8" t="s">
        <v>240</v>
      </c>
      <c r="X31" s="8" t="s">
        <v>240</v>
      </c>
      <c r="Y31" s="8" t="s">
        <v>240</v>
      </c>
      <c r="Z31" s="6" t="b">
        <v>0</v>
      </c>
      <c r="AA31" s="9"/>
      <c r="AB31" s="9"/>
    </row>
    <row r="32" spans="1:28" ht="32">
      <c r="A32" s="6">
        <v>31</v>
      </c>
      <c r="B32" s="8" t="s">
        <v>252</v>
      </c>
      <c r="C32" s="8" t="s">
        <v>258</v>
      </c>
      <c r="D32" s="8" t="s">
        <v>279</v>
      </c>
      <c r="E32" s="8" t="s">
        <v>278</v>
      </c>
      <c r="F32" s="6">
        <v>30</v>
      </c>
      <c r="G32" s="6" t="b">
        <v>0</v>
      </c>
      <c r="H32" s="8" t="s">
        <v>240</v>
      </c>
      <c r="I32" s="6" t="b">
        <v>0</v>
      </c>
      <c r="J32" s="6" t="b">
        <v>0</v>
      </c>
      <c r="K32" s="6" t="b">
        <v>0</v>
      </c>
      <c r="L32" s="6" t="b">
        <v>0</v>
      </c>
      <c r="M32" s="6" t="b">
        <v>0</v>
      </c>
      <c r="N32" s="6">
        <v>4</v>
      </c>
      <c r="O32" s="8" t="s">
        <v>237</v>
      </c>
      <c r="P32" s="8" t="s">
        <v>255</v>
      </c>
      <c r="Q32" s="8" t="s">
        <v>237</v>
      </c>
      <c r="R32" s="6">
        <v>4</v>
      </c>
      <c r="S32" s="8" t="s">
        <v>75</v>
      </c>
      <c r="T32" s="9"/>
      <c r="U32" s="8" t="s">
        <v>240</v>
      </c>
      <c r="V32" s="8" t="s">
        <v>240</v>
      </c>
      <c r="W32" s="8" t="s">
        <v>240</v>
      </c>
      <c r="X32" s="8" t="s">
        <v>240</v>
      </c>
      <c r="Y32" s="8" t="s">
        <v>240</v>
      </c>
      <c r="Z32" s="6" t="b">
        <v>0</v>
      </c>
      <c r="AA32" s="9"/>
      <c r="AB32" s="9"/>
    </row>
    <row r="33" spans="1:28" ht="32">
      <c r="A33" s="6">
        <v>32</v>
      </c>
      <c r="B33" s="8" t="s">
        <v>252</v>
      </c>
      <c r="C33" s="8" t="s">
        <v>258</v>
      </c>
      <c r="D33" s="8" t="s">
        <v>280</v>
      </c>
      <c r="E33" s="8" t="s">
        <v>278</v>
      </c>
      <c r="F33" s="6">
        <v>30</v>
      </c>
      <c r="G33" s="6" t="b">
        <v>0</v>
      </c>
      <c r="H33" s="8" t="s">
        <v>240</v>
      </c>
      <c r="I33" s="6" t="b">
        <v>0</v>
      </c>
      <c r="J33" s="6" t="b">
        <v>1</v>
      </c>
      <c r="K33" s="6" t="b">
        <v>0</v>
      </c>
      <c r="L33" s="6" t="b">
        <v>0</v>
      </c>
      <c r="M33" s="6" t="b">
        <v>0</v>
      </c>
      <c r="N33" s="6">
        <v>4</v>
      </c>
      <c r="O33" s="8" t="s">
        <v>237</v>
      </c>
      <c r="P33" s="8" t="s">
        <v>255</v>
      </c>
      <c r="Q33" s="8" t="s">
        <v>237</v>
      </c>
      <c r="R33" s="6">
        <v>4</v>
      </c>
      <c r="S33" s="8" t="s">
        <v>75</v>
      </c>
      <c r="T33" s="9"/>
      <c r="U33" s="8" t="s">
        <v>240</v>
      </c>
      <c r="V33" s="8" t="s">
        <v>240</v>
      </c>
      <c r="W33" s="8" t="s">
        <v>240</v>
      </c>
      <c r="X33" s="8" t="s">
        <v>240</v>
      </c>
      <c r="Y33" s="8" t="s">
        <v>240</v>
      </c>
      <c r="Z33" s="6" t="b">
        <v>0</v>
      </c>
      <c r="AA33" s="9"/>
      <c r="AB33" s="9"/>
    </row>
    <row r="34" spans="1:28" ht="16">
      <c r="A34" s="6">
        <v>33</v>
      </c>
      <c r="B34" s="8" t="s">
        <v>281</v>
      </c>
      <c r="C34" s="8" t="s">
        <v>282</v>
      </c>
      <c r="D34" s="8" t="s">
        <v>282</v>
      </c>
      <c r="E34" s="8" t="s">
        <v>282</v>
      </c>
      <c r="F34" s="6">
        <v>33</v>
      </c>
      <c r="G34" s="6" t="b">
        <v>0</v>
      </c>
      <c r="H34" s="8" t="s">
        <v>240</v>
      </c>
      <c r="I34" s="6" t="b">
        <v>0</v>
      </c>
      <c r="J34" s="6" t="b">
        <v>0</v>
      </c>
      <c r="K34" s="6" t="b">
        <v>0</v>
      </c>
      <c r="L34" s="6" t="b">
        <v>0</v>
      </c>
      <c r="M34" s="6" t="b">
        <v>0</v>
      </c>
      <c r="N34" s="6">
        <v>4</v>
      </c>
      <c r="O34" s="8" t="s">
        <v>237</v>
      </c>
      <c r="P34" s="8" t="s">
        <v>240</v>
      </c>
      <c r="Q34" s="8" t="s">
        <v>240</v>
      </c>
      <c r="R34" s="6">
        <v>4</v>
      </c>
      <c r="S34" s="8" t="s">
        <v>75</v>
      </c>
      <c r="T34" s="9"/>
      <c r="U34" s="8" t="s">
        <v>240</v>
      </c>
      <c r="V34" s="8" t="s">
        <v>240</v>
      </c>
      <c r="W34" s="8" t="s">
        <v>240</v>
      </c>
      <c r="X34" s="8" t="s">
        <v>240</v>
      </c>
      <c r="Y34" s="8" t="s">
        <v>240</v>
      </c>
      <c r="Z34" s="6" t="b">
        <v>0</v>
      </c>
      <c r="AA34" s="9"/>
      <c r="AB34" s="9"/>
    </row>
    <row r="35" spans="1:28" ht="16">
      <c r="A35" s="6">
        <v>34</v>
      </c>
      <c r="B35" s="8" t="s">
        <v>281</v>
      </c>
      <c r="C35" s="8" t="s">
        <v>282</v>
      </c>
      <c r="D35" s="8" t="s">
        <v>283</v>
      </c>
      <c r="E35" s="8" t="s">
        <v>283</v>
      </c>
      <c r="F35" s="6">
        <v>34</v>
      </c>
      <c r="G35" s="6" t="b">
        <v>0</v>
      </c>
      <c r="H35" s="8" t="s">
        <v>240</v>
      </c>
      <c r="I35" s="6" t="b">
        <v>0</v>
      </c>
      <c r="J35" s="6" t="b">
        <v>0</v>
      </c>
      <c r="K35" s="6" t="b">
        <v>0</v>
      </c>
      <c r="L35" s="6" t="b">
        <v>0</v>
      </c>
      <c r="M35" s="6" t="b">
        <v>0</v>
      </c>
      <c r="N35" s="6">
        <v>4</v>
      </c>
      <c r="O35" s="8" t="s">
        <v>237</v>
      </c>
      <c r="P35" s="8" t="s">
        <v>240</v>
      </c>
      <c r="Q35" s="8" t="s">
        <v>240</v>
      </c>
      <c r="R35" s="6">
        <v>4</v>
      </c>
      <c r="S35" s="8" t="s">
        <v>75</v>
      </c>
      <c r="T35" s="9"/>
      <c r="U35" s="8" t="s">
        <v>240</v>
      </c>
      <c r="V35" s="8" t="s">
        <v>240</v>
      </c>
      <c r="W35" s="8" t="s">
        <v>240</v>
      </c>
      <c r="X35" s="8" t="s">
        <v>240</v>
      </c>
      <c r="Y35" s="8" t="s">
        <v>240</v>
      </c>
      <c r="Z35" s="6" t="b">
        <v>0</v>
      </c>
      <c r="AA35" s="9"/>
      <c r="AB35" s="9"/>
    </row>
    <row r="36" spans="1:28" ht="16">
      <c r="A36" s="6">
        <v>35</v>
      </c>
      <c r="B36" s="8" t="s">
        <v>281</v>
      </c>
      <c r="C36" s="8" t="s">
        <v>282</v>
      </c>
      <c r="D36" s="8" t="s">
        <v>284</v>
      </c>
      <c r="E36" s="8" t="s">
        <v>283</v>
      </c>
      <c r="F36" s="6">
        <v>34</v>
      </c>
      <c r="G36" s="6" t="b">
        <v>0</v>
      </c>
      <c r="H36" s="8" t="s">
        <v>240</v>
      </c>
      <c r="I36" s="6" t="b">
        <v>0</v>
      </c>
      <c r="J36" s="6" t="b">
        <v>0</v>
      </c>
      <c r="K36" s="6" t="b">
        <v>0</v>
      </c>
      <c r="L36" s="6" t="b">
        <v>0</v>
      </c>
      <c r="M36" s="6" t="b">
        <v>0</v>
      </c>
      <c r="N36" s="6">
        <v>4</v>
      </c>
      <c r="O36" s="8" t="s">
        <v>237</v>
      </c>
      <c r="P36" s="8" t="s">
        <v>240</v>
      </c>
      <c r="Q36" s="8" t="s">
        <v>240</v>
      </c>
      <c r="R36" s="6">
        <v>4</v>
      </c>
      <c r="S36" s="8" t="s">
        <v>75</v>
      </c>
      <c r="T36" s="9"/>
      <c r="U36" s="8" t="s">
        <v>240</v>
      </c>
      <c r="V36" s="8" t="s">
        <v>240</v>
      </c>
      <c r="W36" s="8" t="s">
        <v>240</v>
      </c>
      <c r="X36" s="8" t="s">
        <v>240</v>
      </c>
      <c r="Y36" s="8" t="s">
        <v>240</v>
      </c>
      <c r="Z36" s="6" t="b">
        <v>0</v>
      </c>
      <c r="AA36" s="9"/>
      <c r="AB36" s="9"/>
    </row>
    <row r="37" spans="1:28" ht="16">
      <c r="A37" s="6">
        <v>36</v>
      </c>
      <c r="B37" s="8" t="s">
        <v>281</v>
      </c>
      <c r="C37" s="8" t="s">
        <v>282</v>
      </c>
      <c r="D37" s="8" t="s">
        <v>285</v>
      </c>
      <c r="E37" s="8" t="s">
        <v>283</v>
      </c>
      <c r="F37" s="6">
        <v>34</v>
      </c>
      <c r="G37" s="6" t="b">
        <v>0</v>
      </c>
      <c r="H37" s="8" t="s">
        <v>240</v>
      </c>
      <c r="I37" s="6" t="b">
        <v>0</v>
      </c>
      <c r="J37" s="6" t="b">
        <v>0</v>
      </c>
      <c r="K37" s="6" t="b">
        <v>0</v>
      </c>
      <c r="L37" s="6" t="b">
        <v>0</v>
      </c>
      <c r="M37" s="6" t="b">
        <v>0</v>
      </c>
      <c r="N37" s="6">
        <v>4</v>
      </c>
      <c r="O37" s="8" t="s">
        <v>237</v>
      </c>
      <c r="P37" s="8" t="s">
        <v>240</v>
      </c>
      <c r="Q37" s="8" t="s">
        <v>240</v>
      </c>
      <c r="R37" s="6">
        <v>4</v>
      </c>
      <c r="S37" s="8" t="s">
        <v>75</v>
      </c>
      <c r="T37" s="9"/>
      <c r="U37" s="8" t="s">
        <v>240</v>
      </c>
      <c r="V37" s="8" t="s">
        <v>240</v>
      </c>
      <c r="W37" s="8" t="s">
        <v>240</v>
      </c>
      <c r="X37" s="8" t="s">
        <v>240</v>
      </c>
      <c r="Y37" s="8" t="s">
        <v>286</v>
      </c>
      <c r="Z37" s="6" t="b">
        <v>0</v>
      </c>
      <c r="AA37" s="9"/>
      <c r="AB37" s="9"/>
    </row>
    <row r="38" spans="1:28" ht="16">
      <c r="A38" s="6">
        <v>37</v>
      </c>
      <c r="B38" s="8" t="s">
        <v>281</v>
      </c>
      <c r="C38" s="8" t="s">
        <v>287</v>
      </c>
      <c r="D38" s="8" t="s">
        <v>287</v>
      </c>
      <c r="E38" s="8" t="s">
        <v>287</v>
      </c>
      <c r="F38" s="6">
        <v>37</v>
      </c>
      <c r="G38" s="6" t="b">
        <v>0</v>
      </c>
      <c r="H38" s="8" t="s">
        <v>240</v>
      </c>
      <c r="I38" s="6" t="b">
        <v>0</v>
      </c>
      <c r="J38" s="6" t="b">
        <v>0</v>
      </c>
      <c r="K38" s="6" t="b">
        <v>0</v>
      </c>
      <c r="L38" s="6" t="b">
        <v>0</v>
      </c>
      <c r="M38" s="6" t="b">
        <v>0</v>
      </c>
      <c r="N38" s="6">
        <v>4</v>
      </c>
      <c r="O38" s="8" t="s">
        <v>237</v>
      </c>
      <c r="P38" s="8" t="s">
        <v>240</v>
      </c>
      <c r="Q38" s="8" t="s">
        <v>240</v>
      </c>
      <c r="R38" s="6">
        <v>4</v>
      </c>
      <c r="S38" s="8" t="s">
        <v>75</v>
      </c>
      <c r="T38" s="9"/>
      <c r="U38" s="8" t="s">
        <v>240</v>
      </c>
      <c r="V38" s="8" t="s">
        <v>240</v>
      </c>
      <c r="W38" s="8" t="s">
        <v>240</v>
      </c>
      <c r="X38" s="8" t="s">
        <v>240</v>
      </c>
      <c r="Y38" s="8" t="s">
        <v>240</v>
      </c>
      <c r="Z38" s="6" t="b">
        <v>0</v>
      </c>
      <c r="AA38" s="9"/>
      <c r="AB38" s="9"/>
    </row>
    <row r="39" spans="1:28" ht="16">
      <c r="A39" s="6">
        <v>38</v>
      </c>
      <c r="B39" s="8" t="s">
        <v>281</v>
      </c>
      <c r="C39" s="8" t="s">
        <v>287</v>
      </c>
      <c r="D39" s="8" t="s">
        <v>288</v>
      </c>
      <c r="E39" s="8" t="s">
        <v>288</v>
      </c>
      <c r="F39" s="6">
        <v>38</v>
      </c>
      <c r="G39" s="6" t="b">
        <v>0</v>
      </c>
      <c r="H39" s="8" t="s">
        <v>240</v>
      </c>
      <c r="I39" s="6" t="b">
        <v>0</v>
      </c>
      <c r="J39" s="6" t="b">
        <v>0</v>
      </c>
      <c r="K39" s="6" t="b">
        <v>0</v>
      </c>
      <c r="L39" s="6" t="b">
        <v>0</v>
      </c>
      <c r="M39" s="6" t="b">
        <v>0</v>
      </c>
      <c r="N39" s="6">
        <v>4</v>
      </c>
      <c r="O39" s="8" t="s">
        <v>237</v>
      </c>
      <c r="P39" s="8" t="s">
        <v>240</v>
      </c>
      <c r="Q39" s="8" t="s">
        <v>240</v>
      </c>
      <c r="R39" s="6">
        <v>4</v>
      </c>
      <c r="S39" s="8" t="s">
        <v>75</v>
      </c>
      <c r="T39" s="9"/>
      <c r="U39" s="8" t="s">
        <v>240</v>
      </c>
      <c r="V39" s="8" t="s">
        <v>240</v>
      </c>
      <c r="W39" s="8" t="s">
        <v>240</v>
      </c>
      <c r="X39" s="8" t="s">
        <v>240</v>
      </c>
      <c r="Y39" s="8" t="s">
        <v>240</v>
      </c>
      <c r="Z39" s="6" t="b">
        <v>0</v>
      </c>
      <c r="AA39" s="9"/>
      <c r="AB39" s="9"/>
    </row>
    <row r="40" spans="1:28" ht="16">
      <c r="A40" s="6">
        <v>39</v>
      </c>
      <c r="B40" s="8" t="s">
        <v>281</v>
      </c>
      <c r="C40" s="8" t="s">
        <v>282</v>
      </c>
      <c r="D40" s="8" t="s">
        <v>289</v>
      </c>
      <c r="E40" s="8" t="s">
        <v>289</v>
      </c>
      <c r="F40" s="6">
        <v>39</v>
      </c>
      <c r="G40" s="6" t="b">
        <v>0</v>
      </c>
      <c r="H40" s="8" t="s">
        <v>240</v>
      </c>
      <c r="I40" s="6" t="b">
        <v>0</v>
      </c>
      <c r="J40" s="6" t="b">
        <v>0</v>
      </c>
      <c r="K40" s="6" t="b">
        <v>0</v>
      </c>
      <c r="L40" s="6" t="b">
        <v>0</v>
      </c>
      <c r="M40" s="6" t="b">
        <v>0</v>
      </c>
      <c r="N40" s="6">
        <v>4</v>
      </c>
      <c r="O40" s="8" t="s">
        <v>237</v>
      </c>
      <c r="P40" s="8" t="s">
        <v>240</v>
      </c>
      <c r="Q40" s="8" t="s">
        <v>240</v>
      </c>
      <c r="R40" s="6">
        <v>4</v>
      </c>
      <c r="S40" s="8" t="s">
        <v>75</v>
      </c>
      <c r="T40" s="9"/>
      <c r="U40" s="8" t="s">
        <v>240</v>
      </c>
      <c r="V40" s="8" t="s">
        <v>240</v>
      </c>
      <c r="W40" s="8" t="s">
        <v>240</v>
      </c>
      <c r="X40" s="8" t="s">
        <v>240</v>
      </c>
      <c r="Y40" s="8" t="s">
        <v>290</v>
      </c>
      <c r="Z40" s="6" t="b">
        <v>0</v>
      </c>
      <c r="AA40" s="9"/>
      <c r="AB40" s="9"/>
    </row>
    <row r="41" spans="1:28" ht="16">
      <c r="A41" s="6">
        <v>40</v>
      </c>
      <c r="B41" s="8" t="s">
        <v>281</v>
      </c>
      <c r="C41" s="8" t="s">
        <v>282</v>
      </c>
      <c r="D41" s="8" t="s">
        <v>291</v>
      </c>
      <c r="E41" s="8" t="s">
        <v>289</v>
      </c>
      <c r="F41" s="6">
        <v>39</v>
      </c>
      <c r="G41" s="6" t="b">
        <v>0</v>
      </c>
      <c r="H41" s="8" t="s">
        <v>240</v>
      </c>
      <c r="I41" s="6" t="b">
        <v>0</v>
      </c>
      <c r="J41" s="6" t="b">
        <v>0</v>
      </c>
      <c r="K41" s="6" t="b">
        <v>0</v>
      </c>
      <c r="L41" s="6" t="b">
        <v>0</v>
      </c>
      <c r="M41" s="6" t="b">
        <v>0</v>
      </c>
      <c r="N41" s="6">
        <v>4</v>
      </c>
      <c r="O41" s="8" t="s">
        <v>237</v>
      </c>
      <c r="P41" s="8" t="s">
        <v>240</v>
      </c>
      <c r="Q41" s="8" t="s">
        <v>240</v>
      </c>
      <c r="R41" s="6">
        <v>4</v>
      </c>
      <c r="S41" s="8" t="s">
        <v>75</v>
      </c>
      <c r="T41" s="9"/>
      <c r="U41" s="8" t="s">
        <v>240</v>
      </c>
      <c r="V41" s="8" t="s">
        <v>240</v>
      </c>
      <c r="W41" s="8" t="s">
        <v>240</v>
      </c>
      <c r="X41" s="8" t="s">
        <v>240</v>
      </c>
      <c r="Y41" s="8" t="s">
        <v>292</v>
      </c>
      <c r="Z41" s="6" t="b">
        <v>0</v>
      </c>
      <c r="AA41" s="9"/>
      <c r="AB41" s="9"/>
    </row>
    <row r="42" spans="1:28" ht="16">
      <c r="A42" s="6">
        <v>41</v>
      </c>
      <c r="B42" s="8" t="s">
        <v>281</v>
      </c>
      <c r="C42" s="8" t="s">
        <v>282</v>
      </c>
      <c r="D42" s="8" t="s">
        <v>293</v>
      </c>
      <c r="E42" s="8" t="s">
        <v>293</v>
      </c>
      <c r="F42" s="6">
        <v>41</v>
      </c>
      <c r="G42" s="6" t="b">
        <v>0</v>
      </c>
      <c r="H42" s="8" t="s">
        <v>240</v>
      </c>
      <c r="I42" s="6" t="b">
        <v>0</v>
      </c>
      <c r="J42" s="6" t="b">
        <v>0</v>
      </c>
      <c r="K42" s="6" t="b">
        <v>0</v>
      </c>
      <c r="L42" s="6" t="b">
        <v>0</v>
      </c>
      <c r="M42" s="6" t="b">
        <v>0</v>
      </c>
      <c r="N42" s="6">
        <v>4</v>
      </c>
      <c r="O42" s="8" t="s">
        <v>237</v>
      </c>
      <c r="P42" s="8" t="s">
        <v>240</v>
      </c>
      <c r="Q42" s="8" t="s">
        <v>240</v>
      </c>
      <c r="R42" s="6">
        <v>4</v>
      </c>
      <c r="S42" s="8" t="s">
        <v>75</v>
      </c>
      <c r="T42" s="9"/>
      <c r="U42" s="8" t="s">
        <v>240</v>
      </c>
      <c r="V42" s="8" t="s">
        <v>240</v>
      </c>
      <c r="W42" s="8" t="s">
        <v>240</v>
      </c>
      <c r="X42" s="8" t="s">
        <v>240</v>
      </c>
      <c r="Y42" s="8" t="s">
        <v>294</v>
      </c>
      <c r="Z42" s="6" t="b">
        <v>0</v>
      </c>
      <c r="AA42" s="9"/>
      <c r="AB42" s="9"/>
    </row>
    <row r="43" spans="1:28" ht="32">
      <c r="A43" s="6">
        <v>42</v>
      </c>
      <c r="B43" s="8" t="s">
        <v>281</v>
      </c>
      <c r="C43" s="8" t="s">
        <v>282</v>
      </c>
      <c r="D43" s="8" t="s">
        <v>295</v>
      </c>
      <c r="E43" s="8" t="s">
        <v>293</v>
      </c>
      <c r="F43" s="6">
        <v>41</v>
      </c>
      <c r="G43" s="6" t="b">
        <v>0</v>
      </c>
      <c r="H43" s="8" t="s">
        <v>240</v>
      </c>
      <c r="I43" s="6" t="b">
        <v>0</v>
      </c>
      <c r="J43" s="6" t="b">
        <v>0</v>
      </c>
      <c r="K43" s="6" t="b">
        <v>0</v>
      </c>
      <c r="L43" s="6" t="b">
        <v>0</v>
      </c>
      <c r="M43" s="6" t="b">
        <v>0</v>
      </c>
      <c r="N43" s="6">
        <v>4</v>
      </c>
      <c r="O43" s="8" t="s">
        <v>237</v>
      </c>
      <c r="P43" s="8" t="s">
        <v>240</v>
      </c>
      <c r="Q43" s="8" t="s">
        <v>240</v>
      </c>
      <c r="R43" s="6">
        <v>4</v>
      </c>
      <c r="S43" s="8" t="s">
        <v>75</v>
      </c>
      <c r="T43" s="9"/>
      <c r="U43" s="8" t="s">
        <v>240</v>
      </c>
      <c r="V43" s="8" t="s">
        <v>240</v>
      </c>
      <c r="W43" s="8" t="s">
        <v>240</v>
      </c>
      <c r="X43" s="8" t="s">
        <v>240</v>
      </c>
      <c r="Y43" s="8" t="s">
        <v>240</v>
      </c>
      <c r="Z43" s="6" t="b">
        <v>0</v>
      </c>
      <c r="AA43" s="9"/>
      <c r="AB43" s="9"/>
    </row>
    <row r="44" spans="1:28" ht="16">
      <c r="A44" s="6">
        <v>43</v>
      </c>
      <c r="B44" s="8" t="s">
        <v>281</v>
      </c>
      <c r="C44" s="8" t="s">
        <v>282</v>
      </c>
      <c r="D44" s="8" t="s">
        <v>296</v>
      </c>
      <c r="E44" s="8" t="s">
        <v>293</v>
      </c>
      <c r="F44" s="6">
        <v>41</v>
      </c>
      <c r="G44" s="6" t="b">
        <v>0</v>
      </c>
      <c r="H44" s="8" t="s">
        <v>240</v>
      </c>
      <c r="I44" s="6" t="b">
        <v>0</v>
      </c>
      <c r="J44" s="6" t="b">
        <v>0</v>
      </c>
      <c r="K44" s="6" t="b">
        <v>0</v>
      </c>
      <c r="L44" s="6" t="b">
        <v>0</v>
      </c>
      <c r="M44" s="6" t="b">
        <v>0</v>
      </c>
      <c r="N44" s="6">
        <v>4</v>
      </c>
      <c r="O44" s="8" t="s">
        <v>237</v>
      </c>
      <c r="P44" s="8" t="s">
        <v>240</v>
      </c>
      <c r="Q44" s="8" t="s">
        <v>240</v>
      </c>
      <c r="R44" s="6">
        <v>4</v>
      </c>
      <c r="S44" s="8" t="s">
        <v>75</v>
      </c>
      <c r="T44" s="9"/>
      <c r="U44" s="8" t="s">
        <v>240</v>
      </c>
      <c r="V44" s="8" t="s">
        <v>240</v>
      </c>
      <c r="W44" s="8" t="s">
        <v>240</v>
      </c>
      <c r="X44" s="8" t="s">
        <v>240</v>
      </c>
      <c r="Y44" s="8" t="s">
        <v>297</v>
      </c>
      <c r="Z44" s="6" t="b">
        <v>0</v>
      </c>
      <c r="AA44" s="9"/>
      <c r="AB44" s="9"/>
    </row>
    <row r="45" spans="1:28" ht="16">
      <c r="A45" s="6">
        <v>44</v>
      </c>
      <c r="B45" s="8" t="s">
        <v>281</v>
      </c>
      <c r="C45" s="8" t="s">
        <v>282</v>
      </c>
      <c r="D45" s="8" t="s">
        <v>298</v>
      </c>
      <c r="E45" s="8" t="s">
        <v>298</v>
      </c>
      <c r="F45" s="6">
        <v>44</v>
      </c>
      <c r="G45" s="6" t="b">
        <v>0</v>
      </c>
      <c r="H45" s="8" t="s">
        <v>240</v>
      </c>
      <c r="I45" s="6" t="b">
        <v>0</v>
      </c>
      <c r="J45" s="6" t="b">
        <v>0</v>
      </c>
      <c r="K45" s="6" t="b">
        <v>0</v>
      </c>
      <c r="L45" s="6" t="b">
        <v>0</v>
      </c>
      <c r="M45" s="6" t="b">
        <v>0</v>
      </c>
      <c r="N45" s="6">
        <v>4</v>
      </c>
      <c r="O45" s="8" t="s">
        <v>237</v>
      </c>
      <c r="P45" s="8" t="s">
        <v>240</v>
      </c>
      <c r="Q45" s="8" t="s">
        <v>240</v>
      </c>
      <c r="R45" s="6">
        <v>4</v>
      </c>
      <c r="S45" s="8" t="s">
        <v>75</v>
      </c>
      <c r="T45" s="9"/>
      <c r="U45" s="8" t="s">
        <v>240</v>
      </c>
      <c r="V45" s="8" t="s">
        <v>240</v>
      </c>
      <c r="W45" s="8" t="s">
        <v>240</v>
      </c>
      <c r="X45" s="8" t="s">
        <v>240</v>
      </c>
      <c r="Y45" s="8" t="s">
        <v>299</v>
      </c>
      <c r="Z45" s="6" t="b">
        <v>0</v>
      </c>
      <c r="AA45" s="9"/>
      <c r="AB45" s="9"/>
    </row>
    <row r="46" spans="1:28" ht="16">
      <c r="A46" s="6">
        <v>45</v>
      </c>
      <c r="B46" s="8" t="s">
        <v>281</v>
      </c>
      <c r="C46" s="8" t="s">
        <v>282</v>
      </c>
      <c r="D46" s="8" t="s">
        <v>300</v>
      </c>
      <c r="E46" s="8" t="s">
        <v>300</v>
      </c>
      <c r="F46" s="6">
        <v>45</v>
      </c>
      <c r="G46" s="6" t="b">
        <v>0</v>
      </c>
      <c r="H46" s="8" t="s">
        <v>240</v>
      </c>
      <c r="I46" s="6" t="b">
        <v>0</v>
      </c>
      <c r="J46" s="6" t="b">
        <v>0</v>
      </c>
      <c r="K46" s="6" t="b">
        <v>0</v>
      </c>
      <c r="L46" s="6" t="b">
        <v>0</v>
      </c>
      <c r="M46" s="6" t="b">
        <v>0</v>
      </c>
      <c r="N46" s="6">
        <v>4</v>
      </c>
      <c r="O46" s="8" t="s">
        <v>237</v>
      </c>
      <c r="P46" s="8" t="s">
        <v>240</v>
      </c>
      <c r="Q46" s="8" t="s">
        <v>240</v>
      </c>
      <c r="R46" s="6">
        <v>4</v>
      </c>
      <c r="S46" s="8" t="s">
        <v>75</v>
      </c>
      <c r="T46" s="9"/>
      <c r="U46" s="8" t="s">
        <v>240</v>
      </c>
      <c r="V46" s="8" t="s">
        <v>240</v>
      </c>
      <c r="W46" s="8" t="s">
        <v>240</v>
      </c>
      <c r="X46" s="8" t="s">
        <v>240</v>
      </c>
      <c r="Y46" s="8" t="s">
        <v>301</v>
      </c>
      <c r="Z46" s="6" t="b">
        <v>0</v>
      </c>
      <c r="AA46" s="9"/>
      <c r="AB46" s="9"/>
    </row>
    <row r="47" spans="1:28" ht="32">
      <c r="A47" s="6">
        <v>46</v>
      </c>
      <c r="B47" s="8" t="s">
        <v>281</v>
      </c>
      <c r="C47" s="8" t="s">
        <v>282</v>
      </c>
      <c r="D47" s="8" t="s">
        <v>302</v>
      </c>
      <c r="E47" s="8" t="s">
        <v>300</v>
      </c>
      <c r="F47" s="6">
        <v>45</v>
      </c>
      <c r="G47" s="6" t="b">
        <v>0</v>
      </c>
      <c r="H47" s="8" t="s">
        <v>240</v>
      </c>
      <c r="I47" s="6" t="b">
        <v>0</v>
      </c>
      <c r="J47" s="6" t="b">
        <v>0</v>
      </c>
      <c r="K47" s="6" t="b">
        <v>0</v>
      </c>
      <c r="L47" s="6" t="b">
        <v>0</v>
      </c>
      <c r="M47" s="6" t="b">
        <v>0</v>
      </c>
      <c r="N47" s="6">
        <v>4</v>
      </c>
      <c r="O47" s="8" t="s">
        <v>237</v>
      </c>
      <c r="P47" s="8" t="s">
        <v>240</v>
      </c>
      <c r="Q47" s="8" t="s">
        <v>240</v>
      </c>
      <c r="R47" s="6">
        <v>4</v>
      </c>
      <c r="S47" s="8" t="s">
        <v>75</v>
      </c>
      <c r="T47" s="9"/>
      <c r="U47" s="8" t="s">
        <v>240</v>
      </c>
      <c r="V47" s="8" t="s">
        <v>240</v>
      </c>
      <c r="W47" s="8" t="s">
        <v>240</v>
      </c>
      <c r="X47" s="8" t="s">
        <v>240</v>
      </c>
      <c r="Y47" s="8" t="s">
        <v>240</v>
      </c>
      <c r="Z47" s="6" t="b">
        <v>0</v>
      </c>
      <c r="AA47" s="9"/>
      <c r="AB47" s="9"/>
    </row>
    <row r="48" spans="1:28" ht="16">
      <c r="A48" s="6">
        <v>47</v>
      </c>
      <c r="B48" s="8" t="s">
        <v>281</v>
      </c>
      <c r="C48" s="8" t="s">
        <v>282</v>
      </c>
      <c r="D48" s="8" t="s">
        <v>303</v>
      </c>
      <c r="E48" s="8" t="s">
        <v>303</v>
      </c>
      <c r="F48" s="6">
        <v>47</v>
      </c>
      <c r="G48" s="6" t="b">
        <v>0</v>
      </c>
      <c r="H48" s="8" t="s">
        <v>240</v>
      </c>
      <c r="I48" s="6" t="b">
        <v>0</v>
      </c>
      <c r="J48" s="6" t="b">
        <v>0</v>
      </c>
      <c r="K48" s="6" t="b">
        <v>0</v>
      </c>
      <c r="L48" s="6" t="b">
        <v>0</v>
      </c>
      <c r="M48" s="6" t="b">
        <v>0</v>
      </c>
      <c r="N48" s="6">
        <v>4</v>
      </c>
      <c r="O48" s="8" t="s">
        <v>237</v>
      </c>
      <c r="P48" s="8" t="s">
        <v>240</v>
      </c>
      <c r="Q48" s="8" t="s">
        <v>240</v>
      </c>
      <c r="R48" s="6">
        <v>4</v>
      </c>
      <c r="S48" s="8" t="s">
        <v>75</v>
      </c>
      <c r="T48" s="9"/>
      <c r="U48" s="8" t="s">
        <v>240</v>
      </c>
      <c r="V48" s="8" t="s">
        <v>240</v>
      </c>
      <c r="W48" s="8" t="s">
        <v>240</v>
      </c>
      <c r="X48" s="8" t="s">
        <v>240</v>
      </c>
      <c r="Y48" s="8" t="s">
        <v>304</v>
      </c>
      <c r="Z48" s="6" t="b">
        <v>0</v>
      </c>
      <c r="AA48" s="9"/>
      <c r="AB48" s="9"/>
    </row>
    <row r="49" spans="1:28" ht="16">
      <c r="A49" s="6">
        <v>48</v>
      </c>
      <c r="B49" s="8" t="s">
        <v>305</v>
      </c>
      <c r="C49" s="8" t="s">
        <v>306</v>
      </c>
      <c r="D49" s="8" t="s">
        <v>307</v>
      </c>
      <c r="E49" s="8" t="s">
        <v>307</v>
      </c>
      <c r="F49" s="6">
        <v>48</v>
      </c>
      <c r="G49" s="6" t="b">
        <v>0</v>
      </c>
      <c r="H49" s="8" t="s">
        <v>240</v>
      </c>
      <c r="I49" s="6" t="b">
        <v>0</v>
      </c>
      <c r="J49" s="6" t="b">
        <v>0</v>
      </c>
      <c r="K49" s="6" t="b">
        <v>0</v>
      </c>
      <c r="L49" s="6" t="b">
        <v>0</v>
      </c>
      <c r="M49" s="6" t="b">
        <v>0</v>
      </c>
      <c r="N49" s="6">
        <v>6</v>
      </c>
      <c r="O49" s="8" t="s">
        <v>237</v>
      </c>
      <c r="P49" s="8" t="s">
        <v>240</v>
      </c>
      <c r="Q49" s="8" t="s">
        <v>240</v>
      </c>
      <c r="R49" s="6">
        <v>6</v>
      </c>
      <c r="S49" s="8" t="s">
        <v>75</v>
      </c>
      <c r="T49" s="9"/>
      <c r="U49" s="8" t="s">
        <v>240</v>
      </c>
      <c r="V49" s="8" t="s">
        <v>240</v>
      </c>
      <c r="W49" s="8" t="s">
        <v>240</v>
      </c>
      <c r="X49" s="8" t="s">
        <v>240</v>
      </c>
      <c r="Y49" s="8" t="s">
        <v>308</v>
      </c>
      <c r="Z49" s="6" t="b">
        <v>0</v>
      </c>
      <c r="AA49" s="9"/>
      <c r="AB49" s="9"/>
    </row>
    <row r="50" spans="1:28" ht="16">
      <c r="A50" s="6">
        <v>49</v>
      </c>
      <c r="B50" s="8" t="s">
        <v>305</v>
      </c>
      <c r="C50" s="8" t="s">
        <v>306</v>
      </c>
      <c r="D50" s="8" t="s">
        <v>309</v>
      </c>
      <c r="E50" s="8" t="s">
        <v>309</v>
      </c>
      <c r="F50" s="6">
        <v>49</v>
      </c>
      <c r="G50" s="6" t="b">
        <v>0</v>
      </c>
      <c r="H50" s="8" t="s">
        <v>240</v>
      </c>
      <c r="I50" s="6" t="b">
        <v>0</v>
      </c>
      <c r="J50" s="6" t="b">
        <v>0</v>
      </c>
      <c r="K50" s="6" t="b">
        <v>0</v>
      </c>
      <c r="L50" s="6" t="b">
        <v>0</v>
      </c>
      <c r="M50" s="6" t="b">
        <v>0</v>
      </c>
      <c r="N50" s="6">
        <v>6</v>
      </c>
      <c r="O50" s="8" t="s">
        <v>237</v>
      </c>
      <c r="P50" s="8" t="s">
        <v>240</v>
      </c>
      <c r="Q50" s="8" t="s">
        <v>240</v>
      </c>
      <c r="R50" s="6">
        <v>6</v>
      </c>
      <c r="S50" s="8" t="s">
        <v>75</v>
      </c>
      <c r="T50" s="9"/>
      <c r="U50" s="8" t="s">
        <v>240</v>
      </c>
      <c r="V50" s="8" t="s">
        <v>240</v>
      </c>
      <c r="W50" s="8" t="s">
        <v>240</v>
      </c>
      <c r="X50" s="8" t="s">
        <v>240</v>
      </c>
      <c r="Y50" s="8" t="s">
        <v>240</v>
      </c>
      <c r="Z50" s="6" t="b">
        <v>0</v>
      </c>
      <c r="AA50" s="9"/>
      <c r="AB50" s="9"/>
    </row>
    <row r="51" spans="1:28" ht="16">
      <c r="A51" s="6">
        <v>50</v>
      </c>
      <c r="B51" s="8" t="s">
        <v>305</v>
      </c>
      <c r="C51" s="8" t="s">
        <v>306</v>
      </c>
      <c r="D51" s="8" t="s">
        <v>310</v>
      </c>
      <c r="E51" s="8" t="s">
        <v>310</v>
      </c>
      <c r="F51" s="6">
        <v>50</v>
      </c>
      <c r="G51" s="6" t="b">
        <v>0</v>
      </c>
      <c r="H51" s="8" t="s">
        <v>240</v>
      </c>
      <c r="I51" s="6" t="b">
        <v>0</v>
      </c>
      <c r="J51" s="6" t="b">
        <v>0</v>
      </c>
      <c r="K51" s="6" t="b">
        <v>0</v>
      </c>
      <c r="L51" s="6" t="b">
        <v>0</v>
      </c>
      <c r="M51" s="6" t="b">
        <v>0</v>
      </c>
      <c r="N51" s="6">
        <v>6</v>
      </c>
      <c r="O51" s="8" t="s">
        <v>237</v>
      </c>
      <c r="P51" s="8" t="s">
        <v>240</v>
      </c>
      <c r="Q51" s="8" t="s">
        <v>240</v>
      </c>
      <c r="R51" s="6">
        <v>6</v>
      </c>
      <c r="S51" s="8" t="s">
        <v>75</v>
      </c>
      <c r="T51" s="9"/>
      <c r="U51" s="8" t="s">
        <v>240</v>
      </c>
      <c r="V51" s="8" t="s">
        <v>240</v>
      </c>
      <c r="W51" s="8" t="s">
        <v>240</v>
      </c>
      <c r="X51" s="8" t="s">
        <v>240</v>
      </c>
      <c r="Y51" s="8" t="s">
        <v>311</v>
      </c>
      <c r="Z51" s="6" t="b">
        <v>0</v>
      </c>
      <c r="AA51" s="9"/>
      <c r="AB51" s="9"/>
    </row>
    <row r="52" spans="1:28" ht="16">
      <c r="A52" s="6">
        <v>51</v>
      </c>
      <c r="B52" s="8" t="s">
        <v>305</v>
      </c>
      <c r="C52" s="8" t="s">
        <v>306</v>
      </c>
      <c r="D52" s="8" t="s">
        <v>312</v>
      </c>
      <c r="E52" s="8" t="s">
        <v>312</v>
      </c>
      <c r="F52" s="6">
        <v>51</v>
      </c>
      <c r="G52" s="6" t="b">
        <v>0</v>
      </c>
      <c r="H52" s="8" t="s">
        <v>240</v>
      </c>
      <c r="I52" s="6" t="b">
        <v>0</v>
      </c>
      <c r="J52" s="6" t="b">
        <v>0</v>
      </c>
      <c r="K52" s="6" t="b">
        <v>0</v>
      </c>
      <c r="L52" s="6" t="b">
        <v>0</v>
      </c>
      <c r="M52" s="6" t="b">
        <v>0</v>
      </c>
      <c r="N52" s="6">
        <v>6</v>
      </c>
      <c r="O52" s="8" t="s">
        <v>237</v>
      </c>
      <c r="P52" s="8" t="s">
        <v>240</v>
      </c>
      <c r="Q52" s="8" t="s">
        <v>240</v>
      </c>
      <c r="R52" s="6">
        <v>6</v>
      </c>
      <c r="S52" s="8" t="s">
        <v>75</v>
      </c>
      <c r="T52" s="9"/>
      <c r="U52" s="8" t="s">
        <v>240</v>
      </c>
      <c r="V52" s="8" t="s">
        <v>240</v>
      </c>
      <c r="W52" s="8" t="s">
        <v>240</v>
      </c>
      <c r="X52" s="8" t="s">
        <v>240</v>
      </c>
      <c r="Y52" s="8" t="s">
        <v>313</v>
      </c>
      <c r="Z52" s="6" t="b">
        <v>0</v>
      </c>
      <c r="AA52" s="9"/>
      <c r="AB52" s="9"/>
    </row>
    <row r="53" spans="1:28" ht="16">
      <c r="A53" s="6">
        <v>52</v>
      </c>
      <c r="B53" s="8" t="s">
        <v>305</v>
      </c>
      <c r="C53" s="8" t="s">
        <v>306</v>
      </c>
      <c r="D53" s="8" t="s">
        <v>314</v>
      </c>
      <c r="E53" s="8" t="s">
        <v>312</v>
      </c>
      <c r="F53" s="6">
        <v>51</v>
      </c>
      <c r="G53" s="6" t="b">
        <v>0</v>
      </c>
      <c r="H53" s="8" t="s">
        <v>240</v>
      </c>
      <c r="I53" s="6" t="b">
        <v>0</v>
      </c>
      <c r="J53" s="6" t="b">
        <v>0</v>
      </c>
      <c r="K53" s="6" t="b">
        <v>0</v>
      </c>
      <c r="L53" s="6" t="b">
        <v>0</v>
      </c>
      <c r="M53" s="6" t="b">
        <v>0</v>
      </c>
      <c r="N53" s="6">
        <v>6</v>
      </c>
      <c r="O53" s="8" t="s">
        <v>237</v>
      </c>
      <c r="P53" s="8" t="s">
        <v>240</v>
      </c>
      <c r="Q53" s="8" t="s">
        <v>240</v>
      </c>
      <c r="R53" s="6">
        <v>6</v>
      </c>
      <c r="S53" s="8" t="s">
        <v>75</v>
      </c>
      <c r="T53" s="9"/>
      <c r="U53" s="8" t="s">
        <v>240</v>
      </c>
      <c r="V53" s="8" t="s">
        <v>240</v>
      </c>
      <c r="W53" s="8" t="s">
        <v>240</v>
      </c>
      <c r="X53" s="8" t="s">
        <v>240</v>
      </c>
      <c r="Y53" s="8" t="s">
        <v>315</v>
      </c>
      <c r="Z53" s="6" t="b">
        <v>0</v>
      </c>
      <c r="AA53" s="9"/>
      <c r="AB53" s="9"/>
    </row>
    <row r="54" spans="1:28" ht="16">
      <c r="A54" s="6">
        <v>53</v>
      </c>
      <c r="B54" s="8" t="s">
        <v>305</v>
      </c>
      <c r="C54" s="8" t="s">
        <v>306</v>
      </c>
      <c r="D54" s="8" t="s">
        <v>316</v>
      </c>
      <c r="E54" s="8" t="s">
        <v>316</v>
      </c>
      <c r="F54" s="6">
        <v>51</v>
      </c>
      <c r="G54" s="6" t="b">
        <v>0</v>
      </c>
      <c r="H54" s="8" t="s">
        <v>240</v>
      </c>
      <c r="I54" s="6" t="b">
        <v>0</v>
      </c>
      <c r="J54" s="6" t="b">
        <v>0</v>
      </c>
      <c r="K54" s="6" t="b">
        <v>0</v>
      </c>
      <c r="L54" s="6" t="b">
        <v>0</v>
      </c>
      <c r="M54" s="6" t="b">
        <v>0</v>
      </c>
      <c r="N54" s="6">
        <v>6</v>
      </c>
      <c r="O54" s="8" t="s">
        <v>237</v>
      </c>
      <c r="P54" s="8" t="s">
        <v>240</v>
      </c>
      <c r="Q54" s="8" t="s">
        <v>240</v>
      </c>
      <c r="R54" s="6">
        <v>6</v>
      </c>
      <c r="S54" s="8" t="s">
        <v>75</v>
      </c>
      <c r="T54" s="9"/>
      <c r="U54" s="8" t="s">
        <v>240</v>
      </c>
      <c r="V54" s="8" t="s">
        <v>240</v>
      </c>
      <c r="W54" s="8" t="s">
        <v>240</v>
      </c>
      <c r="X54" s="8" t="s">
        <v>240</v>
      </c>
      <c r="Y54" s="8" t="s">
        <v>240</v>
      </c>
      <c r="Z54" s="6" t="b">
        <v>0</v>
      </c>
      <c r="AA54" s="9"/>
      <c r="AB54" s="9"/>
    </row>
    <row r="55" spans="1:28" ht="16">
      <c r="A55" s="6">
        <v>54</v>
      </c>
      <c r="B55" s="8" t="s">
        <v>305</v>
      </c>
      <c r="C55" s="8" t="s">
        <v>306</v>
      </c>
      <c r="D55" s="8" t="s">
        <v>306</v>
      </c>
      <c r="E55" s="8" t="s">
        <v>306</v>
      </c>
      <c r="F55" s="6">
        <v>54</v>
      </c>
      <c r="G55" s="6" t="b">
        <v>0</v>
      </c>
      <c r="H55" s="8" t="s">
        <v>240</v>
      </c>
      <c r="I55" s="6" t="b">
        <v>0</v>
      </c>
      <c r="J55" s="6" t="b">
        <v>0</v>
      </c>
      <c r="K55" s="6" t="b">
        <v>0</v>
      </c>
      <c r="L55" s="6" t="b">
        <v>0</v>
      </c>
      <c r="M55" s="6" t="b">
        <v>0</v>
      </c>
      <c r="N55" s="6">
        <v>6</v>
      </c>
      <c r="O55" s="8" t="s">
        <v>237</v>
      </c>
      <c r="P55" s="8" t="s">
        <v>240</v>
      </c>
      <c r="Q55" s="8" t="s">
        <v>240</v>
      </c>
      <c r="R55" s="6">
        <v>6</v>
      </c>
      <c r="S55" s="8" t="s">
        <v>75</v>
      </c>
      <c r="T55" s="9"/>
      <c r="U55" s="8" t="s">
        <v>240</v>
      </c>
      <c r="V55" s="8" t="s">
        <v>240</v>
      </c>
      <c r="W55" s="8" t="s">
        <v>240</v>
      </c>
      <c r="X55" s="8" t="s">
        <v>240</v>
      </c>
      <c r="Y55" s="8" t="s">
        <v>317</v>
      </c>
      <c r="Z55" s="6" t="b">
        <v>0</v>
      </c>
      <c r="AA55" s="9"/>
      <c r="AB55" s="9"/>
    </row>
    <row r="56" spans="1:28" ht="16">
      <c r="A56" s="6">
        <v>55</v>
      </c>
      <c r="B56" s="8" t="s">
        <v>305</v>
      </c>
      <c r="C56" s="8" t="s">
        <v>306</v>
      </c>
      <c r="D56" s="8" t="s">
        <v>318</v>
      </c>
      <c r="E56" s="8" t="s">
        <v>318</v>
      </c>
      <c r="F56" s="6">
        <v>55</v>
      </c>
      <c r="G56" s="6" t="b">
        <v>0</v>
      </c>
      <c r="H56" s="8" t="s">
        <v>240</v>
      </c>
      <c r="I56" s="6" t="b">
        <v>0</v>
      </c>
      <c r="J56" s="6" t="b">
        <v>0</v>
      </c>
      <c r="K56" s="6" t="b">
        <v>0</v>
      </c>
      <c r="L56" s="6" t="b">
        <v>0</v>
      </c>
      <c r="M56" s="6" t="b">
        <v>0</v>
      </c>
      <c r="N56" s="6">
        <v>6</v>
      </c>
      <c r="O56" s="8" t="s">
        <v>237</v>
      </c>
      <c r="P56" s="8" t="s">
        <v>240</v>
      </c>
      <c r="Q56" s="8" t="s">
        <v>240</v>
      </c>
      <c r="R56" s="6">
        <v>6</v>
      </c>
      <c r="S56" s="8" t="s">
        <v>75</v>
      </c>
      <c r="T56" s="9"/>
      <c r="U56" s="8" t="s">
        <v>240</v>
      </c>
      <c r="V56" s="8" t="s">
        <v>240</v>
      </c>
      <c r="W56" s="8" t="s">
        <v>240</v>
      </c>
      <c r="X56" s="8" t="s">
        <v>240</v>
      </c>
      <c r="Y56" s="8" t="s">
        <v>319</v>
      </c>
      <c r="Z56" s="6" t="b">
        <v>0</v>
      </c>
      <c r="AA56" s="9"/>
      <c r="AB56" s="9"/>
    </row>
    <row r="57" spans="1:28" ht="16">
      <c r="A57" s="6">
        <v>57</v>
      </c>
      <c r="B57" s="8" t="s">
        <v>305</v>
      </c>
      <c r="C57" s="8" t="s">
        <v>306</v>
      </c>
      <c r="D57" s="8" t="s">
        <v>320</v>
      </c>
      <c r="E57" s="8" t="s">
        <v>320</v>
      </c>
      <c r="F57" s="6">
        <v>57</v>
      </c>
      <c r="G57" s="6" t="b">
        <v>0</v>
      </c>
      <c r="H57" s="8" t="s">
        <v>240</v>
      </c>
      <c r="I57" s="6" t="b">
        <v>0</v>
      </c>
      <c r="J57" s="6" t="b">
        <v>0</v>
      </c>
      <c r="K57" s="6" t="b">
        <v>0</v>
      </c>
      <c r="L57" s="6" t="b">
        <v>0</v>
      </c>
      <c r="M57" s="6" t="b">
        <v>0</v>
      </c>
      <c r="N57" s="6">
        <v>6</v>
      </c>
      <c r="O57" s="8" t="s">
        <v>237</v>
      </c>
      <c r="P57" s="8" t="s">
        <v>240</v>
      </c>
      <c r="Q57" s="8" t="s">
        <v>240</v>
      </c>
      <c r="R57" s="6">
        <v>6</v>
      </c>
      <c r="S57" s="8" t="s">
        <v>75</v>
      </c>
      <c r="T57" s="9"/>
      <c r="U57" s="8" t="s">
        <v>240</v>
      </c>
      <c r="V57" s="8" t="s">
        <v>240</v>
      </c>
      <c r="W57" s="8" t="s">
        <v>240</v>
      </c>
      <c r="X57" s="8" t="s">
        <v>240</v>
      </c>
      <c r="Y57" s="8" t="s">
        <v>321</v>
      </c>
      <c r="Z57" s="6" t="b">
        <v>0</v>
      </c>
      <c r="AA57" s="9"/>
      <c r="AB57" s="9"/>
    </row>
    <row r="58" spans="1:28" ht="16">
      <c r="A58" s="6">
        <v>58</v>
      </c>
      <c r="B58" s="8" t="s">
        <v>305</v>
      </c>
      <c r="C58" s="8" t="s">
        <v>306</v>
      </c>
      <c r="D58" s="8" t="s">
        <v>322</v>
      </c>
      <c r="E58" s="8" t="s">
        <v>322</v>
      </c>
      <c r="F58" s="6">
        <v>58</v>
      </c>
      <c r="G58" s="6" t="b">
        <v>0</v>
      </c>
      <c r="H58" s="8" t="s">
        <v>240</v>
      </c>
      <c r="I58" s="6" t="b">
        <v>0</v>
      </c>
      <c r="J58" s="6" t="b">
        <v>0</v>
      </c>
      <c r="K58" s="6" t="b">
        <v>0</v>
      </c>
      <c r="L58" s="6" t="b">
        <v>0</v>
      </c>
      <c r="M58" s="6" t="b">
        <v>0</v>
      </c>
      <c r="N58" s="6">
        <v>6</v>
      </c>
      <c r="O58" s="8" t="s">
        <v>237</v>
      </c>
      <c r="P58" s="8" t="s">
        <v>240</v>
      </c>
      <c r="Q58" s="8" t="s">
        <v>240</v>
      </c>
      <c r="R58" s="6">
        <v>6</v>
      </c>
      <c r="S58" s="8" t="s">
        <v>75</v>
      </c>
      <c r="T58" s="9"/>
      <c r="U58" s="8" t="s">
        <v>240</v>
      </c>
      <c r="V58" s="8" t="s">
        <v>240</v>
      </c>
      <c r="W58" s="8" t="s">
        <v>240</v>
      </c>
      <c r="X58" s="8" t="s">
        <v>240</v>
      </c>
      <c r="Y58" s="8" t="s">
        <v>240</v>
      </c>
      <c r="Z58" s="6" t="b">
        <v>0</v>
      </c>
      <c r="AA58" s="9"/>
      <c r="AB58" s="9"/>
    </row>
    <row r="59" spans="1:28" ht="16">
      <c r="A59" s="6">
        <v>59</v>
      </c>
      <c r="B59" s="8" t="s">
        <v>305</v>
      </c>
      <c r="C59" s="8" t="s">
        <v>306</v>
      </c>
      <c r="D59" s="8" t="s">
        <v>323</v>
      </c>
      <c r="E59" s="8" t="s">
        <v>322</v>
      </c>
      <c r="F59" s="6">
        <v>58</v>
      </c>
      <c r="G59" s="6" t="b">
        <v>0</v>
      </c>
      <c r="H59" s="8" t="s">
        <v>240</v>
      </c>
      <c r="I59" s="6" t="b">
        <v>0</v>
      </c>
      <c r="J59" s="6" t="b">
        <v>0</v>
      </c>
      <c r="K59" s="6" t="b">
        <v>0</v>
      </c>
      <c r="L59" s="6" t="b">
        <v>0</v>
      </c>
      <c r="M59" s="6" t="b">
        <v>0</v>
      </c>
      <c r="N59" s="6">
        <v>6</v>
      </c>
      <c r="O59" s="8" t="s">
        <v>237</v>
      </c>
      <c r="P59" s="8" t="s">
        <v>240</v>
      </c>
      <c r="Q59" s="8" t="s">
        <v>240</v>
      </c>
      <c r="R59" s="6">
        <v>6</v>
      </c>
      <c r="S59" s="8" t="s">
        <v>75</v>
      </c>
      <c r="T59" s="9"/>
      <c r="U59" s="8" t="s">
        <v>240</v>
      </c>
      <c r="V59" s="8" t="s">
        <v>240</v>
      </c>
      <c r="W59" s="8" t="s">
        <v>240</v>
      </c>
      <c r="X59" s="8" t="s">
        <v>240</v>
      </c>
      <c r="Y59" s="8" t="s">
        <v>324</v>
      </c>
      <c r="Z59" s="6" t="b">
        <v>0</v>
      </c>
      <c r="AA59" s="9"/>
      <c r="AB59" s="9"/>
    </row>
    <row r="60" spans="1:28" ht="16">
      <c r="A60" s="6">
        <v>60</v>
      </c>
      <c r="B60" s="8" t="s">
        <v>305</v>
      </c>
      <c r="C60" s="8" t="s">
        <v>306</v>
      </c>
      <c r="D60" s="8" t="s">
        <v>325</v>
      </c>
      <c r="E60" s="8" t="s">
        <v>325</v>
      </c>
      <c r="F60" s="6">
        <v>60</v>
      </c>
      <c r="G60" s="6" t="b">
        <v>0</v>
      </c>
      <c r="H60" s="8" t="s">
        <v>240</v>
      </c>
      <c r="I60" s="6" t="b">
        <v>0</v>
      </c>
      <c r="J60" s="6" t="b">
        <v>0</v>
      </c>
      <c r="K60" s="6" t="b">
        <v>0</v>
      </c>
      <c r="L60" s="6" t="b">
        <v>0</v>
      </c>
      <c r="M60" s="6" t="b">
        <v>0</v>
      </c>
      <c r="N60" s="6">
        <v>6</v>
      </c>
      <c r="O60" s="8" t="s">
        <v>237</v>
      </c>
      <c r="P60" s="8" t="s">
        <v>240</v>
      </c>
      <c r="Q60" s="8" t="s">
        <v>240</v>
      </c>
      <c r="R60" s="6">
        <v>6</v>
      </c>
      <c r="S60" s="8" t="s">
        <v>75</v>
      </c>
      <c r="T60" s="9"/>
      <c r="U60" s="8" t="s">
        <v>240</v>
      </c>
      <c r="V60" s="8" t="s">
        <v>240</v>
      </c>
      <c r="W60" s="8" t="s">
        <v>240</v>
      </c>
      <c r="X60" s="8" t="s">
        <v>240</v>
      </c>
      <c r="Y60" s="8" t="s">
        <v>326</v>
      </c>
      <c r="Z60" s="6" t="b">
        <v>0</v>
      </c>
      <c r="AA60" s="9"/>
      <c r="AB60" s="9"/>
    </row>
    <row r="61" spans="1:28" ht="16">
      <c r="A61" s="6">
        <v>61</v>
      </c>
      <c r="B61" s="8" t="s">
        <v>305</v>
      </c>
      <c r="C61" s="8" t="s">
        <v>306</v>
      </c>
      <c r="D61" s="8" t="s">
        <v>327</v>
      </c>
      <c r="E61" s="8" t="s">
        <v>327</v>
      </c>
      <c r="F61" s="6">
        <v>61</v>
      </c>
      <c r="G61" s="6" t="b">
        <v>0</v>
      </c>
      <c r="H61" s="8" t="s">
        <v>240</v>
      </c>
      <c r="I61" s="6" t="b">
        <v>0</v>
      </c>
      <c r="J61" s="6" t="b">
        <v>0</v>
      </c>
      <c r="K61" s="6" t="b">
        <v>0</v>
      </c>
      <c r="L61" s="6" t="b">
        <v>0</v>
      </c>
      <c r="M61" s="6" t="b">
        <v>0</v>
      </c>
      <c r="N61" s="6">
        <v>6</v>
      </c>
      <c r="O61" s="8" t="s">
        <v>237</v>
      </c>
      <c r="P61" s="8" t="s">
        <v>240</v>
      </c>
      <c r="Q61" s="8" t="s">
        <v>240</v>
      </c>
      <c r="R61" s="6">
        <v>6</v>
      </c>
      <c r="S61" s="8" t="s">
        <v>75</v>
      </c>
      <c r="T61" s="9"/>
      <c r="U61" s="8" t="s">
        <v>240</v>
      </c>
      <c r="V61" s="8" t="s">
        <v>240</v>
      </c>
      <c r="W61" s="8" t="s">
        <v>240</v>
      </c>
      <c r="X61" s="8" t="s">
        <v>240</v>
      </c>
      <c r="Y61" s="8" t="s">
        <v>328</v>
      </c>
      <c r="Z61" s="6" t="b">
        <v>0</v>
      </c>
      <c r="AA61" s="9"/>
      <c r="AB61" s="9"/>
    </row>
    <row r="62" spans="1:28" ht="16">
      <c r="A62" s="6">
        <v>62</v>
      </c>
      <c r="B62" s="8" t="s">
        <v>305</v>
      </c>
      <c r="C62" s="8" t="s">
        <v>306</v>
      </c>
      <c r="D62" s="8" t="s">
        <v>329</v>
      </c>
      <c r="E62" s="8" t="s">
        <v>329</v>
      </c>
      <c r="F62" s="6">
        <v>62</v>
      </c>
      <c r="G62" s="6" t="b">
        <v>0</v>
      </c>
      <c r="H62" s="8" t="s">
        <v>240</v>
      </c>
      <c r="I62" s="6" t="b">
        <v>0</v>
      </c>
      <c r="J62" s="6" t="b">
        <v>0</v>
      </c>
      <c r="K62" s="6" t="b">
        <v>0</v>
      </c>
      <c r="L62" s="6" t="b">
        <v>0</v>
      </c>
      <c r="M62" s="6" t="b">
        <v>0</v>
      </c>
      <c r="N62" s="6">
        <v>6</v>
      </c>
      <c r="O62" s="8" t="s">
        <v>237</v>
      </c>
      <c r="P62" s="8" t="s">
        <v>240</v>
      </c>
      <c r="Q62" s="8" t="s">
        <v>240</v>
      </c>
      <c r="R62" s="6">
        <v>6</v>
      </c>
      <c r="S62" s="8" t="s">
        <v>75</v>
      </c>
      <c r="T62" s="9"/>
      <c r="U62" s="8" t="s">
        <v>240</v>
      </c>
      <c r="V62" s="8" t="s">
        <v>240</v>
      </c>
      <c r="W62" s="8" t="s">
        <v>240</v>
      </c>
      <c r="X62" s="8" t="s">
        <v>240</v>
      </c>
      <c r="Y62" s="8" t="s">
        <v>330</v>
      </c>
      <c r="Z62" s="6" t="b">
        <v>0</v>
      </c>
      <c r="AA62" s="9"/>
      <c r="AB62" s="9"/>
    </row>
    <row r="63" spans="1:28" ht="16">
      <c r="A63" s="6">
        <v>63</v>
      </c>
      <c r="B63" s="8" t="s">
        <v>204</v>
      </c>
      <c r="C63" s="8" t="s">
        <v>84</v>
      </c>
      <c r="D63" s="8" t="s">
        <v>84</v>
      </c>
      <c r="E63" s="8" t="s">
        <v>84</v>
      </c>
      <c r="F63" s="6">
        <v>63</v>
      </c>
      <c r="G63" s="6" t="b">
        <v>0</v>
      </c>
      <c r="H63" s="8" t="s">
        <v>240</v>
      </c>
      <c r="I63" s="6" t="b">
        <v>0</v>
      </c>
      <c r="J63" s="6" t="b">
        <v>0</v>
      </c>
      <c r="K63" s="6" t="b">
        <v>0</v>
      </c>
      <c r="L63" s="6" t="b">
        <v>0</v>
      </c>
      <c r="M63" s="6" t="b">
        <v>0</v>
      </c>
      <c r="N63" s="6">
        <v>8</v>
      </c>
      <c r="O63" s="8" t="s">
        <v>331</v>
      </c>
      <c r="P63" s="8" t="s">
        <v>240</v>
      </c>
      <c r="Q63" s="8" t="s">
        <v>240</v>
      </c>
      <c r="R63" s="6">
        <v>8</v>
      </c>
      <c r="S63" s="8" t="s">
        <v>75</v>
      </c>
      <c r="T63" s="9"/>
      <c r="U63" s="8" t="s">
        <v>240</v>
      </c>
      <c r="V63" s="8" t="s">
        <v>240</v>
      </c>
      <c r="W63" s="8" t="s">
        <v>240</v>
      </c>
      <c r="X63" s="8" t="s">
        <v>240</v>
      </c>
      <c r="Y63" s="8" t="s">
        <v>240</v>
      </c>
      <c r="Z63" s="6" t="b">
        <v>0</v>
      </c>
      <c r="AA63" s="9"/>
      <c r="AB63" s="9"/>
    </row>
    <row r="64" spans="1:28" ht="32">
      <c r="A64" s="6">
        <v>64</v>
      </c>
      <c r="B64" s="8" t="s">
        <v>204</v>
      </c>
      <c r="C64" s="8" t="s">
        <v>84</v>
      </c>
      <c r="D64" s="8" t="s">
        <v>332</v>
      </c>
      <c r="E64" s="8" t="s">
        <v>332</v>
      </c>
      <c r="F64" s="6">
        <v>64</v>
      </c>
      <c r="G64" s="6" t="b">
        <v>0</v>
      </c>
      <c r="H64" s="8" t="s">
        <v>240</v>
      </c>
      <c r="I64" s="6" t="b">
        <v>0</v>
      </c>
      <c r="J64" s="6" t="b">
        <v>0</v>
      </c>
      <c r="K64" s="6" t="b">
        <v>0</v>
      </c>
      <c r="L64" s="6" t="b">
        <v>0</v>
      </c>
      <c r="M64" s="6" t="b">
        <v>0</v>
      </c>
      <c r="N64" s="6">
        <v>8</v>
      </c>
      <c r="O64" s="8" t="s">
        <v>331</v>
      </c>
      <c r="P64" s="8" t="s">
        <v>333</v>
      </c>
      <c r="Q64" s="8" t="s">
        <v>334</v>
      </c>
      <c r="R64" s="6">
        <v>8</v>
      </c>
      <c r="S64" s="8" t="s">
        <v>335</v>
      </c>
      <c r="T64" s="6">
        <v>8</v>
      </c>
      <c r="U64" s="8" t="s">
        <v>336</v>
      </c>
      <c r="V64" s="8" t="s">
        <v>240</v>
      </c>
      <c r="W64" s="8" t="s">
        <v>240</v>
      </c>
      <c r="X64" s="8" t="s">
        <v>240</v>
      </c>
      <c r="Y64" s="8" t="s">
        <v>240</v>
      </c>
      <c r="Z64" s="6" t="b">
        <v>0</v>
      </c>
      <c r="AA64" s="9"/>
      <c r="AB64" s="9"/>
    </row>
    <row r="65" spans="1:28" ht="16">
      <c r="A65" s="6">
        <v>65</v>
      </c>
      <c r="B65" s="8" t="s">
        <v>204</v>
      </c>
      <c r="C65" s="8" t="s">
        <v>84</v>
      </c>
      <c r="D65" s="8" t="s">
        <v>337</v>
      </c>
      <c r="E65" s="8" t="s">
        <v>332</v>
      </c>
      <c r="F65" s="6">
        <v>64</v>
      </c>
      <c r="G65" s="6" t="b">
        <v>0</v>
      </c>
      <c r="H65" s="8" t="s">
        <v>240</v>
      </c>
      <c r="I65" s="6" t="b">
        <v>0</v>
      </c>
      <c r="J65" s="6" t="b">
        <v>0</v>
      </c>
      <c r="K65" s="6" t="b">
        <v>0</v>
      </c>
      <c r="L65" s="6" t="b">
        <v>0</v>
      </c>
      <c r="M65" s="6" t="b">
        <v>0</v>
      </c>
      <c r="N65" s="6">
        <v>8</v>
      </c>
      <c r="O65" s="8" t="s">
        <v>331</v>
      </c>
      <c r="P65" s="8" t="s">
        <v>338</v>
      </c>
      <c r="Q65" s="8" t="s">
        <v>339</v>
      </c>
      <c r="R65" s="6">
        <v>8</v>
      </c>
      <c r="S65" s="8" t="s">
        <v>335</v>
      </c>
      <c r="T65" s="6">
        <v>8</v>
      </c>
      <c r="U65" s="8" t="s">
        <v>240</v>
      </c>
      <c r="V65" s="8" t="s">
        <v>240</v>
      </c>
      <c r="W65" s="8" t="s">
        <v>240</v>
      </c>
      <c r="X65" s="8" t="s">
        <v>240</v>
      </c>
      <c r="Y65" s="8" t="s">
        <v>240</v>
      </c>
      <c r="Z65" s="6" t="b">
        <v>0</v>
      </c>
      <c r="AA65" s="9"/>
      <c r="AB65" s="9"/>
    </row>
    <row r="66" spans="1:28" ht="16">
      <c r="A66" s="6">
        <v>66</v>
      </c>
      <c r="B66" s="8" t="s">
        <v>204</v>
      </c>
      <c r="C66" s="8" t="s">
        <v>84</v>
      </c>
      <c r="D66" s="8" t="s">
        <v>340</v>
      </c>
      <c r="E66" s="8" t="s">
        <v>332</v>
      </c>
      <c r="F66" s="6">
        <v>64</v>
      </c>
      <c r="G66" s="6" t="b">
        <v>0</v>
      </c>
      <c r="H66" s="8" t="s">
        <v>240</v>
      </c>
      <c r="I66" s="6" t="b">
        <v>0</v>
      </c>
      <c r="J66" s="6" t="b">
        <v>0</v>
      </c>
      <c r="K66" s="6" t="b">
        <v>0</v>
      </c>
      <c r="L66" s="6" t="b">
        <v>0</v>
      </c>
      <c r="M66" s="6" t="b">
        <v>0</v>
      </c>
      <c r="N66" s="6">
        <v>8</v>
      </c>
      <c r="O66" s="8" t="s">
        <v>331</v>
      </c>
      <c r="P66" s="8" t="s">
        <v>240</v>
      </c>
      <c r="Q66" s="8" t="s">
        <v>240</v>
      </c>
      <c r="R66" s="6">
        <v>6</v>
      </c>
      <c r="S66" s="8" t="s">
        <v>341</v>
      </c>
      <c r="T66" s="9"/>
      <c r="U66" s="8" t="s">
        <v>240</v>
      </c>
      <c r="V66" s="8" t="s">
        <v>240</v>
      </c>
      <c r="W66" s="8" t="s">
        <v>240</v>
      </c>
      <c r="X66" s="8" t="s">
        <v>240</v>
      </c>
      <c r="Y66" s="8" t="s">
        <v>240</v>
      </c>
      <c r="Z66" s="6" t="b">
        <v>0</v>
      </c>
      <c r="AA66" s="9"/>
      <c r="AB66" s="9"/>
    </row>
    <row r="67" spans="1:28" ht="32">
      <c r="A67" s="6">
        <v>67</v>
      </c>
      <c r="B67" s="8" t="s">
        <v>204</v>
      </c>
      <c r="C67" s="8" t="s">
        <v>84</v>
      </c>
      <c r="D67" s="8" t="s">
        <v>342</v>
      </c>
      <c r="E67" s="8" t="s">
        <v>332</v>
      </c>
      <c r="F67" s="6">
        <v>64</v>
      </c>
      <c r="G67" s="6" t="b">
        <v>0</v>
      </c>
      <c r="H67" s="8" t="s">
        <v>240</v>
      </c>
      <c r="I67" s="6" t="b">
        <v>0</v>
      </c>
      <c r="J67" s="6" t="b">
        <v>0</v>
      </c>
      <c r="K67" s="6" t="b">
        <v>0</v>
      </c>
      <c r="L67" s="6" t="b">
        <v>0</v>
      </c>
      <c r="M67" s="6" t="b">
        <v>0</v>
      </c>
      <c r="N67" s="6">
        <v>8</v>
      </c>
      <c r="O67" s="8" t="s">
        <v>331</v>
      </c>
      <c r="P67" s="8" t="s">
        <v>333</v>
      </c>
      <c r="Q67" s="8" t="s">
        <v>334</v>
      </c>
      <c r="R67" s="6">
        <v>6</v>
      </c>
      <c r="S67" s="8" t="s">
        <v>341</v>
      </c>
      <c r="T67" s="9"/>
      <c r="U67" s="8" t="s">
        <v>343</v>
      </c>
      <c r="V67" s="8" t="s">
        <v>240</v>
      </c>
      <c r="W67" s="8" t="s">
        <v>240</v>
      </c>
      <c r="X67" s="8" t="s">
        <v>240</v>
      </c>
      <c r="Y67" s="8" t="s">
        <v>240</v>
      </c>
      <c r="Z67" s="6" t="b">
        <v>0</v>
      </c>
      <c r="AA67" s="9"/>
      <c r="AB67" s="9"/>
    </row>
    <row r="68" spans="1:28" ht="32">
      <c r="A68" s="6">
        <v>68</v>
      </c>
      <c r="B68" s="8" t="s">
        <v>204</v>
      </c>
      <c r="C68" s="8" t="s">
        <v>84</v>
      </c>
      <c r="D68" s="8" t="s">
        <v>344</v>
      </c>
      <c r="E68" s="8" t="s">
        <v>332</v>
      </c>
      <c r="F68" s="6">
        <v>64</v>
      </c>
      <c r="G68" s="6" t="b">
        <v>0</v>
      </c>
      <c r="H68" s="8" t="s">
        <v>240</v>
      </c>
      <c r="I68" s="6" t="b">
        <v>0</v>
      </c>
      <c r="J68" s="6" t="b">
        <v>0</v>
      </c>
      <c r="K68" s="6" t="b">
        <v>0</v>
      </c>
      <c r="L68" s="6" t="b">
        <v>0</v>
      </c>
      <c r="M68" s="6" t="b">
        <v>0</v>
      </c>
      <c r="N68" s="6">
        <v>8</v>
      </c>
      <c r="O68" s="8" t="s">
        <v>331</v>
      </c>
      <c r="P68" s="8" t="s">
        <v>333</v>
      </c>
      <c r="Q68" s="8" t="s">
        <v>334</v>
      </c>
      <c r="R68" s="6">
        <v>8</v>
      </c>
      <c r="S68" s="8" t="s">
        <v>335</v>
      </c>
      <c r="T68" s="9"/>
      <c r="U68" s="8" t="s">
        <v>345</v>
      </c>
      <c r="V68" s="8" t="s">
        <v>240</v>
      </c>
      <c r="W68" s="8" t="s">
        <v>240</v>
      </c>
      <c r="X68" s="8" t="s">
        <v>240</v>
      </c>
      <c r="Y68" s="8" t="s">
        <v>240</v>
      </c>
      <c r="Z68" s="6" t="b">
        <v>0</v>
      </c>
      <c r="AA68" s="9"/>
      <c r="AB68" s="9"/>
    </row>
    <row r="69" spans="1:28" ht="32">
      <c r="A69" s="6">
        <v>69</v>
      </c>
      <c r="B69" s="8" t="s">
        <v>204</v>
      </c>
      <c r="C69" s="8" t="s">
        <v>84</v>
      </c>
      <c r="D69" s="8" t="s">
        <v>346</v>
      </c>
      <c r="E69" s="8" t="s">
        <v>332</v>
      </c>
      <c r="F69" s="6">
        <v>64</v>
      </c>
      <c r="G69" s="6" t="b">
        <v>0</v>
      </c>
      <c r="H69" s="8" t="s">
        <v>240</v>
      </c>
      <c r="I69" s="6" t="b">
        <v>0</v>
      </c>
      <c r="J69" s="6" t="b">
        <v>0</v>
      </c>
      <c r="K69" s="6" t="b">
        <v>0</v>
      </c>
      <c r="L69" s="6" t="b">
        <v>0</v>
      </c>
      <c r="M69" s="6" t="b">
        <v>0</v>
      </c>
      <c r="N69" s="6">
        <v>8</v>
      </c>
      <c r="O69" s="8" t="s">
        <v>331</v>
      </c>
      <c r="P69" s="8" t="s">
        <v>333</v>
      </c>
      <c r="Q69" s="8" t="s">
        <v>334</v>
      </c>
      <c r="R69" s="6">
        <v>8</v>
      </c>
      <c r="S69" s="8" t="s">
        <v>347</v>
      </c>
      <c r="T69" s="6">
        <v>8</v>
      </c>
      <c r="U69" s="8" t="s">
        <v>348</v>
      </c>
      <c r="V69" s="8" t="s">
        <v>240</v>
      </c>
      <c r="W69" s="8" t="s">
        <v>240</v>
      </c>
      <c r="X69" s="8" t="s">
        <v>240</v>
      </c>
      <c r="Y69" s="8" t="s">
        <v>240</v>
      </c>
      <c r="Z69" s="6" t="b">
        <v>0</v>
      </c>
      <c r="AA69" s="9"/>
      <c r="AB69" s="9"/>
    </row>
    <row r="70" spans="1:28" ht="16">
      <c r="A70" s="6">
        <v>70</v>
      </c>
      <c r="B70" s="8" t="s">
        <v>204</v>
      </c>
      <c r="C70" s="8" t="s">
        <v>84</v>
      </c>
      <c r="D70" s="8" t="s">
        <v>349</v>
      </c>
      <c r="E70" s="8" t="s">
        <v>349</v>
      </c>
      <c r="F70" s="6">
        <v>70</v>
      </c>
      <c r="G70" s="6" t="b">
        <v>0</v>
      </c>
      <c r="H70" s="8" t="s">
        <v>240</v>
      </c>
      <c r="I70" s="6" t="b">
        <v>0</v>
      </c>
      <c r="J70" s="6" t="b">
        <v>0</v>
      </c>
      <c r="K70" s="6" t="b">
        <v>0</v>
      </c>
      <c r="L70" s="6" t="b">
        <v>0</v>
      </c>
      <c r="M70" s="6" t="b">
        <v>0</v>
      </c>
      <c r="N70" s="6">
        <v>8</v>
      </c>
      <c r="O70" s="8" t="s">
        <v>331</v>
      </c>
      <c r="P70" s="8" t="s">
        <v>350</v>
      </c>
      <c r="Q70" s="8" t="s">
        <v>335</v>
      </c>
      <c r="R70" s="6">
        <v>8</v>
      </c>
      <c r="S70" s="8" t="s">
        <v>335</v>
      </c>
      <c r="T70" s="6">
        <v>8</v>
      </c>
      <c r="U70" s="8" t="s">
        <v>336</v>
      </c>
      <c r="V70" s="8" t="s">
        <v>240</v>
      </c>
      <c r="W70" s="8" t="s">
        <v>240</v>
      </c>
      <c r="X70" s="8" t="s">
        <v>240</v>
      </c>
      <c r="Y70" s="8" t="s">
        <v>351</v>
      </c>
      <c r="Z70" s="6" t="b">
        <v>0</v>
      </c>
      <c r="AA70" s="9"/>
      <c r="AB70" s="9"/>
    </row>
    <row r="71" spans="1:28" ht="16">
      <c r="A71" s="6">
        <v>71</v>
      </c>
      <c r="B71" s="8" t="s">
        <v>204</v>
      </c>
      <c r="C71" s="8" t="s">
        <v>84</v>
      </c>
      <c r="D71" s="8" t="s">
        <v>352</v>
      </c>
      <c r="E71" s="8" t="s">
        <v>349</v>
      </c>
      <c r="F71" s="6">
        <v>70</v>
      </c>
      <c r="G71" s="6" t="b">
        <v>0</v>
      </c>
      <c r="H71" s="8" t="s">
        <v>240</v>
      </c>
      <c r="I71" s="6" t="b">
        <v>0</v>
      </c>
      <c r="J71" s="6" t="b">
        <v>0</v>
      </c>
      <c r="K71" s="6" t="b">
        <v>0</v>
      </c>
      <c r="L71" s="6" t="b">
        <v>0</v>
      </c>
      <c r="M71" s="6" t="b">
        <v>0</v>
      </c>
      <c r="N71" s="6">
        <v>8</v>
      </c>
      <c r="O71" s="8" t="s">
        <v>331</v>
      </c>
      <c r="P71" s="8" t="s">
        <v>350</v>
      </c>
      <c r="Q71" s="8" t="s">
        <v>335</v>
      </c>
      <c r="R71" s="6">
        <v>6</v>
      </c>
      <c r="S71" s="8" t="s">
        <v>341</v>
      </c>
      <c r="T71" s="9"/>
      <c r="U71" s="8" t="s">
        <v>345</v>
      </c>
      <c r="V71" s="8" t="s">
        <v>240</v>
      </c>
      <c r="W71" s="8" t="s">
        <v>240</v>
      </c>
      <c r="X71" s="8" t="s">
        <v>240</v>
      </c>
      <c r="Y71" s="8" t="s">
        <v>353</v>
      </c>
      <c r="Z71" s="6" t="b">
        <v>0</v>
      </c>
      <c r="AA71" s="9"/>
      <c r="AB71" s="9"/>
    </row>
    <row r="72" spans="1:28" ht="16">
      <c r="A72" s="6">
        <v>72</v>
      </c>
      <c r="B72" s="8" t="s">
        <v>204</v>
      </c>
      <c r="C72" s="8" t="s">
        <v>84</v>
      </c>
      <c r="D72" s="8" t="s">
        <v>354</v>
      </c>
      <c r="E72" s="8" t="s">
        <v>349</v>
      </c>
      <c r="F72" s="6">
        <v>70</v>
      </c>
      <c r="G72" s="6" t="b">
        <v>0</v>
      </c>
      <c r="H72" s="8" t="s">
        <v>240</v>
      </c>
      <c r="I72" s="6" t="b">
        <v>0</v>
      </c>
      <c r="J72" s="6" t="b">
        <v>0</v>
      </c>
      <c r="K72" s="6" t="b">
        <v>0</v>
      </c>
      <c r="L72" s="6" t="b">
        <v>0</v>
      </c>
      <c r="M72" s="6" t="b">
        <v>0</v>
      </c>
      <c r="N72" s="6">
        <v>8</v>
      </c>
      <c r="O72" s="8" t="s">
        <v>331</v>
      </c>
      <c r="P72" s="8" t="s">
        <v>350</v>
      </c>
      <c r="Q72" s="8" t="s">
        <v>335</v>
      </c>
      <c r="R72" s="6">
        <v>6</v>
      </c>
      <c r="S72" s="8" t="s">
        <v>341</v>
      </c>
      <c r="T72" s="9"/>
      <c r="U72" s="8" t="s">
        <v>343</v>
      </c>
      <c r="V72" s="8" t="s">
        <v>240</v>
      </c>
      <c r="W72" s="8" t="s">
        <v>240</v>
      </c>
      <c r="X72" s="8" t="s">
        <v>240</v>
      </c>
      <c r="Y72" s="8" t="s">
        <v>240</v>
      </c>
      <c r="Z72" s="6" t="b">
        <v>0</v>
      </c>
      <c r="AA72" s="9"/>
      <c r="AB72" s="9"/>
    </row>
    <row r="73" spans="1:28" ht="32">
      <c r="A73" s="6">
        <v>73</v>
      </c>
      <c r="B73" s="8" t="s">
        <v>204</v>
      </c>
      <c r="C73" s="8" t="s">
        <v>84</v>
      </c>
      <c r="D73" s="8" t="s">
        <v>355</v>
      </c>
      <c r="E73" s="8" t="s">
        <v>349</v>
      </c>
      <c r="F73" s="6">
        <v>70</v>
      </c>
      <c r="G73" s="6" t="b">
        <v>0</v>
      </c>
      <c r="H73" s="8" t="s">
        <v>240</v>
      </c>
      <c r="I73" s="6" t="b">
        <v>0</v>
      </c>
      <c r="J73" s="6" t="b">
        <v>0</v>
      </c>
      <c r="K73" s="6" t="b">
        <v>0</v>
      </c>
      <c r="L73" s="6" t="b">
        <v>0</v>
      </c>
      <c r="M73" s="6" t="b">
        <v>0</v>
      </c>
      <c r="N73" s="6">
        <v>8</v>
      </c>
      <c r="O73" s="8" t="s">
        <v>331</v>
      </c>
      <c r="P73" s="8" t="s">
        <v>350</v>
      </c>
      <c r="Q73" s="8" t="s">
        <v>335</v>
      </c>
      <c r="R73" s="6">
        <v>8</v>
      </c>
      <c r="S73" s="8" t="s">
        <v>347</v>
      </c>
      <c r="T73" s="6">
        <v>8</v>
      </c>
      <c r="U73" s="8" t="s">
        <v>348</v>
      </c>
      <c r="V73" s="8" t="s">
        <v>240</v>
      </c>
      <c r="W73" s="8" t="s">
        <v>240</v>
      </c>
      <c r="X73" s="8" t="s">
        <v>240</v>
      </c>
      <c r="Y73" s="8" t="s">
        <v>240</v>
      </c>
      <c r="Z73" s="6" t="b">
        <v>0</v>
      </c>
      <c r="AA73" s="9"/>
      <c r="AB73" s="9"/>
    </row>
    <row r="74" spans="1:28" ht="16">
      <c r="A74" s="6">
        <v>74</v>
      </c>
      <c r="B74" s="8" t="s">
        <v>204</v>
      </c>
      <c r="C74" s="8" t="s">
        <v>84</v>
      </c>
      <c r="D74" s="8" t="s">
        <v>356</v>
      </c>
      <c r="E74" s="8" t="s">
        <v>356</v>
      </c>
      <c r="F74" s="6">
        <v>74</v>
      </c>
      <c r="G74" s="6" t="b">
        <v>0</v>
      </c>
      <c r="H74" s="8" t="s">
        <v>240</v>
      </c>
      <c r="I74" s="6" t="b">
        <v>0</v>
      </c>
      <c r="J74" s="6" t="b">
        <v>0</v>
      </c>
      <c r="K74" s="6" t="b">
        <v>0</v>
      </c>
      <c r="L74" s="6" t="b">
        <v>0</v>
      </c>
      <c r="M74" s="6" t="b">
        <v>0</v>
      </c>
      <c r="N74" s="6">
        <v>8</v>
      </c>
      <c r="O74" s="8" t="s">
        <v>331</v>
      </c>
      <c r="P74" s="8" t="s">
        <v>240</v>
      </c>
      <c r="Q74" s="8" t="s">
        <v>240</v>
      </c>
      <c r="R74" s="6">
        <v>8</v>
      </c>
      <c r="S74" s="8" t="s">
        <v>75</v>
      </c>
      <c r="T74" s="9"/>
      <c r="U74" s="8" t="s">
        <v>240</v>
      </c>
      <c r="V74" s="8" t="s">
        <v>240</v>
      </c>
      <c r="W74" s="8" t="s">
        <v>240</v>
      </c>
      <c r="X74" s="8" t="s">
        <v>240</v>
      </c>
      <c r="Y74" s="8" t="s">
        <v>240</v>
      </c>
      <c r="Z74" s="6" t="b">
        <v>0</v>
      </c>
      <c r="AA74" s="9"/>
      <c r="AB74" s="9"/>
    </row>
    <row r="75" spans="1:28" ht="16">
      <c r="A75" s="6">
        <v>75</v>
      </c>
      <c r="B75" s="8" t="s">
        <v>204</v>
      </c>
      <c r="C75" s="8" t="s">
        <v>84</v>
      </c>
      <c r="D75" s="8" t="s">
        <v>357</v>
      </c>
      <c r="E75" s="8" t="s">
        <v>357</v>
      </c>
      <c r="F75" s="6">
        <v>75</v>
      </c>
      <c r="G75" s="6" t="b">
        <v>0</v>
      </c>
      <c r="H75" s="8" t="s">
        <v>240</v>
      </c>
      <c r="I75" s="6" t="b">
        <v>0</v>
      </c>
      <c r="J75" s="6" t="b">
        <v>0</v>
      </c>
      <c r="K75" s="6" t="b">
        <v>0</v>
      </c>
      <c r="L75" s="6" t="b">
        <v>0</v>
      </c>
      <c r="M75" s="6" t="b">
        <v>0</v>
      </c>
      <c r="N75" s="6">
        <v>8</v>
      </c>
      <c r="O75" s="8" t="s">
        <v>331</v>
      </c>
      <c r="P75" s="8" t="s">
        <v>350</v>
      </c>
      <c r="Q75" s="8" t="s">
        <v>339</v>
      </c>
      <c r="R75" s="6">
        <v>8</v>
      </c>
      <c r="S75" s="8" t="s">
        <v>335</v>
      </c>
      <c r="T75" s="6">
        <v>8</v>
      </c>
      <c r="U75" s="8" t="s">
        <v>240</v>
      </c>
      <c r="V75" s="8" t="s">
        <v>240</v>
      </c>
      <c r="W75" s="8" t="s">
        <v>240</v>
      </c>
      <c r="X75" s="8" t="s">
        <v>240</v>
      </c>
      <c r="Y75" s="8" t="s">
        <v>358</v>
      </c>
      <c r="Z75" s="6" t="b">
        <v>0</v>
      </c>
      <c r="AA75" s="9"/>
      <c r="AB75" s="9"/>
    </row>
    <row r="76" spans="1:28" ht="16">
      <c r="A76" s="6">
        <v>76</v>
      </c>
      <c r="B76" s="8" t="s">
        <v>204</v>
      </c>
      <c r="C76" s="8" t="s">
        <v>84</v>
      </c>
      <c r="D76" s="8" t="s">
        <v>359</v>
      </c>
      <c r="E76" s="8" t="s">
        <v>357</v>
      </c>
      <c r="F76" s="6">
        <v>75</v>
      </c>
      <c r="G76" s="6" t="b">
        <v>0</v>
      </c>
      <c r="H76" s="8" t="s">
        <v>240</v>
      </c>
      <c r="I76" s="6" t="b">
        <v>0</v>
      </c>
      <c r="J76" s="6" t="b">
        <v>0</v>
      </c>
      <c r="K76" s="6" t="b">
        <v>0</v>
      </c>
      <c r="L76" s="6" t="b">
        <v>0</v>
      </c>
      <c r="M76" s="6" t="b">
        <v>0</v>
      </c>
      <c r="N76" s="6">
        <v>8</v>
      </c>
      <c r="O76" s="8" t="s">
        <v>331</v>
      </c>
      <c r="P76" s="8" t="s">
        <v>350</v>
      </c>
      <c r="Q76" s="8" t="s">
        <v>339</v>
      </c>
      <c r="R76" s="6">
        <v>8</v>
      </c>
      <c r="S76" s="8" t="s">
        <v>335</v>
      </c>
      <c r="T76" s="9"/>
      <c r="U76" s="8" t="s">
        <v>240</v>
      </c>
      <c r="V76" s="8" t="s">
        <v>240</v>
      </c>
      <c r="W76" s="8" t="s">
        <v>240</v>
      </c>
      <c r="X76" s="8" t="s">
        <v>240</v>
      </c>
      <c r="Y76" s="8" t="s">
        <v>240</v>
      </c>
      <c r="Z76" s="6" t="b">
        <v>0</v>
      </c>
      <c r="AA76" s="9"/>
      <c r="AB76" s="9"/>
    </row>
    <row r="77" spans="1:28" ht="16">
      <c r="A77" s="6">
        <v>77</v>
      </c>
      <c r="B77" s="8" t="s">
        <v>204</v>
      </c>
      <c r="C77" s="8" t="s">
        <v>84</v>
      </c>
      <c r="D77" s="8" t="s">
        <v>360</v>
      </c>
      <c r="E77" s="8" t="s">
        <v>357</v>
      </c>
      <c r="F77" s="6">
        <v>75</v>
      </c>
      <c r="G77" s="6" t="b">
        <v>0</v>
      </c>
      <c r="H77" s="8" t="s">
        <v>240</v>
      </c>
      <c r="I77" s="6" t="b">
        <v>0</v>
      </c>
      <c r="J77" s="6" t="b">
        <v>0</v>
      </c>
      <c r="K77" s="6" t="b">
        <v>0</v>
      </c>
      <c r="L77" s="6" t="b">
        <v>0</v>
      </c>
      <c r="M77" s="6" t="b">
        <v>0</v>
      </c>
      <c r="N77" s="6">
        <v>8</v>
      </c>
      <c r="O77" s="8" t="s">
        <v>331</v>
      </c>
      <c r="P77" s="8" t="s">
        <v>350</v>
      </c>
      <c r="Q77" s="8" t="s">
        <v>239</v>
      </c>
      <c r="R77" s="6">
        <v>8</v>
      </c>
      <c r="S77" s="8" t="s">
        <v>335</v>
      </c>
      <c r="T77" s="9"/>
      <c r="U77" s="8" t="s">
        <v>240</v>
      </c>
      <c r="V77" s="8" t="s">
        <v>240</v>
      </c>
      <c r="W77" s="8" t="s">
        <v>240</v>
      </c>
      <c r="X77" s="8" t="s">
        <v>240</v>
      </c>
      <c r="Y77" s="8" t="s">
        <v>240</v>
      </c>
      <c r="Z77" s="6" t="b">
        <v>0</v>
      </c>
      <c r="AA77" s="9"/>
      <c r="AB77" s="9"/>
    </row>
    <row r="78" spans="1:28" ht="16">
      <c r="A78" s="6">
        <v>78</v>
      </c>
      <c r="B78" s="8" t="s">
        <v>204</v>
      </c>
      <c r="C78" s="8" t="s">
        <v>84</v>
      </c>
      <c r="D78" s="8" t="s">
        <v>361</v>
      </c>
      <c r="E78" s="8" t="s">
        <v>357</v>
      </c>
      <c r="F78" s="6">
        <v>75</v>
      </c>
      <c r="G78" s="6" t="b">
        <v>0</v>
      </c>
      <c r="H78" s="8" t="s">
        <v>240</v>
      </c>
      <c r="I78" s="6" t="b">
        <v>0</v>
      </c>
      <c r="J78" s="6" t="b">
        <v>0</v>
      </c>
      <c r="K78" s="6" t="b">
        <v>0</v>
      </c>
      <c r="L78" s="6" t="b">
        <v>0</v>
      </c>
      <c r="M78" s="6" t="b">
        <v>0</v>
      </c>
      <c r="N78" s="6">
        <v>8</v>
      </c>
      <c r="O78" s="8" t="s">
        <v>331</v>
      </c>
      <c r="P78" s="8" t="s">
        <v>350</v>
      </c>
      <c r="Q78" s="8" t="s">
        <v>239</v>
      </c>
      <c r="R78" s="6">
        <v>8</v>
      </c>
      <c r="S78" s="8" t="s">
        <v>335</v>
      </c>
      <c r="T78" s="9"/>
      <c r="U78" s="8" t="s">
        <v>240</v>
      </c>
      <c r="V78" s="8" t="s">
        <v>240</v>
      </c>
      <c r="W78" s="8" t="s">
        <v>240</v>
      </c>
      <c r="X78" s="8" t="s">
        <v>240</v>
      </c>
      <c r="Y78" s="8" t="s">
        <v>240</v>
      </c>
      <c r="Z78" s="6" t="b">
        <v>0</v>
      </c>
      <c r="AA78" s="9"/>
      <c r="AB78" s="9"/>
    </row>
    <row r="79" spans="1:28" ht="16">
      <c r="A79" s="6">
        <v>79</v>
      </c>
      <c r="B79" s="8" t="s">
        <v>204</v>
      </c>
      <c r="C79" s="8" t="s">
        <v>362</v>
      </c>
      <c r="D79" s="8" t="s">
        <v>362</v>
      </c>
      <c r="E79" s="8" t="s">
        <v>362</v>
      </c>
      <c r="F79" s="6">
        <v>79</v>
      </c>
      <c r="G79" s="6" t="b">
        <v>0</v>
      </c>
      <c r="H79" s="8" t="s">
        <v>240</v>
      </c>
      <c r="I79" s="6" t="b">
        <v>0</v>
      </c>
      <c r="J79" s="6" t="b">
        <v>0</v>
      </c>
      <c r="K79" s="6" t="b">
        <v>0</v>
      </c>
      <c r="L79" s="6" t="b">
        <v>0</v>
      </c>
      <c r="M79" s="6" t="b">
        <v>0</v>
      </c>
      <c r="N79" s="6">
        <v>7</v>
      </c>
      <c r="O79" s="8" t="s">
        <v>237</v>
      </c>
      <c r="P79" s="8" t="s">
        <v>240</v>
      </c>
      <c r="Q79" s="8" t="s">
        <v>240</v>
      </c>
      <c r="R79" s="6">
        <v>7</v>
      </c>
      <c r="S79" s="8" t="s">
        <v>75</v>
      </c>
      <c r="T79" s="9"/>
      <c r="U79" s="8" t="s">
        <v>240</v>
      </c>
      <c r="V79" s="8" t="s">
        <v>240</v>
      </c>
      <c r="W79" s="8" t="s">
        <v>240</v>
      </c>
      <c r="X79" s="8" t="s">
        <v>240</v>
      </c>
      <c r="Y79" s="8" t="s">
        <v>363</v>
      </c>
      <c r="Z79" s="6" t="b">
        <v>0</v>
      </c>
      <c r="AA79" s="9"/>
      <c r="AB79" s="9"/>
    </row>
    <row r="80" spans="1:28" ht="16">
      <c r="A80" s="6">
        <v>80</v>
      </c>
      <c r="B80" s="8" t="s">
        <v>204</v>
      </c>
      <c r="C80" s="8" t="s">
        <v>362</v>
      </c>
      <c r="D80" s="8" t="s">
        <v>364</v>
      </c>
      <c r="E80" s="8" t="s">
        <v>364</v>
      </c>
      <c r="F80" s="6">
        <v>80</v>
      </c>
      <c r="G80" s="6" t="b">
        <v>0</v>
      </c>
      <c r="H80" s="8" t="s">
        <v>240</v>
      </c>
      <c r="I80" s="6" t="b">
        <v>0</v>
      </c>
      <c r="J80" s="6" t="b">
        <v>0</v>
      </c>
      <c r="K80" s="6" t="b">
        <v>0</v>
      </c>
      <c r="L80" s="6" t="b">
        <v>0</v>
      </c>
      <c r="M80" s="6" t="b">
        <v>0</v>
      </c>
      <c r="N80" s="6">
        <v>7</v>
      </c>
      <c r="O80" s="8" t="s">
        <v>237</v>
      </c>
      <c r="P80" s="8" t="s">
        <v>240</v>
      </c>
      <c r="Q80" s="8" t="s">
        <v>240</v>
      </c>
      <c r="R80" s="6">
        <v>7</v>
      </c>
      <c r="S80" s="8" t="s">
        <v>75</v>
      </c>
      <c r="T80" s="9"/>
      <c r="U80" s="8" t="s">
        <v>240</v>
      </c>
      <c r="V80" s="8" t="s">
        <v>240</v>
      </c>
      <c r="W80" s="8" t="s">
        <v>240</v>
      </c>
      <c r="X80" s="8" t="s">
        <v>240</v>
      </c>
      <c r="Y80" s="8" t="s">
        <v>240</v>
      </c>
      <c r="Z80" s="6" t="b">
        <v>0</v>
      </c>
      <c r="AA80" s="9"/>
      <c r="AB80" s="9"/>
    </row>
    <row r="81" spans="1:28" ht="16">
      <c r="A81" s="6">
        <v>81</v>
      </c>
      <c r="B81" s="8" t="s">
        <v>204</v>
      </c>
      <c r="C81" s="8" t="s">
        <v>362</v>
      </c>
      <c r="D81" s="8" t="s">
        <v>365</v>
      </c>
      <c r="E81" s="8" t="s">
        <v>364</v>
      </c>
      <c r="F81" s="6">
        <v>80</v>
      </c>
      <c r="G81" s="6" t="b">
        <v>0</v>
      </c>
      <c r="H81" s="8" t="s">
        <v>240</v>
      </c>
      <c r="I81" s="6" t="b">
        <v>0</v>
      </c>
      <c r="J81" s="6" t="b">
        <v>0</v>
      </c>
      <c r="K81" s="6" t="b">
        <v>0</v>
      </c>
      <c r="L81" s="6" t="b">
        <v>0</v>
      </c>
      <c r="M81" s="6" t="b">
        <v>0</v>
      </c>
      <c r="N81" s="6">
        <v>7</v>
      </c>
      <c r="O81" s="8" t="s">
        <v>237</v>
      </c>
      <c r="P81" s="8" t="s">
        <v>240</v>
      </c>
      <c r="Q81" s="8" t="s">
        <v>240</v>
      </c>
      <c r="R81" s="6">
        <v>7</v>
      </c>
      <c r="S81" s="8" t="s">
        <v>75</v>
      </c>
      <c r="T81" s="9"/>
      <c r="U81" s="8" t="s">
        <v>240</v>
      </c>
      <c r="V81" s="8" t="s">
        <v>240</v>
      </c>
      <c r="W81" s="8" t="s">
        <v>240</v>
      </c>
      <c r="X81" s="8" t="s">
        <v>240</v>
      </c>
      <c r="Y81" s="8" t="s">
        <v>240</v>
      </c>
      <c r="Z81" s="6" t="b">
        <v>0</v>
      </c>
      <c r="AA81" s="9"/>
      <c r="AB81" s="9"/>
    </row>
    <row r="82" spans="1:28" ht="16">
      <c r="A82" s="6">
        <v>82</v>
      </c>
      <c r="B82" s="8" t="s">
        <v>204</v>
      </c>
      <c r="C82" s="8" t="s">
        <v>362</v>
      </c>
      <c r="D82" s="8" t="s">
        <v>366</v>
      </c>
      <c r="E82" s="8" t="s">
        <v>366</v>
      </c>
      <c r="F82" s="6">
        <v>82</v>
      </c>
      <c r="G82" s="6" t="b">
        <v>0</v>
      </c>
      <c r="H82" s="8" t="s">
        <v>240</v>
      </c>
      <c r="I82" s="6" t="b">
        <v>0</v>
      </c>
      <c r="J82" s="6" t="b">
        <v>0</v>
      </c>
      <c r="K82" s="6" t="b">
        <v>0</v>
      </c>
      <c r="L82" s="6" t="b">
        <v>0</v>
      </c>
      <c r="M82" s="6" t="b">
        <v>0</v>
      </c>
      <c r="N82" s="6">
        <v>7</v>
      </c>
      <c r="O82" s="8" t="s">
        <v>237</v>
      </c>
      <c r="P82" s="8" t="s">
        <v>240</v>
      </c>
      <c r="Q82" s="8" t="s">
        <v>240</v>
      </c>
      <c r="R82" s="6">
        <v>7</v>
      </c>
      <c r="S82" s="8" t="s">
        <v>75</v>
      </c>
      <c r="T82" s="9"/>
      <c r="U82" s="8" t="s">
        <v>240</v>
      </c>
      <c r="V82" s="8" t="s">
        <v>240</v>
      </c>
      <c r="W82" s="8" t="s">
        <v>240</v>
      </c>
      <c r="X82" s="8" t="s">
        <v>240</v>
      </c>
      <c r="Y82" s="8" t="s">
        <v>240</v>
      </c>
      <c r="Z82" s="6" t="b">
        <v>0</v>
      </c>
      <c r="AA82" s="9"/>
      <c r="AB82" s="9"/>
    </row>
    <row r="83" spans="1:28" ht="16">
      <c r="A83" s="6">
        <v>83</v>
      </c>
      <c r="B83" s="8" t="s">
        <v>201</v>
      </c>
      <c r="C83" s="8" t="s">
        <v>109</v>
      </c>
      <c r="D83" s="8" t="s">
        <v>367</v>
      </c>
      <c r="E83" s="8" t="s">
        <v>367</v>
      </c>
      <c r="F83" s="6">
        <v>83</v>
      </c>
      <c r="G83" s="6" t="b">
        <v>0</v>
      </c>
      <c r="H83" s="8" t="s">
        <v>240</v>
      </c>
      <c r="I83" s="6" t="b">
        <v>0</v>
      </c>
      <c r="J83" s="6" t="b">
        <v>0</v>
      </c>
      <c r="K83" s="6" t="b">
        <v>0</v>
      </c>
      <c r="L83" s="6" t="b">
        <v>0</v>
      </c>
      <c r="M83" s="6" t="b">
        <v>0</v>
      </c>
      <c r="N83" s="6">
        <v>6</v>
      </c>
      <c r="O83" s="8" t="s">
        <v>237</v>
      </c>
      <c r="P83" s="8" t="s">
        <v>350</v>
      </c>
      <c r="Q83" s="8" t="s">
        <v>237</v>
      </c>
      <c r="R83" s="6">
        <v>8</v>
      </c>
      <c r="S83" s="8" t="s">
        <v>247</v>
      </c>
      <c r="T83" s="9"/>
      <c r="U83" s="8" t="s">
        <v>240</v>
      </c>
      <c r="V83" s="8" t="s">
        <v>240</v>
      </c>
      <c r="W83" s="8" t="s">
        <v>240</v>
      </c>
      <c r="X83" s="8" t="s">
        <v>240</v>
      </c>
      <c r="Y83" s="8" t="s">
        <v>368</v>
      </c>
      <c r="Z83" s="6" t="b">
        <v>0</v>
      </c>
      <c r="AA83" s="9"/>
      <c r="AB83" s="9"/>
    </row>
    <row r="84" spans="1:28" ht="32">
      <c r="A84" s="6">
        <v>84</v>
      </c>
      <c r="B84" s="8" t="s">
        <v>201</v>
      </c>
      <c r="C84" s="8" t="s">
        <v>109</v>
      </c>
      <c r="D84" s="8" t="s">
        <v>369</v>
      </c>
      <c r="E84" s="8" t="s">
        <v>367</v>
      </c>
      <c r="F84" s="6">
        <v>83</v>
      </c>
      <c r="G84" s="6" t="b">
        <v>0</v>
      </c>
      <c r="H84" s="8" t="s">
        <v>240</v>
      </c>
      <c r="I84" s="6" t="b">
        <v>0</v>
      </c>
      <c r="J84" s="6" t="b">
        <v>0</v>
      </c>
      <c r="K84" s="6" t="b">
        <v>0</v>
      </c>
      <c r="L84" s="6" t="b">
        <v>0</v>
      </c>
      <c r="M84" s="6" t="b">
        <v>0</v>
      </c>
      <c r="N84" s="6">
        <v>6</v>
      </c>
      <c r="O84" s="8" t="s">
        <v>237</v>
      </c>
      <c r="P84" s="8" t="s">
        <v>350</v>
      </c>
      <c r="Q84" s="8" t="s">
        <v>237</v>
      </c>
      <c r="R84" s="6">
        <v>8</v>
      </c>
      <c r="S84" s="8" t="s">
        <v>347</v>
      </c>
      <c r="T84" s="9"/>
      <c r="U84" s="8" t="s">
        <v>240</v>
      </c>
      <c r="V84" s="8" t="s">
        <v>240</v>
      </c>
      <c r="W84" s="8" t="s">
        <v>240</v>
      </c>
      <c r="X84" s="8" t="s">
        <v>240</v>
      </c>
      <c r="Y84" s="8" t="s">
        <v>240</v>
      </c>
      <c r="Z84" s="6" t="b">
        <v>0</v>
      </c>
      <c r="AA84" s="9"/>
      <c r="AB84" s="9"/>
    </row>
    <row r="85" spans="1:28" ht="32">
      <c r="A85" s="6">
        <v>85</v>
      </c>
      <c r="B85" s="8" t="s">
        <v>201</v>
      </c>
      <c r="C85" s="8" t="s">
        <v>109</v>
      </c>
      <c r="D85" s="8" t="s">
        <v>370</v>
      </c>
      <c r="E85" s="8" t="s">
        <v>367</v>
      </c>
      <c r="F85" s="6">
        <v>83</v>
      </c>
      <c r="G85" s="6" t="b">
        <v>0</v>
      </c>
      <c r="H85" s="8" t="s">
        <v>240</v>
      </c>
      <c r="I85" s="6" t="b">
        <v>0</v>
      </c>
      <c r="J85" s="6" t="b">
        <v>0</v>
      </c>
      <c r="K85" s="6" t="b">
        <v>0</v>
      </c>
      <c r="L85" s="6" t="b">
        <v>0</v>
      </c>
      <c r="M85" s="6" t="b">
        <v>0</v>
      </c>
      <c r="N85" s="6">
        <v>6</v>
      </c>
      <c r="O85" s="8" t="s">
        <v>237</v>
      </c>
      <c r="P85" s="8" t="s">
        <v>350</v>
      </c>
      <c r="Q85" s="8" t="s">
        <v>237</v>
      </c>
      <c r="R85" s="6">
        <v>4</v>
      </c>
      <c r="S85" s="8" t="s">
        <v>75</v>
      </c>
      <c r="T85" s="9"/>
      <c r="U85" s="8" t="s">
        <v>240</v>
      </c>
      <c r="V85" s="8" t="s">
        <v>240</v>
      </c>
      <c r="W85" s="8" t="s">
        <v>240</v>
      </c>
      <c r="X85" s="8" t="s">
        <v>240</v>
      </c>
      <c r="Y85" s="8" t="s">
        <v>240</v>
      </c>
      <c r="Z85" s="6" t="b">
        <v>0</v>
      </c>
      <c r="AA85" s="9"/>
      <c r="AB85" s="9"/>
    </row>
    <row r="86" spans="1:28" ht="16">
      <c r="A86" s="6">
        <v>86</v>
      </c>
      <c r="B86" s="8" t="s">
        <v>201</v>
      </c>
      <c r="C86" s="8" t="s">
        <v>109</v>
      </c>
      <c r="D86" s="8" t="s">
        <v>371</v>
      </c>
      <c r="E86" s="8" t="s">
        <v>367</v>
      </c>
      <c r="F86" s="6">
        <v>83</v>
      </c>
      <c r="G86" s="6" t="b">
        <v>0</v>
      </c>
      <c r="H86" s="8" t="s">
        <v>240</v>
      </c>
      <c r="I86" s="6" t="b">
        <v>0</v>
      </c>
      <c r="J86" s="6" t="b">
        <v>0</v>
      </c>
      <c r="K86" s="6" t="b">
        <v>0</v>
      </c>
      <c r="L86" s="6" t="b">
        <v>0</v>
      </c>
      <c r="M86" s="6" t="b">
        <v>0</v>
      </c>
      <c r="N86" s="6">
        <v>6</v>
      </c>
      <c r="O86" s="8" t="s">
        <v>237</v>
      </c>
      <c r="P86" s="8" t="s">
        <v>350</v>
      </c>
      <c r="Q86" s="8" t="s">
        <v>237</v>
      </c>
      <c r="R86" s="6">
        <v>4</v>
      </c>
      <c r="S86" s="8" t="s">
        <v>372</v>
      </c>
      <c r="T86" s="9"/>
      <c r="U86" s="8" t="s">
        <v>240</v>
      </c>
      <c r="V86" s="8" t="s">
        <v>240</v>
      </c>
      <c r="W86" s="8" t="s">
        <v>240</v>
      </c>
      <c r="X86" s="8" t="s">
        <v>240</v>
      </c>
      <c r="Y86" s="8" t="s">
        <v>240</v>
      </c>
      <c r="Z86" s="6" t="b">
        <v>0</v>
      </c>
      <c r="AA86" s="9"/>
      <c r="AB86" s="9"/>
    </row>
    <row r="87" spans="1:28" ht="32">
      <c r="A87" s="6">
        <v>87</v>
      </c>
      <c r="B87" s="8" t="s">
        <v>201</v>
      </c>
      <c r="C87" s="8" t="s">
        <v>109</v>
      </c>
      <c r="D87" s="8" t="s">
        <v>373</v>
      </c>
      <c r="E87" s="8" t="s">
        <v>367</v>
      </c>
      <c r="F87" s="6">
        <v>83</v>
      </c>
      <c r="G87" s="6" t="b">
        <v>0</v>
      </c>
      <c r="H87" s="8" t="s">
        <v>240</v>
      </c>
      <c r="I87" s="6" t="b">
        <v>0</v>
      </c>
      <c r="J87" s="6" t="b">
        <v>0</v>
      </c>
      <c r="K87" s="6" t="b">
        <v>0</v>
      </c>
      <c r="L87" s="6" t="b">
        <v>0</v>
      </c>
      <c r="M87" s="6" t="b">
        <v>0</v>
      </c>
      <c r="N87" s="6">
        <v>6</v>
      </c>
      <c r="O87" s="8" t="s">
        <v>237</v>
      </c>
      <c r="P87" s="8" t="s">
        <v>350</v>
      </c>
      <c r="Q87" s="8" t="s">
        <v>237</v>
      </c>
      <c r="R87" s="6">
        <v>4</v>
      </c>
      <c r="S87" s="8" t="s">
        <v>75</v>
      </c>
      <c r="T87" s="9"/>
      <c r="U87" s="8" t="s">
        <v>240</v>
      </c>
      <c r="V87" s="8" t="s">
        <v>240</v>
      </c>
      <c r="W87" s="8" t="s">
        <v>240</v>
      </c>
      <c r="X87" s="8" t="s">
        <v>240</v>
      </c>
      <c r="Y87" s="8" t="s">
        <v>240</v>
      </c>
      <c r="Z87" s="6" t="b">
        <v>0</v>
      </c>
      <c r="AA87" s="9"/>
      <c r="AB87" s="9"/>
    </row>
    <row r="88" spans="1:28" ht="16">
      <c r="A88" s="6">
        <v>88</v>
      </c>
      <c r="B88" s="8" t="s">
        <v>201</v>
      </c>
      <c r="C88" s="8" t="s">
        <v>85</v>
      </c>
      <c r="D88" s="8" t="s">
        <v>85</v>
      </c>
      <c r="E88" s="8" t="s">
        <v>85</v>
      </c>
      <c r="F88" s="6">
        <v>88</v>
      </c>
      <c r="G88" s="6" t="b">
        <v>0</v>
      </c>
      <c r="H88" s="8" t="s">
        <v>240</v>
      </c>
      <c r="I88" s="6" t="b">
        <v>0</v>
      </c>
      <c r="J88" s="6" t="b">
        <v>0</v>
      </c>
      <c r="K88" s="6" t="b">
        <v>0</v>
      </c>
      <c r="L88" s="6" t="b">
        <v>0</v>
      </c>
      <c r="M88" s="6" t="b">
        <v>0</v>
      </c>
      <c r="N88" s="6">
        <v>4</v>
      </c>
      <c r="O88" s="8" t="s">
        <v>331</v>
      </c>
      <c r="P88" s="8" t="s">
        <v>240</v>
      </c>
      <c r="Q88" s="8" t="s">
        <v>240</v>
      </c>
      <c r="R88" s="6">
        <v>4</v>
      </c>
      <c r="S88" s="8" t="s">
        <v>331</v>
      </c>
      <c r="T88" s="9"/>
      <c r="U88" s="8" t="s">
        <v>240</v>
      </c>
      <c r="V88" s="8" t="s">
        <v>240</v>
      </c>
      <c r="W88" s="8" t="s">
        <v>240</v>
      </c>
      <c r="X88" s="8" t="s">
        <v>240</v>
      </c>
      <c r="Y88" s="8" t="s">
        <v>240</v>
      </c>
      <c r="Z88" s="6" t="b">
        <v>0</v>
      </c>
      <c r="AA88" s="6">
        <v>64</v>
      </c>
      <c r="AB88" s="9"/>
    </row>
    <row r="89" spans="1:28" ht="32">
      <c r="A89" s="6">
        <v>89</v>
      </c>
      <c r="B89" s="8" t="s">
        <v>201</v>
      </c>
      <c r="C89" s="8" t="s">
        <v>85</v>
      </c>
      <c r="D89" s="8" t="s">
        <v>374</v>
      </c>
      <c r="E89" s="8" t="s">
        <v>374</v>
      </c>
      <c r="F89" s="6">
        <v>89</v>
      </c>
      <c r="G89" s="6" t="b">
        <v>0</v>
      </c>
      <c r="H89" s="8" t="s">
        <v>240</v>
      </c>
      <c r="I89" s="6" t="b">
        <v>0</v>
      </c>
      <c r="J89" s="6" t="b">
        <v>0</v>
      </c>
      <c r="K89" s="6" t="b">
        <v>0</v>
      </c>
      <c r="L89" s="6" t="b">
        <v>0</v>
      </c>
      <c r="M89" s="6" t="b">
        <v>0</v>
      </c>
      <c r="N89" s="6">
        <v>4</v>
      </c>
      <c r="O89" s="8" t="s">
        <v>331</v>
      </c>
      <c r="P89" s="8" t="s">
        <v>333</v>
      </c>
      <c r="Q89" s="8" t="s">
        <v>334</v>
      </c>
      <c r="R89" s="6">
        <v>6</v>
      </c>
      <c r="S89" s="8" t="s">
        <v>335</v>
      </c>
      <c r="T89" s="6">
        <v>6</v>
      </c>
      <c r="U89" s="8" t="s">
        <v>240</v>
      </c>
      <c r="V89" s="8" t="s">
        <v>240</v>
      </c>
      <c r="W89" s="8" t="s">
        <v>240</v>
      </c>
      <c r="X89" s="8" t="s">
        <v>240</v>
      </c>
      <c r="Y89" s="8" t="s">
        <v>375</v>
      </c>
      <c r="Z89" s="6" t="b">
        <v>0</v>
      </c>
      <c r="AA89" s="9"/>
      <c r="AB89" s="9"/>
    </row>
    <row r="90" spans="1:28" ht="16">
      <c r="A90" s="6">
        <v>90</v>
      </c>
      <c r="B90" s="8" t="s">
        <v>201</v>
      </c>
      <c r="C90" s="8" t="s">
        <v>85</v>
      </c>
      <c r="D90" s="8" t="s">
        <v>376</v>
      </c>
      <c r="E90" s="8" t="s">
        <v>374</v>
      </c>
      <c r="F90" s="6">
        <v>89</v>
      </c>
      <c r="G90" s="6" t="b">
        <v>0</v>
      </c>
      <c r="H90" s="8" t="s">
        <v>240</v>
      </c>
      <c r="I90" s="6" t="b">
        <v>0</v>
      </c>
      <c r="J90" s="6" t="b">
        <v>0</v>
      </c>
      <c r="K90" s="6" t="b">
        <v>0</v>
      </c>
      <c r="L90" s="6" t="b">
        <v>0</v>
      </c>
      <c r="M90" s="6" t="b">
        <v>0</v>
      </c>
      <c r="N90" s="6">
        <v>4</v>
      </c>
      <c r="O90" s="8" t="s">
        <v>331</v>
      </c>
      <c r="P90" s="8" t="s">
        <v>350</v>
      </c>
      <c r="Q90" s="8" t="s">
        <v>339</v>
      </c>
      <c r="R90" s="6">
        <v>6</v>
      </c>
      <c r="S90" s="8" t="s">
        <v>335</v>
      </c>
      <c r="T90" s="6">
        <v>6</v>
      </c>
      <c r="U90" s="8" t="s">
        <v>240</v>
      </c>
      <c r="V90" s="8" t="s">
        <v>240</v>
      </c>
      <c r="W90" s="8" t="s">
        <v>240</v>
      </c>
      <c r="X90" s="8" t="s">
        <v>240</v>
      </c>
      <c r="Y90" s="8" t="s">
        <v>377</v>
      </c>
      <c r="Z90" s="6" t="b">
        <v>0</v>
      </c>
      <c r="AA90" s="9"/>
      <c r="AB90" s="9"/>
    </row>
    <row r="91" spans="1:28" ht="16">
      <c r="A91" s="6">
        <v>91</v>
      </c>
      <c r="B91" s="8" t="s">
        <v>201</v>
      </c>
      <c r="C91" s="8" t="s">
        <v>378</v>
      </c>
      <c r="D91" s="8" t="s">
        <v>379</v>
      </c>
      <c r="E91" s="8" t="s">
        <v>379</v>
      </c>
      <c r="F91" s="6">
        <v>91</v>
      </c>
      <c r="G91" s="6" t="b">
        <v>0</v>
      </c>
      <c r="H91" s="8" t="s">
        <v>240</v>
      </c>
      <c r="I91" s="6" t="b">
        <v>0</v>
      </c>
      <c r="J91" s="6" t="b">
        <v>0</v>
      </c>
      <c r="K91" s="6" t="b">
        <v>0</v>
      </c>
      <c r="L91" s="6" t="b">
        <v>0</v>
      </c>
      <c r="M91" s="6" t="b">
        <v>0</v>
      </c>
      <c r="N91" s="6">
        <v>8</v>
      </c>
      <c r="O91" s="8" t="s">
        <v>331</v>
      </c>
      <c r="P91" s="8" t="s">
        <v>380</v>
      </c>
      <c r="Q91" s="8" t="s">
        <v>381</v>
      </c>
      <c r="R91" s="6">
        <v>8</v>
      </c>
      <c r="S91" s="8" t="s">
        <v>372</v>
      </c>
      <c r="T91" s="9"/>
      <c r="U91" s="8" t="s">
        <v>240</v>
      </c>
      <c r="V91" s="8" t="s">
        <v>240</v>
      </c>
      <c r="W91" s="8" t="s">
        <v>240</v>
      </c>
      <c r="X91" s="8" t="s">
        <v>240</v>
      </c>
      <c r="Y91" s="8" t="s">
        <v>382</v>
      </c>
      <c r="Z91" s="6" t="b">
        <v>0</v>
      </c>
      <c r="AA91" s="9"/>
      <c r="AB91" s="9"/>
    </row>
    <row r="92" spans="1:28" ht="16">
      <c r="A92" s="6">
        <v>92</v>
      </c>
      <c r="B92" s="8" t="s">
        <v>201</v>
      </c>
      <c r="C92" s="8" t="s">
        <v>378</v>
      </c>
      <c r="D92" s="8" t="s">
        <v>383</v>
      </c>
      <c r="E92" s="8" t="s">
        <v>379</v>
      </c>
      <c r="F92" s="6">
        <v>91</v>
      </c>
      <c r="G92" s="6" t="b">
        <v>0</v>
      </c>
      <c r="H92" s="8" t="s">
        <v>240</v>
      </c>
      <c r="I92" s="6" t="b">
        <v>0</v>
      </c>
      <c r="J92" s="6" t="b">
        <v>0</v>
      </c>
      <c r="K92" s="6" t="b">
        <v>0</v>
      </c>
      <c r="L92" s="6" t="b">
        <v>0</v>
      </c>
      <c r="M92" s="6" t="b">
        <v>0</v>
      </c>
      <c r="N92" s="6">
        <v>8</v>
      </c>
      <c r="O92" s="8" t="s">
        <v>331</v>
      </c>
      <c r="P92" s="8" t="s">
        <v>350</v>
      </c>
      <c r="Q92" s="8" t="s">
        <v>339</v>
      </c>
      <c r="R92" s="6">
        <v>8</v>
      </c>
      <c r="S92" s="8" t="s">
        <v>347</v>
      </c>
      <c r="T92" s="6">
        <v>8</v>
      </c>
      <c r="U92" s="8" t="s">
        <v>240</v>
      </c>
      <c r="V92" s="8" t="s">
        <v>240</v>
      </c>
      <c r="W92" s="8" t="s">
        <v>240</v>
      </c>
      <c r="X92" s="8" t="s">
        <v>240</v>
      </c>
      <c r="Y92" s="8" t="s">
        <v>384</v>
      </c>
      <c r="Z92" s="6" t="b">
        <v>0</v>
      </c>
      <c r="AA92" s="9"/>
      <c r="AB92" s="9"/>
    </row>
    <row r="93" spans="1:28" ht="16">
      <c r="A93" s="6">
        <v>93</v>
      </c>
      <c r="B93" s="8" t="s">
        <v>201</v>
      </c>
      <c r="C93" s="8" t="s">
        <v>109</v>
      </c>
      <c r="D93" s="8" t="s">
        <v>385</v>
      </c>
      <c r="E93" s="8" t="s">
        <v>385</v>
      </c>
      <c r="F93" s="6">
        <v>93</v>
      </c>
      <c r="G93" s="6" t="b">
        <v>0</v>
      </c>
      <c r="H93" s="8" t="s">
        <v>240</v>
      </c>
      <c r="I93" s="6" t="b">
        <v>0</v>
      </c>
      <c r="J93" s="6" t="b">
        <v>0</v>
      </c>
      <c r="K93" s="6" t="b">
        <v>0</v>
      </c>
      <c r="L93" s="6" t="b">
        <v>0</v>
      </c>
      <c r="M93" s="6" t="b">
        <v>0</v>
      </c>
      <c r="N93" s="6">
        <v>6</v>
      </c>
      <c r="O93" s="8" t="s">
        <v>237</v>
      </c>
      <c r="P93" s="8" t="s">
        <v>350</v>
      </c>
      <c r="Q93" s="8" t="s">
        <v>237</v>
      </c>
      <c r="R93" s="6">
        <v>4</v>
      </c>
      <c r="S93" s="8" t="s">
        <v>75</v>
      </c>
      <c r="T93" s="9"/>
      <c r="U93" s="8" t="s">
        <v>240</v>
      </c>
      <c r="V93" s="8" t="s">
        <v>240</v>
      </c>
      <c r="W93" s="8" t="s">
        <v>386</v>
      </c>
      <c r="X93" s="8" t="s">
        <v>240</v>
      </c>
      <c r="Y93" s="8" t="s">
        <v>240</v>
      </c>
      <c r="Z93" s="6" t="b">
        <v>0</v>
      </c>
      <c r="AA93" s="9"/>
      <c r="AB93" s="9"/>
    </row>
    <row r="94" spans="1:28" ht="32">
      <c r="A94" s="6">
        <v>94</v>
      </c>
      <c r="B94" s="8" t="s">
        <v>201</v>
      </c>
      <c r="C94" s="8" t="s">
        <v>109</v>
      </c>
      <c r="D94" s="8" t="s">
        <v>387</v>
      </c>
      <c r="E94" s="8" t="s">
        <v>385</v>
      </c>
      <c r="F94" s="6">
        <v>93</v>
      </c>
      <c r="G94" s="6" t="b">
        <v>0</v>
      </c>
      <c r="H94" s="8" t="s">
        <v>240</v>
      </c>
      <c r="I94" s="6" t="b">
        <v>0</v>
      </c>
      <c r="J94" s="6" t="b">
        <v>0</v>
      </c>
      <c r="K94" s="6" t="b">
        <v>0</v>
      </c>
      <c r="L94" s="6" t="b">
        <v>0</v>
      </c>
      <c r="M94" s="6" t="b">
        <v>0</v>
      </c>
      <c r="N94" s="6">
        <v>6</v>
      </c>
      <c r="O94" s="8" t="s">
        <v>237</v>
      </c>
      <c r="P94" s="8" t="s">
        <v>350</v>
      </c>
      <c r="Q94" s="8" t="s">
        <v>237</v>
      </c>
      <c r="R94" s="6">
        <v>4</v>
      </c>
      <c r="S94" s="8" t="s">
        <v>75</v>
      </c>
      <c r="T94" s="9"/>
      <c r="U94" s="8" t="s">
        <v>240</v>
      </c>
      <c r="V94" s="8" t="s">
        <v>240</v>
      </c>
      <c r="W94" s="8" t="s">
        <v>386</v>
      </c>
      <c r="X94" s="8" t="s">
        <v>240</v>
      </c>
      <c r="Y94" s="8" t="s">
        <v>240</v>
      </c>
      <c r="Z94" s="6" t="b">
        <v>0</v>
      </c>
      <c r="AA94" s="9"/>
      <c r="AB94" s="9"/>
    </row>
    <row r="95" spans="1:28" ht="16">
      <c r="A95" s="6">
        <v>97</v>
      </c>
      <c r="B95" s="8" t="s">
        <v>201</v>
      </c>
      <c r="C95" s="8" t="s">
        <v>378</v>
      </c>
      <c r="D95" s="8" t="s">
        <v>378</v>
      </c>
      <c r="E95" s="8" t="s">
        <v>378</v>
      </c>
      <c r="F95" s="6">
        <v>97</v>
      </c>
      <c r="G95" s="6" t="b">
        <v>0</v>
      </c>
      <c r="H95" s="8" t="s">
        <v>240</v>
      </c>
      <c r="I95" s="6" t="b">
        <v>0</v>
      </c>
      <c r="J95" s="6" t="b">
        <v>0</v>
      </c>
      <c r="K95" s="6" t="b">
        <v>0</v>
      </c>
      <c r="L95" s="6" t="b">
        <v>0</v>
      </c>
      <c r="M95" s="6" t="b">
        <v>0</v>
      </c>
      <c r="N95" s="6">
        <v>8</v>
      </c>
      <c r="O95" s="8" t="s">
        <v>331</v>
      </c>
      <c r="P95" s="8" t="s">
        <v>350</v>
      </c>
      <c r="Q95" s="8" t="s">
        <v>388</v>
      </c>
      <c r="R95" s="6">
        <v>8</v>
      </c>
      <c r="S95" s="8" t="s">
        <v>331</v>
      </c>
      <c r="T95" s="9"/>
      <c r="U95" s="8" t="s">
        <v>240</v>
      </c>
      <c r="V95" s="8" t="s">
        <v>240</v>
      </c>
      <c r="W95" s="8" t="s">
        <v>240</v>
      </c>
      <c r="X95" s="8" t="s">
        <v>240</v>
      </c>
      <c r="Y95" s="8" t="s">
        <v>240</v>
      </c>
      <c r="Z95" s="6" t="b">
        <v>0</v>
      </c>
      <c r="AA95" s="9"/>
      <c r="AB95" s="9"/>
    </row>
    <row r="96" spans="1:28" ht="16">
      <c r="A96" s="6">
        <v>99</v>
      </c>
      <c r="B96" s="8" t="s">
        <v>202</v>
      </c>
      <c r="C96" s="8" t="s">
        <v>169</v>
      </c>
      <c r="D96" s="8" t="s">
        <v>169</v>
      </c>
      <c r="E96" s="8" t="s">
        <v>169</v>
      </c>
      <c r="F96" s="6">
        <v>99</v>
      </c>
      <c r="G96" s="6" t="b">
        <v>0</v>
      </c>
      <c r="H96" s="8" t="s">
        <v>240</v>
      </c>
      <c r="I96" s="6" t="b">
        <v>0</v>
      </c>
      <c r="J96" s="6" t="b">
        <v>0</v>
      </c>
      <c r="K96" s="6" t="b">
        <v>0</v>
      </c>
      <c r="L96" s="6" t="b">
        <v>0</v>
      </c>
      <c r="M96" s="6" t="b">
        <v>0</v>
      </c>
      <c r="N96" s="6">
        <v>5</v>
      </c>
      <c r="O96" s="8" t="s">
        <v>341</v>
      </c>
      <c r="P96" s="8" t="s">
        <v>350</v>
      </c>
      <c r="Q96" s="8" t="s">
        <v>335</v>
      </c>
      <c r="R96" s="6">
        <v>5</v>
      </c>
      <c r="S96" s="8" t="s">
        <v>341</v>
      </c>
      <c r="T96" s="6">
        <v>6</v>
      </c>
      <c r="U96" s="8" t="s">
        <v>240</v>
      </c>
      <c r="V96" s="8" t="s">
        <v>240</v>
      </c>
      <c r="W96" s="8" t="s">
        <v>240</v>
      </c>
      <c r="X96" s="8" t="s">
        <v>240</v>
      </c>
      <c r="Y96" s="8" t="s">
        <v>389</v>
      </c>
      <c r="Z96" s="6" t="b">
        <v>0</v>
      </c>
      <c r="AA96" s="9"/>
      <c r="AB96" s="9"/>
    </row>
    <row r="97" spans="1:28" ht="16">
      <c r="A97" s="6">
        <v>100</v>
      </c>
      <c r="B97" s="8" t="s">
        <v>202</v>
      </c>
      <c r="C97" s="8" t="s">
        <v>169</v>
      </c>
      <c r="D97" s="8" t="s">
        <v>390</v>
      </c>
      <c r="E97" s="8" t="s">
        <v>390</v>
      </c>
      <c r="F97" s="6">
        <v>100</v>
      </c>
      <c r="G97" s="6" t="b">
        <v>0</v>
      </c>
      <c r="H97" s="8" t="s">
        <v>240</v>
      </c>
      <c r="I97" s="6" t="b">
        <v>0</v>
      </c>
      <c r="J97" s="6" t="b">
        <v>0</v>
      </c>
      <c r="K97" s="6" t="b">
        <v>0</v>
      </c>
      <c r="L97" s="6" t="b">
        <v>0</v>
      </c>
      <c r="M97" s="6" t="b">
        <v>0</v>
      </c>
      <c r="N97" s="6">
        <v>5</v>
      </c>
      <c r="O97" s="8" t="s">
        <v>341</v>
      </c>
      <c r="P97" s="8" t="s">
        <v>350</v>
      </c>
      <c r="Q97" s="8" t="s">
        <v>335</v>
      </c>
      <c r="R97" s="6">
        <v>6</v>
      </c>
      <c r="S97" s="8" t="s">
        <v>335</v>
      </c>
      <c r="T97" s="6">
        <v>6</v>
      </c>
      <c r="U97" s="8" t="s">
        <v>240</v>
      </c>
      <c r="V97" s="8" t="s">
        <v>240</v>
      </c>
      <c r="W97" s="8" t="s">
        <v>240</v>
      </c>
      <c r="X97" s="8" t="s">
        <v>240</v>
      </c>
      <c r="Y97" s="8" t="s">
        <v>240</v>
      </c>
      <c r="Z97" s="6" t="b">
        <v>0</v>
      </c>
      <c r="AA97" s="9"/>
      <c r="AB97" s="9"/>
    </row>
    <row r="98" spans="1:28" ht="16">
      <c r="A98" s="6">
        <v>101</v>
      </c>
      <c r="B98" s="8" t="s">
        <v>202</v>
      </c>
      <c r="C98" s="8" t="s">
        <v>169</v>
      </c>
      <c r="D98" s="8" t="s">
        <v>391</v>
      </c>
      <c r="E98" s="8" t="s">
        <v>390</v>
      </c>
      <c r="F98" s="6">
        <v>100</v>
      </c>
      <c r="G98" s="6" t="b">
        <v>0</v>
      </c>
      <c r="H98" s="8" t="s">
        <v>240</v>
      </c>
      <c r="I98" s="6" t="b">
        <v>0</v>
      </c>
      <c r="J98" s="6" t="b">
        <v>0</v>
      </c>
      <c r="K98" s="6" t="b">
        <v>0</v>
      </c>
      <c r="L98" s="6" t="b">
        <v>0</v>
      </c>
      <c r="M98" s="6" t="b">
        <v>0</v>
      </c>
      <c r="N98" s="6">
        <v>5</v>
      </c>
      <c r="O98" s="8" t="s">
        <v>341</v>
      </c>
      <c r="P98" s="8" t="s">
        <v>380</v>
      </c>
      <c r="Q98" s="8" t="s">
        <v>239</v>
      </c>
      <c r="R98" s="6">
        <v>6</v>
      </c>
      <c r="S98" s="8" t="s">
        <v>335</v>
      </c>
      <c r="T98" s="9"/>
      <c r="U98" s="8" t="s">
        <v>392</v>
      </c>
      <c r="V98" s="8" t="s">
        <v>240</v>
      </c>
      <c r="W98" s="8" t="s">
        <v>240</v>
      </c>
      <c r="X98" s="8" t="s">
        <v>240</v>
      </c>
      <c r="Y98" s="8" t="s">
        <v>240</v>
      </c>
      <c r="Z98" s="6" t="b">
        <v>0</v>
      </c>
      <c r="AA98" s="9"/>
      <c r="AB98" s="9"/>
    </row>
    <row r="99" spans="1:28" ht="32">
      <c r="A99" s="6">
        <v>102</v>
      </c>
      <c r="B99" s="8" t="s">
        <v>202</v>
      </c>
      <c r="C99" s="8" t="s">
        <v>169</v>
      </c>
      <c r="D99" s="8" t="s">
        <v>393</v>
      </c>
      <c r="E99" s="8" t="s">
        <v>390</v>
      </c>
      <c r="F99" s="6">
        <v>100</v>
      </c>
      <c r="G99" s="6" t="b">
        <v>0</v>
      </c>
      <c r="H99" s="8" t="s">
        <v>240</v>
      </c>
      <c r="I99" s="6" t="b">
        <v>0</v>
      </c>
      <c r="J99" s="6" t="b">
        <v>0</v>
      </c>
      <c r="K99" s="6" t="b">
        <v>0</v>
      </c>
      <c r="L99" s="6" t="b">
        <v>0</v>
      </c>
      <c r="M99" s="6" t="b">
        <v>0</v>
      </c>
      <c r="N99" s="6">
        <v>5</v>
      </c>
      <c r="O99" s="8" t="s">
        <v>341</v>
      </c>
      <c r="P99" s="8" t="s">
        <v>380</v>
      </c>
      <c r="Q99" s="8" t="s">
        <v>239</v>
      </c>
      <c r="R99" s="6">
        <v>6</v>
      </c>
      <c r="S99" s="8" t="s">
        <v>335</v>
      </c>
      <c r="T99" s="9"/>
      <c r="U99" s="8" t="s">
        <v>392</v>
      </c>
      <c r="V99" s="8" t="s">
        <v>240</v>
      </c>
      <c r="W99" s="8" t="s">
        <v>240</v>
      </c>
      <c r="X99" s="8" t="s">
        <v>240</v>
      </c>
      <c r="Y99" s="8" t="s">
        <v>240</v>
      </c>
      <c r="Z99" s="6" t="b">
        <v>0</v>
      </c>
      <c r="AA99" s="9"/>
      <c r="AB99" s="9"/>
    </row>
    <row r="100" spans="1:28" ht="16">
      <c r="A100" s="6">
        <v>103</v>
      </c>
      <c r="B100" s="8" t="s">
        <v>202</v>
      </c>
      <c r="C100" s="8" t="s">
        <v>169</v>
      </c>
      <c r="D100" s="8" t="s">
        <v>394</v>
      </c>
      <c r="E100" s="8" t="s">
        <v>394</v>
      </c>
      <c r="F100" s="6">
        <v>103</v>
      </c>
      <c r="G100" s="6" t="b">
        <v>0</v>
      </c>
      <c r="H100" s="8" t="s">
        <v>240</v>
      </c>
      <c r="I100" s="6" t="b">
        <v>0</v>
      </c>
      <c r="J100" s="6" t="b">
        <v>0</v>
      </c>
      <c r="K100" s="6" t="b">
        <v>0</v>
      </c>
      <c r="L100" s="6" t="b">
        <v>0</v>
      </c>
      <c r="M100" s="6" t="b">
        <v>0</v>
      </c>
      <c r="N100" s="6">
        <v>5</v>
      </c>
      <c r="O100" s="8" t="s">
        <v>341</v>
      </c>
      <c r="P100" s="8" t="s">
        <v>350</v>
      </c>
      <c r="Q100" s="8" t="s">
        <v>335</v>
      </c>
      <c r="R100" s="6">
        <v>6</v>
      </c>
      <c r="S100" s="8" t="s">
        <v>335</v>
      </c>
      <c r="T100" s="6">
        <v>6</v>
      </c>
      <c r="U100" s="8" t="s">
        <v>240</v>
      </c>
      <c r="V100" s="8" t="s">
        <v>240</v>
      </c>
      <c r="W100" s="8" t="s">
        <v>240</v>
      </c>
      <c r="X100" s="8" t="s">
        <v>240</v>
      </c>
      <c r="Y100" s="8" t="s">
        <v>240</v>
      </c>
      <c r="Z100" s="6" t="b">
        <v>0</v>
      </c>
      <c r="AA100" s="9"/>
      <c r="AB100" s="9"/>
    </row>
    <row r="101" spans="1:28" ht="16">
      <c r="A101" s="6">
        <v>104</v>
      </c>
      <c r="B101" s="8" t="s">
        <v>202</v>
      </c>
      <c r="C101" s="8" t="s">
        <v>169</v>
      </c>
      <c r="D101" s="8" t="s">
        <v>395</v>
      </c>
      <c r="E101" s="8" t="s">
        <v>394</v>
      </c>
      <c r="F101" s="6">
        <v>103</v>
      </c>
      <c r="G101" s="6" t="b">
        <v>0</v>
      </c>
      <c r="H101" s="8" t="s">
        <v>240</v>
      </c>
      <c r="I101" s="6" t="b">
        <v>0</v>
      </c>
      <c r="J101" s="6" t="b">
        <v>0</v>
      </c>
      <c r="K101" s="6" t="b">
        <v>0</v>
      </c>
      <c r="L101" s="6" t="b">
        <v>0</v>
      </c>
      <c r="M101" s="6" t="b">
        <v>0</v>
      </c>
      <c r="N101" s="6">
        <v>5</v>
      </c>
      <c r="O101" s="8" t="s">
        <v>341</v>
      </c>
      <c r="P101" s="8" t="s">
        <v>350</v>
      </c>
      <c r="Q101" s="8" t="s">
        <v>335</v>
      </c>
      <c r="R101" s="6">
        <v>6</v>
      </c>
      <c r="S101" s="8" t="s">
        <v>335</v>
      </c>
      <c r="T101" s="9"/>
      <c r="U101" s="8" t="s">
        <v>240</v>
      </c>
      <c r="V101" s="8" t="s">
        <v>240</v>
      </c>
      <c r="W101" s="8" t="s">
        <v>240</v>
      </c>
      <c r="X101" s="8" t="s">
        <v>240</v>
      </c>
      <c r="Y101" s="8" t="s">
        <v>240</v>
      </c>
      <c r="Z101" s="6" t="b">
        <v>0</v>
      </c>
      <c r="AA101" s="9"/>
      <c r="AB101" s="9"/>
    </row>
    <row r="102" spans="1:28" ht="16">
      <c r="A102" s="6">
        <v>105</v>
      </c>
      <c r="B102" s="8" t="s">
        <v>202</v>
      </c>
      <c r="C102" s="8" t="s">
        <v>169</v>
      </c>
      <c r="D102" s="8" t="s">
        <v>396</v>
      </c>
      <c r="E102" s="8" t="s">
        <v>394</v>
      </c>
      <c r="F102" s="6">
        <v>103</v>
      </c>
      <c r="G102" s="6" t="b">
        <v>0</v>
      </c>
      <c r="H102" s="8" t="s">
        <v>240</v>
      </c>
      <c r="I102" s="6" t="b">
        <v>0</v>
      </c>
      <c r="J102" s="6" t="b">
        <v>0</v>
      </c>
      <c r="K102" s="6" t="b">
        <v>0</v>
      </c>
      <c r="L102" s="6" t="b">
        <v>0</v>
      </c>
      <c r="M102" s="6" t="b">
        <v>0</v>
      </c>
      <c r="N102" s="6">
        <v>5</v>
      </c>
      <c r="O102" s="8" t="s">
        <v>341</v>
      </c>
      <c r="P102" s="8" t="s">
        <v>350</v>
      </c>
      <c r="Q102" s="8" t="s">
        <v>335</v>
      </c>
      <c r="R102" s="6">
        <v>5</v>
      </c>
      <c r="S102" s="8" t="s">
        <v>75</v>
      </c>
      <c r="T102" s="9"/>
      <c r="U102" s="8" t="s">
        <v>240</v>
      </c>
      <c r="V102" s="8" t="s">
        <v>240</v>
      </c>
      <c r="W102" s="8" t="s">
        <v>240</v>
      </c>
      <c r="X102" s="8" t="s">
        <v>240</v>
      </c>
      <c r="Y102" s="8" t="s">
        <v>397</v>
      </c>
      <c r="Z102" s="6" t="b">
        <v>0</v>
      </c>
      <c r="AA102" s="9"/>
      <c r="AB102" s="9"/>
    </row>
    <row r="103" spans="1:28" ht="16">
      <c r="A103" s="6">
        <v>108</v>
      </c>
      <c r="B103" s="8" t="s">
        <v>202</v>
      </c>
      <c r="C103" s="8" t="s">
        <v>398</v>
      </c>
      <c r="D103" s="8" t="s">
        <v>399</v>
      </c>
      <c r="E103" s="8" t="s">
        <v>399</v>
      </c>
      <c r="F103" s="6">
        <v>108</v>
      </c>
      <c r="G103" s="6" t="b">
        <v>0</v>
      </c>
      <c r="H103" s="8" t="s">
        <v>240</v>
      </c>
      <c r="I103" s="6" t="b">
        <v>0</v>
      </c>
      <c r="J103" s="6" t="b">
        <v>0</v>
      </c>
      <c r="K103" s="6" t="b">
        <v>0</v>
      </c>
      <c r="L103" s="6" t="b">
        <v>0</v>
      </c>
      <c r="M103" s="6" t="b">
        <v>0</v>
      </c>
      <c r="N103" s="6">
        <v>6</v>
      </c>
      <c r="O103" s="8" t="s">
        <v>237</v>
      </c>
      <c r="P103" s="8" t="s">
        <v>240</v>
      </c>
      <c r="Q103" s="8" t="s">
        <v>240</v>
      </c>
      <c r="R103" s="6">
        <v>4</v>
      </c>
      <c r="S103" s="8" t="s">
        <v>341</v>
      </c>
      <c r="T103" s="9"/>
      <c r="U103" s="8" t="s">
        <v>240</v>
      </c>
      <c r="V103" s="8" t="s">
        <v>240</v>
      </c>
      <c r="W103" s="8" t="s">
        <v>240</v>
      </c>
      <c r="X103" s="8" t="s">
        <v>240</v>
      </c>
      <c r="Y103" s="8" t="s">
        <v>240</v>
      </c>
      <c r="Z103" s="6" t="b">
        <v>0</v>
      </c>
      <c r="AA103" s="9"/>
      <c r="AB103" s="9"/>
    </row>
    <row r="104" spans="1:28" ht="32">
      <c r="A104" s="6">
        <v>109</v>
      </c>
      <c r="B104" s="8" t="s">
        <v>202</v>
      </c>
      <c r="C104" s="8" t="s">
        <v>398</v>
      </c>
      <c r="D104" s="8" t="s">
        <v>400</v>
      </c>
      <c r="E104" s="8" t="s">
        <v>399</v>
      </c>
      <c r="F104" s="6">
        <v>108</v>
      </c>
      <c r="G104" s="6" t="b">
        <v>0</v>
      </c>
      <c r="H104" s="8" t="s">
        <v>240</v>
      </c>
      <c r="I104" s="6" t="b">
        <v>0</v>
      </c>
      <c r="J104" s="6" t="b">
        <v>0</v>
      </c>
      <c r="K104" s="6" t="b">
        <v>0</v>
      </c>
      <c r="L104" s="6" t="b">
        <v>0</v>
      </c>
      <c r="M104" s="6" t="b">
        <v>0</v>
      </c>
      <c r="N104" s="6">
        <v>6</v>
      </c>
      <c r="O104" s="8" t="s">
        <v>237</v>
      </c>
      <c r="P104" s="8" t="s">
        <v>240</v>
      </c>
      <c r="Q104" s="8" t="s">
        <v>240</v>
      </c>
      <c r="R104" s="6">
        <v>6.7</v>
      </c>
      <c r="S104" s="8" t="s">
        <v>247</v>
      </c>
      <c r="T104" s="9"/>
      <c r="U104" s="8" t="s">
        <v>240</v>
      </c>
      <c r="V104" s="8" t="s">
        <v>240</v>
      </c>
      <c r="W104" s="8" t="s">
        <v>240</v>
      </c>
      <c r="X104" s="8" t="s">
        <v>240</v>
      </c>
      <c r="Y104" s="8" t="s">
        <v>240</v>
      </c>
      <c r="Z104" s="6" t="b">
        <v>0</v>
      </c>
      <c r="AA104" s="9"/>
      <c r="AB104" s="9"/>
    </row>
    <row r="105" spans="1:28" ht="16">
      <c r="A105" s="6">
        <v>110</v>
      </c>
      <c r="B105" s="8" t="s">
        <v>202</v>
      </c>
      <c r="C105" s="8" t="s">
        <v>398</v>
      </c>
      <c r="D105" s="8" t="s">
        <v>398</v>
      </c>
      <c r="E105" s="8" t="s">
        <v>398</v>
      </c>
      <c r="F105" s="6">
        <v>110</v>
      </c>
      <c r="G105" s="6" t="b">
        <v>0</v>
      </c>
      <c r="H105" s="8" t="s">
        <v>240</v>
      </c>
      <c r="I105" s="6" t="b">
        <v>0</v>
      </c>
      <c r="J105" s="6" t="b">
        <v>0</v>
      </c>
      <c r="K105" s="6" t="b">
        <v>0</v>
      </c>
      <c r="L105" s="6" t="b">
        <v>0</v>
      </c>
      <c r="M105" s="6" t="b">
        <v>0</v>
      </c>
      <c r="N105" s="6">
        <v>6</v>
      </c>
      <c r="O105" s="8" t="s">
        <v>237</v>
      </c>
      <c r="P105" s="8" t="s">
        <v>240</v>
      </c>
      <c r="Q105" s="8" t="s">
        <v>240</v>
      </c>
      <c r="R105" s="6">
        <v>6</v>
      </c>
      <c r="S105" s="8" t="s">
        <v>75</v>
      </c>
      <c r="T105" s="9"/>
      <c r="U105" s="8" t="s">
        <v>240</v>
      </c>
      <c r="V105" s="8" t="s">
        <v>240</v>
      </c>
      <c r="W105" s="8" t="s">
        <v>240</v>
      </c>
      <c r="X105" s="8" t="s">
        <v>240</v>
      </c>
      <c r="Y105" s="8" t="s">
        <v>240</v>
      </c>
      <c r="Z105" s="6" t="b">
        <v>0</v>
      </c>
      <c r="AA105" s="9"/>
      <c r="AB105" s="9"/>
    </row>
    <row r="106" spans="1:28" ht="16">
      <c r="A106" s="6">
        <v>111</v>
      </c>
      <c r="B106" s="8" t="s">
        <v>202</v>
      </c>
      <c r="C106" s="8" t="s">
        <v>169</v>
      </c>
      <c r="D106" s="8" t="s">
        <v>401</v>
      </c>
      <c r="E106" s="8" t="s">
        <v>401</v>
      </c>
      <c r="F106" s="6">
        <v>111</v>
      </c>
      <c r="G106" s="6" t="b">
        <v>0</v>
      </c>
      <c r="H106" s="8" t="s">
        <v>240</v>
      </c>
      <c r="I106" s="6" t="b">
        <v>0</v>
      </c>
      <c r="J106" s="6" t="b">
        <v>0</v>
      </c>
      <c r="K106" s="6" t="b">
        <v>0</v>
      </c>
      <c r="L106" s="6" t="b">
        <v>0</v>
      </c>
      <c r="M106" s="6" t="b">
        <v>0</v>
      </c>
      <c r="N106" s="6">
        <v>5</v>
      </c>
      <c r="O106" s="8" t="s">
        <v>341</v>
      </c>
      <c r="P106" s="8" t="s">
        <v>380</v>
      </c>
      <c r="Q106" s="8" t="s">
        <v>239</v>
      </c>
      <c r="R106" s="6">
        <v>9.5</v>
      </c>
      <c r="S106" s="8" t="s">
        <v>247</v>
      </c>
      <c r="T106" s="9"/>
      <c r="U106" s="8" t="s">
        <v>240</v>
      </c>
      <c r="V106" s="8" t="s">
        <v>240</v>
      </c>
      <c r="W106" s="8" t="s">
        <v>240</v>
      </c>
      <c r="X106" s="8" t="s">
        <v>240</v>
      </c>
      <c r="Y106" s="8" t="s">
        <v>240</v>
      </c>
      <c r="Z106" s="6" t="b">
        <v>0</v>
      </c>
      <c r="AA106" s="9"/>
      <c r="AB106" s="9"/>
    </row>
    <row r="107" spans="1:28" ht="16">
      <c r="A107" s="6">
        <v>112</v>
      </c>
      <c r="B107" s="8" t="s">
        <v>202</v>
      </c>
      <c r="C107" s="8" t="s">
        <v>169</v>
      </c>
      <c r="D107" s="8" t="s">
        <v>402</v>
      </c>
      <c r="E107" s="8" t="s">
        <v>401</v>
      </c>
      <c r="F107" s="6">
        <v>111</v>
      </c>
      <c r="G107" s="6" t="b">
        <v>0</v>
      </c>
      <c r="H107" s="8" t="s">
        <v>240</v>
      </c>
      <c r="I107" s="6" t="b">
        <v>0</v>
      </c>
      <c r="J107" s="6" t="b">
        <v>0</v>
      </c>
      <c r="K107" s="6" t="b">
        <v>0</v>
      </c>
      <c r="L107" s="6" t="b">
        <v>0</v>
      </c>
      <c r="M107" s="6" t="b">
        <v>0</v>
      </c>
      <c r="N107" s="6">
        <v>5</v>
      </c>
      <c r="O107" s="8" t="s">
        <v>341</v>
      </c>
      <c r="P107" s="8" t="s">
        <v>380</v>
      </c>
      <c r="Q107" s="8" t="s">
        <v>239</v>
      </c>
      <c r="R107" s="6">
        <v>9.5</v>
      </c>
      <c r="S107" s="8" t="s">
        <v>247</v>
      </c>
      <c r="T107" s="9"/>
      <c r="U107" s="8" t="s">
        <v>403</v>
      </c>
      <c r="V107" s="8" t="s">
        <v>240</v>
      </c>
      <c r="W107" s="8" t="s">
        <v>240</v>
      </c>
      <c r="X107" s="8" t="s">
        <v>240</v>
      </c>
      <c r="Y107" s="8" t="s">
        <v>240</v>
      </c>
      <c r="Z107" s="6" t="b">
        <v>0</v>
      </c>
      <c r="AA107" s="9"/>
      <c r="AB107" s="9"/>
    </row>
    <row r="108" spans="1:28" ht="32">
      <c r="A108" s="6">
        <v>113</v>
      </c>
      <c r="B108" s="8" t="s">
        <v>202</v>
      </c>
      <c r="C108" s="8" t="s">
        <v>169</v>
      </c>
      <c r="D108" s="8" t="s">
        <v>404</v>
      </c>
      <c r="E108" s="8" t="s">
        <v>401</v>
      </c>
      <c r="F108" s="6">
        <v>111</v>
      </c>
      <c r="G108" s="6" t="b">
        <v>0</v>
      </c>
      <c r="H108" s="8" t="s">
        <v>240</v>
      </c>
      <c r="I108" s="6" t="b">
        <v>0</v>
      </c>
      <c r="J108" s="6" t="b">
        <v>0</v>
      </c>
      <c r="K108" s="6" t="b">
        <v>0</v>
      </c>
      <c r="L108" s="6" t="b">
        <v>0</v>
      </c>
      <c r="M108" s="6" t="b">
        <v>0</v>
      </c>
      <c r="N108" s="6">
        <v>5</v>
      </c>
      <c r="O108" s="8" t="s">
        <v>341</v>
      </c>
      <c r="P108" s="8" t="s">
        <v>380</v>
      </c>
      <c r="Q108" s="8" t="s">
        <v>239</v>
      </c>
      <c r="R108" s="6">
        <v>9.5</v>
      </c>
      <c r="S108" s="8" t="s">
        <v>247</v>
      </c>
      <c r="T108" s="9"/>
      <c r="U108" s="8" t="s">
        <v>403</v>
      </c>
      <c r="V108" s="8" t="s">
        <v>240</v>
      </c>
      <c r="W108" s="8" t="s">
        <v>240</v>
      </c>
      <c r="X108" s="8" t="s">
        <v>240</v>
      </c>
      <c r="Y108" s="8" t="s">
        <v>240</v>
      </c>
      <c r="Z108" s="6" t="b">
        <v>0</v>
      </c>
      <c r="AA108" s="9"/>
      <c r="AB108" s="9"/>
    </row>
    <row r="109" spans="1:28" ht="16">
      <c r="A109" s="6">
        <v>114</v>
      </c>
      <c r="B109" s="8" t="s">
        <v>405</v>
      </c>
      <c r="C109" s="8" t="s">
        <v>406</v>
      </c>
      <c r="D109" s="8" t="s">
        <v>406</v>
      </c>
      <c r="E109" s="8" t="s">
        <v>406</v>
      </c>
      <c r="F109" s="6">
        <v>114</v>
      </c>
      <c r="G109" s="6" t="b">
        <v>0</v>
      </c>
      <c r="H109" s="8" t="s">
        <v>240</v>
      </c>
      <c r="I109" s="6" t="b">
        <v>0</v>
      </c>
      <c r="J109" s="6" t="b">
        <v>0</v>
      </c>
      <c r="K109" s="6" t="b">
        <v>0</v>
      </c>
      <c r="L109" s="6" t="b">
        <v>0</v>
      </c>
      <c r="M109" s="6" t="b">
        <v>0</v>
      </c>
      <c r="N109" s="6">
        <v>5</v>
      </c>
      <c r="O109" s="8" t="s">
        <v>237</v>
      </c>
      <c r="P109" s="8" t="s">
        <v>240</v>
      </c>
      <c r="Q109" s="8" t="s">
        <v>240</v>
      </c>
      <c r="R109" s="6">
        <v>5</v>
      </c>
      <c r="S109" s="8" t="s">
        <v>75</v>
      </c>
      <c r="T109" s="9"/>
      <c r="U109" s="8" t="s">
        <v>240</v>
      </c>
      <c r="V109" s="8" t="s">
        <v>240</v>
      </c>
      <c r="W109" s="8" t="s">
        <v>240</v>
      </c>
      <c r="X109" s="8" t="s">
        <v>240</v>
      </c>
      <c r="Y109" s="8" t="s">
        <v>240</v>
      </c>
      <c r="Z109" s="6" t="b">
        <v>0</v>
      </c>
      <c r="AA109" s="9"/>
      <c r="AB109" s="9"/>
    </row>
    <row r="110" spans="1:28" ht="16">
      <c r="A110" s="6">
        <v>115</v>
      </c>
      <c r="B110" s="8" t="s">
        <v>405</v>
      </c>
      <c r="C110" s="8" t="s">
        <v>406</v>
      </c>
      <c r="D110" s="8" t="s">
        <v>407</v>
      </c>
      <c r="E110" s="8" t="s">
        <v>407</v>
      </c>
      <c r="F110" s="6">
        <v>115</v>
      </c>
      <c r="G110" s="6" t="b">
        <v>0</v>
      </c>
      <c r="H110" s="8" t="s">
        <v>240</v>
      </c>
      <c r="I110" s="6" t="b">
        <v>0</v>
      </c>
      <c r="J110" s="6" t="b">
        <v>0</v>
      </c>
      <c r="K110" s="6" t="b">
        <v>0</v>
      </c>
      <c r="L110" s="6" t="b">
        <v>0</v>
      </c>
      <c r="M110" s="6" t="b">
        <v>0</v>
      </c>
      <c r="N110" s="6">
        <v>5</v>
      </c>
      <c r="O110" s="8" t="s">
        <v>237</v>
      </c>
      <c r="P110" s="8" t="s">
        <v>238</v>
      </c>
      <c r="Q110" s="8" t="s">
        <v>335</v>
      </c>
      <c r="R110" s="6">
        <v>5</v>
      </c>
      <c r="S110" s="8" t="s">
        <v>75</v>
      </c>
      <c r="T110" s="6">
        <v>6</v>
      </c>
      <c r="U110" s="8" t="s">
        <v>240</v>
      </c>
      <c r="V110" s="8" t="s">
        <v>240</v>
      </c>
      <c r="W110" s="8" t="s">
        <v>240</v>
      </c>
      <c r="X110" s="8" t="s">
        <v>240</v>
      </c>
      <c r="Y110" s="8" t="s">
        <v>240</v>
      </c>
      <c r="Z110" s="6" t="b">
        <v>0</v>
      </c>
      <c r="AA110" s="9"/>
      <c r="AB110" s="9"/>
    </row>
    <row r="111" spans="1:28" ht="16">
      <c r="A111" s="6">
        <v>116</v>
      </c>
      <c r="B111" s="8" t="s">
        <v>405</v>
      </c>
      <c r="C111" s="8" t="s">
        <v>408</v>
      </c>
      <c r="D111" s="8" t="s">
        <v>409</v>
      </c>
      <c r="E111" s="8" t="s">
        <v>409</v>
      </c>
      <c r="F111" s="6">
        <v>116</v>
      </c>
      <c r="G111" s="6" t="b">
        <v>0</v>
      </c>
      <c r="H111" s="8" t="s">
        <v>240</v>
      </c>
      <c r="I111" s="6" t="b">
        <v>0</v>
      </c>
      <c r="J111" s="6" t="b">
        <v>0</v>
      </c>
      <c r="K111" s="6" t="b">
        <v>0</v>
      </c>
      <c r="L111" s="6" t="b">
        <v>0</v>
      </c>
      <c r="M111" s="6" t="b">
        <v>0</v>
      </c>
      <c r="N111" s="6">
        <v>2</v>
      </c>
      <c r="O111" s="8" t="s">
        <v>237</v>
      </c>
      <c r="P111" s="8" t="s">
        <v>238</v>
      </c>
      <c r="Q111" s="8" t="s">
        <v>335</v>
      </c>
      <c r="R111" s="6">
        <v>2</v>
      </c>
      <c r="S111" s="8" t="s">
        <v>75</v>
      </c>
      <c r="T111" s="9"/>
      <c r="U111" s="8" t="s">
        <v>240</v>
      </c>
      <c r="V111" s="8" t="s">
        <v>240</v>
      </c>
      <c r="W111" s="8" t="s">
        <v>240</v>
      </c>
      <c r="X111" s="8" t="s">
        <v>240</v>
      </c>
      <c r="Y111" s="8" t="s">
        <v>240</v>
      </c>
      <c r="Z111" s="6" t="b">
        <v>0</v>
      </c>
      <c r="AA111" s="9"/>
      <c r="AB111" s="9"/>
    </row>
    <row r="112" spans="1:28" ht="16">
      <c r="A112" s="6">
        <v>117</v>
      </c>
      <c r="B112" s="8" t="s">
        <v>405</v>
      </c>
      <c r="C112" s="8" t="s">
        <v>410</v>
      </c>
      <c r="D112" s="8" t="s">
        <v>411</v>
      </c>
      <c r="E112" s="8" t="s">
        <v>411</v>
      </c>
      <c r="F112" s="6">
        <v>117</v>
      </c>
      <c r="G112" s="6" t="b">
        <v>0</v>
      </c>
      <c r="H112" s="8" t="s">
        <v>240</v>
      </c>
      <c r="I112" s="6" t="b">
        <v>0</v>
      </c>
      <c r="J112" s="6" t="b">
        <v>0</v>
      </c>
      <c r="K112" s="6" t="b">
        <v>0</v>
      </c>
      <c r="L112" s="6" t="b">
        <v>0</v>
      </c>
      <c r="M112" s="6" t="b">
        <v>0</v>
      </c>
      <c r="N112" s="6">
        <v>5</v>
      </c>
      <c r="O112" s="8" t="s">
        <v>237</v>
      </c>
      <c r="P112" s="8" t="s">
        <v>238</v>
      </c>
      <c r="Q112" s="8" t="s">
        <v>237</v>
      </c>
      <c r="R112" s="6">
        <v>5</v>
      </c>
      <c r="S112" s="8" t="s">
        <v>75</v>
      </c>
      <c r="T112" s="9"/>
      <c r="U112" s="8" t="s">
        <v>240</v>
      </c>
      <c r="V112" s="8" t="s">
        <v>240</v>
      </c>
      <c r="W112" s="8" t="s">
        <v>240</v>
      </c>
      <c r="X112" s="8" t="s">
        <v>240</v>
      </c>
      <c r="Y112" s="8" t="s">
        <v>240</v>
      </c>
      <c r="Z112" s="6" t="b">
        <v>0</v>
      </c>
      <c r="AA112" s="9"/>
      <c r="AB112" s="9"/>
    </row>
    <row r="113" spans="1:28" ht="16">
      <c r="A113" s="6">
        <v>118</v>
      </c>
      <c r="B113" s="8" t="s">
        <v>405</v>
      </c>
      <c r="C113" s="8" t="s">
        <v>410</v>
      </c>
      <c r="D113" s="8" t="s">
        <v>410</v>
      </c>
      <c r="E113" s="8" t="s">
        <v>410</v>
      </c>
      <c r="F113" s="6">
        <v>118</v>
      </c>
      <c r="G113" s="6" t="b">
        <v>0</v>
      </c>
      <c r="H113" s="8" t="s">
        <v>240</v>
      </c>
      <c r="I113" s="6" t="b">
        <v>0</v>
      </c>
      <c r="J113" s="6" t="b">
        <v>0</v>
      </c>
      <c r="K113" s="6" t="b">
        <v>0</v>
      </c>
      <c r="L113" s="6" t="b">
        <v>0</v>
      </c>
      <c r="M113" s="6" t="b">
        <v>0</v>
      </c>
      <c r="N113" s="6">
        <v>5</v>
      </c>
      <c r="O113" s="8" t="s">
        <v>237</v>
      </c>
      <c r="P113" s="8" t="s">
        <v>238</v>
      </c>
      <c r="Q113" s="8" t="s">
        <v>237</v>
      </c>
      <c r="R113" s="6">
        <v>5</v>
      </c>
      <c r="S113" s="8" t="s">
        <v>237</v>
      </c>
      <c r="T113" s="9"/>
      <c r="U113" s="8" t="s">
        <v>240</v>
      </c>
      <c r="V113" s="8" t="s">
        <v>240</v>
      </c>
      <c r="W113" s="8" t="s">
        <v>240</v>
      </c>
      <c r="X113" s="8" t="s">
        <v>240</v>
      </c>
      <c r="Y113" s="8" t="s">
        <v>240</v>
      </c>
      <c r="Z113" s="6" t="b">
        <v>0</v>
      </c>
      <c r="AA113" s="9"/>
      <c r="AB113" s="9"/>
    </row>
    <row r="114" spans="1:28" ht="16">
      <c r="A114" s="6">
        <v>119</v>
      </c>
      <c r="B114" s="8" t="s">
        <v>405</v>
      </c>
      <c r="C114" s="8" t="s">
        <v>410</v>
      </c>
      <c r="D114" s="8" t="s">
        <v>412</v>
      </c>
      <c r="E114" s="8" t="s">
        <v>412</v>
      </c>
      <c r="F114" s="6">
        <v>119</v>
      </c>
      <c r="G114" s="6" t="b">
        <v>0</v>
      </c>
      <c r="H114" s="8" t="s">
        <v>240</v>
      </c>
      <c r="I114" s="6" t="b">
        <v>0</v>
      </c>
      <c r="J114" s="6" t="b">
        <v>0</v>
      </c>
      <c r="K114" s="6" t="b">
        <v>0</v>
      </c>
      <c r="L114" s="6" t="b">
        <v>0</v>
      </c>
      <c r="M114" s="6" t="b">
        <v>0</v>
      </c>
      <c r="N114" s="6">
        <v>5</v>
      </c>
      <c r="O114" s="8" t="s">
        <v>237</v>
      </c>
      <c r="P114" s="8" t="s">
        <v>238</v>
      </c>
      <c r="Q114" s="8" t="s">
        <v>237</v>
      </c>
      <c r="R114" s="6">
        <v>5</v>
      </c>
      <c r="S114" s="8" t="s">
        <v>75</v>
      </c>
      <c r="T114" s="9"/>
      <c r="U114" s="8" t="s">
        <v>240</v>
      </c>
      <c r="V114" s="8" t="s">
        <v>240</v>
      </c>
      <c r="W114" s="8" t="s">
        <v>240</v>
      </c>
      <c r="X114" s="8" t="s">
        <v>240</v>
      </c>
      <c r="Y114" s="8" t="s">
        <v>240</v>
      </c>
      <c r="Z114" s="6" t="b">
        <v>0</v>
      </c>
      <c r="AA114" s="9"/>
      <c r="AB114" s="9"/>
    </row>
    <row r="115" spans="1:28" ht="16">
      <c r="A115" s="6">
        <v>120</v>
      </c>
      <c r="B115" s="8" t="s">
        <v>405</v>
      </c>
      <c r="C115" s="8" t="s">
        <v>413</v>
      </c>
      <c r="D115" s="8" t="s">
        <v>414</v>
      </c>
      <c r="E115" s="8" t="s">
        <v>414</v>
      </c>
      <c r="F115" s="6">
        <v>120</v>
      </c>
      <c r="G115" s="6" t="b">
        <v>0</v>
      </c>
      <c r="H115" s="8" t="s">
        <v>240</v>
      </c>
      <c r="I115" s="6" t="b">
        <v>0</v>
      </c>
      <c r="J115" s="6" t="b">
        <v>0</v>
      </c>
      <c r="K115" s="6" t="b">
        <v>0</v>
      </c>
      <c r="L115" s="6" t="b">
        <v>0</v>
      </c>
      <c r="M115" s="6" t="b">
        <v>0</v>
      </c>
      <c r="N115" s="6">
        <v>4</v>
      </c>
      <c r="O115" s="8" t="s">
        <v>237</v>
      </c>
      <c r="P115" s="8" t="s">
        <v>238</v>
      </c>
      <c r="Q115" s="8" t="s">
        <v>237</v>
      </c>
      <c r="R115" s="6">
        <v>4</v>
      </c>
      <c r="S115" s="8" t="s">
        <v>75</v>
      </c>
      <c r="T115" s="9"/>
      <c r="U115" s="8" t="s">
        <v>240</v>
      </c>
      <c r="V115" s="8" t="s">
        <v>240</v>
      </c>
      <c r="W115" s="8" t="s">
        <v>240</v>
      </c>
      <c r="X115" s="8" t="s">
        <v>240</v>
      </c>
      <c r="Y115" s="8" t="s">
        <v>240</v>
      </c>
      <c r="Z115" s="6" t="b">
        <v>0</v>
      </c>
      <c r="AA115" s="9"/>
      <c r="AB115" s="9"/>
    </row>
    <row r="116" spans="1:28" ht="32">
      <c r="A116" s="6">
        <v>121</v>
      </c>
      <c r="B116" s="8" t="s">
        <v>405</v>
      </c>
      <c r="C116" s="8" t="s">
        <v>413</v>
      </c>
      <c r="D116" s="8" t="s">
        <v>415</v>
      </c>
      <c r="E116" s="8" t="s">
        <v>414</v>
      </c>
      <c r="F116" s="6">
        <v>120</v>
      </c>
      <c r="G116" s="6" t="b">
        <v>0</v>
      </c>
      <c r="H116" s="8" t="s">
        <v>240</v>
      </c>
      <c r="I116" s="6" t="b">
        <v>0</v>
      </c>
      <c r="J116" s="6" t="b">
        <v>0</v>
      </c>
      <c r="K116" s="6" t="b">
        <v>0</v>
      </c>
      <c r="L116" s="6" t="b">
        <v>0</v>
      </c>
      <c r="M116" s="6" t="b">
        <v>0</v>
      </c>
      <c r="N116" s="6">
        <v>4</v>
      </c>
      <c r="O116" s="8" t="s">
        <v>237</v>
      </c>
      <c r="P116" s="8" t="s">
        <v>238</v>
      </c>
      <c r="Q116" s="8" t="s">
        <v>237</v>
      </c>
      <c r="R116" s="6">
        <v>4</v>
      </c>
      <c r="S116" s="8" t="s">
        <v>75</v>
      </c>
      <c r="T116" s="9"/>
      <c r="U116" s="8" t="s">
        <v>240</v>
      </c>
      <c r="V116" s="8" t="s">
        <v>240</v>
      </c>
      <c r="W116" s="8" t="s">
        <v>240</v>
      </c>
      <c r="X116" s="8" t="s">
        <v>240</v>
      </c>
      <c r="Y116" s="8" t="s">
        <v>416</v>
      </c>
      <c r="Z116" s="6" t="b">
        <v>0</v>
      </c>
      <c r="AA116" s="9"/>
      <c r="AB116" s="9"/>
    </row>
    <row r="117" spans="1:28" ht="16">
      <c r="A117" s="6">
        <v>122</v>
      </c>
      <c r="B117" s="8" t="s">
        <v>405</v>
      </c>
      <c r="C117" s="8" t="s">
        <v>417</v>
      </c>
      <c r="D117" s="8" t="s">
        <v>418</v>
      </c>
      <c r="E117" s="8" t="s">
        <v>418</v>
      </c>
      <c r="F117" s="6">
        <v>122</v>
      </c>
      <c r="G117" s="6" t="b">
        <v>0</v>
      </c>
      <c r="H117" s="8" t="s">
        <v>240</v>
      </c>
      <c r="I117" s="6" t="b">
        <v>0</v>
      </c>
      <c r="J117" s="6" t="b">
        <v>0</v>
      </c>
      <c r="K117" s="6" t="b">
        <v>0</v>
      </c>
      <c r="L117" s="6" t="b">
        <v>0</v>
      </c>
      <c r="M117" s="6" t="b">
        <v>0</v>
      </c>
      <c r="N117" s="6">
        <v>4</v>
      </c>
      <c r="O117" s="8" t="s">
        <v>237</v>
      </c>
      <c r="P117" s="8" t="s">
        <v>238</v>
      </c>
      <c r="Q117" s="8" t="s">
        <v>237</v>
      </c>
      <c r="R117" s="6">
        <v>4</v>
      </c>
      <c r="S117" s="8" t="s">
        <v>75</v>
      </c>
      <c r="T117" s="9"/>
      <c r="U117" s="8" t="s">
        <v>240</v>
      </c>
      <c r="V117" s="8" t="s">
        <v>240</v>
      </c>
      <c r="W117" s="8" t="s">
        <v>240</v>
      </c>
      <c r="X117" s="8" t="s">
        <v>240</v>
      </c>
      <c r="Y117" s="8" t="s">
        <v>419</v>
      </c>
      <c r="Z117" s="6" t="b">
        <v>0</v>
      </c>
      <c r="AA117" s="9"/>
      <c r="AB117" s="9"/>
    </row>
    <row r="118" spans="1:28" ht="32">
      <c r="A118" s="6">
        <v>123</v>
      </c>
      <c r="B118" s="8" t="s">
        <v>405</v>
      </c>
      <c r="C118" s="8" t="s">
        <v>417</v>
      </c>
      <c r="D118" s="8" t="s">
        <v>420</v>
      </c>
      <c r="E118" s="8" t="s">
        <v>418</v>
      </c>
      <c r="F118" s="6">
        <v>122</v>
      </c>
      <c r="G118" s="6" t="b">
        <v>0</v>
      </c>
      <c r="H118" s="8" t="s">
        <v>240</v>
      </c>
      <c r="I118" s="6" t="b">
        <v>0</v>
      </c>
      <c r="J118" s="6" t="b">
        <v>0</v>
      </c>
      <c r="K118" s="6" t="b">
        <v>0</v>
      </c>
      <c r="L118" s="6" t="b">
        <v>0</v>
      </c>
      <c r="M118" s="6" t="b">
        <v>0</v>
      </c>
      <c r="N118" s="6">
        <v>4</v>
      </c>
      <c r="O118" s="8" t="s">
        <v>237</v>
      </c>
      <c r="P118" s="8" t="s">
        <v>238</v>
      </c>
      <c r="Q118" s="8" t="s">
        <v>237</v>
      </c>
      <c r="R118" s="6">
        <v>4</v>
      </c>
      <c r="S118" s="8" t="s">
        <v>75</v>
      </c>
      <c r="T118" s="9"/>
      <c r="U118" s="8" t="s">
        <v>240</v>
      </c>
      <c r="V118" s="8" t="s">
        <v>240</v>
      </c>
      <c r="W118" s="8" t="s">
        <v>240</v>
      </c>
      <c r="X118" s="8" t="s">
        <v>240</v>
      </c>
      <c r="Y118" s="8" t="s">
        <v>240</v>
      </c>
      <c r="Z118" s="6" t="b">
        <v>0</v>
      </c>
      <c r="AA118" s="9"/>
      <c r="AB118" s="9"/>
    </row>
    <row r="119" spans="1:28" ht="16">
      <c r="A119" s="6">
        <v>124</v>
      </c>
      <c r="B119" s="8" t="s">
        <v>405</v>
      </c>
      <c r="C119" s="8" t="s">
        <v>421</v>
      </c>
      <c r="D119" s="8" t="s">
        <v>422</v>
      </c>
      <c r="E119" s="8" t="s">
        <v>422</v>
      </c>
      <c r="F119" s="6">
        <v>124</v>
      </c>
      <c r="G119" s="6" t="b">
        <v>0</v>
      </c>
      <c r="H119" s="8" t="s">
        <v>240</v>
      </c>
      <c r="I119" s="6" t="b">
        <v>0</v>
      </c>
      <c r="J119" s="6" t="b">
        <v>0</v>
      </c>
      <c r="K119" s="6" t="b">
        <v>0</v>
      </c>
      <c r="L119" s="6" t="b">
        <v>0</v>
      </c>
      <c r="M119" s="6" t="b">
        <v>0</v>
      </c>
      <c r="N119" s="6">
        <v>5</v>
      </c>
      <c r="O119" s="8" t="s">
        <v>237</v>
      </c>
      <c r="P119" s="8" t="s">
        <v>238</v>
      </c>
      <c r="Q119" s="8" t="s">
        <v>237</v>
      </c>
      <c r="R119" s="6">
        <v>5</v>
      </c>
      <c r="S119" s="8" t="s">
        <v>75</v>
      </c>
      <c r="T119" s="9"/>
      <c r="U119" s="8" t="s">
        <v>240</v>
      </c>
      <c r="V119" s="8" t="s">
        <v>240</v>
      </c>
      <c r="W119" s="8" t="s">
        <v>240</v>
      </c>
      <c r="X119" s="8" t="s">
        <v>240</v>
      </c>
      <c r="Y119" s="8" t="s">
        <v>240</v>
      </c>
      <c r="Z119" s="6" t="b">
        <v>0</v>
      </c>
      <c r="AA119" s="9"/>
      <c r="AB119" s="9"/>
    </row>
    <row r="120" spans="1:28" ht="16">
      <c r="A120" s="6">
        <v>125</v>
      </c>
      <c r="B120" s="8" t="s">
        <v>405</v>
      </c>
      <c r="C120" s="8" t="s">
        <v>421</v>
      </c>
      <c r="D120" s="8" t="s">
        <v>421</v>
      </c>
      <c r="E120" s="8" t="s">
        <v>421</v>
      </c>
      <c r="F120" s="6">
        <v>125</v>
      </c>
      <c r="G120" s="6" t="b">
        <v>0</v>
      </c>
      <c r="H120" s="8" t="s">
        <v>240</v>
      </c>
      <c r="I120" s="6" t="b">
        <v>0</v>
      </c>
      <c r="J120" s="6" t="b">
        <v>0</v>
      </c>
      <c r="K120" s="6" t="b">
        <v>0</v>
      </c>
      <c r="L120" s="6" t="b">
        <v>0</v>
      </c>
      <c r="M120" s="6" t="b">
        <v>0</v>
      </c>
      <c r="N120" s="6">
        <v>5</v>
      </c>
      <c r="O120" s="8" t="s">
        <v>237</v>
      </c>
      <c r="P120" s="8" t="s">
        <v>238</v>
      </c>
      <c r="Q120" s="8" t="s">
        <v>237</v>
      </c>
      <c r="R120" s="6">
        <v>5</v>
      </c>
      <c r="S120" s="8" t="s">
        <v>237</v>
      </c>
      <c r="T120" s="9"/>
      <c r="U120" s="8" t="s">
        <v>240</v>
      </c>
      <c r="V120" s="8" t="s">
        <v>240</v>
      </c>
      <c r="W120" s="8" t="s">
        <v>240</v>
      </c>
      <c r="X120" s="8" t="s">
        <v>240</v>
      </c>
      <c r="Y120" s="8" t="s">
        <v>240</v>
      </c>
      <c r="Z120" s="6" t="b">
        <v>0</v>
      </c>
      <c r="AA120" s="9"/>
      <c r="AB120" s="9"/>
    </row>
    <row r="121" spans="1:28" ht="16">
      <c r="A121" s="6">
        <v>126</v>
      </c>
      <c r="B121" s="8" t="s">
        <v>405</v>
      </c>
      <c r="C121" s="8" t="s">
        <v>408</v>
      </c>
      <c r="D121" s="8" t="s">
        <v>423</v>
      </c>
      <c r="E121" s="8" t="s">
        <v>423</v>
      </c>
      <c r="F121" s="6">
        <v>126</v>
      </c>
      <c r="G121" s="6" t="b">
        <v>0</v>
      </c>
      <c r="H121" s="8" t="s">
        <v>240</v>
      </c>
      <c r="I121" s="6" t="b">
        <v>0</v>
      </c>
      <c r="J121" s="6" t="b">
        <v>0</v>
      </c>
      <c r="K121" s="6" t="b">
        <v>0</v>
      </c>
      <c r="L121" s="6" t="b">
        <v>0</v>
      </c>
      <c r="M121" s="6" t="b">
        <v>0</v>
      </c>
      <c r="N121" s="6">
        <v>2</v>
      </c>
      <c r="O121" s="8" t="s">
        <v>237</v>
      </c>
      <c r="P121" s="8" t="s">
        <v>238</v>
      </c>
      <c r="Q121" s="8" t="s">
        <v>237</v>
      </c>
      <c r="R121" s="6">
        <v>2</v>
      </c>
      <c r="S121" s="8" t="s">
        <v>75</v>
      </c>
      <c r="T121" s="9"/>
      <c r="U121" s="8" t="s">
        <v>240</v>
      </c>
      <c r="V121" s="8" t="s">
        <v>240</v>
      </c>
      <c r="W121" s="8" t="s">
        <v>240</v>
      </c>
      <c r="X121" s="8" t="s">
        <v>240</v>
      </c>
      <c r="Y121" s="8" t="s">
        <v>240</v>
      </c>
      <c r="Z121" s="6" t="b">
        <v>0</v>
      </c>
      <c r="AA121" s="9"/>
      <c r="AB121" s="9"/>
    </row>
    <row r="122" spans="1:28" ht="16">
      <c r="A122" s="6">
        <v>127</v>
      </c>
      <c r="B122" s="8" t="s">
        <v>405</v>
      </c>
      <c r="C122" s="8" t="s">
        <v>408</v>
      </c>
      <c r="D122" s="8" t="s">
        <v>408</v>
      </c>
      <c r="E122" s="8" t="s">
        <v>408</v>
      </c>
      <c r="F122" s="6">
        <v>127</v>
      </c>
      <c r="G122" s="6" t="b">
        <v>0</v>
      </c>
      <c r="H122" s="8" t="s">
        <v>240</v>
      </c>
      <c r="I122" s="6" t="b">
        <v>0</v>
      </c>
      <c r="J122" s="6" t="b">
        <v>0</v>
      </c>
      <c r="K122" s="6" t="b">
        <v>0</v>
      </c>
      <c r="L122" s="6" t="b">
        <v>0</v>
      </c>
      <c r="M122" s="6" t="b">
        <v>0</v>
      </c>
      <c r="N122" s="6">
        <v>2</v>
      </c>
      <c r="O122" s="8" t="s">
        <v>237</v>
      </c>
      <c r="P122" s="8" t="s">
        <v>238</v>
      </c>
      <c r="Q122" s="8" t="s">
        <v>237</v>
      </c>
      <c r="R122" s="6">
        <v>2</v>
      </c>
      <c r="S122" s="8" t="s">
        <v>237</v>
      </c>
      <c r="T122" s="9"/>
      <c r="U122" s="8" t="s">
        <v>240</v>
      </c>
      <c r="V122" s="8" t="s">
        <v>240</v>
      </c>
      <c r="W122" s="8" t="s">
        <v>240</v>
      </c>
      <c r="X122" s="8" t="s">
        <v>240</v>
      </c>
      <c r="Y122" s="8" t="s">
        <v>240</v>
      </c>
      <c r="Z122" s="6" t="b">
        <v>0</v>
      </c>
      <c r="AA122" s="9"/>
      <c r="AB122" s="9"/>
    </row>
    <row r="123" spans="1:28" ht="16">
      <c r="A123" s="6">
        <v>128</v>
      </c>
      <c r="B123" s="8" t="s">
        <v>405</v>
      </c>
      <c r="C123" s="8" t="s">
        <v>424</v>
      </c>
      <c r="D123" s="8" t="s">
        <v>425</v>
      </c>
      <c r="E123" s="8" t="s">
        <v>425</v>
      </c>
      <c r="F123" s="6">
        <v>128</v>
      </c>
      <c r="G123" s="6" t="b">
        <v>0</v>
      </c>
      <c r="H123" s="8" t="s">
        <v>240</v>
      </c>
      <c r="I123" s="6" t="b">
        <v>0</v>
      </c>
      <c r="J123" s="6" t="b">
        <v>0</v>
      </c>
      <c r="K123" s="6" t="b">
        <v>0</v>
      </c>
      <c r="L123" s="6" t="b">
        <v>0</v>
      </c>
      <c r="M123" s="6" t="b">
        <v>0</v>
      </c>
      <c r="N123" s="6">
        <v>3</v>
      </c>
      <c r="O123" s="8" t="s">
        <v>237</v>
      </c>
      <c r="P123" s="8" t="s">
        <v>238</v>
      </c>
      <c r="Q123" s="8" t="s">
        <v>237</v>
      </c>
      <c r="R123" s="6">
        <v>3</v>
      </c>
      <c r="S123" s="8" t="s">
        <v>75</v>
      </c>
      <c r="T123" s="9"/>
      <c r="U123" s="8" t="s">
        <v>240</v>
      </c>
      <c r="V123" s="8" t="s">
        <v>240</v>
      </c>
      <c r="W123" s="8" t="s">
        <v>240</v>
      </c>
      <c r="X123" s="8" t="s">
        <v>240</v>
      </c>
      <c r="Y123" s="8" t="s">
        <v>240</v>
      </c>
      <c r="Z123" s="6" t="b">
        <v>0</v>
      </c>
      <c r="AA123" s="9"/>
      <c r="AB123" s="9"/>
    </row>
    <row r="124" spans="1:28" ht="16">
      <c r="A124" s="6">
        <v>129</v>
      </c>
      <c r="B124" s="8" t="s">
        <v>405</v>
      </c>
      <c r="C124" s="8" t="s">
        <v>413</v>
      </c>
      <c r="D124" s="8" t="s">
        <v>426</v>
      </c>
      <c r="E124" s="8" t="s">
        <v>426</v>
      </c>
      <c r="F124" s="6">
        <v>129</v>
      </c>
      <c r="G124" s="6" t="b">
        <v>0</v>
      </c>
      <c r="H124" s="8" t="s">
        <v>240</v>
      </c>
      <c r="I124" s="6" t="b">
        <v>0</v>
      </c>
      <c r="J124" s="6" t="b">
        <v>0</v>
      </c>
      <c r="K124" s="6" t="b">
        <v>0</v>
      </c>
      <c r="L124" s="6" t="b">
        <v>0</v>
      </c>
      <c r="M124" s="6" t="b">
        <v>0</v>
      </c>
      <c r="N124" s="6">
        <v>4</v>
      </c>
      <c r="O124" s="8" t="s">
        <v>237</v>
      </c>
      <c r="P124" s="8" t="s">
        <v>238</v>
      </c>
      <c r="Q124" s="8" t="s">
        <v>335</v>
      </c>
      <c r="R124" s="6">
        <v>4</v>
      </c>
      <c r="S124" s="8" t="s">
        <v>75</v>
      </c>
      <c r="T124" s="6">
        <v>6</v>
      </c>
      <c r="U124" s="8" t="s">
        <v>240</v>
      </c>
      <c r="V124" s="8" t="s">
        <v>240</v>
      </c>
      <c r="W124" s="8" t="s">
        <v>240</v>
      </c>
      <c r="X124" s="8" t="s">
        <v>240</v>
      </c>
      <c r="Y124" s="8" t="s">
        <v>240</v>
      </c>
      <c r="Z124" s="6" t="b">
        <v>0</v>
      </c>
      <c r="AA124" s="9"/>
      <c r="AB124" s="9"/>
    </row>
    <row r="125" spans="1:28" ht="16">
      <c r="A125" s="6">
        <v>130</v>
      </c>
      <c r="B125" s="8" t="s">
        <v>405</v>
      </c>
      <c r="C125" s="8" t="s">
        <v>413</v>
      </c>
      <c r="D125" s="8" t="s">
        <v>413</v>
      </c>
      <c r="E125" s="8" t="s">
        <v>413</v>
      </c>
      <c r="F125" s="6">
        <v>130</v>
      </c>
      <c r="G125" s="6" t="b">
        <v>0</v>
      </c>
      <c r="H125" s="8" t="s">
        <v>240</v>
      </c>
      <c r="I125" s="6" t="b">
        <v>0</v>
      </c>
      <c r="J125" s="6" t="b">
        <v>0</v>
      </c>
      <c r="K125" s="6" t="b">
        <v>0</v>
      </c>
      <c r="L125" s="6" t="b">
        <v>0</v>
      </c>
      <c r="M125" s="6" t="b">
        <v>0</v>
      </c>
      <c r="N125" s="6">
        <v>4</v>
      </c>
      <c r="O125" s="8" t="s">
        <v>237</v>
      </c>
      <c r="P125" s="8" t="s">
        <v>238</v>
      </c>
      <c r="Q125" s="8" t="s">
        <v>237</v>
      </c>
      <c r="R125" s="6">
        <v>4</v>
      </c>
      <c r="S125" s="8" t="s">
        <v>75</v>
      </c>
      <c r="T125" s="9"/>
      <c r="U125" s="8" t="s">
        <v>240</v>
      </c>
      <c r="V125" s="8" t="s">
        <v>240</v>
      </c>
      <c r="W125" s="8" t="s">
        <v>240</v>
      </c>
      <c r="X125" s="8" t="s">
        <v>240</v>
      </c>
      <c r="Y125" s="8" t="s">
        <v>240</v>
      </c>
      <c r="Z125" s="6" t="b">
        <v>0</v>
      </c>
      <c r="AA125" s="9"/>
      <c r="AB125" s="9"/>
    </row>
    <row r="126" spans="1:28" ht="16">
      <c r="A126" s="6">
        <v>131</v>
      </c>
      <c r="B126" s="8" t="s">
        <v>405</v>
      </c>
      <c r="C126" s="8" t="s">
        <v>427</v>
      </c>
      <c r="D126" s="8" t="s">
        <v>428</v>
      </c>
      <c r="E126" s="8" t="s">
        <v>428</v>
      </c>
      <c r="F126" s="6">
        <v>131</v>
      </c>
      <c r="G126" s="6" t="b">
        <v>0</v>
      </c>
      <c r="H126" s="8" t="s">
        <v>240</v>
      </c>
      <c r="I126" s="6" t="b">
        <v>0</v>
      </c>
      <c r="J126" s="6" t="b">
        <v>0</v>
      </c>
      <c r="K126" s="6" t="b">
        <v>0</v>
      </c>
      <c r="L126" s="6" t="b">
        <v>0</v>
      </c>
      <c r="M126" s="6" t="b">
        <v>0</v>
      </c>
      <c r="N126" s="6">
        <v>6</v>
      </c>
      <c r="O126" s="8" t="s">
        <v>237</v>
      </c>
      <c r="P126" s="8" t="s">
        <v>238</v>
      </c>
      <c r="Q126" s="8" t="s">
        <v>237</v>
      </c>
      <c r="R126" s="6">
        <v>6</v>
      </c>
      <c r="S126" s="8" t="s">
        <v>75</v>
      </c>
      <c r="T126" s="6">
        <v>6</v>
      </c>
      <c r="U126" s="8" t="s">
        <v>240</v>
      </c>
      <c r="V126" s="8" t="s">
        <v>240</v>
      </c>
      <c r="W126" s="8" t="s">
        <v>240</v>
      </c>
      <c r="X126" s="8" t="s">
        <v>240</v>
      </c>
      <c r="Y126" s="8" t="s">
        <v>240</v>
      </c>
      <c r="Z126" s="6" t="b">
        <v>0</v>
      </c>
      <c r="AA126" s="9"/>
      <c r="AB126" s="9"/>
    </row>
    <row r="127" spans="1:28" ht="16">
      <c r="A127" s="6">
        <v>132</v>
      </c>
      <c r="B127" s="8" t="s">
        <v>405</v>
      </c>
      <c r="C127" s="8" t="s">
        <v>427</v>
      </c>
      <c r="D127" s="8" t="s">
        <v>427</v>
      </c>
      <c r="E127" s="8" t="s">
        <v>427</v>
      </c>
      <c r="F127" s="6">
        <v>132</v>
      </c>
      <c r="G127" s="6" t="b">
        <v>0</v>
      </c>
      <c r="H127" s="8" t="s">
        <v>240</v>
      </c>
      <c r="I127" s="6" t="b">
        <v>0</v>
      </c>
      <c r="J127" s="6" t="b">
        <v>0</v>
      </c>
      <c r="K127" s="6" t="b">
        <v>1</v>
      </c>
      <c r="L127" s="6" t="b">
        <v>0</v>
      </c>
      <c r="M127" s="6" t="b">
        <v>0</v>
      </c>
      <c r="N127" s="6">
        <v>6</v>
      </c>
      <c r="O127" s="8" t="s">
        <v>237</v>
      </c>
      <c r="P127" s="8" t="s">
        <v>238</v>
      </c>
      <c r="Q127" s="8" t="s">
        <v>237</v>
      </c>
      <c r="R127" s="6">
        <v>6</v>
      </c>
      <c r="S127" s="8" t="s">
        <v>237</v>
      </c>
      <c r="T127" s="9"/>
      <c r="U127" s="8" t="s">
        <v>240</v>
      </c>
      <c r="V127" s="8" t="s">
        <v>240</v>
      </c>
      <c r="W127" s="8" t="s">
        <v>240</v>
      </c>
      <c r="X127" s="8" t="s">
        <v>240</v>
      </c>
      <c r="Y127" s="8" t="s">
        <v>240</v>
      </c>
      <c r="Z127" s="6" t="b">
        <v>0</v>
      </c>
      <c r="AA127" s="9"/>
      <c r="AB127" s="9"/>
    </row>
    <row r="128" spans="1:28" ht="16">
      <c r="A128" s="6">
        <v>133</v>
      </c>
      <c r="B128" s="8" t="s">
        <v>405</v>
      </c>
      <c r="C128" s="8" t="s">
        <v>424</v>
      </c>
      <c r="D128" s="8" t="s">
        <v>429</v>
      </c>
      <c r="E128" s="8" t="s">
        <v>429</v>
      </c>
      <c r="F128" s="6">
        <v>133</v>
      </c>
      <c r="G128" s="6" t="b">
        <v>0</v>
      </c>
      <c r="H128" s="8" t="s">
        <v>240</v>
      </c>
      <c r="I128" s="6" t="b">
        <v>0</v>
      </c>
      <c r="J128" s="6" t="b">
        <v>0</v>
      </c>
      <c r="K128" s="6" t="b">
        <v>0</v>
      </c>
      <c r="L128" s="6" t="b">
        <v>0</v>
      </c>
      <c r="M128" s="6" t="b">
        <v>0</v>
      </c>
      <c r="N128" s="6">
        <v>3</v>
      </c>
      <c r="O128" s="8" t="s">
        <v>237</v>
      </c>
      <c r="P128" s="8" t="s">
        <v>238</v>
      </c>
      <c r="Q128" s="8" t="s">
        <v>237</v>
      </c>
      <c r="R128" s="6">
        <v>3</v>
      </c>
      <c r="S128" s="8" t="s">
        <v>75</v>
      </c>
      <c r="T128" s="9"/>
      <c r="U128" s="8" t="s">
        <v>240</v>
      </c>
      <c r="V128" s="8" t="s">
        <v>240</v>
      </c>
      <c r="W128" s="8" t="s">
        <v>240</v>
      </c>
      <c r="X128" s="8" t="s">
        <v>240</v>
      </c>
      <c r="Y128" s="8" t="s">
        <v>240</v>
      </c>
      <c r="Z128" s="6" t="b">
        <v>0</v>
      </c>
      <c r="AA128" s="9"/>
      <c r="AB128" s="9"/>
    </row>
    <row r="129" spans="1:28" ht="16">
      <c r="A129" s="6">
        <v>134</v>
      </c>
      <c r="B129" s="8" t="s">
        <v>405</v>
      </c>
      <c r="C129" s="8" t="s">
        <v>417</v>
      </c>
      <c r="D129" s="8" t="s">
        <v>430</v>
      </c>
      <c r="E129" s="8" t="s">
        <v>430</v>
      </c>
      <c r="F129" s="6">
        <v>134</v>
      </c>
      <c r="G129" s="6" t="b">
        <v>0</v>
      </c>
      <c r="H129" s="8" t="s">
        <v>240</v>
      </c>
      <c r="I129" s="6" t="b">
        <v>0</v>
      </c>
      <c r="J129" s="6" t="b">
        <v>0</v>
      </c>
      <c r="K129" s="6" t="b">
        <v>0</v>
      </c>
      <c r="L129" s="6" t="b">
        <v>0</v>
      </c>
      <c r="M129" s="6" t="b">
        <v>0</v>
      </c>
      <c r="N129" s="6">
        <v>4</v>
      </c>
      <c r="O129" s="8" t="s">
        <v>237</v>
      </c>
      <c r="P129" s="8" t="s">
        <v>238</v>
      </c>
      <c r="Q129" s="8" t="s">
        <v>237</v>
      </c>
      <c r="R129" s="6">
        <v>4</v>
      </c>
      <c r="S129" s="8" t="s">
        <v>75</v>
      </c>
      <c r="T129" s="9"/>
      <c r="U129" s="8" t="s">
        <v>240</v>
      </c>
      <c r="V129" s="8" t="s">
        <v>240</v>
      </c>
      <c r="W129" s="8" t="s">
        <v>240</v>
      </c>
      <c r="X129" s="8" t="s">
        <v>240</v>
      </c>
      <c r="Y129" s="8" t="s">
        <v>240</v>
      </c>
      <c r="Z129" s="6" t="b">
        <v>0</v>
      </c>
      <c r="AA129" s="9"/>
      <c r="AB129" s="9"/>
    </row>
    <row r="130" spans="1:28" ht="16">
      <c r="A130" s="6">
        <v>135</v>
      </c>
      <c r="B130" s="8" t="s">
        <v>405</v>
      </c>
      <c r="C130" s="8" t="s">
        <v>417</v>
      </c>
      <c r="D130" s="8" t="s">
        <v>417</v>
      </c>
      <c r="E130" s="8" t="s">
        <v>417</v>
      </c>
      <c r="F130" s="6">
        <v>135</v>
      </c>
      <c r="G130" s="6" t="b">
        <v>0</v>
      </c>
      <c r="H130" s="8" t="s">
        <v>240</v>
      </c>
      <c r="I130" s="6" t="b">
        <v>0</v>
      </c>
      <c r="J130" s="6" t="b">
        <v>0</v>
      </c>
      <c r="K130" s="6" t="b">
        <v>0</v>
      </c>
      <c r="L130" s="6" t="b">
        <v>0</v>
      </c>
      <c r="M130" s="6" t="b">
        <v>0</v>
      </c>
      <c r="N130" s="6">
        <v>4</v>
      </c>
      <c r="O130" s="8" t="s">
        <v>237</v>
      </c>
      <c r="P130" s="8" t="s">
        <v>238</v>
      </c>
      <c r="Q130" s="8" t="s">
        <v>237</v>
      </c>
      <c r="R130" s="6">
        <v>4</v>
      </c>
      <c r="S130" s="8" t="s">
        <v>75</v>
      </c>
      <c r="T130" s="9"/>
      <c r="U130" s="8" t="s">
        <v>240</v>
      </c>
      <c r="V130" s="8" t="s">
        <v>240</v>
      </c>
      <c r="W130" s="8" t="s">
        <v>240</v>
      </c>
      <c r="X130" s="8" t="s">
        <v>240</v>
      </c>
      <c r="Y130" s="8" t="s">
        <v>240</v>
      </c>
      <c r="Z130" s="6" t="b">
        <v>0</v>
      </c>
      <c r="AA130" s="9"/>
      <c r="AB130" s="9"/>
    </row>
    <row r="131" spans="1:28" ht="16">
      <c r="A131" s="6">
        <v>136</v>
      </c>
      <c r="B131" s="8" t="s">
        <v>405</v>
      </c>
      <c r="C131" s="8" t="s">
        <v>431</v>
      </c>
      <c r="D131" s="8" t="s">
        <v>432</v>
      </c>
      <c r="E131" s="8" t="s">
        <v>432</v>
      </c>
      <c r="F131" s="6">
        <v>136</v>
      </c>
      <c r="G131" s="6" t="b">
        <v>0</v>
      </c>
      <c r="H131" s="8" t="s">
        <v>240</v>
      </c>
      <c r="I131" s="6" t="b">
        <v>0</v>
      </c>
      <c r="J131" s="6" t="b">
        <v>0</v>
      </c>
      <c r="K131" s="6" t="b">
        <v>0</v>
      </c>
      <c r="L131" s="6" t="b">
        <v>0</v>
      </c>
      <c r="M131" s="6" t="b">
        <v>0</v>
      </c>
      <c r="N131" s="6">
        <v>2</v>
      </c>
      <c r="O131" s="8" t="s">
        <v>237</v>
      </c>
      <c r="P131" s="8" t="s">
        <v>238</v>
      </c>
      <c r="Q131" s="8" t="s">
        <v>335</v>
      </c>
      <c r="R131" s="6">
        <v>2</v>
      </c>
      <c r="S131" s="8" t="s">
        <v>75</v>
      </c>
      <c r="T131" s="6">
        <v>6</v>
      </c>
      <c r="U131" s="8" t="s">
        <v>240</v>
      </c>
      <c r="V131" s="8" t="s">
        <v>240</v>
      </c>
      <c r="W131" s="8" t="s">
        <v>240</v>
      </c>
      <c r="X131" s="8" t="s">
        <v>240</v>
      </c>
      <c r="Y131" s="8" t="s">
        <v>240</v>
      </c>
      <c r="Z131" s="6" t="b">
        <v>0</v>
      </c>
      <c r="AA131" s="9"/>
      <c r="AB131" s="9"/>
    </row>
    <row r="132" spans="1:28" ht="16">
      <c r="A132" s="6">
        <v>137</v>
      </c>
      <c r="B132" s="8" t="s">
        <v>405</v>
      </c>
      <c r="C132" s="8" t="s">
        <v>431</v>
      </c>
      <c r="D132" s="8" t="s">
        <v>431</v>
      </c>
      <c r="E132" s="8" t="s">
        <v>431</v>
      </c>
      <c r="F132" s="6">
        <v>137</v>
      </c>
      <c r="G132" s="6" t="b">
        <v>0</v>
      </c>
      <c r="H132" s="8" t="s">
        <v>240</v>
      </c>
      <c r="I132" s="6" t="b">
        <v>0</v>
      </c>
      <c r="J132" s="6" t="b">
        <v>0</v>
      </c>
      <c r="K132" s="6" t="b">
        <v>0</v>
      </c>
      <c r="L132" s="6" t="b">
        <v>0</v>
      </c>
      <c r="M132" s="6" t="b">
        <v>0</v>
      </c>
      <c r="N132" s="6">
        <v>2</v>
      </c>
      <c r="O132" s="8" t="s">
        <v>237</v>
      </c>
      <c r="P132" s="8" t="s">
        <v>238</v>
      </c>
      <c r="Q132" s="8" t="s">
        <v>237</v>
      </c>
      <c r="R132" s="6">
        <v>2</v>
      </c>
      <c r="S132" s="8" t="s">
        <v>75</v>
      </c>
      <c r="T132" s="9"/>
      <c r="U132" s="8" t="s">
        <v>240</v>
      </c>
      <c r="V132" s="8" t="s">
        <v>240</v>
      </c>
      <c r="W132" s="8" t="s">
        <v>240</v>
      </c>
      <c r="X132" s="8" t="s">
        <v>240</v>
      </c>
      <c r="Y132" s="8" t="s">
        <v>240</v>
      </c>
      <c r="Z132" s="6" t="b">
        <v>0</v>
      </c>
      <c r="AA132" s="9"/>
      <c r="AB132" s="9"/>
    </row>
    <row r="133" spans="1:28" ht="16">
      <c r="A133" s="6">
        <v>138</v>
      </c>
      <c r="B133" s="8" t="s">
        <v>405</v>
      </c>
      <c r="C133" s="8" t="s">
        <v>431</v>
      </c>
      <c r="D133" s="8" t="s">
        <v>433</v>
      </c>
      <c r="E133" s="8" t="s">
        <v>433</v>
      </c>
      <c r="F133" s="6">
        <v>138</v>
      </c>
      <c r="G133" s="6" t="b">
        <v>0</v>
      </c>
      <c r="H133" s="8" t="s">
        <v>240</v>
      </c>
      <c r="I133" s="6" t="b">
        <v>0</v>
      </c>
      <c r="J133" s="6" t="b">
        <v>0</v>
      </c>
      <c r="K133" s="6" t="b">
        <v>0</v>
      </c>
      <c r="L133" s="6" t="b">
        <v>0</v>
      </c>
      <c r="M133" s="6" t="b">
        <v>0</v>
      </c>
      <c r="N133" s="6">
        <v>2</v>
      </c>
      <c r="O133" s="8" t="s">
        <v>237</v>
      </c>
      <c r="P133" s="8" t="s">
        <v>238</v>
      </c>
      <c r="Q133" s="8" t="s">
        <v>237</v>
      </c>
      <c r="R133" s="6">
        <v>2</v>
      </c>
      <c r="S133" s="8" t="s">
        <v>75</v>
      </c>
      <c r="T133" s="9"/>
      <c r="U133" s="8" t="s">
        <v>240</v>
      </c>
      <c r="V133" s="8" t="s">
        <v>240</v>
      </c>
      <c r="W133" s="8" t="s">
        <v>240</v>
      </c>
      <c r="X133" s="8" t="s">
        <v>240</v>
      </c>
      <c r="Y133" s="8" t="s">
        <v>240</v>
      </c>
      <c r="Z133" s="6" t="b">
        <v>0</v>
      </c>
      <c r="AA133" s="9"/>
      <c r="AB133" s="9"/>
    </row>
    <row r="134" spans="1:28" ht="32">
      <c r="A134" s="6">
        <v>139</v>
      </c>
      <c r="B134" s="8" t="s">
        <v>405</v>
      </c>
      <c r="C134" s="8" t="s">
        <v>431</v>
      </c>
      <c r="D134" s="8" t="s">
        <v>434</v>
      </c>
      <c r="E134" s="8" t="s">
        <v>433</v>
      </c>
      <c r="F134" s="6">
        <v>138</v>
      </c>
      <c r="G134" s="6" t="b">
        <v>0</v>
      </c>
      <c r="H134" s="8" t="s">
        <v>240</v>
      </c>
      <c r="I134" s="6" t="b">
        <v>0</v>
      </c>
      <c r="J134" s="6" t="b">
        <v>0</v>
      </c>
      <c r="K134" s="6" t="b">
        <v>0</v>
      </c>
      <c r="L134" s="6" t="b">
        <v>0</v>
      </c>
      <c r="M134" s="6" t="b">
        <v>0</v>
      </c>
      <c r="N134" s="6">
        <v>2</v>
      </c>
      <c r="O134" s="8" t="s">
        <v>237</v>
      </c>
      <c r="P134" s="8" t="s">
        <v>238</v>
      </c>
      <c r="Q134" s="8" t="s">
        <v>237</v>
      </c>
      <c r="R134" s="6">
        <v>2</v>
      </c>
      <c r="S134" s="8" t="s">
        <v>75</v>
      </c>
      <c r="T134" s="9"/>
      <c r="U134" s="8" t="s">
        <v>240</v>
      </c>
      <c r="V134" s="8" t="s">
        <v>240</v>
      </c>
      <c r="W134" s="8" t="s">
        <v>240</v>
      </c>
      <c r="X134" s="8" t="s">
        <v>240</v>
      </c>
      <c r="Y134" s="8" t="s">
        <v>240</v>
      </c>
      <c r="Z134" s="6" t="b">
        <v>0</v>
      </c>
      <c r="AA134" s="9"/>
      <c r="AB134" s="9"/>
    </row>
    <row r="135" spans="1:28" ht="16">
      <c r="A135" s="6">
        <v>140</v>
      </c>
      <c r="B135" s="8" t="s">
        <v>405</v>
      </c>
      <c r="C135" s="8" t="s">
        <v>427</v>
      </c>
      <c r="D135" s="8" t="s">
        <v>435</v>
      </c>
      <c r="E135" s="8" t="s">
        <v>435</v>
      </c>
      <c r="F135" s="6">
        <v>140</v>
      </c>
      <c r="G135" s="6" t="b">
        <v>0</v>
      </c>
      <c r="H135" s="8" t="s">
        <v>240</v>
      </c>
      <c r="I135" s="6" t="b">
        <v>0</v>
      </c>
      <c r="J135" s="6" t="b">
        <v>0</v>
      </c>
      <c r="K135" s="6" t="b">
        <v>0</v>
      </c>
      <c r="L135" s="6" t="b">
        <v>0</v>
      </c>
      <c r="M135" s="6" t="b">
        <v>0</v>
      </c>
      <c r="N135" s="6">
        <v>6</v>
      </c>
      <c r="O135" s="8" t="s">
        <v>237</v>
      </c>
      <c r="P135" s="8" t="s">
        <v>238</v>
      </c>
      <c r="Q135" s="8" t="s">
        <v>237</v>
      </c>
      <c r="R135" s="6">
        <v>6</v>
      </c>
      <c r="S135" s="8" t="s">
        <v>75</v>
      </c>
      <c r="T135" s="6">
        <v>6</v>
      </c>
      <c r="U135" s="8" t="s">
        <v>240</v>
      </c>
      <c r="V135" s="8" t="s">
        <v>240</v>
      </c>
      <c r="W135" s="8" t="s">
        <v>240</v>
      </c>
      <c r="X135" s="8" t="s">
        <v>240</v>
      </c>
      <c r="Y135" s="8" t="s">
        <v>240</v>
      </c>
      <c r="Z135" s="6" t="b">
        <v>0</v>
      </c>
      <c r="AA135" s="9"/>
      <c r="AB135" s="9"/>
    </row>
    <row r="136" spans="1:28" ht="16">
      <c r="A136" s="6">
        <v>141</v>
      </c>
      <c r="B136" s="8" t="s">
        <v>405</v>
      </c>
      <c r="C136" s="8" t="s">
        <v>424</v>
      </c>
      <c r="D136" s="8" t="s">
        <v>436</v>
      </c>
      <c r="E136" s="8" t="s">
        <v>436</v>
      </c>
      <c r="F136" s="6">
        <v>141</v>
      </c>
      <c r="G136" s="6" t="b">
        <v>0</v>
      </c>
      <c r="H136" s="8" t="s">
        <v>240</v>
      </c>
      <c r="I136" s="6" t="b">
        <v>0</v>
      </c>
      <c r="J136" s="6" t="b">
        <v>0</v>
      </c>
      <c r="K136" s="6" t="b">
        <v>0</v>
      </c>
      <c r="L136" s="6" t="b">
        <v>0</v>
      </c>
      <c r="M136" s="6" t="b">
        <v>0</v>
      </c>
      <c r="N136" s="6">
        <v>3</v>
      </c>
      <c r="O136" s="8" t="s">
        <v>237</v>
      </c>
      <c r="P136" s="8" t="s">
        <v>238</v>
      </c>
      <c r="Q136" s="8" t="s">
        <v>335</v>
      </c>
      <c r="R136" s="6">
        <v>3</v>
      </c>
      <c r="S136" s="8" t="s">
        <v>75</v>
      </c>
      <c r="T136" s="6">
        <v>6</v>
      </c>
      <c r="U136" s="8" t="s">
        <v>240</v>
      </c>
      <c r="V136" s="8" t="s">
        <v>240</v>
      </c>
      <c r="W136" s="8" t="s">
        <v>240</v>
      </c>
      <c r="X136" s="8" t="s">
        <v>240</v>
      </c>
      <c r="Y136" s="8" t="s">
        <v>240</v>
      </c>
      <c r="Z136" s="6" t="b">
        <v>0</v>
      </c>
      <c r="AA136" s="9"/>
      <c r="AB136" s="9"/>
    </row>
    <row r="137" spans="1:28" ht="16">
      <c r="A137" s="6">
        <v>142</v>
      </c>
      <c r="B137" s="8" t="s">
        <v>405</v>
      </c>
      <c r="C137" s="8" t="s">
        <v>424</v>
      </c>
      <c r="D137" s="8" t="s">
        <v>424</v>
      </c>
      <c r="E137" s="8" t="s">
        <v>424</v>
      </c>
      <c r="F137" s="6">
        <v>142</v>
      </c>
      <c r="G137" s="6" t="b">
        <v>0</v>
      </c>
      <c r="H137" s="8" t="s">
        <v>240</v>
      </c>
      <c r="I137" s="6" t="b">
        <v>0</v>
      </c>
      <c r="J137" s="6" t="b">
        <v>0</v>
      </c>
      <c r="K137" s="6" t="b">
        <v>0</v>
      </c>
      <c r="L137" s="6" t="b">
        <v>0</v>
      </c>
      <c r="M137" s="6" t="b">
        <v>0</v>
      </c>
      <c r="N137" s="6">
        <v>3</v>
      </c>
      <c r="O137" s="8" t="s">
        <v>237</v>
      </c>
      <c r="P137" s="8" t="s">
        <v>240</v>
      </c>
      <c r="Q137" s="8" t="s">
        <v>240</v>
      </c>
      <c r="R137" s="6">
        <v>3</v>
      </c>
      <c r="S137" s="8" t="s">
        <v>237</v>
      </c>
      <c r="T137" s="9"/>
      <c r="U137" s="8" t="s">
        <v>240</v>
      </c>
      <c r="V137" s="8" t="s">
        <v>240</v>
      </c>
      <c r="W137" s="8" t="s">
        <v>240</v>
      </c>
      <c r="X137" s="8" t="s">
        <v>240</v>
      </c>
      <c r="Y137" s="8" t="s">
        <v>240</v>
      </c>
      <c r="Z137" s="6" t="b">
        <v>0</v>
      </c>
      <c r="AA137" s="9"/>
      <c r="AB137" s="9"/>
    </row>
    <row r="138" spans="1:28" ht="16">
      <c r="A138" s="6">
        <v>143</v>
      </c>
      <c r="B138" s="8" t="s">
        <v>405</v>
      </c>
      <c r="C138" s="8" t="s">
        <v>421</v>
      </c>
      <c r="D138" s="8" t="s">
        <v>437</v>
      </c>
      <c r="E138" s="8" t="s">
        <v>437</v>
      </c>
      <c r="F138" s="6">
        <v>143</v>
      </c>
      <c r="G138" s="6" t="b">
        <v>0</v>
      </c>
      <c r="H138" s="8" t="s">
        <v>240</v>
      </c>
      <c r="I138" s="6" t="b">
        <v>0</v>
      </c>
      <c r="J138" s="6" t="b">
        <v>0</v>
      </c>
      <c r="K138" s="6" t="b">
        <v>0</v>
      </c>
      <c r="L138" s="6" t="b">
        <v>0</v>
      </c>
      <c r="M138" s="6" t="b">
        <v>0</v>
      </c>
      <c r="N138" s="6">
        <v>5</v>
      </c>
      <c r="O138" s="8" t="s">
        <v>237</v>
      </c>
      <c r="P138" s="8" t="s">
        <v>238</v>
      </c>
      <c r="Q138" s="8" t="s">
        <v>237</v>
      </c>
      <c r="R138" s="6">
        <v>5</v>
      </c>
      <c r="S138" s="8" t="s">
        <v>75</v>
      </c>
      <c r="T138" s="9"/>
      <c r="U138" s="8" t="s">
        <v>240</v>
      </c>
      <c r="V138" s="8" t="s">
        <v>240</v>
      </c>
      <c r="W138" s="8" t="s">
        <v>240</v>
      </c>
      <c r="X138" s="8" t="s">
        <v>240</v>
      </c>
      <c r="Y138" s="8" t="s">
        <v>240</v>
      </c>
      <c r="Z138" s="6" t="b">
        <v>0</v>
      </c>
      <c r="AA138" s="9"/>
      <c r="AB138" s="9"/>
    </row>
    <row r="139" spans="1:28" ht="16">
      <c r="A139" s="6">
        <v>144</v>
      </c>
      <c r="B139" s="8" t="s">
        <v>438</v>
      </c>
      <c r="C139" s="8" t="s">
        <v>438</v>
      </c>
      <c r="D139" s="8" t="s">
        <v>439</v>
      </c>
      <c r="E139" s="8" t="s">
        <v>439</v>
      </c>
      <c r="F139" s="6">
        <v>144</v>
      </c>
      <c r="G139" s="6" t="b">
        <v>0</v>
      </c>
      <c r="H139" s="8" t="s">
        <v>240</v>
      </c>
      <c r="I139" s="6" t="b">
        <v>0</v>
      </c>
      <c r="J139" s="6" t="b">
        <v>0</v>
      </c>
      <c r="K139" s="6" t="b">
        <v>0</v>
      </c>
      <c r="L139" s="6" t="b">
        <v>0</v>
      </c>
      <c r="M139" s="6" t="b">
        <v>0</v>
      </c>
      <c r="N139" s="6">
        <v>5</v>
      </c>
      <c r="O139" s="8" t="s">
        <v>237</v>
      </c>
      <c r="P139" s="8" t="s">
        <v>240</v>
      </c>
      <c r="Q139" s="8" t="s">
        <v>240</v>
      </c>
      <c r="R139" s="6">
        <v>5</v>
      </c>
      <c r="S139" s="8" t="s">
        <v>75</v>
      </c>
      <c r="T139" s="9"/>
      <c r="U139" s="8" t="s">
        <v>240</v>
      </c>
      <c r="V139" s="8" t="s">
        <v>240</v>
      </c>
      <c r="W139" s="8" t="s">
        <v>240</v>
      </c>
      <c r="X139" s="8" t="s">
        <v>240</v>
      </c>
      <c r="Y139" s="8" t="s">
        <v>440</v>
      </c>
      <c r="Z139" s="6" t="b">
        <v>0</v>
      </c>
      <c r="AA139" s="9"/>
      <c r="AB139" s="9"/>
    </row>
    <row r="140" spans="1:28" ht="16">
      <c r="A140" s="6">
        <v>145</v>
      </c>
      <c r="B140" s="8" t="s">
        <v>438</v>
      </c>
      <c r="C140" s="8" t="s">
        <v>438</v>
      </c>
      <c r="D140" s="8" t="s">
        <v>441</v>
      </c>
      <c r="E140" s="8" t="s">
        <v>439</v>
      </c>
      <c r="F140" s="6">
        <v>144</v>
      </c>
      <c r="G140" s="6" t="b">
        <v>0</v>
      </c>
      <c r="H140" s="8" t="s">
        <v>240</v>
      </c>
      <c r="I140" s="6" t="b">
        <v>0</v>
      </c>
      <c r="J140" s="6" t="b">
        <v>0</v>
      </c>
      <c r="K140" s="6" t="b">
        <v>0</v>
      </c>
      <c r="L140" s="6" t="b">
        <v>0</v>
      </c>
      <c r="M140" s="6" t="b">
        <v>0</v>
      </c>
      <c r="N140" s="6">
        <v>5</v>
      </c>
      <c r="O140" s="8" t="s">
        <v>237</v>
      </c>
      <c r="P140" s="8" t="s">
        <v>240</v>
      </c>
      <c r="Q140" s="8" t="s">
        <v>240</v>
      </c>
      <c r="R140" s="6">
        <v>5</v>
      </c>
      <c r="S140" s="8" t="s">
        <v>75</v>
      </c>
      <c r="T140" s="9"/>
      <c r="U140" s="8" t="s">
        <v>240</v>
      </c>
      <c r="V140" s="8" t="s">
        <v>240</v>
      </c>
      <c r="W140" s="8" t="s">
        <v>240</v>
      </c>
      <c r="X140" s="8" t="s">
        <v>240</v>
      </c>
      <c r="Y140" s="8" t="s">
        <v>442</v>
      </c>
      <c r="Z140" s="6" t="b">
        <v>0</v>
      </c>
      <c r="AA140" s="9"/>
      <c r="AB140" s="9"/>
    </row>
    <row r="141" spans="1:28" ht="16">
      <c r="A141" s="6">
        <v>146</v>
      </c>
      <c r="B141" s="8" t="s">
        <v>443</v>
      </c>
      <c r="C141" s="8" t="s">
        <v>444</v>
      </c>
      <c r="D141" s="8" t="s">
        <v>445</v>
      </c>
      <c r="E141" s="8" t="s">
        <v>445</v>
      </c>
      <c r="F141" s="6">
        <v>146</v>
      </c>
      <c r="G141" s="6" t="b">
        <v>0</v>
      </c>
      <c r="H141" s="8" t="s">
        <v>240</v>
      </c>
      <c r="I141" s="6" t="b">
        <v>0</v>
      </c>
      <c r="J141" s="6" t="b">
        <v>0</v>
      </c>
      <c r="K141" s="6" t="b">
        <v>0</v>
      </c>
      <c r="L141" s="6" t="b">
        <v>0</v>
      </c>
      <c r="M141" s="6" t="b">
        <v>0</v>
      </c>
      <c r="N141" s="6">
        <v>10</v>
      </c>
      <c r="O141" s="8" t="s">
        <v>237</v>
      </c>
      <c r="P141" s="8" t="s">
        <v>350</v>
      </c>
      <c r="Q141" s="8" t="s">
        <v>446</v>
      </c>
      <c r="R141" s="6">
        <v>10</v>
      </c>
      <c r="S141" s="8" t="s">
        <v>75</v>
      </c>
      <c r="T141" s="9"/>
      <c r="U141" s="8" t="s">
        <v>240</v>
      </c>
      <c r="V141" s="8" t="s">
        <v>447</v>
      </c>
      <c r="W141" s="8" t="s">
        <v>240</v>
      </c>
      <c r="X141" s="8" t="s">
        <v>240</v>
      </c>
      <c r="Y141" s="8" t="s">
        <v>240</v>
      </c>
      <c r="Z141" s="6" t="b">
        <v>0</v>
      </c>
      <c r="AA141" s="9"/>
      <c r="AB141" s="9"/>
    </row>
    <row r="142" spans="1:28" ht="16">
      <c r="A142" s="6">
        <v>147</v>
      </c>
      <c r="B142" s="8" t="s">
        <v>443</v>
      </c>
      <c r="C142" s="8" t="s">
        <v>448</v>
      </c>
      <c r="D142" s="8" t="s">
        <v>449</v>
      </c>
      <c r="E142" s="8" t="s">
        <v>449</v>
      </c>
      <c r="F142" s="6">
        <v>147</v>
      </c>
      <c r="G142" s="6" t="b">
        <v>0</v>
      </c>
      <c r="H142" s="8" t="s">
        <v>240</v>
      </c>
      <c r="I142" s="6" t="b">
        <v>0</v>
      </c>
      <c r="J142" s="6" t="b">
        <v>0</v>
      </c>
      <c r="K142" s="6" t="b">
        <v>0</v>
      </c>
      <c r="L142" s="6" t="b">
        <v>0</v>
      </c>
      <c r="M142" s="6" t="b">
        <v>0</v>
      </c>
      <c r="N142" s="6">
        <v>10</v>
      </c>
      <c r="O142" s="8" t="s">
        <v>237</v>
      </c>
      <c r="P142" s="8" t="s">
        <v>350</v>
      </c>
      <c r="Q142" s="8" t="s">
        <v>237</v>
      </c>
      <c r="R142" s="6">
        <v>10</v>
      </c>
      <c r="S142" s="8" t="s">
        <v>75</v>
      </c>
      <c r="T142" s="9"/>
      <c r="U142" s="8" t="s">
        <v>240</v>
      </c>
      <c r="V142" s="8" t="s">
        <v>450</v>
      </c>
      <c r="W142" s="8" t="s">
        <v>240</v>
      </c>
      <c r="X142" s="8" t="s">
        <v>240</v>
      </c>
      <c r="Y142" s="8" t="s">
        <v>451</v>
      </c>
      <c r="Z142" s="6" t="b">
        <v>0</v>
      </c>
      <c r="AA142" s="9"/>
      <c r="AB142" s="9"/>
    </row>
    <row r="143" spans="1:28" ht="16">
      <c r="A143" s="6">
        <v>148</v>
      </c>
      <c r="B143" s="8" t="s">
        <v>443</v>
      </c>
      <c r="C143" s="8" t="s">
        <v>452</v>
      </c>
      <c r="D143" s="8" t="s">
        <v>453</v>
      </c>
      <c r="E143" s="8" t="s">
        <v>453</v>
      </c>
      <c r="F143" s="6">
        <v>148</v>
      </c>
      <c r="G143" s="6" t="b">
        <v>0</v>
      </c>
      <c r="H143" s="8" t="s">
        <v>240</v>
      </c>
      <c r="I143" s="6" t="b">
        <v>0</v>
      </c>
      <c r="J143" s="6" t="b">
        <v>0</v>
      </c>
      <c r="K143" s="6" t="b">
        <v>0</v>
      </c>
      <c r="L143" s="6" t="b">
        <v>0</v>
      </c>
      <c r="M143" s="6" t="b">
        <v>0</v>
      </c>
      <c r="N143" s="6">
        <v>10</v>
      </c>
      <c r="O143" s="8" t="s">
        <v>237</v>
      </c>
      <c r="P143" s="8" t="s">
        <v>240</v>
      </c>
      <c r="Q143" s="8" t="s">
        <v>240</v>
      </c>
      <c r="R143" s="6">
        <v>10</v>
      </c>
      <c r="S143" s="8" t="s">
        <v>237</v>
      </c>
      <c r="T143" s="9"/>
      <c r="U143" s="8" t="s">
        <v>240</v>
      </c>
      <c r="V143" s="8" t="s">
        <v>240</v>
      </c>
      <c r="W143" s="8" t="s">
        <v>240</v>
      </c>
      <c r="X143" s="8" t="s">
        <v>240</v>
      </c>
      <c r="Y143" s="8" t="s">
        <v>240</v>
      </c>
      <c r="Z143" s="6" t="b">
        <v>0</v>
      </c>
      <c r="AA143" s="9"/>
      <c r="AB143" s="9"/>
    </row>
    <row r="144" spans="1:28" ht="16">
      <c r="A144" s="6">
        <v>149</v>
      </c>
      <c r="B144" s="8" t="s">
        <v>443</v>
      </c>
      <c r="C144" s="8" t="s">
        <v>452</v>
      </c>
      <c r="D144" s="8" t="s">
        <v>454</v>
      </c>
      <c r="E144" s="8" t="s">
        <v>454</v>
      </c>
      <c r="F144" s="6">
        <v>149</v>
      </c>
      <c r="G144" s="6" t="b">
        <v>0</v>
      </c>
      <c r="H144" s="8" t="s">
        <v>240</v>
      </c>
      <c r="I144" s="6" t="b">
        <v>0</v>
      </c>
      <c r="J144" s="6" t="b">
        <v>0</v>
      </c>
      <c r="K144" s="6" t="b">
        <v>0</v>
      </c>
      <c r="L144" s="6" t="b">
        <v>0</v>
      </c>
      <c r="M144" s="6" t="b">
        <v>0</v>
      </c>
      <c r="N144" s="6">
        <v>10</v>
      </c>
      <c r="O144" s="8" t="s">
        <v>237</v>
      </c>
      <c r="P144" s="8" t="s">
        <v>350</v>
      </c>
      <c r="Q144" s="8" t="s">
        <v>446</v>
      </c>
      <c r="R144" s="6">
        <v>10</v>
      </c>
      <c r="S144" s="8" t="s">
        <v>75</v>
      </c>
      <c r="T144" s="9"/>
      <c r="U144" s="8" t="s">
        <v>240</v>
      </c>
      <c r="V144" s="8" t="s">
        <v>450</v>
      </c>
      <c r="W144" s="8" t="s">
        <v>240</v>
      </c>
      <c r="X144" s="8" t="s">
        <v>240</v>
      </c>
      <c r="Y144" s="8" t="s">
        <v>240</v>
      </c>
      <c r="Z144" s="6" t="b">
        <v>0</v>
      </c>
      <c r="AA144" s="9"/>
      <c r="AB144" s="9"/>
    </row>
    <row r="145" spans="1:28" ht="16">
      <c r="A145" s="6">
        <v>150</v>
      </c>
      <c r="B145" s="8" t="s">
        <v>443</v>
      </c>
      <c r="C145" s="8" t="s">
        <v>452</v>
      </c>
      <c r="D145" s="8" t="s">
        <v>452</v>
      </c>
      <c r="E145" s="8" t="s">
        <v>452</v>
      </c>
      <c r="F145" s="6">
        <v>150</v>
      </c>
      <c r="G145" s="6" t="b">
        <v>0</v>
      </c>
      <c r="H145" s="8" t="s">
        <v>240</v>
      </c>
      <c r="I145" s="6" t="b">
        <v>0</v>
      </c>
      <c r="J145" s="6" t="b">
        <v>0</v>
      </c>
      <c r="K145" s="6" t="b">
        <v>0</v>
      </c>
      <c r="L145" s="6" t="b">
        <v>0</v>
      </c>
      <c r="M145" s="6" t="b">
        <v>0</v>
      </c>
      <c r="N145" s="6">
        <v>10</v>
      </c>
      <c r="O145" s="8" t="s">
        <v>237</v>
      </c>
      <c r="P145" s="8" t="s">
        <v>350</v>
      </c>
      <c r="Q145" s="8" t="s">
        <v>446</v>
      </c>
      <c r="R145" s="6">
        <v>10</v>
      </c>
      <c r="S145" s="8" t="s">
        <v>75</v>
      </c>
      <c r="T145" s="9"/>
      <c r="U145" s="8" t="s">
        <v>240</v>
      </c>
      <c r="V145" s="8" t="s">
        <v>240</v>
      </c>
      <c r="W145" s="8" t="s">
        <v>240</v>
      </c>
      <c r="X145" s="8" t="s">
        <v>240</v>
      </c>
      <c r="Y145" s="8" t="s">
        <v>240</v>
      </c>
      <c r="Z145" s="6" t="b">
        <v>0</v>
      </c>
      <c r="AA145" s="9"/>
      <c r="AB145" s="9"/>
    </row>
    <row r="146" spans="1:28" ht="16">
      <c r="A146" s="6">
        <v>151</v>
      </c>
      <c r="B146" s="8" t="s">
        <v>443</v>
      </c>
      <c r="C146" s="8" t="s">
        <v>444</v>
      </c>
      <c r="D146" s="8" t="s">
        <v>455</v>
      </c>
      <c r="E146" s="8" t="s">
        <v>455</v>
      </c>
      <c r="F146" s="6">
        <v>151</v>
      </c>
      <c r="G146" s="6" t="b">
        <v>0</v>
      </c>
      <c r="H146" s="8" t="s">
        <v>240</v>
      </c>
      <c r="I146" s="6" t="b">
        <v>0</v>
      </c>
      <c r="J146" s="6" t="b">
        <v>0</v>
      </c>
      <c r="K146" s="6" t="b">
        <v>0</v>
      </c>
      <c r="L146" s="6" t="b">
        <v>0</v>
      </c>
      <c r="M146" s="6" t="b">
        <v>0</v>
      </c>
      <c r="N146" s="6">
        <v>10</v>
      </c>
      <c r="O146" s="8" t="s">
        <v>237</v>
      </c>
      <c r="P146" s="8" t="s">
        <v>240</v>
      </c>
      <c r="Q146" s="8" t="s">
        <v>240</v>
      </c>
      <c r="R146" s="6">
        <v>10</v>
      </c>
      <c r="S146" s="8" t="s">
        <v>75</v>
      </c>
      <c r="T146" s="9"/>
      <c r="U146" s="8" t="s">
        <v>240</v>
      </c>
      <c r="V146" s="8" t="s">
        <v>240</v>
      </c>
      <c r="W146" s="8" t="s">
        <v>240</v>
      </c>
      <c r="X146" s="8" t="s">
        <v>240</v>
      </c>
      <c r="Y146" s="8" t="s">
        <v>456</v>
      </c>
      <c r="Z146" s="6" t="b">
        <v>0</v>
      </c>
      <c r="AA146" s="9"/>
      <c r="AB146" s="9"/>
    </row>
    <row r="147" spans="1:28" ht="16">
      <c r="A147" s="6">
        <v>152</v>
      </c>
      <c r="B147" s="8" t="s">
        <v>443</v>
      </c>
      <c r="C147" s="8" t="s">
        <v>457</v>
      </c>
      <c r="D147" s="8" t="s">
        <v>458</v>
      </c>
      <c r="E147" s="8" t="s">
        <v>458</v>
      </c>
      <c r="F147" s="6">
        <v>152</v>
      </c>
      <c r="G147" s="6" t="b">
        <v>0</v>
      </c>
      <c r="H147" s="8" t="s">
        <v>240</v>
      </c>
      <c r="I147" s="6" t="b">
        <v>0</v>
      </c>
      <c r="J147" s="6" t="b">
        <v>0</v>
      </c>
      <c r="K147" s="6" t="b">
        <v>0</v>
      </c>
      <c r="L147" s="6" t="b">
        <v>0</v>
      </c>
      <c r="M147" s="6" t="b">
        <v>0</v>
      </c>
      <c r="N147" s="6">
        <v>10</v>
      </c>
      <c r="O147" s="8" t="s">
        <v>237</v>
      </c>
      <c r="P147" s="8" t="s">
        <v>350</v>
      </c>
      <c r="Q147" s="8" t="s">
        <v>446</v>
      </c>
      <c r="R147" s="6">
        <v>10</v>
      </c>
      <c r="S147" s="8" t="s">
        <v>237</v>
      </c>
      <c r="T147" s="9"/>
      <c r="U147" s="8" t="s">
        <v>459</v>
      </c>
      <c r="V147" s="8" t="s">
        <v>240</v>
      </c>
      <c r="W147" s="8" t="s">
        <v>240</v>
      </c>
      <c r="X147" s="8" t="s">
        <v>240</v>
      </c>
      <c r="Y147" s="8" t="s">
        <v>240</v>
      </c>
      <c r="Z147" s="6" t="b">
        <v>0</v>
      </c>
      <c r="AA147" s="9"/>
      <c r="AB147" s="9"/>
    </row>
    <row r="148" spans="1:28" ht="16">
      <c r="A148" s="6">
        <v>153</v>
      </c>
      <c r="B148" s="8" t="s">
        <v>443</v>
      </c>
      <c r="C148" s="8" t="s">
        <v>457</v>
      </c>
      <c r="D148" s="8" t="s">
        <v>460</v>
      </c>
      <c r="E148" s="8" t="s">
        <v>460</v>
      </c>
      <c r="F148" s="6">
        <v>153</v>
      </c>
      <c r="G148" s="6" t="b">
        <v>0</v>
      </c>
      <c r="H148" s="8" t="s">
        <v>240</v>
      </c>
      <c r="I148" s="6" t="b">
        <v>0</v>
      </c>
      <c r="J148" s="6" t="b">
        <v>0</v>
      </c>
      <c r="K148" s="6" t="b">
        <v>0</v>
      </c>
      <c r="L148" s="6" t="b">
        <v>0</v>
      </c>
      <c r="M148" s="6" t="b">
        <v>0</v>
      </c>
      <c r="N148" s="6">
        <v>10</v>
      </c>
      <c r="O148" s="8" t="s">
        <v>237</v>
      </c>
      <c r="P148" s="8" t="s">
        <v>350</v>
      </c>
      <c r="Q148" s="8" t="s">
        <v>446</v>
      </c>
      <c r="R148" s="6">
        <v>10</v>
      </c>
      <c r="S148" s="8" t="s">
        <v>237</v>
      </c>
      <c r="T148" s="9"/>
      <c r="U148" s="8" t="s">
        <v>240</v>
      </c>
      <c r="V148" s="8" t="s">
        <v>240</v>
      </c>
      <c r="W148" s="8" t="s">
        <v>240</v>
      </c>
      <c r="X148" s="8" t="s">
        <v>240</v>
      </c>
      <c r="Y148" s="8" t="s">
        <v>461</v>
      </c>
      <c r="Z148" s="6" t="b">
        <v>0</v>
      </c>
      <c r="AA148" s="9"/>
      <c r="AB148" s="9"/>
    </row>
    <row r="149" spans="1:28" ht="16">
      <c r="A149" s="6">
        <v>154</v>
      </c>
      <c r="B149" s="8" t="s">
        <v>443</v>
      </c>
      <c r="C149" s="8" t="s">
        <v>457</v>
      </c>
      <c r="D149" s="8" t="s">
        <v>457</v>
      </c>
      <c r="E149" s="8" t="s">
        <v>457</v>
      </c>
      <c r="F149" s="6">
        <v>154</v>
      </c>
      <c r="G149" s="6" t="b">
        <v>0</v>
      </c>
      <c r="H149" s="8" t="s">
        <v>240</v>
      </c>
      <c r="I149" s="6" t="b">
        <v>0</v>
      </c>
      <c r="J149" s="6" t="b">
        <v>0</v>
      </c>
      <c r="K149" s="6" t="b">
        <v>0</v>
      </c>
      <c r="L149" s="6" t="b">
        <v>0</v>
      </c>
      <c r="M149" s="6" t="b">
        <v>0</v>
      </c>
      <c r="N149" s="6">
        <v>10</v>
      </c>
      <c r="O149" s="8" t="s">
        <v>237</v>
      </c>
      <c r="P149" s="8" t="s">
        <v>350</v>
      </c>
      <c r="Q149" s="8" t="s">
        <v>446</v>
      </c>
      <c r="R149" s="6">
        <v>10</v>
      </c>
      <c r="S149" s="8" t="s">
        <v>237</v>
      </c>
      <c r="T149" s="9"/>
      <c r="U149" s="8" t="s">
        <v>240</v>
      </c>
      <c r="V149" s="8" t="s">
        <v>240</v>
      </c>
      <c r="W149" s="8" t="s">
        <v>240</v>
      </c>
      <c r="X149" s="8" t="s">
        <v>240</v>
      </c>
      <c r="Y149" s="8" t="s">
        <v>462</v>
      </c>
      <c r="Z149" s="6" t="b">
        <v>0</v>
      </c>
      <c r="AA149" s="9"/>
      <c r="AB149" s="9"/>
    </row>
    <row r="150" spans="1:28" ht="16">
      <c r="A150" s="6">
        <v>155</v>
      </c>
      <c r="B150" s="8" t="s">
        <v>443</v>
      </c>
      <c r="C150" s="8" t="s">
        <v>444</v>
      </c>
      <c r="D150" s="8" t="s">
        <v>463</v>
      </c>
      <c r="E150" s="8" t="s">
        <v>463</v>
      </c>
      <c r="F150" s="6">
        <v>155</v>
      </c>
      <c r="G150" s="6" t="b">
        <v>0</v>
      </c>
      <c r="H150" s="8" t="s">
        <v>240</v>
      </c>
      <c r="I150" s="6" t="b">
        <v>0</v>
      </c>
      <c r="J150" s="6" t="b">
        <v>0</v>
      </c>
      <c r="K150" s="6" t="b">
        <v>0</v>
      </c>
      <c r="L150" s="6" t="b">
        <v>0</v>
      </c>
      <c r="M150" s="6" t="b">
        <v>0</v>
      </c>
      <c r="N150" s="6">
        <v>10</v>
      </c>
      <c r="O150" s="8" t="s">
        <v>237</v>
      </c>
      <c r="P150" s="8" t="s">
        <v>350</v>
      </c>
      <c r="Q150" s="8" t="s">
        <v>446</v>
      </c>
      <c r="R150" s="6">
        <v>10</v>
      </c>
      <c r="S150" s="8" t="s">
        <v>75</v>
      </c>
      <c r="T150" s="9"/>
      <c r="U150" s="8" t="s">
        <v>240</v>
      </c>
      <c r="V150" s="8" t="s">
        <v>240</v>
      </c>
      <c r="W150" s="8" t="s">
        <v>240</v>
      </c>
      <c r="X150" s="8" t="s">
        <v>240</v>
      </c>
      <c r="Y150" s="8" t="s">
        <v>240</v>
      </c>
      <c r="Z150" s="6" t="b">
        <v>0</v>
      </c>
      <c r="AA150" s="9"/>
      <c r="AB150" s="9"/>
    </row>
    <row r="151" spans="1:28" ht="16">
      <c r="A151" s="6">
        <v>156</v>
      </c>
      <c r="B151" s="8" t="s">
        <v>443</v>
      </c>
      <c r="C151" s="8" t="s">
        <v>444</v>
      </c>
      <c r="D151" s="8" t="s">
        <v>444</v>
      </c>
      <c r="E151" s="8" t="s">
        <v>444</v>
      </c>
      <c r="F151" s="6">
        <v>156</v>
      </c>
      <c r="G151" s="6" t="b">
        <v>0</v>
      </c>
      <c r="H151" s="8" t="s">
        <v>240</v>
      </c>
      <c r="I151" s="6" t="b">
        <v>0</v>
      </c>
      <c r="J151" s="6" t="b">
        <v>0</v>
      </c>
      <c r="K151" s="6" t="b">
        <v>0</v>
      </c>
      <c r="L151" s="6" t="b">
        <v>0</v>
      </c>
      <c r="M151" s="6" t="b">
        <v>0</v>
      </c>
      <c r="N151" s="6">
        <v>10</v>
      </c>
      <c r="O151" s="8" t="s">
        <v>237</v>
      </c>
      <c r="P151" s="8" t="s">
        <v>350</v>
      </c>
      <c r="Q151" s="8" t="s">
        <v>446</v>
      </c>
      <c r="R151" s="6">
        <v>10</v>
      </c>
      <c r="S151" s="8" t="s">
        <v>237</v>
      </c>
      <c r="T151" s="9"/>
      <c r="U151" s="8" t="s">
        <v>240</v>
      </c>
      <c r="V151" s="8" t="s">
        <v>447</v>
      </c>
      <c r="W151" s="8" t="s">
        <v>240</v>
      </c>
      <c r="X151" s="8" t="s">
        <v>240</v>
      </c>
      <c r="Y151" s="8" t="s">
        <v>240</v>
      </c>
      <c r="Z151" s="6" t="b">
        <v>0</v>
      </c>
      <c r="AA151" s="9"/>
      <c r="AB151" s="9"/>
    </row>
    <row r="152" spans="1:28" ht="16">
      <c r="A152" s="6">
        <v>157</v>
      </c>
      <c r="B152" s="8" t="s">
        <v>443</v>
      </c>
      <c r="C152" s="8" t="s">
        <v>444</v>
      </c>
      <c r="D152" s="8" t="s">
        <v>464</v>
      </c>
      <c r="E152" s="8" t="s">
        <v>464</v>
      </c>
      <c r="F152" s="6">
        <v>157</v>
      </c>
      <c r="G152" s="6" t="b">
        <v>0</v>
      </c>
      <c r="H152" s="8" t="s">
        <v>240</v>
      </c>
      <c r="I152" s="6" t="b">
        <v>0</v>
      </c>
      <c r="J152" s="6" t="b">
        <v>0</v>
      </c>
      <c r="K152" s="6" t="b">
        <v>0</v>
      </c>
      <c r="L152" s="6" t="b">
        <v>0</v>
      </c>
      <c r="M152" s="6" t="b">
        <v>0</v>
      </c>
      <c r="N152" s="6">
        <v>10</v>
      </c>
      <c r="O152" s="8" t="s">
        <v>237</v>
      </c>
      <c r="P152" s="8" t="s">
        <v>350</v>
      </c>
      <c r="Q152" s="8" t="s">
        <v>446</v>
      </c>
      <c r="R152" s="6">
        <v>10</v>
      </c>
      <c r="S152" s="8" t="s">
        <v>75</v>
      </c>
      <c r="T152" s="6">
        <v>5</v>
      </c>
      <c r="U152" s="8" t="s">
        <v>240</v>
      </c>
      <c r="V152" s="8" t="s">
        <v>447</v>
      </c>
      <c r="W152" s="8" t="s">
        <v>240</v>
      </c>
      <c r="X152" s="8" t="s">
        <v>240</v>
      </c>
      <c r="Y152" s="8" t="s">
        <v>240</v>
      </c>
      <c r="Z152" s="6" t="b">
        <v>0</v>
      </c>
      <c r="AA152" s="9"/>
      <c r="AB152" s="9"/>
    </row>
    <row r="153" spans="1:28" ht="16">
      <c r="A153" s="6">
        <v>158</v>
      </c>
      <c r="B153" s="8" t="s">
        <v>443</v>
      </c>
      <c r="C153" s="8" t="s">
        <v>444</v>
      </c>
      <c r="D153" s="8" t="s">
        <v>465</v>
      </c>
      <c r="E153" s="8" t="s">
        <v>464</v>
      </c>
      <c r="F153" s="6">
        <v>157</v>
      </c>
      <c r="G153" s="6" t="b">
        <v>0</v>
      </c>
      <c r="H153" s="8" t="s">
        <v>240</v>
      </c>
      <c r="I153" s="6" t="b">
        <v>0</v>
      </c>
      <c r="J153" s="6" t="b">
        <v>0</v>
      </c>
      <c r="K153" s="6" t="b">
        <v>0</v>
      </c>
      <c r="L153" s="6" t="b">
        <v>0</v>
      </c>
      <c r="M153" s="6" t="b">
        <v>0</v>
      </c>
      <c r="N153" s="6">
        <v>10</v>
      </c>
      <c r="O153" s="8" t="s">
        <v>237</v>
      </c>
      <c r="P153" s="8" t="s">
        <v>350</v>
      </c>
      <c r="Q153" s="8" t="s">
        <v>446</v>
      </c>
      <c r="R153" s="6">
        <v>10</v>
      </c>
      <c r="S153" s="8" t="s">
        <v>75</v>
      </c>
      <c r="T153" s="9"/>
      <c r="U153" s="8" t="s">
        <v>240</v>
      </c>
      <c r="V153" s="8" t="s">
        <v>447</v>
      </c>
      <c r="W153" s="8" t="s">
        <v>240</v>
      </c>
      <c r="X153" s="8" t="s">
        <v>240</v>
      </c>
      <c r="Y153" s="8" t="s">
        <v>240</v>
      </c>
      <c r="Z153" s="6" t="b">
        <v>0</v>
      </c>
      <c r="AA153" s="9"/>
      <c r="AB153" s="9"/>
    </row>
    <row r="154" spans="1:28" ht="16">
      <c r="A154" s="6">
        <v>159</v>
      </c>
      <c r="B154" s="8" t="s">
        <v>443</v>
      </c>
      <c r="C154" s="8" t="s">
        <v>457</v>
      </c>
      <c r="D154" s="8" t="s">
        <v>466</v>
      </c>
      <c r="E154" s="8" t="s">
        <v>466</v>
      </c>
      <c r="F154" s="6">
        <v>159</v>
      </c>
      <c r="G154" s="6" t="b">
        <v>0</v>
      </c>
      <c r="H154" s="8" t="s">
        <v>240</v>
      </c>
      <c r="I154" s="6" t="b">
        <v>0</v>
      </c>
      <c r="J154" s="6" t="b">
        <v>0</v>
      </c>
      <c r="K154" s="6" t="b">
        <v>0</v>
      </c>
      <c r="L154" s="6" t="b">
        <v>0</v>
      </c>
      <c r="M154" s="6" t="b">
        <v>0</v>
      </c>
      <c r="N154" s="6">
        <v>10</v>
      </c>
      <c r="O154" s="8" t="s">
        <v>237</v>
      </c>
      <c r="P154" s="8" t="s">
        <v>240</v>
      </c>
      <c r="Q154" s="8" t="s">
        <v>240</v>
      </c>
      <c r="R154" s="6">
        <v>10</v>
      </c>
      <c r="S154" s="8" t="s">
        <v>237</v>
      </c>
      <c r="T154" s="9"/>
      <c r="U154" s="8" t="s">
        <v>240</v>
      </c>
      <c r="V154" s="8" t="s">
        <v>240</v>
      </c>
      <c r="W154" s="8" t="s">
        <v>240</v>
      </c>
      <c r="X154" s="8" t="s">
        <v>240</v>
      </c>
      <c r="Y154" s="8" t="s">
        <v>240</v>
      </c>
      <c r="Z154" s="6" t="b">
        <v>0</v>
      </c>
      <c r="AA154" s="9"/>
      <c r="AB154" s="9"/>
    </row>
    <row r="155" spans="1:28" ht="16">
      <c r="A155" s="6">
        <v>160</v>
      </c>
      <c r="B155" s="8" t="s">
        <v>443</v>
      </c>
      <c r="C155" s="8" t="s">
        <v>467</v>
      </c>
      <c r="D155" s="8" t="s">
        <v>467</v>
      </c>
      <c r="E155" s="8" t="s">
        <v>467</v>
      </c>
      <c r="F155" s="6">
        <v>160</v>
      </c>
      <c r="G155" s="6" t="b">
        <v>0</v>
      </c>
      <c r="H155" s="8" t="s">
        <v>240</v>
      </c>
      <c r="I155" s="6" t="b">
        <v>0</v>
      </c>
      <c r="J155" s="6" t="b">
        <v>0</v>
      </c>
      <c r="K155" s="6" t="b">
        <v>0</v>
      </c>
      <c r="L155" s="6" t="b">
        <v>0</v>
      </c>
      <c r="M155" s="6" t="b">
        <v>0</v>
      </c>
      <c r="N155" s="6">
        <v>10</v>
      </c>
      <c r="O155" s="8" t="s">
        <v>237</v>
      </c>
      <c r="P155" s="8" t="s">
        <v>240</v>
      </c>
      <c r="Q155" s="8" t="s">
        <v>240</v>
      </c>
      <c r="R155" s="6">
        <v>10</v>
      </c>
      <c r="S155" s="8" t="s">
        <v>75</v>
      </c>
      <c r="T155" s="9"/>
      <c r="U155" s="8" t="s">
        <v>240</v>
      </c>
      <c r="V155" s="8" t="s">
        <v>240</v>
      </c>
      <c r="W155" s="8" t="s">
        <v>240</v>
      </c>
      <c r="X155" s="8" t="s">
        <v>240</v>
      </c>
      <c r="Y155" s="8" t="s">
        <v>468</v>
      </c>
      <c r="Z155" s="6" t="b">
        <v>0</v>
      </c>
      <c r="AA155" s="9"/>
      <c r="AB155" s="9"/>
    </row>
    <row r="156" spans="1:28" ht="16">
      <c r="A156" s="6">
        <v>161</v>
      </c>
      <c r="B156" s="8" t="s">
        <v>443</v>
      </c>
      <c r="C156" s="8" t="s">
        <v>467</v>
      </c>
      <c r="D156" s="8" t="s">
        <v>469</v>
      </c>
      <c r="E156" s="8" t="s">
        <v>469</v>
      </c>
      <c r="F156" s="6">
        <v>161</v>
      </c>
      <c r="G156" s="6" t="b">
        <v>0</v>
      </c>
      <c r="H156" s="8" t="s">
        <v>240</v>
      </c>
      <c r="I156" s="6" t="b">
        <v>0</v>
      </c>
      <c r="J156" s="6" t="b">
        <v>0</v>
      </c>
      <c r="K156" s="6" t="b">
        <v>0</v>
      </c>
      <c r="L156" s="6" t="b">
        <v>0</v>
      </c>
      <c r="M156" s="6" t="b">
        <v>0</v>
      </c>
      <c r="N156" s="6">
        <v>10</v>
      </c>
      <c r="O156" s="8" t="s">
        <v>237</v>
      </c>
      <c r="P156" s="8" t="s">
        <v>240</v>
      </c>
      <c r="Q156" s="8" t="s">
        <v>240</v>
      </c>
      <c r="R156" s="6">
        <v>10</v>
      </c>
      <c r="S156" s="8" t="s">
        <v>75</v>
      </c>
      <c r="T156" s="9"/>
      <c r="U156" s="8" t="s">
        <v>240</v>
      </c>
      <c r="V156" s="8" t="s">
        <v>240</v>
      </c>
      <c r="W156" s="8" t="s">
        <v>240</v>
      </c>
      <c r="X156" s="8" t="s">
        <v>240</v>
      </c>
      <c r="Y156" s="8" t="s">
        <v>240</v>
      </c>
      <c r="Z156" s="6" t="b">
        <v>0</v>
      </c>
      <c r="AA156" s="9"/>
      <c r="AB156" s="9"/>
    </row>
    <row r="157" spans="1:28" ht="16">
      <c r="A157" s="6">
        <v>162</v>
      </c>
      <c r="B157" s="8" t="s">
        <v>443</v>
      </c>
      <c r="C157" s="8" t="s">
        <v>448</v>
      </c>
      <c r="D157" s="8" t="s">
        <v>470</v>
      </c>
      <c r="E157" s="8" t="s">
        <v>470</v>
      </c>
      <c r="F157" s="6">
        <v>162</v>
      </c>
      <c r="G157" s="6" t="b">
        <v>0</v>
      </c>
      <c r="H157" s="8" t="s">
        <v>240</v>
      </c>
      <c r="I157" s="6" t="b">
        <v>0</v>
      </c>
      <c r="J157" s="6" t="b">
        <v>0</v>
      </c>
      <c r="K157" s="6" t="b">
        <v>0</v>
      </c>
      <c r="L157" s="6" t="b">
        <v>0</v>
      </c>
      <c r="M157" s="6" t="b">
        <v>0</v>
      </c>
      <c r="N157" s="6">
        <v>10</v>
      </c>
      <c r="O157" s="8" t="s">
        <v>237</v>
      </c>
      <c r="P157" s="8" t="s">
        <v>350</v>
      </c>
      <c r="Q157" s="8" t="s">
        <v>446</v>
      </c>
      <c r="R157" s="6">
        <v>10</v>
      </c>
      <c r="S157" s="8" t="s">
        <v>75</v>
      </c>
      <c r="T157" s="9"/>
      <c r="U157" s="8" t="s">
        <v>240</v>
      </c>
      <c r="V157" s="8" t="s">
        <v>450</v>
      </c>
      <c r="W157" s="8" t="s">
        <v>240</v>
      </c>
      <c r="X157" s="8" t="s">
        <v>240</v>
      </c>
      <c r="Y157" s="8" t="s">
        <v>240</v>
      </c>
      <c r="Z157" s="6" t="b">
        <v>0</v>
      </c>
      <c r="AA157" s="9"/>
      <c r="AB157" s="9"/>
    </row>
    <row r="158" spans="1:28" ht="16">
      <c r="A158" s="6">
        <v>163</v>
      </c>
      <c r="B158" s="8" t="s">
        <v>443</v>
      </c>
      <c r="C158" s="8" t="s">
        <v>448</v>
      </c>
      <c r="D158" s="8" t="s">
        <v>471</v>
      </c>
      <c r="E158" s="8" t="s">
        <v>470</v>
      </c>
      <c r="F158" s="6">
        <v>162</v>
      </c>
      <c r="G158" s="6" t="b">
        <v>0</v>
      </c>
      <c r="H158" s="8" t="s">
        <v>240</v>
      </c>
      <c r="I158" s="6" t="b">
        <v>0</v>
      </c>
      <c r="J158" s="6" t="b">
        <v>0</v>
      </c>
      <c r="K158" s="6" t="b">
        <v>0</v>
      </c>
      <c r="L158" s="6" t="b">
        <v>0</v>
      </c>
      <c r="M158" s="6" t="b">
        <v>0</v>
      </c>
      <c r="N158" s="6">
        <v>10</v>
      </c>
      <c r="O158" s="8" t="s">
        <v>237</v>
      </c>
      <c r="P158" s="8" t="s">
        <v>350</v>
      </c>
      <c r="Q158" s="8" t="s">
        <v>446</v>
      </c>
      <c r="R158" s="6">
        <v>10</v>
      </c>
      <c r="S158" s="8" t="s">
        <v>75</v>
      </c>
      <c r="T158" s="9"/>
      <c r="U158" s="8" t="s">
        <v>240</v>
      </c>
      <c r="V158" s="8" t="s">
        <v>450</v>
      </c>
      <c r="W158" s="8" t="s">
        <v>240</v>
      </c>
      <c r="X158" s="8" t="s">
        <v>240</v>
      </c>
      <c r="Y158" s="8" t="s">
        <v>240</v>
      </c>
      <c r="Z158" s="6" t="b">
        <v>0</v>
      </c>
      <c r="AA158" s="9"/>
      <c r="AB158" s="9"/>
    </row>
    <row r="159" spans="1:28" ht="16">
      <c r="A159" s="6">
        <v>164</v>
      </c>
      <c r="B159" s="8" t="s">
        <v>443</v>
      </c>
      <c r="C159" s="8" t="s">
        <v>448</v>
      </c>
      <c r="D159" s="8" t="s">
        <v>448</v>
      </c>
      <c r="E159" s="8" t="s">
        <v>448</v>
      </c>
      <c r="F159" s="6">
        <v>164</v>
      </c>
      <c r="G159" s="6" t="b">
        <v>0</v>
      </c>
      <c r="H159" s="8" t="s">
        <v>240</v>
      </c>
      <c r="I159" s="6" t="b">
        <v>0</v>
      </c>
      <c r="J159" s="6" t="b">
        <v>0</v>
      </c>
      <c r="K159" s="6" t="b">
        <v>0</v>
      </c>
      <c r="L159" s="6" t="b">
        <v>0</v>
      </c>
      <c r="M159" s="6" t="b">
        <v>0</v>
      </c>
      <c r="N159" s="6">
        <v>10</v>
      </c>
      <c r="O159" s="8" t="s">
        <v>237</v>
      </c>
      <c r="P159" s="8" t="s">
        <v>240</v>
      </c>
      <c r="Q159" s="8" t="s">
        <v>240</v>
      </c>
      <c r="R159" s="6">
        <v>10</v>
      </c>
      <c r="S159" s="8" t="s">
        <v>75</v>
      </c>
      <c r="T159" s="9"/>
      <c r="U159" s="8" t="s">
        <v>240</v>
      </c>
      <c r="V159" s="8" t="s">
        <v>450</v>
      </c>
      <c r="W159" s="8" t="s">
        <v>240</v>
      </c>
      <c r="X159" s="8" t="s">
        <v>240</v>
      </c>
      <c r="Y159" s="8" t="s">
        <v>240</v>
      </c>
      <c r="Z159" s="6" t="b">
        <v>0</v>
      </c>
      <c r="AA159" s="9"/>
      <c r="AB159" s="9"/>
    </row>
    <row r="160" spans="1:28" ht="16">
      <c r="A160" s="6">
        <v>165</v>
      </c>
      <c r="B160" s="8" t="s">
        <v>443</v>
      </c>
      <c r="C160" s="8" t="s">
        <v>457</v>
      </c>
      <c r="D160" s="8" t="s">
        <v>472</v>
      </c>
      <c r="E160" s="8" t="s">
        <v>472</v>
      </c>
      <c r="F160" s="6">
        <v>165</v>
      </c>
      <c r="G160" s="6" t="b">
        <v>0</v>
      </c>
      <c r="H160" s="8" t="s">
        <v>240</v>
      </c>
      <c r="I160" s="6" t="b">
        <v>0</v>
      </c>
      <c r="J160" s="6" t="b">
        <v>0</v>
      </c>
      <c r="K160" s="6" t="b">
        <v>0</v>
      </c>
      <c r="L160" s="6" t="b">
        <v>0</v>
      </c>
      <c r="M160" s="6" t="b">
        <v>0</v>
      </c>
      <c r="N160" s="6">
        <v>10</v>
      </c>
      <c r="O160" s="8" t="s">
        <v>237</v>
      </c>
      <c r="P160" s="8" t="s">
        <v>240</v>
      </c>
      <c r="Q160" s="8" t="s">
        <v>240</v>
      </c>
      <c r="R160" s="6">
        <v>10</v>
      </c>
      <c r="S160" s="8" t="s">
        <v>237</v>
      </c>
      <c r="T160" s="9"/>
      <c r="U160" s="8" t="s">
        <v>459</v>
      </c>
      <c r="V160" s="8" t="s">
        <v>240</v>
      </c>
      <c r="W160" s="8" t="s">
        <v>240</v>
      </c>
      <c r="X160" s="8" t="s">
        <v>240</v>
      </c>
      <c r="Y160" s="8" t="s">
        <v>473</v>
      </c>
      <c r="Z160" s="6" t="b">
        <v>0</v>
      </c>
      <c r="AA160" s="9"/>
      <c r="AB160" s="9"/>
    </row>
    <row r="161" spans="1:28" ht="16">
      <c r="A161" s="6">
        <v>166</v>
      </c>
      <c r="B161" s="8" t="s">
        <v>443</v>
      </c>
      <c r="C161" s="8" t="s">
        <v>452</v>
      </c>
      <c r="D161" s="8" t="s">
        <v>474</v>
      </c>
      <c r="E161" s="8" t="s">
        <v>474</v>
      </c>
      <c r="F161" s="6">
        <v>166</v>
      </c>
      <c r="G161" s="6" t="b">
        <v>0</v>
      </c>
      <c r="H161" s="8" t="s">
        <v>240</v>
      </c>
      <c r="I161" s="6" t="b">
        <v>0</v>
      </c>
      <c r="J161" s="6" t="b">
        <v>0</v>
      </c>
      <c r="K161" s="6" t="b">
        <v>0</v>
      </c>
      <c r="L161" s="6" t="b">
        <v>0</v>
      </c>
      <c r="M161" s="6" t="b">
        <v>0</v>
      </c>
      <c r="N161" s="6">
        <v>10</v>
      </c>
      <c r="O161" s="8" t="s">
        <v>237</v>
      </c>
      <c r="P161" s="8" t="s">
        <v>240</v>
      </c>
      <c r="Q161" s="8" t="s">
        <v>240</v>
      </c>
      <c r="R161" s="6">
        <v>10</v>
      </c>
      <c r="S161" s="8" t="s">
        <v>75</v>
      </c>
      <c r="T161" s="9"/>
      <c r="U161" s="8" t="s">
        <v>475</v>
      </c>
      <c r="V161" s="8" t="s">
        <v>240</v>
      </c>
      <c r="W161" s="8" t="s">
        <v>240</v>
      </c>
      <c r="X161" s="8" t="s">
        <v>240</v>
      </c>
      <c r="Y161" s="8" t="s">
        <v>240</v>
      </c>
      <c r="Z161" s="6" t="b">
        <v>0</v>
      </c>
      <c r="AA161" s="9"/>
      <c r="AB161" s="9"/>
    </row>
    <row r="162" spans="1:28" ht="16">
      <c r="A162" s="6">
        <v>168</v>
      </c>
      <c r="B162" s="8" t="s">
        <v>443</v>
      </c>
      <c r="C162" s="8" t="s">
        <v>467</v>
      </c>
      <c r="D162" s="8" t="s">
        <v>476</v>
      </c>
      <c r="E162" s="8" t="s">
        <v>476</v>
      </c>
      <c r="F162" s="6">
        <v>168</v>
      </c>
      <c r="G162" s="6" t="b">
        <v>0</v>
      </c>
      <c r="H162" s="8" t="s">
        <v>240</v>
      </c>
      <c r="I162" s="6" t="b">
        <v>0</v>
      </c>
      <c r="J162" s="6" t="b">
        <v>0</v>
      </c>
      <c r="K162" s="6" t="b">
        <v>0</v>
      </c>
      <c r="L162" s="6" t="b">
        <v>0</v>
      </c>
      <c r="M162" s="6" t="b">
        <v>0</v>
      </c>
      <c r="N162" s="6">
        <v>10</v>
      </c>
      <c r="O162" s="8" t="s">
        <v>237</v>
      </c>
      <c r="P162" s="8" t="s">
        <v>240</v>
      </c>
      <c r="Q162" s="8" t="s">
        <v>240</v>
      </c>
      <c r="R162" s="6">
        <v>10</v>
      </c>
      <c r="S162" s="8" t="s">
        <v>75</v>
      </c>
      <c r="T162" s="9"/>
      <c r="U162" s="8" t="s">
        <v>240</v>
      </c>
      <c r="V162" s="8" t="s">
        <v>240</v>
      </c>
      <c r="W162" s="8" t="s">
        <v>240</v>
      </c>
      <c r="X162" s="8" t="s">
        <v>240</v>
      </c>
      <c r="Y162" s="8" t="s">
        <v>240</v>
      </c>
      <c r="Z162" s="6" t="b">
        <v>0</v>
      </c>
      <c r="AA162" s="9"/>
      <c r="AB162" s="9"/>
    </row>
    <row r="163" spans="1:28" ht="16">
      <c r="A163" s="6">
        <v>169</v>
      </c>
      <c r="B163" s="8" t="s">
        <v>443</v>
      </c>
      <c r="C163" s="8" t="s">
        <v>457</v>
      </c>
      <c r="D163" s="8" t="s">
        <v>477</v>
      </c>
      <c r="E163" s="8" t="s">
        <v>477</v>
      </c>
      <c r="F163" s="6">
        <v>169</v>
      </c>
      <c r="G163" s="6" t="b">
        <v>0</v>
      </c>
      <c r="H163" s="8" t="s">
        <v>240</v>
      </c>
      <c r="I163" s="6" t="b">
        <v>0</v>
      </c>
      <c r="J163" s="6" t="b">
        <v>0</v>
      </c>
      <c r="K163" s="6" t="b">
        <v>0</v>
      </c>
      <c r="L163" s="6" t="b">
        <v>0</v>
      </c>
      <c r="M163" s="6" t="b">
        <v>0</v>
      </c>
      <c r="N163" s="6">
        <v>10</v>
      </c>
      <c r="O163" s="8" t="s">
        <v>237</v>
      </c>
      <c r="P163" s="8" t="s">
        <v>350</v>
      </c>
      <c r="Q163" s="8" t="s">
        <v>446</v>
      </c>
      <c r="R163" s="6">
        <v>10</v>
      </c>
      <c r="S163" s="8" t="s">
        <v>237</v>
      </c>
      <c r="T163" s="9"/>
      <c r="U163" s="8" t="s">
        <v>240</v>
      </c>
      <c r="V163" s="8" t="s">
        <v>240</v>
      </c>
      <c r="W163" s="8" t="s">
        <v>240</v>
      </c>
      <c r="X163" s="8" t="s">
        <v>240</v>
      </c>
      <c r="Y163" s="8" t="s">
        <v>478</v>
      </c>
      <c r="Z163" s="6" t="b">
        <v>0</v>
      </c>
      <c r="AA163" s="9"/>
      <c r="AB163" s="9"/>
    </row>
    <row r="164" spans="1:28" ht="32">
      <c r="A164" s="6">
        <v>171</v>
      </c>
      <c r="B164" s="8" t="s">
        <v>197</v>
      </c>
      <c r="C164" s="8" t="s">
        <v>105</v>
      </c>
      <c r="D164" s="8" t="s">
        <v>479</v>
      </c>
      <c r="E164" s="8" t="s">
        <v>479</v>
      </c>
      <c r="F164" s="6">
        <v>171</v>
      </c>
      <c r="G164" s="6" t="b">
        <v>0</v>
      </c>
      <c r="H164" s="8" t="s">
        <v>480</v>
      </c>
      <c r="I164" s="6" t="b">
        <v>0</v>
      </c>
      <c r="J164" s="6" t="b">
        <v>0</v>
      </c>
      <c r="K164" s="6" t="b">
        <v>0</v>
      </c>
      <c r="L164" s="6" t="b">
        <v>1</v>
      </c>
      <c r="M164" s="6" t="b">
        <v>0</v>
      </c>
      <c r="N164" s="6">
        <v>1</v>
      </c>
      <c r="O164" s="8" t="s">
        <v>331</v>
      </c>
      <c r="P164" s="8" t="s">
        <v>238</v>
      </c>
      <c r="Q164" s="8" t="s">
        <v>481</v>
      </c>
      <c r="R164" s="6">
        <v>0</v>
      </c>
      <c r="S164" s="8" t="s">
        <v>347</v>
      </c>
      <c r="T164" s="6">
        <v>0</v>
      </c>
      <c r="U164" s="8" t="s">
        <v>240</v>
      </c>
      <c r="V164" s="8" t="s">
        <v>482</v>
      </c>
      <c r="W164" s="8" t="s">
        <v>483</v>
      </c>
      <c r="X164" s="8" t="s">
        <v>240</v>
      </c>
      <c r="Y164" s="8" t="s">
        <v>484</v>
      </c>
      <c r="Z164" s="6" t="b">
        <v>0</v>
      </c>
      <c r="AA164" s="9"/>
      <c r="AB164" s="9"/>
    </row>
    <row r="165" spans="1:28" ht="32">
      <c r="A165" s="6">
        <v>172</v>
      </c>
      <c r="B165" s="8" t="s">
        <v>197</v>
      </c>
      <c r="C165" s="8" t="s">
        <v>105</v>
      </c>
      <c r="D165" s="8" t="s">
        <v>485</v>
      </c>
      <c r="E165" s="8" t="s">
        <v>479</v>
      </c>
      <c r="F165" s="6">
        <v>171</v>
      </c>
      <c r="G165" s="6" t="b">
        <v>0</v>
      </c>
      <c r="H165" s="8" t="s">
        <v>480</v>
      </c>
      <c r="I165" s="6" t="b">
        <v>0</v>
      </c>
      <c r="J165" s="6" t="b">
        <v>0</v>
      </c>
      <c r="K165" s="6" t="b">
        <v>0</v>
      </c>
      <c r="L165" s="6" t="b">
        <v>1</v>
      </c>
      <c r="M165" s="6" t="b">
        <v>0</v>
      </c>
      <c r="N165" s="6">
        <v>1</v>
      </c>
      <c r="O165" s="8" t="s">
        <v>331</v>
      </c>
      <c r="P165" s="8" t="s">
        <v>238</v>
      </c>
      <c r="Q165" s="8" t="s">
        <v>335</v>
      </c>
      <c r="R165" s="6">
        <v>0</v>
      </c>
      <c r="S165" s="8" t="s">
        <v>347</v>
      </c>
      <c r="T165" s="6">
        <v>0</v>
      </c>
      <c r="U165" s="8" t="s">
        <v>240</v>
      </c>
      <c r="V165" s="8" t="s">
        <v>482</v>
      </c>
      <c r="W165" s="8" t="s">
        <v>483</v>
      </c>
      <c r="X165" s="8" t="s">
        <v>240</v>
      </c>
      <c r="Y165" s="8" t="s">
        <v>486</v>
      </c>
      <c r="Z165" s="6" t="b">
        <v>0</v>
      </c>
      <c r="AA165" s="9"/>
      <c r="AB165" s="9"/>
    </row>
    <row r="166" spans="1:28" ht="32">
      <c r="A166" s="6">
        <v>173</v>
      </c>
      <c r="B166" s="8" t="s">
        <v>197</v>
      </c>
      <c r="C166" s="8" t="s">
        <v>105</v>
      </c>
      <c r="D166" s="8" t="s">
        <v>487</v>
      </c>
      <c r="E166" s="8" t="s">
        <v>479</v>
      </c>
      <c r="F166" s="6">
        <v>171</v>
      </c>
      <c r="G166" s="6" t="b">
        <v>0</v>
      </c>
      <c r="H166" s="8" t="s">
        <v>480</v>
      </c>
      <c r="I166" s="6" t="b">
        <v>0</v>
      </c>
      <c r="J166" s="6" t="b">
        <v>0</v>
      </c>
      <c r="K166" s="6" t="b">
        <v>0</v>
      </c>
      <c r="L166" s="6" t="b">
        <v>1</v>
      </c>
      <c r="M166" s="6" t="b">
        <v>0</v>
      </c>
      <c r="N166" s="6">
        <v>1</v>
      </c>
      <c r="O166" s="8" t="s">
        <v>331</v>
      </c>
      <c r="P166" s="8" t="s">
        <v>238</v>
      </c>
      <c r="Q166" s="8" t="s">
        <v>335</v>
      </c>
      <c r="R166" s="6">
        <v>0</v>
      </c>
      <c r="S166" s="8" t="s">
        <v>347</v>
      </c>
      <c r="T166" s="6">
        <v>0</v>
      </c>
      <c r="U166" s="8" t="s">
        <v>240</v>
      </c>
      <c r="V166" s="8" t="s">
        <v>482</v>
      </c>
      <c r="W166" s="8" t="s">
        <v>483</v>
      </c>
      <c r="X166" s="8" t="s">
        <v>240</v>
      </c>
      <c r="Y166" s="8" t="s">
        <v>488</v>
      </c>
      <c r="Z166" s="6" t="b">
        <v>0</v>
      </c>
      <c r="AA166" s="9"/>
      <c r="AB166" s="9"/>
    </row>
    <row r="167" spans="1:28" ht="16">
      <c r="A167" s="6">
        <v>174</v>
      </c>
      <c r="B167" s="8" t="s">
        <v>197</v>
      </c>
      <c r="C167" s="8" t="s">
        <v>105</v>
      </c>
      <c r="D167" s="8" t="s">
        <v>489</v>
      </c>
      <c r="E167" s="8" t="s">
        <v>479</v>
      </c>
      <c r="F167" s="6">
        <v>171</v>
      </c>
      <c r="G167" s="6" t="b">
        <v>0</v>
      </c>
      <c r="H167" s="8" t="s">
        <v>480</v>
      </c>
      <c r="I167" s="6" t="b">
        <v>0</v>
      </c>
      <c r="J167" s="6" t="b">
        <v>0</v>
      </c>
      <c r="K167" s="6" t="b">
        <v>0</v>
      </c>
      <c r="L167" s="6" t="b">
        <v>1</v>
      </c>
      <c r="M167" s="6" t="b">
        <v>0</v>
      </c>
      <c r="N167" s="6">
        <v>1</v>
      </c>
      <c r="O167" s="8" t="s">
        <v>331</v>
      </c>
      <c r="P167" s="8" t="s">
        <v>238</v>
      </c>
      <c r="Q167" s="8" t="s">
        <v>335</v>
      </c>
      <c r="R167" s="6">
        <v>0</v>
      </c>
      <c r="S167" s="8" t="s">
        <v>347</v>
      </c>
      <c r="T167" s="6">
        <v>0</v>
      </c>
      <c r="U167" s="8" t="s">
        <v>240</v>
      </c>
      <c r="V167" s="8" t="s">
        <v>482</v>
      </c>
      <c r="W167" s="8" t="s">
        <v>483</v>
      </c>
      <c r="X167" s="8" t="s">
        <v>240</v>
      </c>
      <c r="Y167" s="8" t="s">
        <v>240</v>
      </c>
      <c r="Z167" s="6" t="b">
        <v>0</v>
      </c>
      <c r="AA167" s="9"/>
      <c r="AB167" s="9"/>
    </row>
    <row r="168" spans="1:28" ht="16">
      <c r="A168" s="6">
        <v>175</v>
      </c>
      <c r="B168" s="8" t="s">
        <v>197</v>
      </c>
      <c r="C168" s="8" t="s">
        <v>105</v>
      </c>
      <c r="D168" s="8" t="s">
        <v>490</v>
      </c>
      <c r="E168" s="8" t="s">
        <v>479</v>
      </c>
      <c r="F168" s="6">
        <v>171</v>
      </c>
      <c r="G168" s="6" t="b">
        <v>0</v>
      </c>
      <c r="H168" s="8" t="s">
        <v>480</v>
      </c>
      <c r="I168" s="6" t="b">
        <v>0</v>
      </c>
      <c r="J168" s="6" t="b">
        <v>0</v>
      </c>
      <c r="K168" s="6" t="b">
        <v>0</v>
      </c>
      <c r="L168" s="6" t="b">
        <v>1</v>
      </c>
      <c r="M168" s="6" t="b">
        <v>0</v>
      </c>
      <c r="N168" s="6">
        <v>1</v>
      </c>
      <c r="O168" s="8" t="s">
        <v>331</v>
      </c>
      <c r="P168" s="8" t="s">
        <v>238</v>
      </c>
      <c r="Q168" s="8" t="s">
        <v>335</v>
      </c>
      <c r="R168" s="6">
        <v>1</v>
      </c>
      <c r="S168" s="8" t="s">
        <v>75</v>
      </c>
      <c r="T168" s="9"/>
      <c r="U168" s="8" t="s">
        <v>240</v>
      </c>
      <c r="V168" s="8" t="s">
        <v>240</v>
      </c>
      <c r="W168" s="8" t="s">
        <v>483</v>
      </c>
      <c r="X168" s="8" t="s">
        <v>240</v>
      </c>
      <c r="Y168" s="8" t="s">
        <v>240</v>
      </c>
      <c r="Z168" s="6" t="b">
        <v>0</v>
      </c>
      <c r="AA168" s="9"/>
      <c r="AB168" s="9"/>
    </row>
    <row r="169" spans="1:28" ht="32">
      <c r="A169" s="6">
        <v>176</v>
      </c>
      <c r="B169" s="8" t="s">
        <v>197</v>
      </c>
      <c r="C169" s="8" t="s">
        <v>105</v>
      </c>
      <c r="D169" s="8" t="s">
        <v>491</v>
      </c>
      <c r="E169" s="8" t="s">
        <v>479</v>
      </c>
      <c r="F169" s="6">
        <v>171</v>
      </c>
      <c r="G169" s="6" t="b">
        <v>0</v>
      </c>
      <c r="H169" s="8" t="s">
        <v>480</v>
      </c>
      <c r="I169" s="6" t="b">
        <v>0</v>
      </c>
      <c r="J169" s="6" t="b">
        <v>0</v>
      </c>
      <c r="K169" s="6" t="b">
        <v>0</v>
      </c>
      <c r="L169" s="6" t="b">
        <v>1</v>
      </c>
      <c r="M169" s="6" t="b">
        <v>0</v>
      </c>
      <c r="N169" s="6">
        <v>1</v>
      </c>
      <c r="O169" s="8" t="s">
        <v>331</v>
      </c>
      <c r="P169" s="8" t="s">
        <v>238</v>
      </c>
      <c r="Q169" s="8" t="s">
        <v>481</v>
      </c>
      <c r="R169" s="6">
        <v>0</v>
      </c>
      <c r="S169" s="8" t="s">
        <v>347</v>
      </c>
      <c r="T169" s="9"/>
      <c r="U169" s="8" t="s">
        <v>492</v>
      </c>
      <c r="V169" s="8" t="s">
        <v>482</v>
      </c>
      <c r="W169" s="8" t="s">
        <v>483</v>
      </c>
      <c r="X169" s="8" t="s">
        <v>240</v>
      </c>
      <c r="Y169" s="8" t="s">
        <v>240</v>
      </c>
      <c r="Z169" s="6" t="b">
        <v>0</v>
      </c>
      <c r="AA169" s="9"/>
      <c r="AB169" s="9"/>
    </row>
    <row r="170" spans="1:28" ht="16">
      <c r="A170" s="6">
        <v>177</v>
      </c>
      <c r="B170" s="8" t="s">
        <v>197</v>
      </c>
      <c r="C170" s="8" t="s">
        <v>105</v>
      </c>
      <c r="D170" s="8" t="s">
        <v>493</v>
      </c>
      <c r="E170" s="8" t="s">
        <v>493</v>
      </c>
      <c r="F170" s="6">
        <v>177</v>
      </c>
      <c r="G170" s="6" t="b">
        <v>0</v>
      </c>
      <c r="H170" s="8" t="s">
        <v>480</v>
      </c>
      <c r="I170" s="6" t="b">
        <v>0</v>
      </c>
      <c r="J170" s="6" t="b">
        <v>0</v>
      </c>
      <c r="K170" s="6" t="b">
        <v>0</v>
      </c>
      <c r="L170" s="6" t="b">
        <v>1</v>
      </c>
      <c r="M170" s="6" t="b">
        <v>0</v>
      </c>
      <c r="N170" s="6">
        <v>1</v>
      </c>
      <c r="O170" s="8" t="s">
        <v>331</v>
      </c>
      <c r="P170" s="8" t="s">
        <v>238</v>
      </c>
      <c r="Q170" s="8" t="s">
        <v>335</v>
      </c>
      <c r="R170" s="6">
        <v>2</v>
      </c>
      <c r="S170" s="8" t="s">
        <v>335</v>
      </c>
      <c r="T170" s="6">
        <v>2</v>
      </c>
      <c r="U170" s="8" t="s">
        <v>86</v>
      </c>
      <c r="V170" s="8" t="s">
        <v>482</v>
      </c>
      <c r="W170" s="8" t="s">
        <v>386</v>
      </c>
      <c r="X170" s="8" t="s">
        <v>240</v>
      </c>
      <c r="Y170" s="8" t="s">
        <v>494</v>
      </c>
      <c r="Z170" s="6" t="b">
        <v>0</v>
      </c>
      <c r="AA170" s="9"/>
      <c r="AB170" s="9"/>
    </row>
    <row r="171" spans="1:28" ht="16">
      <c r="A171" s="6">
        <v>178</v>
      </c>
      <c r="B171" s="8" t="s">
        <v>197</v>
      </c>
      <c r="C171" s="8" t="s">
        <v>105</v>
      </c>
      <c r="D171" s="8" t="s">
        <v>495</v>
      </c>
      <c r="E171" s="8" t="s">
        <v>493</v>
      </c>
      <c r="F171" s="6">
        <v>177</v>
      </c>
      <c r="G171" s="6" t="b">
        <v>0</v>
      </c>
      <c r="H171" s="8" t="s">
        <v>480</v>
      </c>
      <c r="I171" s="6" t="b">
        <v>0</v>
      </c>
      <c r="J171" s="6" t="b">
        <v>0</v>
      </c>
      <c r="K171" s="6" t="b">
        <v>0</v>
      </c>
      <c r="L171" s="6" t="b">
        <v>1</v>
      </c>
      <c r="M171" s="6" t="b">
        <v>0</v>
      </c>
      <c r="N171" s="6">
        <v>1</v>
      </c>
      <c r="O171" s="8" t="s">
        <v>331</v>
      </c>
      <c r="P171" s="8" t="s">
        <v>238</v>
      </c>
      <c r="Q171" s="8" t="s">
        <v>335</v>
      </c>
      <c r="R171" s="6">
        <v>2</v>
      </c>
      <c r="S171" s="8" t="s">
        <v>347</v>
      </c>
      <c r="T171" s="6">
        <v>2</v>
      </c>
      <c r="U171" s="8" t="s">
        <v>496</v>
      </c>
      <c r="V171" s="8" t="s">
        <v>482</v>
      </c>
      <c r="W171" s="8" t="s">
        <v>386</v>
      </c>
      <c r="X171" s="8" t="s">
        <v>240</v>
      </c>
      <c r="Y171" s="8" t="s">
        <v>497</v>
      </c>
      <c r="Z171" s="6" t="b">
        <v>0</v>
      </c>
      <c r="AA171" s="9"/>
      <c r="AB171" s="9"/>
    </row>
    <row r="172" spans="1:28" ht="16">
      <c r="A172" s="6">
        <v>179</v>
      </c>
      <c r="B172" s="8" t="s">
        <v>197</v>
      </c>
      <c r="C172" s="8" t="s">
        <v>498</v>
      </c>
      <c r="D172" s="8" t="s">
        <v>499</v>
      </c>
      <c r="E172" s="8" t="s">
        <v>499</v>
      </c>
      <c r="F172" s="6">
        <v>179</v>
      </c>
      <c r="G172" s="6" t="b">
        <v>0</v>
      </c>
      <c r="H172" s="8" t="s">
        <v>480</v>
      </c>
      <c r="I172" s="6" t="b">
        <v>0</v>
      </c>
      <c r="J172" s="6" t="b">
        <v>0</v>
      </c>
      <c r="K172" s="6" t="b">
        <v>0</v>
      </c>
      <c r="L172" s="6" t="b">
        <v>1</v>
      </c>
      <c r="M172" s="6" t="b">
        <v>0</v>
      </c>
      <c r="N172" s="6">
        <v>1</v>
      </c>
      <c r="O172" s="8" t="s">
        <v>331</v>
      </c>
      <c r="P172" s="8" t="s">
        <v>380</v>
      </c>
      <c r="Q172" s="8" t="s">
        <v>381</v>
      </c>
      <c r="R172" s="6">
        <v>3</v>
      </c>
      <c r="S172" s="8" t="s">
        <v>347</v>
      </c>
      <c r="T172" s="6">
        <v>3</v>
      </c>
      <c r="U172" s="8" t="s">
        <v>240</v>
      </c>
      <c r="V172" s="8" t="s">
        <v>482</v>
      </c>
      <c r="W172" s="8" t="s">
        <v>386</v>
      </c>
      <c r="X172" s="8" t="s">
        <v>240</v>
      </c>
      <c r="Y172" s="8" t="s">
        <v>500</v>
      </c>
      <c r="Z172" s="6" t="b">
        <v>0</v>
      </c>
      <c r="AA172" s="9"/>
      <c r="AB172" s="9"/>
    </row>
    <row r="173" spans="1:28" ht="16">
      <c r="A173" s="6">
        <v>180</v>
      </c>
      <c r="B173" s="8" t="s">
        <v>197</v>
      </c>
      <c r="C173" s="8" t="s">
        <v>170</v>
      </c>
      <c r="D173" s="8" t="s">
        <v>501</v>
      </c>
      <c r="E173" s="8" t="s">
        <v>501</v>
      </c>
      <c r="F173" s="6">
        <v>180</v>
      </c>
      <c r="G173" s="6" t="b">
        <v>0</v>
      </c>
      <c r="H173" s="8" t="s">
        <v>480</v>
      </c>
      <c r="I173" s="6" t="b">
        <v>0</v>
      </c>
      <c r="J173" s="6" t="b">
        <v>0</v>
      </c>
      <c r="K173" s="6" t="b">
        <v>0</v>
      </c>
      <c r="L173" s="6" t="b">
        <v>1</v>
      </c>
      <c r="M173" s="6" t="b">
        <v>0</v>
      </c>
      <c r="N173" s="6">
        <v>1</v>
      </c>
      <c r="O173" s="8" t="s">
        <v>331</v>
      </c>
      <c r="P173" s="8" t="s">
        <v>350</v>
      </c>
      <c r="Q173" s="8" t="s">
        <v>502</v>
      </c>
      <c r="R173" s="6">
        <v>0</v>
      </c>
      <c r="S173" s="8" t="s">
        <v>347</v>
      </c>
      <c r="T173" s="6">
        <v>0</v>
      </c>
      <c r="U173" s="8" t="s">
        <v>240</v>
      </c>
      <c r="V173" s="8" t="s">
        <v>482</v>
      </c>
      <c r="W173" s="8" t="s">
        <v>386</v>
      </c>
      <c r="X173" s="8" t="s">
        <v>240</v>
      </c>
      <c r="Y173" s="8" t="s">
        <v>503</v>
      </c>
      <c r="Z173" s="6" t="b">
        <v>0</v>
      </c>
      <c r="AA173" s="9"/>
      <c r="AB173" s="9"/>
    </row>
    <row r="174" spans="1:28" ht="16">
      <c r="A174" s="6">
        <v>181</v>
      </c>
      <c r="B174" s="8" t="s">
        <v>197</v>
      </c>
      <c r="C174" s="8" t="s">
        <v>104</v>
      </c>
      <c r="D174" s="8" t="s">
        <v>504</v>
      </c>
      <c r="E174" s="8" t="s">
        <v>504</v>
      </c>
      <c r="F174" s="6">
        <v>181</v>
      </c>
      <c r="G174" s="6" t="b">
        <v>0</v>
      </c>
      <c r="H174" s="8" t="s">
        <v>480</v>
      </c>
      <c r="I174" s="6" t="b">
        <v>0</v>
      </c>
      <c r="J174" s="6" t="b">
        <v>0</v>
      </c>
      <c r="K174" s="6" t="b">
        <v>0</v>
      </c>
      <c r="L174" s="6" t="b">
        <v>1</v>
      </c>
      <c r="M174" s="6" t="b">
        <v>0</v>
      </c>
      <c r="N174" s="6">
        <v>2</v>
      </c>
      <c r="O174" s="8" t="s">
        <v>331</v>
      </c>
      <c r="P174" s="8" t="s">
        <v>380</v>
      </c>
      <c r="Q174" s="8" t="s">
        <v>335</v>
      </c>
      <c r="R174" s="6">
        <v>3</v>
      </c>
      <c r="S174" s="8" t="s">
        <v>347</v>
      </c>
      <c r="T174" s="6">
        <v>3</v>
      </c>
      <c r="U174" s="8" t="s">
        <v>240</v>
      </c>
      <c r="V174" s="8" t="s">
        <v>482</v>
      </c>
      <c r="W174" s="8" t="s">
        <v>483</v>
      </c>
      <c r="X174" s="8" t="s">
        <v>240</v>
      </c>
      <c r="Y174" s="8" t="s">
        <v>505</v>
      </c>
      <c r="Z174" s="6" t="b">
        <v>0</v>
      </c>
      <c r="AA174" s="9"/>
      <c r="AB174" s="9"/>
    </row>
    <row r="175" spans="1:28" ht="32">
      <c r="A175" s="6">
        <v>182</v>
      </c>
      <c r="B175" s="8" t="s">
        <v>197</v>
      </c>
      <c r="C175" s="8" t="s">
        <v>104</v>
      </c>
      <c r="D175" s="8" t="s">
        <v>506</v>
      </c>
      <c r="E175" s="8" t="s">
        <v>504</v>
      </c>
      <c r="F175" s="6">
        <v>181</v>
      </c>
      <c r="G175" s="6" t="b">
        <v>0</v>
      </c>
      <c r="H175" s="8" t="s">
        <v>480</v>
      </c>
      <c r="I175" s="6" t="b">
        <v>0</v>
      </c>
      <c r="J175" s="6" t="b">
        <v>0</v>
      </c>
      <c r="K175" s="6" t="b">
        <v>0</v>
      </c>
      <c r="L175" s="6" t="b">
        <v>1</v>
      </c>
      <c r="M175" s="6" t="b">
        <v>0</v>
      </c>
      <c r="N175" s="6">
        <v>2</v>
      </c>
      <c r="O175" s="8" t="s">
        <v>331</v>
      </c>
      <c r="P175" s="8" t="s">
        <v>380</v>
      </c>
      <c r="Q175" s="8" t="s">
        <v>339</v>
      </c>
      <c r="R175" s="6">
        <v>3</v>
      </c>
      <c r="S175" s="8" t="s">
        <v>347</v>
      </c>
      <c r="T175" s="6">
        <v>3</v>
      </c>
      <c r="U175" s="8" t="s">
        <v>240</v>
      </c>
      <c r="V175" s="8" t="s">
        <v>482</v>
      </c>
      <c r="W175" s="8" t="s">
        <v>483</v>
      </c>
      <c r="X175" s="8" t="s">
        <v>240</v>
      </c>
      <c r="Y175" s="8" t="s">
        <v>507</v>
      </c>
      <c r="Z175" s="6" t="b">
        <v>0</v>
      </c>
      <c r="AA175" s="9"/>
      <c r="AB175" s="9"/>
    </row>
    <row r="176" spans="1:28" ht="16">
      <c r="A176" s="6">
        <v>183</v>
      </c>
      <c r="B176" s="8" t="s">
        <v>197</v>
      </c>
      <c r="C176" s="8" t="s">
        <v>106</v>
      </c>
      <c r="D176" s="8" t="s">
        <v>508</v>
      </c>
      <c r="E176" s="8" t="s">
        <v>508</v>
      </c>
      <c r="F176" s="6">
        <v>183</v>
      </c>
      <c r="G176" s="6" t="b">
        <v>0</v>
      </c>
      <c r="H176" s="8" t="s">
        <v>480</v>
      </c>
      <c r="I176" s="6" t="b">
        <v>0</v>
      </c>
      <c r="J176" s="6" t="b">
        <v>0</v>
      </c>
      <c r="K176" s="6" t="b">
        <v>0</v>
      </c>
      <c r="L176" s="6" t="b">
        <v>1</v>
      </c>
      <c r="M176" s="6" t="b">
        <v>0</v>
      </c>
      <c r="N176" s="6">
        <v>2</v>
      </c>
      <c r="O176" s="8" t="s">
        <v>331</v>
      </c>
      <c r="P176" s="8" t="s">
        <v>240</v>
      </c>
      <c r="Q176" s="8" t="s">
        <v>240</v>
      </c>
      <c r="R176" s="6">
        <v>2</v>
      </c>
      <c r="S176" s="8" t="s">
        <v>75</v>
      </c>
      <c r="T176" s="9"/>
      <c r="U176" s="8" t="s">
        <v>240</v>
      </c>
      <c r="V176" s="8" t="s">
        <v>240</v>
      </c>
      <c r="W176" s="8" t="s">
        <v>386</v>
      </c>
      <c r="X176" s="8" t="s">
        <v>240</v>
      </c>
      <c r="Y176" s="8" t="s">
        <v>240</v>
      </c>
      <c r="Z176" s="6" t="b">
        <v>0</v>
      </c>
      <c r="AA176" s="9"/>
      <c r="AB176" s="9"/>
    </row>
    <row r="177" spans="1:28" ht="16">
      <c r="A177" s="6">
        <v>186</v>
      </c>
      <c r="B177" s="8" t="s">
        <v>197</v>
      </c>
      <c r="C177" s="8" t="s">
        <v>498</v>
      </c>
      <c r="D177" s="8" t="s">
        <v>509</v>
      </c>
      <c r="E177" s="8" t="s">
        <v>509</v>
      </c>
      <c r="F177" s="6">
        <v>186</v>
      </c>
      <c r="G177" s="6" t="b">
        <v>0</v>
      </c>
      <c r="H177" s="8" t="s">
        <v>480</v>
      </c>
      <c r="I177" s="6" t="b">
        <v>0</v>
      </c>
      <c r="J177" s="6" t="b">
        <v>0</v>
      </c>
      <c r="K177" s="6" t="b">
        <v>0</v>
      </c>
      <c r="L177" s="6" t="b">
        <v>1</v>
      </c>
      <c r="M177" s="6" t="b">
        <v>0</v>
      </c>
      <c r="N177" s="6">
        <v>1</v>
      </c>
      <c r="O177" s="8" t="s">
        <v>331</v>
      </c>
      <c r="P177" s="8" t="s">
        <v>380</v>
      </c>
      <c r="Q177" s="8" t="s">
        <v>381</v>
      </c>
      <c r="R177" s="6">
        <v>1</v>
      </c>
      <c r="S177" s="8" t="s">
        <v>341</v>
      </c>
      <c r="T177" s="9"/>
      <c r="U177" s="8" t="s">
        <v>240</v>
      </c>
      <c r="V177" s="8" t="s">
        <v>240</v>
      </c>
      <c r="W177" s="8" t="s">
        <v>240</v>
      </c>
      <c r="X177" s="8" t="s">
        <v>240</v>
      </c>
      <c r="Y177" s="8" t="s">
        <v>240</v>
      </c>
      <c r="Z177" s="6" t="b">
        <v>0</v>
      </c>
      <c r="AA177" s="9"/>
      <c r="AB177" s="9"/>
    </row>
    <row r="178" spans="1:28" ht="16">
      <c r="A178" s="6">
        <v>187</v>
      </c>
      <c r="B178" s="8" t="s">
        <v>197</v>
      </c>
      <c r="C178" s="8" t="s">
        <v>498</v>
      </c>
      <c r="D178" s="8" t="s">
        <v>498</v>
      </c>
      <c r="E178" s="8" t="s">
        <v>498</v>
      </c>
      <c r="F178" s="6">
        <v>187</v>
      </c>
      <c r="G178" s="6" t="b">
        <v>0</v>
      </c>
      <c r="H178" s="8" t="s">
        <v>480</v>
      </c>
      <c r="I178" s="6" t="b">
        <v>0</v>
      </c>
      <c r="J178" s="6" t="b">
        <v>0</v>
      </c>
      <c r="K178" s="6" t="b">
        <v>0</v>
      </c>
      <c r="L178" s="6" t="b">
        <v>1</v>
      </c>
      <c r="M178" s="6" t="b">
        <v>0</v>
      </c>
      <c r="N178" s="6">
        <v>1</v>
      </c>
      <c r="O178" s="8" t="s">
        <v>331</v>
      </c>
      <c r="P178" s="8" t="s">
        <v>380</v>
      </c>
      <c r="Q178" s="8" t="s">
        <v>446</v>
      </c>
      <c r="R178" s="6">
        <v>1</v>
      </c>
      <c r="S178" s="8" t="s">
        <v>331</v>
      </c>
      <c r="T178" s="6">
        <v>3</v>
      </c>
      <c r="U178" s="8" t="s">
        <v>240</v>
      </c>
      <c r="V178" s="8" t="s">
        <v>510</v>
      </c>
      <c r="W178" s="8" t="s">
        <v>386</v>
      </c>
      <c r="X178" s="8" t="s">
        <v>240</v>
      </c>
      <c r="Y178" s="8" t="s">
        <v>511</v>
      </c>
      <c r="Z178" s="6" t="b">
        <v>0</v>
      </c>
      <c r="AA178" s="9"/>
      <c r="AB178" s="9"/>
    </row>
    <row r="179" spans="1:28" ht="16">
      <c r="A179" s="6">
        <v>188</v>
      </c>
      <c r="B179" s="8" t="s">
        <v>197</v>
      </c>
      <c r="C179" s="8" t="s">
        <v>170</v>
      </c>
      <c r="D179" s="8" t="s">
        <v>170</v>
      </c>
      <c r="E179" s="8" t="s">
        <v>170</v>
      </c>
      <c r="F179" s="6">
        <v>188</v>
      </c>
      <c r="G179" s="6" t="b">
        <v>0</v>
      </c>
      <c r="H179" s="8" t="s">
        <v>480</v>
      </c>
      <c r="I179" s="6" t="b">
        <v>0</v>
      </c>
      <c r="J179" s="6" t="b">
        <v>0</v>
      </c>
      <c r="K179" s="6" t="b">
        <v>0</v>
      </c>
      <c r="L179" s="6" t="b">
        <v>1</v>
      </c>
      <c r="M179" s="6" t="b">
        <v>0</v>
      </c>
      <c r="N179" s="6">
        <v>1</v>
      </c>
      <c r="O179" s="8" t="s">
        <v>331</v>
      </c>
      <c r="P179" s="8" t="s">
        <v>238</v>
      </c>
      <c r="Q179" s="8" t="s">
        <v>502</v>
      </c>
      <c r="R179" s="6">
        <v>1</v>
      </c>
      <c r="S179" s="8" t="s">
        <v>331</v>
      </c>
      <c r="T179" s="6">
        <v>0</v>
      </c>
      <c r="U179" s="8" t="s">
        <v>240</v>
      </c>
      <c r="V179" s="8" t="s">
        <v>482</v>
      </c>
      <c r="W179" s="8" t="s">
        <v>386</v>
      </c>
      <c r="X179" s="8" t="s">
        <v>240</v>
      </c>
      <c r="Y179" s="8" t="s">
        <v>240</v>
      </c>
      <c r="Z179" s="6" t="b">
        <v>0</v>
      </c>
      <c r="AA179" s="9"/>
      <c r="AB179" s="9"/>
    </row>
    <row r="180" spans="1:28" ht="32">
      <c r="A180" s="6">
        <v>189</v>
      </c>
      <c r="B180" s="8" t="s">
        <v>197</v>
      </c>
      <c r="C180" s="8" t="s">
        <v>105</v>
      </c>
      <c r="D180" s="8" t="s">
        <v>512</v>
      </c>
      <c r="E180" s="8" t="s">
        <v>512</v>
      </c>
      <c r="F180" s="6">
        <v>189</v>
      </c>
      <c r="G180" s="6" t="b">
        <v>0</v>
      </c>
      <c r="H180" s="8" t="s">
        <v>480</v>
      </c>
      <c r="I180" s="6" t="b">
        <v>0</v>
      </c>
      <c r="J180" s="6" t="b">
        <v>0</v>
      </c>
      <c r="K180" s="6" t="b">
        <v>0</v>
      </c>
      <c r="L180" s="6" t="b">
        <v>1</v>
      </c>
      <c r="M180" s="6" t="b">
        <v>0</v>
      </c>
      <c r="N180" s="6">
        <v>1</v>
      </c>
      <c r="O180" s="8" t="s">
        <v>331</v>
      </c>
      <c r="P180" s="8" t="s">
        <v>238</v>
      </c>
      <c r="Q180" s="8" t="s">
        <v>481</v>
      </c>
      <c r="R180" s="6">
        <v>1</v>
      </c>
      <c r="S180" s="8" t="s">
        <v>75</v>
      </c>
      <c r="T180" s="9"/>
      <c r="U180" s="8" t="s">
        <v>240</v>
      </c>
      <c r="V180" s="8" t="s">
        <v>482</v>
      </c>
      <c r="W180" s="8" t="s">
        <v>240</v>
      </c>
      <c r="X180" s="8" t="s">
        <v>240</v>
      </c>
      <c r="Y180" s="8" t="s">
        <v>240</v>
      </c>
      <c r="Z180" s="6" t="b">
        <v>0</v>
      </c>
      <c r="AA180" s="9"/>
      <c r="AB180" s="9"/>
    </row>
    <row r="181" spans="1:28" ht="32">
      <c r="A181" s="6">
        <v>190</v>
      </c>
      <c r="B181" s="8" t="s">
        <v>197</v>
      </c>
      <c r="C181" s="8" t="s">
        <v>105</v>
      </c>
      <c r="D181" s="8" t="s">
        <v>513</v>
      </c>
      <c r="E181" s="8" t="s">
        <v>512</v>
      </c>
      <c r="F181" s="6">
        <v>189</v>
      </c>
      <c r="G181" s="6" t="b">
        <v>0</v>
      </c>
      <c r="H181" s="8" t="s">
        <v>480</v>
      </c>
      <c r="I181" s="6" t="b">
        <v>0</v>
      </c>
      <c r="J181" s="6" t="b">
        <v>0</v>
      </c>
      <c r="K181" s="6" t="b">
        <v>0</v>
      </c>
      <c r="L181" s="6" t="b">
        <v>1</v>
      </c>
      <c r="M181" s="6" t="b">
        <v>0</v>
      </c>
      <c r="N181" s="6">
        <v>1</v>
      </c>
      <c r="O181" s="8" t="s">
        <v>331</v>
      </c>
      <c r="P181" s="8" t="s">
        <v>238</v>
      </c>
      <c r="Q181" s="8" t="s">
        <v>481</v>
      </c>
      <c r="R181" s="6">
        <v>0</v>
      </c>
      <c r="S181" s="8" t="s">
        <v>347</v>
      </c>
      <c r="T181" s="9"/>
      <c r="U181" s="8" t="s">
        <v>492</v>
      </c>
      <c r="V181" s="8" t="s">
        <v>482</v>
      </c>
      <c r="W181" s="8" t="s">
        <v>240</v>
      </c>
      <c r="X181" s="8" t="s">
        <v>240</v>
      </c>
      <c r="Y181" s="8" t="s">
        <v>514</v>
      </c>
      <c r="Z181" s="6" t="b">
        <v>0</v>
      </c>
      <c r="AA181" s="9"/>
      <c r="AB181" s="9"/>
    </row>
    <row r="182" spans="1:28" ht="16">
      <c r="A182" s="6">
        <v>193</v>
      </c>
      <c r="B182" s="8" t="s">
        <v>197</v>
      </c>
      <c r="C182" s="8" t="s">
        <v>170</v>
      </c>
      <c r="D182" s="8" t="s">
        <v>515</v>
      </c>
      <c r="E182" s="8" t="s">
        <v>515</v>
      </c>
      <c r="F182" s="6">
        <v>193</v>
      </c>
      <c r="G182" s="6" t="b">
        <v>0</v>
      </c>
      <c r="H182" s="8" t="s">
        <v>480</v>
      </c>
      <c r="I182" s="6" t="b">
        <v>0</v>
      </c>
      <c r="J182" s="6" t="b">
        <v>0</v>
      </c>
      <c r="K182" s="6" t="b">
        <v>0</v>
      </c>
      <c r="L182" s="6" t="b">
        <v>1</v>
      </c>
      <c r="M182" s="6" t="b">
        <v>0</v>
      </c>
      <c r="N182" s="6">
        <v>1</v>
      </c>
      <c r="O182" s="8" t="s">
        <v>331</v>
      </c>
      <c r="P182" s="8" t="s">
        <v>516</v>
      </c>
      <c r="Q182" s="8" t="s">
        <v>446</v>
      </c>
      <c r="R182" s="6">
        <v>1</v>
      </c>
      <c r="S182" s="8" t="s">
        <v>75</v>
      </c>
      <c r="T182" s="9"/>
      <c r="U182" s="8" t="s">
        <v>517</v>
      </c>
      <c r="V182" s="8" t="s">
        <v>240</v>
      </c>
      <c r="W182" s="8" t="s">
        <v>386</v>
      </c>
      <c r="X182" s="8" t="s">
        <v>240</v>
      </c>
      <c r="Y182" s="8" t="s">
        <v>240</v>
      </c>
      <c r="Z182" s="6" t="b">
        <v>0</v>
      </c>
      <c r="AA182" s="9"/>
      <c r="AB182" s="9"/>
    </row>
    <row r="183" spans="1:28" ht="16">
      <c r="A183" s="6">
        <v>194</v>
      </c>
      <c r="B183" s="8" t="s">
        <v>197</v>
      </c>
      <c r="C183" s="8" t="s">
        <v>170</v>
      </c>
      <c r="D183" s="8" t="s">
        <v>518</v>
      </c>
      <c r="E183" s="8" t="s">
        <v>515</v>
      </c>
      <c r="F183" s="6">
        <v>193</v>
      </c>
      <c r="G183" s="6" t="b">
        <v>0</v>
      </c>
      <c r="H183" s="8" t="s">
        <v>480</v>
      </c>
      <c r="I183" s="6" t="b">
        <v>0</v>
      </c>
      <c r="J183" s="6" t="b">
        <v>0</v>
      </c>
      <c r="K183" s="6" t="b">
        <v>0</v>
      </c>
      <c r="L183" s="6" t="b">
        <v>1</v>
      </c>
      <c r="M183" s="6" t="b">
        <v>0</v>
      </c>
      <c r="N183" s="6">
        <v>1</v>
      </c>
      <c r="O183" s="8" t="s">
        <v>331</v>
      </c>
      <c r="P183" s="8" t="s">
        <v>516</v>
      </c>
      <c r="Q183" s="8" t="s">
        <v>446</v>
      </c>
      <c r="R183" s="6">
        <v>1</v>
      </c>
      <c r="S183" s="8" t="s">
        <v>347</v>
      </c>
      <c r="T183" s="6">
        <v>1</v>
      </c>
      <c r="U183" s="8" t="s">
        <v>519</v>
      </c>
      <c r="V183" s="8" t="s">
        <v>240</v>
      </c>
      <c r="W183" s="8" t="s">
        <v>386</v>
      </c>
      <c r="X183" s="8" t="s">
        <v>240</v>
      </c>
      <c r="Y183" s="8" t="s">
        <v>520</v>
      </c>
      <c r="Z183" s="6" t="b">
        <v>0</v>
      </c>
      <c r="AA183" s="9"/>
      <c r="AB183" s="9"/>
    </row>
    <row r="184" spans="1:28" ht="16">
      <c r="A184" s="6">
        <v>195</v>
      </c>
      <c r="B184" s="8" t="s">
        <v>197</v>
      </c>
      <c r="C184" s="8" t="s">
        <v>153</v>
      </c>
      <c r="D184" s="8" t="s">
        <v>521</v>
      </c>
      <c r="E184" s="8" t="s">
        <v>521</v>
      </c>
      <c r="F184" s="6">
        <v>195</v>
      </c>
      <c r="G184" s="6" t="b">
        <v>0</v>
      </c>
      <c r="H184" s="8" t="s">
        <v>480</v>
      </c>
      <c r="I184" s="6" t="b">
        <v>0</v>
      </c>
      <c r="J184" s="6" t="b">
        <v>0</v>
      </c>
      <c r="K184" s="6" t="b">
        <v>0</v>
      </c>
      <c r="L184" s="6" t="b">
        <v>1</v>
      </c>
      <c r="M184" s="6" t="b">
        <v>0</v>
      </c>
      <c r="N184" s="6">
        <v>2</v>
      </c>
      <c r="O184" s="8" t="s">
        <v>331</v>
      </c>
      <c r="P184" s="8" t="s">
        <v>238</v>
      </c>
      <c r="Q184" s="8" t="s">
        <v>388</v>
      </c>
      <c r="R184" s="6">
        <v>2</v>
      </c>
      <c r="S184" s="8" t="s">
        <v>75</v>
      </c>
      <c r="T184" s="9"/>
      <c r="U184" s="8" t="s">
        <v>240</v>
      </c>
      <c r="V184" s="8" t="s">
        <v>240</v>
      </c>
      <c r="W184" s="8" t="s">
        <v>386</v>
      </c>
      <c r="X184" s="8" t="s">
        <v>240</v>
      </c>
      <c r="Y184" s="8" t="s">
        <v>240</v>
      </c>
      <c r="Z184" s="6" t="b">
        <v>0</v>
      </c>
      <c r="AA184" s="9"/>
      <c r="AB184" s="9"/>
    </row>
    <row r="185" spans="1:28" ht="16">
      <c r="A185" s="6">
        <v>196</v>
      </c>
      <c r="B185" s="8" t="s">
        <v>197</v>
      </c>
      <c r="C185" s="8" t="s">
        <v>153</v>
      </c>
      <c r="D185" s="8" t="s">
        <v>522</v>
      </c>
      <c r="E185" s="8" t="s">
        <v>522</v>
      </c>
      <c r="F185" s="6">
        <v>196</v>
      </c>
      <c r="G185" s="6" t="b">
        <v>0</v>
      </c>
      <c r="H185" s="8" t="s">
        <v>480</v>
      </c>
      <c r="I185" s="6" t="b">
        <v>0</v>
      </c>
      <c r="J185" s="6" t="b">
        <v>0</v>
      </c>
      <c r="K185" s="6" t="b">
        <v>0</v>
      </c>
      <c r="L185" s="6" t="b">
        <v>1</v>
      </c>
      <c r="M185" s="6" t="b">
        <v>0</v>
      </c>
      <c r="N185" s="6">
        <v>2</v>
      </c>
      <c r="O185" s="8" t="s">
        <v>331</v>
      </c>
      <c r="P185" s="8" t="s">
        <v>238</v>
      </c>
      <c r="Q185" s="8" t="s">
        <v>502</v>
      </c>
      <c r="R185" s="6">
        <v>2</v>
      </c>
      <c r="S185" s="8" t="s">
        <v>523</v>
      </c>
      <c r="T185" s="6">
        <v>2</v>
      </c>
      <c r="U185" s="8" t="s">
        <v>240</v>
      </c>
      <c r="V185" s="8" t="s">
        <v>524</v>
      </c>
      <c r="W185" s="8" t="s">
        <v>386</v>
      </c>
      <c r="X185" s="8" t="s">
        <v>240</v>
      </c>
      <c r="Y185" s="8" t="s">
        <v>525</v>
      </c>
      <c r="Z185" s="6" t="b">
        <v>0</v>
      </c>
      <c r="AA185" s="9"/>
      <c r="AB185" s="9"/>
    </row>
    <row r="186" spans="1:28" ht="16">
      <c r="A186" s="6">
        <v>197</v>
      </c>
      <c r="B186" s="8" t="s">
        <v>197</v>
      </c>
      <c r="C186" s="8" t="s">
        <v>153</v>
      </c>
      <c r="D186" s="8" t="s">
        <v>526</v>
      </c>
      <c r="E186" s="8" t="s">
        <v>522</v>
      </c>
      <c r="F186" s="6">
        <v>196</v>
      </c>
      <c r="G186" s="6" t="b">
        <v>0</v>
      </c>
      <c r="H186" s="8" t="s">
        <v>480</v>
      </c>
      <c r="I186" s="6" t="b">
        <v>0</v>
      </c>
      <c r="J186" s="6" t="b">
        <v>0</v>
      </c>
      <c r="K186" s="6" t="b">
        <v>0</v>
      </c>
      <c r="L186" s="6" t="b">
        <v>1</v>
      </c>
      <c r="M186" s="6" t="b">
        <v>0</v>
      </c>
      <c r="N186" s="6">
        <v>2</v>
      </c>
      <c r="O186" s="8" t="s">
        <v>331</v>
      </c>
      <c r="P186" s="8" t="s">
        <v>238</v>
      </c>
      <c r="Q186" s="8" t="s">
        <v>341</v>
      </c>
      <c r="R186" s="6">
        <v>2</v>
      </c>
      <c r="S186" s="8" t="s">
        <v>341</v>
      </c>
      <c r="T186" s="6">
        <v>2</v>
      </c>
      <c r="U186" s="8" t="s">
        <v>240</v>
      </c>
      <c r="V186" s="8" t="s">
        <v>524</v>
      </c>
      <c r="W186" s="8" t="s">
        <v>386</v>
      </c>
      <c r="X186" s="8" t="s">
        <v>240</v>
      </c>
      <c r="Y186" s="8" t="s">
        <v>240</v>
      </c>
      <c r="Z186" s="6" t="b">
        <v>0</v>
      </c>
      <c r="AA186" s="9"/>
      <c r="AB186" s="9"/>
    </row>
    <row r="187" spans="1:28" ht="16">
      <c r="A187" s="6">
        <v>198</v>
      </c>
      <c r="B187" s="8" t="s">
        <v>197</v>
      </c>
      <c r="C187" s="8" t="s">
        <v>153</v>
      </c>
      <c r="D187" s="8" t="s">
        <v>527</v>
      </c>
      <c r="E187" s="8" t="s">
        <v>522</v>
      </c>
      <c r="F187" s="6">
        <v>196</v>
      </c>
      <c r="G187" s="6" t="b">
        <v>0</v>
      </c>
      <c r="H187" s="8" t="s">
        <v>480</v>
      </c>
      <c r="I187" s="6" t="b">
        <v>0</v>
      </c>
      <c r="J187" s="6" t="b">
        <v>0</v>
      </c>
      <c r="K187" s="6" t="b">
        <v>0</v>
      </c>
      <c r="L187" s="6" t="b">
        <v>1</v>
      </c>
      <c r="M187" s="6" t="b">
        <v>0</v>
      </c>
      <c r="N187" s="6">
        <v>2</v>
      </c>
      <c r="O187" s="8" t="s">
        <v>331</v>
      </c>
      <c r="P187" s="8" t="s">
        <v>238</v>
      </c>
      <c r="Q187" s="8" t="s">
        <v>502</v>
      </c>
      <c r="R187" s="6">
        <v>4</v>
      </c>
      <c r="S187" s="8" t="s">
        <v>347</v>
      </c>
      <c r="T187" s="9"/>
      <c r="U187" s="8" t="s">
        <v>240</v>
      </c>
      <c r="V187" s="8" t="s">
        <v>524</v>
      </c>
      <c r="W187" s="8" t="s">
        <v>386</v>
      </c>
      <c r="X187" s="8" t="s">
        <v>240</v>
      </c>
      <c r="Y187" s="8" t="s">
        <v>240</v>
      </c>
      <c r="Z187" s="6" t="b">
        <v>0</v>
      </c>
      <c r="AA187" s="9"/>
      <c r="AB187" s="9"/>
    </row>
    <row r="188" spans="1:28" ht="16">
      <c r="A188" s="6">
        <v>199</v>
      </c>
      <c r="B188" s="8" t="s">
        <v>197</v>
      </c>
      <c r="C188" s="8" t="s">
        <v>153</v>
      </c>
      <c r="D188" s="8" t="s">
        <v>528</v>
      </c>
      <c r="E188" s="8" t="s">
        <v>522</v>
      </c>
      <c r="F188" s="6">
        <v>196</v>
      </c>
      <c r="G188" s="6" t="b">
        <v>0</v>
      </c>
      <c r="H188" s="8" t="s">
        <v>480</v>
      </c>
      <c r="I188" s="6" t="b">
        <v>0</v>
      </c>
      <c r="J188" s="6" t="b">
        <v>0</v>
      </c>
      <c r="K188" s="6" t="b">
        <v>0</v>
      </c>
      <c r="L188" s="6" t="b">
        <v>1</v>
      </c>
      <c r="M188" s="6" t="b">
        <v>0</v>
      </c>
      <c r="N188" s="6">
        <v>2</v>
      </c>
      <c r="O188" s="8" t="s">
        <v>331</v>
      </c>
      <c r="P188" s="8" t="s">
        <v>238</v>
      </c>
      <c r="Q188" s="8" t="s">
        <v>502</v>
      </c>
      <c r="R188" s="6">
        <v>0.7</v>
      </c>
      <c r="S188" s="8" t="s">
        <v>247</v>
      </c>
      <c r="T188" s="9"/>
      <c r="U188" s="8" t="s">
        <v>240</v>
      </c>
      <c r="V188" s="8" t="s">
        <v>524</v>
      </c>
      <c r="W188" s="8" t="s">
        <v>386</v>
      </c>
      <c r="X188" s="8" t="s">
        <v>240</v>
      </c>
      <c r="Y188" s="8" t="s">
        <v>240</v>
      </c>
      <c r="Z188" s="6" t="b">
        <v>0</v>
      </c>
      <c r="AA188" s="9"/>
      <c r="AB188" s="9"/>
    </row>
    <row r="189" spans="1:28" ht="16">
      <c r="A189" s="6">
        <v>200</v>
      </c>
      <c r="B189" s="8" t="s">
        <v>197</v>
      </c>
      <c r="C189" s="8" t="s">
        <v>153</v>
      </c>
      <c r="D189" s="8" t="s">
        <v>529</v>
      </c>
      <c r="E189" s="8" t="s">
        <v>522</v>
      </c>
      <c r="F189" s="6">
        <v>196</v>
      </c>
      <c r="G189" s="6" t="b">
        <v>0</v>
      </c>
      <c r="H189" s="8" t="s">
        <v>480</v>
      </c>
      <c r="I189" s="6" t="b">
        <v>0</v>
      </c>
      <c r="J189" s="6" t="b">
        <v>0</v>
      </c>
      <c r="K189" s="6" t="b">
        <v>0</v>
      </c>
      <c r="L189" s="6" t="b">
        <v>1</v>
      </c>
      <c r="M189" s="6" t="b">
        <v>0</v>
      </c>
      <c r="N189" s="6">
        <v>2</v>
      </c>
      <c r="O189" s="8" t="s">
        <v>331</v>
      </c>
      <c r="P189" s="8" t="s">
        <v>238</v>
      </c>
      <c r="Q189" s="8" t="s">
        <v>502</v>
      </c>
      <c r="R189" s="6">
        <v>0</v>
      </c>
      <c r="S189" s="8" t="s">
        <v>347</v>
      </c>
      <c r="T189" s="6">
        <v>2</v>
      </c>
      <c r="U189" s="8" t="s">
        <v>240</v>
      </c>
      <c r="V189" s="8" t="s">
        <v>524</v>
      </c>
      <c r="W189" s="8" t="s">
        <v>386</v>
      </c>
      <c r="X189" s="8" t="s">
        <v>240</v>
      </c>
      <c r="Y189" s="8" t="s">
        <v>240</v>
      </c>
      <c r="Z189" s="6" t="b">
        <v>0</v>
      </c>
      <c r="AA189" s="9"/>
      <c r="AB189" s="9"/>
    </row>
    <row r="190" spans="1:28" ht="16">
      <c r="A190" s="6">
        <v>201</v>
      </c>
      <c r="B190" s="8" t="s">
        <v>197</v>
      </c>
      <c r="C190" s="8" t="s">
        <v>530</v>
      </c>
      <c r="D190" s="8" t="s">
        <v>531</v>
      </c>
      <c r="E190" s="8" t="s">
        <v>531</v>
      </c>
      <c r="F190" s="6">
        <v>201</v>
      </c>
      <c r="G190" s="6" t="b">
        <v>0</v>
      </c>
      <c r="H190" s="8" t="s">
        <v>480</v>
      </c>
      <c r="I190" s="6" t="b">
        <v>0</v>
      </c>
      <c r="J190" s="6" t="b">
        <v>0</v>
      </c>
      <c r="K190" s="6" t="b">
        <v>0</v>
      </c>
      <c r="L190" s="6" t="b">
        <v>1</v>
      </c>
      <c r="M190" s="6" t="b">
        <v>0</v>
      </c>
      <c r="N190" s="6">
        <v>0</v>
      </c>
      <c r="O190" s="8" t="s">
        <v>331</v>
      </c>
      <c r="P190" s="8" t="s">
        <v>380</v>
      </c>
      <c r="Q190" s="8" t="s">
        <v>502</v>
      </c>
      <c r="R190" s="6">
        <v>0</v>
      </c>
      <c r="S190" s="8" t="s">
        <v>335</v>
      </c>
      <c r="T190" s="6">
        <v>0</v>
      </c>
      <c r="U190" s="8" t="s">
        <v>240</v>
      </c>
      <c r="V190" s="8" t="s">
        <v>482</v>
      </c>
      <c r="W190" s="8" t="s">
        <v>386</v>
      </c>
      <c r="X190" s="8" t="s">
        <v>240</v>
      </c>
      <c r="Y190" s="8" t="s">
        <v>532</v>
      </c>
      <c r="Z190" s="6" t="b">
        <v>0</v>
      </c>
      <c r="AA190" s="9"/>
      <c r="AB190" s="9"/>
    </row>
    <row r="191" spans="1:28" ht="16">
      <c r="A191" s="6">
        <v>202</v>
      </c>
      <c r="B191" s="8" t="s">
        <v>197</v>
      </c>
      <c r="C191" s="8" t="s">
        <v>530</v>
      </c>
      <c r="D191" s="8" t="s">
        <v>533</v>
      </c>
      <c r="E191" s="8" t="s">
        <v>531</v>
      </c>
      <c r="F191" s="6">
        <v>201</v>
      </c>
      <c r="G191" s="6" t="b">
        <v>0</v>
      </c>
      <c r="H191" s="8" t="s">
        <v>480</v>
      </c>
      <c r="I191" s="6" t="b">
        <v>0</v>
      </c>
      <c r="J191" s="6" t="b">
        <v>0</v>
      </c>
      <c r="K191" s="6" t="b">
        <v>0</v>
      </c>
      <c r="L191" s="6" t="b">
        <v>1</v>
      </c>
      <c r="M191" s="6" t="b">
        <v>0</v>
      </c>
      <c r="N191" s="6">
        <v>0</v>
      </c>
      <c r="O191" s="8" t="s">
        <v>331</v>
      </c>
      <c r="P191" s="8" t="s">
        <v>380</v>
      </c>
      <c r="Q191" s="8" t="s">
        <v>335</v>
      </c>
      <c r="R191" s="6">
        <v>0</v>
      </c>
      <c r="S191" s="8" t="s">
        <v>347</v>
      </c>
      <c r="T191" s="6">
        <v>0</v>
      </c>
      <c r="U191" s="8" t="s">
        <v>240</v>
      </c>
      <c r="V191" s="8" t="s">
        <v>482</v>
      </c>
      <c r="W191" s="8" t="s">
        <v>386</v>
      </c>
      <c r="X191" s="8" t="s">
        <v>240</v>
      </c>
      <c r="Y191" s="8" t="s">
        <v>240</v>
      </c>
      <c r="Z191" s="6" t="b">
        <v>0</v>
      </c>
      <c r="AA191" s="9"/>
      <c r="AB191" s="9"/>
    </row>
    <row r="192" spans="1:28" ht="16">
      <c r="A192" s="6">
        <v>203</v>
      </c>
      <c r="B192" s="8" t="s">
        <v>197</v>
      </c>
      <c r="C192" s="8" t="s">
        <v>530</v>
      </c>
      <c r="D192" s="8" t="s">
        <v>534</v>
      </c>
      <c r="E192" s="8" t="s">
        <v>531</v>
      </c>
      <c r="F192" s="6">
        <v>201</v>
      </c>
      <c r="G192" s="6" t="b">
        <v>0</v>
      </c>
      <c r="H192" s="8" t="s">
        <v>480</v>
      </c>
      <c r="I192" s="6" t="b">
        <v>0</v>
      </c>
      <c r="J192" s="6" t="b">
        <v>0</v>
      </c>
      <c r="K192" s="6" t="b">
        <v>0</v>
      </c>
      <c r="L192" s="6" t="b">
        <v>1</v>
      </c>
      <c r="M192" s="6" t="b">
        <v>0</v>
      </c>
      <c r="N192" s="6">
        <v>0</v>
      </c>
      <c r="O192" s="8" t="s">
        <v>331</v>
      </c>
      <c r="P192" s="8" t="s">
        <v>380</v>
      </c>
      <c r="Q192" s="8" t="s">
        <v>502</v>
      </c>
      <c r="R192" s="6">
        <v>0</v>
      </c>
      <c r="S192" s="8" t="s">
        <v>335</v>
      </c>
      <c r="T192" s="9"/>
      <c r="U192" s="8" t="s">
        <v>240</v>
      </c>
      <c r="V192" s="8" t="s">
        <v>482</v>
      </c>
      <c r="W192" s="8" t="s">
        <v>386</v>
      </c>
      <c r="X192" s="8" t="s">
        <v>240</v>
      </c>
      <c r="Y192" s="8" t="s">
        <v>240</v>
      </c>
      <c r="Z192" s="6" t="b">
        <v>0</v>
      </c>
      <c r="AA192" s="9"/>
      <c r="AB192" s="9"/>
    </row>
    <row r="193" spans="1:28" ht="16">
      <c r="A193" s="6">
        <v>220</v>
      </c>
      <c r="B193" s="8" t="s">
        <v>535</v>
      </c>
      <c r="C193" s="8" t="s">
        <v>536</v>
      </c>
      <c r="D193" s="8" t="s">
        <v>537</v>
      </c>
      <c r="E193" s="8" t="s">
        <v>537</v>
      </c>
      <c r="F193" s="6">
        <v>220</v>
      </c>
      <c r="G193" s="6" t="b">
        <v>0</v>
      </c>
      <c r="H193" s="8" t="s">
        <v>240</v>
      </c>
      <c r="I193" s="6" t="b">
        <v>0</v>
      </c>
      <c r="J193" s="6" t="b">
        <v>0</v>
      </c>
      <c r="K193" s="6" t="b">
        <v>0</v>
      </c>
      <c r="L193" s="6" t="b">
        <v>0</v>
      </c>
      <c r="M193" s="6" t="b">
        <v>0</v>
      </c>
      <c r="N193" s="6">
        <v>5</v>
      </c>
      <c r="O193" s="8" t="s">
        <v>335</v>
      </c>
      <c r="P193" s="8" t="s">
        <v>238</v>
      </c>
      <c r="Q193" s="8" t="s">
        <v>502</v>
      </c>
      <c r="R193" s="6">
        <v>5</v>
      </c>
      <c r="S193" s="8" t="s">
        <v>75</v>
      </c>
      <c r="T193" s="9"/>
      <c r="U193" s="8" t="s">
        <v>240</v>
      </c>
      <c r="V193" s="8" t="s">
        <v>240</v>
      </c>
      <c r="W193" s="8" t="s">
        <v>240</v>
      </c>
      <c r="X193" s="8" t="s">
        <v>240</v>
      </c>
      <c r="Y193" s="8" t="s">
        <v>538</v>
      </c>
      <c r="Z193" s="6" t="b">
        <v>0</v>
      </c>
      <c r="AA193" s="9"/>
      <c r="AB193" s="9"/>
    </row>
    <row r="194" spans="1:28" ht="32">
      <c r="A194" s="6">
        <v>221</v>
      </c>
      <c r="B194" s="8" t="s">
        <v>535</v>
      </c>
      <c r="C194" s="8" t="s">
        <v>536</v>
      </c>
      <c r="D194" s="8" t="s">
        <v>539</v>
      </c>
      <c r="E194" s="8" t="s">
        <v>537</v>
      </c>
      <c r="F194" s="6">
        <v>220</v>
      </c>
      <c r="G194" s="6" t="b">
        <v>0</v>
      </c>
      <c r="H194" s="8" t="s">
        <v>240</v>
      </c>
      <c r="I194" s="6" t="b">
        <v>0</v>
      </c>
      <c r="J194" s="6" t="b">
        <v>0</v>
      </c>
      <c r="K194" s="6" t="b">
        <v>0</v>
      </c>
      <c r="L194" s="6" t="b">
        <v>0</v>
      </c>
      <c r="M194" s="6" t="b">
        <v>0</v>
      </c>
      <c r="N194" s="6">
        <v>5</v>
      </c>
      <c r="O194" s="8" t="s">
        <v>335</v>
      </c>
      <c r="P194" s="8" t="s">
        <v>238</v>
      </c>
      <c r="Q194" s="8" t="s">
        <v>502</v>
      </c>
      <c r="R194" s="6">
        <v>5</v>
      </c>
      <c r="S194" s="8" t="s">
        <v>75</v>
      </c>
      <c r="T194" s="9"/>
      <c r="U194" s="8" t="s">
        <v>240</v>
      </c>
      <c r="V194" s="8" t="s">
        <v>240</v>
      </c>
      <c r="W194" s="8" t="s">
        <v>240</v>
      </c>
      <c r="X194" s="8" t="s">
        <v>240</v>
      </c>
      <c r="Y194" s="8" t="s">
        <v>240</v>
      </c>
      <c r="Z194" s="6" t="b">
        <v>0</v>
      </c>
      <c r="AA194" s="9"/>
      <c r="AB194" s="9"/>
    </row>
    <row r="195" spans="1:28" ht="16">
      <c r="A195" s="6">
        <v>222</v>
      </c>
      <c r="B195" s="8" t="s">
        <v>535</v>
      </c>
      <c r="C195" s="8" t="s">
        <v>536</v>
      </c>
      <c r="D195" s="8" t="s">
        <v>536</v>
      </c>
      <c r="E195" s="8" t="s">
        <v>536</v>
      </c>
      <c r="F195" s="6">
        <v>222</v>
      </c>
      <c r="G195" s="6" t="b">
        <v>0</v>
      </c>
      <c r="H195" s="8" t="s">
        <v>240</v>
      </c>
      <c r="I195" s="6" t="b">
        <v>0</v>
      </c>
      <c r="J195" s="6" t="b">
        <v>0</v>
      </c>
      <c r="K195" s="6" t="b">
        <v>0</v>
      </c>
      <c r="L195" s="6" t="b">
        <v>0</v>
      </c>
      <c r="M195" s="6" t="b">
        <v>0</v>
      </c>
      <c r="N195" s="6">
        <v>5</v>
      </c>
      <c r="O195" s="8" t="s">
        <v>335</v>
      </c>
      <c r="P195" s="8" t="s">
        <v>240</v>
      </c>
      <c r="Q195" s="8" t="s">
        <v>240</v>
      </c>
      <c r="R195" s="6">
        <v>5</v>
      </c>
      <c r="S195" s="8" t="s">
        <v>75</v>
      </c>
      <c r="T195" s="9"/>
      <c r="U195" s="8" t="s">
        <v>240</v>
      </c>
      <c r="V195" s="8" t="s">
        <v>240</v>
      </c>
      <c r="W195" s="8" t="s">
        <v>240</v>
      </c>
      <c r="X195" s="8" t="s">
        <v>240</v>
      </c>
      <c r="Y195" s="8" t="s">
        <v>240</v>
      </c>
      <c r="Z195" s="6" t="b">
        <v>0</v>
      </c>
      <c r="AA195" s="9"/>
      <c r="AB195" s="9"/>
    </row>
    <row r="196" spans="1:28" ht="16">
      <c r="A196" s="6">
        <v>223</v>
      </c>
      <c r="B196" s="8" t="s">
        <v>535</v>
      </c>
      <c r="C196" s="8" t="s">
        <v>536</v>
      </c>
      <c r="D196" s="8" t="s">
        <v>540</v>
      </c>
      <c r="E196" s="8" t="s">
        <v>540</v>
      </c>
      <c r="F196" s="6">
        <v>223</v>
      </c>
      <c r="G196" s="6" t="b">
        <v>0</v>
      </c>
      <c r="H196" s="8" t="s">
        <v>240</v>
      </c>
      <c r="I196" s="6" t="b">
        <v>0</v>
      </c>
      <c r="J196" s="6" t="b">
        <v>0</v>
      </c>
      <c r="K196" s="6" t="b">
        <v>0</v>
      </c>
      <c r="L196" s="6" t="b">
        <v>0</v>
      </c>
      <c r="M196" s="6" t="b">
        <v>0</v>
      </c>
      <c r="N196" s="6">
        <v>5</v>
      </c>
      <c r="O196" s="8" t="s">
        <v>335</v>
      </c>
      <c r="P196" s="8" t="s">
        <v>238</v>
      </c>
      <c r="Q196" s="8" t="s">
        <v>502</v>
      </c>
      <c r="R196" s="6">
        <v>5</v>
      </c>
      <c r="S196" s="8" t="s">
        <v>335</v>
      </c>
      <c r="T196" s="6">
        <v>5</v>
      </c>
      <c r="U196" s="8" t="s">
        <v>240</v>
      </c>
      <c r="V196" s="8" t="s">
        <v>240</v>
      </c>
      <c r="W196" s="8" t="s">
        <v>240</v>
      </c>
      <c r="X196" s="8" t="s">
        <v>240</v>
      </c>
      <c r="Y196" s="8" t="s">
        <v>541</v>
      </c>
      <c r="Z196" s="6" t="b">
        <v>0</v>
      </c>
      <c r="AA196" s="9"/>
      <c r="AB196" s="9"/>
    </row>
    <row r="197" spans="1:28" ht="16">
      <c r="A197" s="6">
        <v>224</v>
      </c>
      <c r="B197" s="8" t="s">
        <v>542</v>
      </c>
      <c r="C197" s="8" t="s">
        <v>87</v>
      </c>
      <c r="D197" s="8" t="s">
        <v>543</v>
      </c>
      <c r="E197" s="8" t="s">
        <v>543</v>
      </c>
      <c r="F197" s="6">
        <v>224</v>
      </c>
      <c r="G197" s="6" t="b">
        <v>0</v>
      </c>
      <c r="H197" s="8" t="s">
        <v>240</v>
      </c>
      <c r="I197" s="6" t="b">
        <v>0</v>
      </c>
      <c r="J197" s="6" t="b">
        <v>0</v>
      </c>
      <c r="K197" s="6" t="b">
        <v>0</v>
      </c>
      <c r="L197" s="6" t="b">
        <v>0</v>
      </c>
      <c r="M197" s="6" t="b">
        <v>0</v>
      </c>
      <c r="N197" s="6">
        <v>4</v>
      </c>
      <c r="O197" s="8" t="s">
        <v>331</v>
      </c>
      <c r="P197" s="8" t="s">
        <v>240</v>
      </c>
      <c r="Q197" s="8" t="s">
        <v>240</v>
      </c>
      <c r="R197" s="6">
        <v>4</v>
      </c>
      <c r="S197" s="8" t="s">
        <v>75</v>
      </c>
      <c r="T197" s="9"/>
      <c r="U197" s="8" t="s">
        <v>240</v>
      </c>
      <c r="V197" s="8" t="s">
        <v>240</v>
      </c>
      <c r="W197" s="8" t="s">
        <v>240</v>
      </c>
      <c r="X197" s="8" t="s">
        <v>240</v>
      </c>
      <c r="Y197" s="8" t="s">
        <v>240</v>
      </c>
      <c r="Z197" s="6" t="b">
        <v>0</v>
      </c>
      <c r="AA197" s="9"/>
      <c r="AB197" s="9"/>
    </row>
    <row r="198" spans="1:28" ht="16">
      <c r="A198" s="6">
        <v>225</v>
      </c>
      <c r="B198" s="8" t="s">
        <v>542</v>
      </c>
      <c r="C198" s="8" t="s">
        <v>87</v>
      </c>
      <c r="D198" s="8" t="s">
        <v>544</v>
      </c>
      <c r="E198" s="8" t="s">
        <v>543</v>
      </c>
      <c r="F198" s="6">
        <v>224</v>
      </c>
      <c r="G198" s="6" t="b">
        <v>0</v>
      </c>
      <c r="H198" s="8" t="s">
        <v>240</v>
      </c>
      <c r="I198" s="6" t="b">
        <v>0</v>
      </c>
      <c r="J198" s="6" t="b">
        <v>0</v>
      </c>
      <c r="K198" s="6" t="b">
        <v>0</v>
      </c>
      <c r="L198" s="6" t="b">
        <v>0</v>
      </c>
      <c r="M198" s="6" t="b">
        <v>0</v>
      </c>
      <c r="N198" s="6">
        <v>4</v>
      </c>
      <c r="O198" s="8" t="s">
        <v>331</v>
      </c>
      <c r="P198" s="8" t="s">
        <v>240</v>
      </c>
      <c r="Q198" s="8" t="s">
        <v>240</v>
      </c>
      <c r="R198" s="6">
        <v>5.0999999999999996</v>
      </c>
      <c r="S198" s="8" t="s">
        <v>247</v>
      </c>
      <c r="T198" s="9"/>
      <c r="U198" s="8" t="s">
        <v>240</v>
      </c>
      <c r="V198" s="8" t="s">
        <v>240</v>
      </c>
      <c r="W198" s="8" t="s">
        <v>240</v>
      </c>
      <c r="X198" s="8" t="s">
        <v>240</v>
      </c>
      <c r="Y198" s="8" t="s">
        <v>545</v>
      </c>
      <c r="Z198" s="6" t="b">
        <v>0</v>
      </c>
      <c r="AA198" s="9"/>
      <c r="AB198" s="9"/>
    </row>
    <row r="199" spans="1:28" ht="16">
      <c r="A199" s="6">
        <v>226</v>
      </c>
      <c r="B199" s="8" t="s">
        <v>542</v>
      </c>
      <c r="C199" s="8" t="s">
        <v>546</v>
      </c>
      <c r="D199" s="8" t="s">
        <v>546</v>
      </c>
      <c r="E199" s="8" t="s">
        <v>546</v>
      </c>
      <c r="F199" s="6">
        <v>226</v>
      </c>
      <c r="G199" s="6" t="b">
        <v>0</v>
      </c>
      <c r="H199" s="8" t="s">
        <v>240</v>
      </c>
      <c r="I199" s="6" t="b">
        <v>0</v>
      </c>
      <c r="J199" s="6" t="b">
        <v>0</v>
      </c>
      <c r="K199" s="6" t="b">
        <v>0</v>
      </c>
      <c r="L199" s="6" t="b">
        <v>0</v>
      </c>
      <c r="M199" s="6" t="b">
        <v>0</v>
      </c>
      <c r="N199" s="6">
        <v>4</v>
      </c>
      <c r="O199" s="8" t="s">
        <v>331</v>
      </c>
      <c r="P199" s="8" t="s">
        <v>240</v>
      </c>
      <c r="Q199" s="8" t="s">
        <v>240</v>
      </c>
      <c r="R199" s="6">
        <v>4</v>
      </c>
      <c r="S199" s="8" t="s">
        <v>75</v>
      </c>
      <c r="T199" s="9"/>
      <c r="U199" s="8" t="s">
        <v>240</v>
      </c>
      <c r="V199" s="8" t="s">
        <v>240</v>
      </c>
      <c r="W199" s="8" t="s">
        <v>240</v>
      </c>
      <c r="X199" s="8" t="s">
        <v>240</v>
      </c>
      <c r="Y199" s="8" t="s">
        <v>547</v>
      </c>
      <c r="Z199" s="6" t="b">
        <v>0</v>
      </c>
      <c r="AA199" s="9"/>
      <c r="AB199" s="9"/>
    </row>
    <row r="200" spans="1:28" ht="16">
      <c r="A200" s="6">
        <v>227</v>
      </c>
      <c r="B200" s="8" t="s">
        <v>542</v>
      </c>
      <c r="C200" s="8" t="s">
        <v>87</v>
      </c>
      <c r="D200" s="8" t="s">
        <v>548</v>
      </c>
      <c r="E200" s="8" t="s">
        <v>548</v>
      </c>
      <c r="F200" s="6">
        <v>227</v>
      </c>
      <c r="G200" s="6" t="b">
        <v>0</v>
      </c>
      <c r="H200" s="8" t="s">
        <v>240</v>
      </c>
      <c r="I200" s="6" t="b">
        <v>0</v>
      </c>
      <c r="J200" s="6" t="b">
        <v>0</v>
      </c>
      <c r="K200" s="6" t="b">
        <v>0</v>
      </c>
      <c r="L200" s="6" t="b">
        <v>0</v>
      </c>
      <c r="M200" s="6" t="b">
        <v>0</v>
      </c>
      <c r="N200" s="6">
        <v>4</v>
      </c>
      <c r="O200" s="8" t="s">
        <v>331</v>
      </c>
      <c r="P200" s="8" t="s">
        <v>238</v>
      </c>
      <c r="Q200" s="8" t="s">
        <v>335</v>
      </c>
      <c r="R200" s="6">
        <v>4</v>
      </c>
      <c r="S200" s="8" t="s">
        <v>75</v>
      </c>
      <c r="T200" s="6">
        <v>6</v>
      </c>
      <c r="U200" s="8" t="s">
        <v>240</v>
      </c>
      <c r="V200" s="8" t="s">
        <v>240</v>
      </c>
      <c r="W200" s="8" t="s">
        <v>240</v>
      </c>
      <c r="X200" s="8" t="s">
        <v>240</v>
      </c>
      <c r="Y200" s="8" t="s">
        <v>549</v>
      </c>
      <c r="Z200" s="6" t="b">
        <v>0</v>
      </c>
      <c r="AA200" s="9"/>
      <c r="AB200" s="9"/>
    </row>
    <row r="201" spans="1:28" ht="16">
      <c r="A201" s="6">
        <v>228</v>
      </c>
      <c r="B201" s="8" t="s">
        <v>542</v>
      </c>
      <c r="C201" s="8" t="s">
        <v>87</v>
      </c>
      <c r="D201" s="8" t="s">
        <v>550</v>
      </c>
      <c r="E201" s="8" t="s">
        <v>548</v>
      </c>
      <c r="F201" s="6">
        <v>227</v>
      </c>
      <c r="G201" s="6" t="b">
        <v>0</v>
      </c>
      <c r="H201" s="8" t="s">
        <v>240</v>
      </c>
      <c r="I201" s="6" t="b">
        <v>0</v>
      </c>
      <c r="J201" s="6" t="b">
        <v>0</v>
      </c>
      <c r="K201" s="6" t="b">
        <v>0</v>
      </c>
      <c r="L201" s="6" t="b">
        <v>0</v>
      </c>
      <c r="M201" s="6" t="b">
        <v>0</v>
      </c>
      <c r="N201" s="6">
        <v>4</v>
      </c>
      <c r="O201" s="8" t="s">
        <v>331</v>
      </c>
      <c r="P201" s="8" t="s">
        <v>238</v>
      </c>
      <c r="Q201" s="8" t="s">
        <v>335</v>
      </c>
      <c r="R201" s="6">
        <v>7.5</v>
      </c>
      <c r="S201" s="8" t="s">
        <v>247</v>
      </c>
      <c r="T201" s="6">
        <v>6</v>
      </c>
      <c r="U201" s="8" t="s">
        <v>240</v>
      </c>
      <c r="V201" s="8" t="s">
        <v>240</v>
      </c>
      <c r="W201" s="8" t="s">
        <v>240</v>
      </c>
      <c r="X201" s="8" t="s">
        <v>240</v>
      </c>
      <c r="Y201" s="8" t="s">
        <v>551</v>
      </c>
      <c r="Z201" s="6" t="b">
        <v>0</v>
      </c>
      <c r="AA201" s="9"/>
      <c r="AB201" s="9"/>
    </row>
    <row r="202" spans="1:28" ht="16">
      <c r="A202" s="6">
        <v>229</v>
      </c>
      <c r="B202" s="8" t="s">
        <v>542</v>
      </c>
      <c r="C202" s="8" t="s">
        <v>552</v>
      </c>
      <c r="D202" s="8" t="s">
        <v>553</v>
      </c>
      <c r="E202" s="8" t="s">
        <v>553</v>
      </c>
      <c r="F202" s="6">
        <v>229</v>
      </c>
      <c r="G202" s="6" t="b">
        <v>0</v>
      </c>
      <c r="H202" s="8" t="s">
        <v>240</v>
      </c>
      <c r="I202" s="6" t="b">
        <v>0</v>
      </c>
      <c r="J202" s="6" t="b">
        <v>0</v>
      </c>
      <c r="K202" s="6" t="b">
        <v>0</v>
      </c>
      <c r="L202" s="6" t="b">
        <v>0</v>
      </c>
      <c r="M202" s="6" t="b">
        <v>0</v>
      </c>
      <c r="N202" s="6">
        <v>4</v>
      </c>
      <c r="O202" s="8" t="s">
        <v>331</v>
      </c>
      <c r="P202" s="8" t="s">
        <v>240</v>
      </c>
      <c r="Q202" s="8" t="s">
        <v>240</v>
      </c>
      <c r="R202" s="6">
        <v>4</v>
      </c>
      <c r="S202" s="8" t="s">
        <v>75</v>
      </c>
      <c r="T202" s="9"/>
      <c r="U202" s="8" t="s">
        <v>240</v>
      </c>
      <c r="V202" s="8" t="s">
        <v>240</v>
      </c>
      <c r="W202" s="8" t="s">
        <v>240</v>
      </c>
      <c r="X202" s="8" t="s">
        <v>240</v>
      </c>
      <c r="Y202" s="8" t="s">
        <v>554</v>
      </c>
      <c r="Z202" s="6" t="b">
        <v>0</v>
      </c>
      <c r="AA202" s="9"/>
      <c r="AB202" s="9"/>
    </row>
    <row r="203" spans="1:28" ht="32">
      <c r="A203" s="6">
        <v>230</v>
      </c>
      <c r="B203" s="8" t="s">
        <v>542</v>
      </c>
      <c r="C203" s="8" t="s">
        <v>552</v>
      </c>
      <c r="D203" s="8" t="s">
        <v>555</v>
      </c>
      <c r="E203" s="8" t="s">
        <v>553</v>
      </c>
      <c r="F203" s="6">
        <v>229</v>
      </c>
      <c r="G203" s="6" t="b">
        <v>0</v>
      </c>
      <c r="H203" s="8" t="s">
        <v>240</v>
      </c>
      <c r="I203" s="6" t="b">
        <v>0</v>
      </c>
      <c r="J203" s="6" t="b">
        <v>0</v>
      </c>
      <c r="K203" s="6" t="b">
        <v>0</v>
      </c>
      <c r="L203" s="6" t="b">
        <v>0</v>
      </c>
      <c r="M203" s="6" t="b">
        <v>0</v>
      </c>
      <c r="N203" s="6">
        <v>4</v>
      </c>
      <c r="O203" s="8" t="s">
        <v>331</v>
      </c>
      <c r="P203" s="8" t="s">
        <v>240</v>
      </c>
      <c r="Q203" s="8" t="s">
        <v>240</v>
      </c>
      <c r="R203" s="6">
        <v>4</v>
      </c>
      <c r="S203" s="8" t="s">
        <v>75</v>
      </c>
      <c r="T203" s="9"/>
      <c r="U203" s="8" t="s">
        <v>240</v>
      </c>
      <c r="V203" s="8" t="s">
        <v>240</v>
      </c>
      <c r="W203" s="8" t="s">
        <v>240</v>
      </c>
      <c r="X203" s="8" t="s">
        <v>240</v>
      </c>
      <c r="Y203" s="8" t="s">
        <v>240</v>
      </c>
      <c r="Z203" s="6" t="b">
        <v>0</v>
      </c>
      <c r="AA203" s="9"/>
      <c r="AB203" s="9"/>
    </row>
    <row r="204" spans="1:28" ht="16">
      <c r="A204" s="6">
        <v>231</v>
      </c>
      <c r="B204" s="8" t="s">
        <v>542</v>
      </c>
      <c r="C204" s="8" t="s">
        <v>556</v>
      </c>
      <c r="D204" s="8" t="s">
        <v>557</v>
      </c>
      <c r="E204" s="8" t="s">
        <v>557</v>
      </c>
      <c r="F204" s="6">
        <v>231</v>
      </c>
      <c r="G204" s="6" t="b">
        <v>0</v>
      </c>
      <c r="H204" s="8" t="s">
        <v>240</v>
      </c>
      <c r="I204" s="6" t="b">
        <v>0</v>
      </c>
      <c r="J204" s="6" t="b">
        <v>0</v>
      </c>
      <c r="K204" s="6" t="b">
        <v>0</v>
      </c>
      <c r="L204" s="6" t="b">
        <v>0</v>
      </c>
      <c r="M204" s="6" t="b">
        <v>0</v>
      </c>
      <c r="N204" s="6">
        <v>4</v>
      </c>
      <c r="O204" s="8" t="s">
        <v>331</v>
      </c>
      <c r="P204" s="8" t="s">
        <v>240</v>
      </c>
      <c r="Q204" s="8" t="s">
        <v>240</v>
      </c>
      <c r="R204" s="6">
        <v>4</v>
      </c>
      <c r="S204" s="8" t="s">
        <v>75</v>
      </c>
      <c r="T204" s="9"/>
      <c r="U204" s="8" t="s">
        <v>240</v>
      </c>
      <c r="V204" s="8" t="s">
        <v>240</v>
      </c>
      <c r="W204" s="8" t="s">
        <v>240</v>
      </c>
      <c r="X204" s="8" t="s">
        <v>240</v>
      </c>
      <c r="Y204" s="8" t="s">
        <v>558</v>
      </c>
      <c r="Z204" s="6" t="b">
        <v>0</v>
      </c>
      <c r="AA204" s="9"/>
      <c r="AB204" s="9"/>
    </row>
    <row r="205" spans="1:28" ht="16">
      <c r="A205" s="6">
        <v>232</v>
      </c>
      <c r="B205" s="8" t="s">
        <v>542</v>
      </c>
      <c r="C205" s="8" t="s">
        <v>556</v>
      </c>
      <c r="D205" s="8" t="s">
        <v>559</v>
      </c>
      <c r="E205" s="8" t="s">
        <v>557</v>
      </c>
      <c r="F205" s="6">
        <v>231</v>
      </c>
      <c r="G205" s="6" t="b">
        <v>0</v>
      </c>
      <c r="H205" s="8" t="s">
        <v>240</v>
      </c>
      <c r="I205" s="6" t="b">
        <v>0</v>
      </c>
      <c r="J205" s="6" t="b">
        <v>0</v>
      </c>
      <c r="K205" s="6" t="b">
        <v>0</v>
      </c>
      <c r="L205" s="6" t="b">
        <v>0</v>
      </c>
      <c r="M205" s="6" t="b">
        <v>0</v>
      </c>
      <c r="N205" s="6">
        <v>4</v>
      </c>
      <c r="O205" s="8" t="s">
        <v>331</v>
      </c>
      <c r="P205" s="8" t="s">
        <v>240</v>
      </c>
      <c r="Q205" s="8" t="s">
        <v>240</v>
      </c>
      <c r="R205" s="6">
        <v>4</v>
      </c>
      <c r="S205" s="8" t="s">
        <v>75</v>
      </c>
      <c r="T205" s="9"/>
      <c r="U205" s="8" t="s">
        <v>240</v>
      </c>
      <c r="V205" s="8" t="s">
        <v>240</v>
      </c>
      <c r="W205" s="8" t="s">
        <v>240</v>
      </c>
      <c r="X205" s="8" t="s">
        <v>240</v>
      </c>
      <c r="Y205" s="8" t="s">
        <v>560</v>
      </c>
      <c r="Z205" s="6" t="b">
        <v>0</v>
      </c>
      <c r="AA205" s="9"/>
      <c r="AB205" s="9"/>
    </row>
    <row r="206" spans="1:28" ht="16">
      <c r="A206" s="6">
        <v>233</v>
      </c>
      <c r="B206" s="8" t="s">
        <v>542</v>
      </c>
      <c r="C206" s="8" t="s">
        <v>87</v>
      </c>
      <c r="D206" s="8" t="s">
        <v>561</v>
      </c>
      <c r="E206" s="8" t="s">
        <v>561</v>
      </c>
      <c r="F206" s="6">
        <v>233</v>
      </c>
      <c r="G206" s="6" t="b">
        <v>0</v>
      </c>
      <c r="H206" s="8" t="s">
        <v>240</v>
      </c>
      <c r="I206" s="6" t="b">
        <v>0</v>
      </c>
      <c r="J206" s="6" t="b">
        <v>0</v>
      </c>
      <c r="K206" s="6" t="b">
        <v>0</v>
      </c>
      <c r="L206" s="6" t="b">
        <v>0</v>
      </c>
      <c r="M206" s="6" t="b">
        <v>0</v>
      </c>
      <c r="N206" s="6">
        <v>4</v>
      </c>
      <c r="O206" s="8" t="s">
        <v>331</v>
      </c>
      <c r="P206" s="8" t="s">
        <v>240</v>
      </c>
      <c r="Q206" s="8" t="s">
        <v>240</v>
      </c>
      <c r="R206" s="6">
        <v>4</v>
      </c>
      <c r="S206" s="8" t="s">
        <v>75</v>
      </c>
      <c r="T206" s="9"/>
      <c r="U206" s="8" t="s">
        <v>240</v>
      </c>
      <c r="V206" s="8" t="s">
        <v>240</v>
      </c>
      <c r="W206" s="8" t="s">
        <v>240</v>
      </c>
      <c r="X206" s="8" t="s">
        <v>240</v>
      </c>
      <c r="Y206" s="8" t="s">
        <v>240</v>
      </c>
      <c r="Z206" s="6" t="b">
        <v>0</v>
      </c>
      <c r="AA206" s="9"/>
      <c r="AB206" s="9"/>
    </row>
    <row r="207" spans="1:28" ht="32">
      <c r="A207" s="6">
        <v>234</v>
      </c>
      <c r="B207" s="8" t="s">
        <v>542</v>
      </c>
      <c r="C207" s="8" t="s">
        <v>87</v>
      </c>
      <c r="D207" s="8" t="s">
        <v>562</v>
      </c>
      <c r="E207" s="8" t="s">
        <v>561</v>
      </c>
      <c r="F207" s="6">
        <v>233</v>
      </c>
      <c r="G207" s="6" t="b">
        <v>0</v>
      </c>
      <c r="H207" s="8" t="s">
        <v>240</v>
      </c>
      <c r="I207" s="6" t="b">
        <v>0</v>
      </c>
      <c r="J207" s="6" t="b">
        <v>0</v>
      </c>
      <c r="K207" s="6" t="b">
        <v>0</v>
      </c>
      <c r="L207" s="6" t="b">
        <v>0</v>
      </c>
      <c r="M207" s="6" t="b">
        <v>0</v>
      </c>
      <c r="N207" s="6">
        <v>4</v>
      </c>
      <c r="O207" s="8" t="s">
        <v>331</v>
      </c>
      <c r="P207" s="8" t="s">
        <v>240</v>
      </c>
      <c r="Q207" s="8" t="s">
        <v>240</v>
      </c>
      <c r="R207" s="6">
        <v>4</v>
      </c>
      <c r="S207" s="8" t="s">
        <v>75</v>
      </c>
      <c r="T207" s="9"/>
      <c r="U207" s="8" t="s">
        <v>240</v>
      </c>
      <c r="V207" s="8" t="s">
        <v>240</v>
      </c>
      <c r="W207" s="8" t="s">
        <v>240</v>
      </c>
      <c r="X207" s="8" t="s">
        <v>240</v>
      </c>
      <c r="Y207" s="8" t="s">
        <v>563</v>
      </c>
      <c r="Z207" s="6" t="b">
        <v>0</v>
      </c>
      <c r="AA207" s="9"/>
      <c r="AB207" s="9"/>
    </row>
    <row r="208" spans="1:28" ht="16">
      <c r="A208" s="6">
        <v>235</v>
      </c>
      <c r="B208" s="8" t="s">
        <v>542</v>
      </c>
      <c r="C208" s="8" t="s">
        <v>564</v>
      </c>
      <c r="D208" s="8" t="s">
        <v>564</v>
      </c>
      <c r="E208" s="8" t="s">
        <v>564</v>
      </c>
      <c r="F208" s="6">
        <v>235</v>
      </c>
      <c r="G208" s="6" t="b">
        <v>0</v>
      </c>
      <c r="H208" s="8" t="s">
        <v>240</v>
      </c>
      <c r="I208" s="6" t="b">
        <v>0</v>
      </c>
      <c r="J208" s="6" t="b">
        <v>0</v>
      </c>
      <c r="K208" s="6" t="b">
        <v>0</v>
      </c>
      <c r="L208" s="6" t="b">
        <v>0</v>
      </c>
      <c r="M208" s="6" t="b">
        <v>0</v>
      </c>
      <c r="N208" s="6">
        <v>4</v>
      </c>
      <c r="O208" s="8" t="s">
        <v>331</v>
      </c>
      <c r="P208" s="8" t="s">
        <v>240</v>
      </c>
      <c r="Q208" s="8" t="s">
        <v>240</v>
      </c>
      <c r="R208" s="6">
        <v>4</v>
      </c>
      <c r="S208" s="8" t="s">
        <v>75</v>
      </c>
      <c r="T208" s="9"/>
      <c r="U208" s="8" t="s">
        <v>240</v>
      </c>
      <c r="V208" s="8" t="s">
        <v>240</v>
      </c>
      <c r="W208" s="8" t="s">
        <v>240</v>
      </c>
      <c r="X208" s="8" t="s">
        <v>240</v>
      </c>
      <c r="Y208" s="8" t="s">
        <v>565</v>
      </c>
      <c r="Z208" s="6" t="b">
        <v>0</v>
      </c>
      <c r="AA208" s="9"/>
      <c r="AB208" s="9"/>
    </row>
    <row r="209" spans="1:28" ht="16">
      <c r="A209" s="6">
        <v>236</v>
      </c>
      <c r="B209" s="8" t="s">
        <v>542</v>
      </c>
      <c r="C209" s="8" t="s">
        <v>564</v>
      </c>
      <c r="D209" s="8" t="s">
        <v>566</v>
      </c>
      <c r="E209" s="8" t="s">
        <v>566</v>
      </c>
      <c r="F209" s="6">
        <v>236</v>
      </c>
      <c r="G209" s="6" t="b">
        <v>0</v>
      </c>
      <c r="H209" s="8" t="s">
        <v>240</v>
      </c>
      <c r="I209" s="6" t="b">
        <v>0</v>
      </c>
      <c r="J209" s="6" t="b">
        <v>0</v>
      </c>
      <c r="K209" s="6" t="b">
        <v>0</v>
      </c>
      <c r="L209" s="6" t="b">
        <v>0</v>
      </c>
      <c r="M209" s="6" t="b">
        <v>0</v>
      </c>
      <c r="N209" s="6">
        <v>4</v>
      </c>
      <c r="O209" s="8" t="s">
        <v>331</v>
      </c>
      <c r="P209" s="8" t="s">
        <v>240</v>
      </c>
      <c r="Q209" s="8" t="s">
        <v>240</v>
      </c>
      <c r="R209" s="6">
        <v>4</v>
      </c>
      <c r="S209" s="8" t="s">
        <v>75</v>
      </c>
      <c r="T209" s="9"/>
      <c r="U209" s="8" t="s">
        <v>240</v>
      </c>
      <c r="V209" s="8" t="s">
        <v>240</v>
      </c>
      <c r="W209" s="8" t="s">
        <v>240</v>
      </c>
      <c r="X209" s="8" t="s">
        <v>240</v>
      </c>
      <c r="Y209" s="8" t="s">
        <v>567</v>
      </c>
      <c r="Z209" s="6" t="b">
        <v>0</v>
      </c>
      <c r="AA209" s="9"/>
      <c r="AB209" s="9"/>
    </row>
    <row r="210" spans="1:28" ht="16">
      <c r="A210" s="6">
        <v>237</v>
      </c>
      <c r="B210" s="8" t="s">
        <v>542</v>
      </c>
      <c r="C210" s="8" t="s">
        <v>568</v>
      </c>
      <c r="D210" s="8" t="s">
        <v>569</v>
      </c>
      <c r="E210" s="8" t="s">
        <v>569</v>
      </c>
      <c r="F210" s="6">
        <v>237</v>
      </c>
      <c r="G210" s="6" t="b">
        <v>0</v>
      </c>
      <c r="H210" s="8" t="s">
        <v>240</v>
      </c>
      <c r="I210" s="6" t="b">
        <v>0</v>
      </c>
      <c r="J210" s="6" t="b">
        <v>0</v>
      </c>
      <c r="K210" s="6" t="b">
        <v>0</v>
      </c>
      <c r="L210" s="6" t="b">
        <v>0</v>
      </c>
      <c r="M210" s="6" t="b">
        <v>0</v>
      </c>
      <c r="N210" s="6">
        <v>4</v>
      </c>
      <c r="O210" s="8" t="s">
        <v>331</v>
      </c>
      <c r="P210" s="8" t="s">
        <v>240</v>
      </c>
      <c r="Q210" s="8" t="s">
        <v>240</v>
      </c>
      <c r="R210" s="6">
        <v>4</v>
      </c>
      <c r="S210" s="8" t="s">
        <v>75</v>
      </c>
      <c r="T210" s="9"/>
      <c r="U210" s="8" t="s">
        <v>240</v>
      </c>
      <c r="V210" s="8" t="s">
        <v>240</v>
      </c>
      <c r="W210" s="8" t="s">
        <v>240</v>
      </c>
      <c r="X210" s="8" t="s">
        <v>240</v>
      </c>
      <c r="Y210" s="8" t="s">
        <v>570</v>
      </c>
      <c r="Z210" s="6" t="b">
        <v>0</v>
      </c>
      <c r="AA210" s="9"/>
      <c r="AB210" s="9"/>
    </row>
    <row r="211" spans="1:28" ht="16">
      <c r="A211" s="6">
        <v>238</v>
      </c>
      <c r="B211" s="8" t="s">
        <v>542</v>
      </c>
      <c r="C211" s="8" t="s">
        <v>87</v>
      </c>
      <c r="D211" s="8" t="s">
        <v>571</v>
      </c>
      <c r="E211" s="8" t="s">
        <v>571</v>
      </c>
      <c r="F211" s="6">
        <v>238</v>
      </c>
      <c r="G211" s="6" t="b">
        <v>0</v>
      </c>
      <c r="H211" s="8" t="s">
        <v>240</v>
      </c>
      <c r="I211" s="6" t="b">
        <v>0</v>
      </c>
      <c r="J211" s="6" t="b">
        <v>0</v>
      </c>
      <c r="K211" s="6" t="b">
        <v>0</v>
      </c>
      <c r="L211" s="6" t="b">
        <v>0</v>
      </c>
      <c r="M211" s="6" t="b">
        <v>0</v>
      </c>
      <c r="N211" s="6">
        <v>4</v>
      </c>
      <c r="O211" s="8" t="s">
        <v>331</v>
      </c>
      <c r="P211" s="8" t="s">
        <v>240</v>
      </c>
      <c r="Q211" s="8" t="s">
        <v>240</v>
      </c>
      <c r="R211" s="6">
        <v>4</v>
      </c>
      <c r="S211" s="8" t="s">
        <v>75</v>
      </c>
      <c r="T211" s="9"/>
      <c r="U211" s="8" t="s">
        <v>240</v>
      </c>
      <c r="V211" s="8" t="s">
        <v>240</v>
      </c>
      <c r="W211" s="8" t="s">
        <v>240</v>
      </c>
      <c r="X211" s="8" t="s">
        <v>240</v>
      </c>
      <c r="Y211" s="8" t="s">
        <v>572</v>
      </c>
      <c r="Z211" s="6" t="b">
        <v>0</v>
      </c>
      <c r="AA211" s="9"/>
      <c r="AB211" s="9"/>
    </row>
    <row r="212" spans="1:28" ht="16">
      <c r="A212" s="6">
        <v>239</v>
      </c>
      <c r="B212" s="8" t="s">
        <v>542</v>
      </c>
      <c r="C212" s="8" t="s">
        <v>87</v>
      </c>
      <c r="D212" s="8" t="s">
        <v>573</v>
      </c>
      <c r="E212" s="8" t="s">
        <v>571</v>
      </c>
      <c r="F212" s="6">
        <v>238</v>
      </c>
      <c r="G212" s="6" t="b">
        <v>0</v>
      </c>
      <c r="H212" s="8" t="s">
        <v>240</v>
      </c>
      <c r="I212" s="6" t="b">
        <v>0</v>
      </c>
      <c r="J212" s="6" t="b">
        <v>0</v>
      </c>
      <c r="K212" s="6" t="b">
        <v>0</v>
      </c>
      <c r="L212" s="6" t="b">
        <v>0</v>
      </c>
      <c r="M212" s="6" t="b">
        <v>0</v>
      </c>
      <c r="N212" s="6">
        <v>4</v>
      </c>
      <c r="O212" s="8" t="s">
        <v>331</v>
      </c>
      <c r="P212" s="8" t="s">
        <v>240</v>
      </c>
      <c r="Q212" s="8" t="s">
        <v>240</v>
      </c>
      <c r="R212" s="6">
        <v>4</v>
      </c>
      <c r="S212" s="8" t="s">
        <v>75</v>
      </c>
      <c r="T212" s="9"/>
      <c r="U212" s="8" t="s">
        <v>240</v>
      </c>
      <c r="V212" s="8" t="s">
        <v>240</v>
      </c>
      <c r="W212" s="8" t="s">
        <v>240</v>
      </c>
      <c r="X212" s="8" t="s">
        <v>240</v>
      </c>
      <c r="Y212" s="8" t="s">
        <v>240</v>
      </c>
      <c r="Z212" s="6" t="b">
        <v>0</v>
      </c>
      <c r="AA212" s="9"/>
      <c r="AB212" s="9"/>
    </row>
    <row r="213" spans="1:28" ht="16">
      <c r="A213" s="6">
        <v>240</v>
      </c>
      <c r="B213" s="8" t="s">
        <v>542</v>
      </c>
      <c r="C213" s="8" t="s">
        <v>87</v>
      </c>
      <c r="D213" s="8" t="s">
        <v>574</v>
      </c>
      <c r="E213" s="8" t="s">
        <v>571</v>
      </c>
      <c r="F213" s="6">
        <v>238</v>
      </c>
      <c r="G213" s="6" t="b">
        <v>0</v>
      </c>
      <c r="H213" s="8" t="s">
        <v>240</v>
      </c>
      <c r="I213" s="6" t="b">
        <v>0</v>
      </c>
      <c r="J213" s="6" t="b">
        <v>0</v>
      </c>
      <c r="K213" s="6" t="b">
        <v>0</v>
      </c>
      <c r="L213" s="6" t="b">
        <v>0</v>
      </c>
      <c r="M213" s="6" t="b">
        <v>0</v>
      </c>
      <c r="N213" s="6">
        <v>4</v>
      </c>
      <c r="O213" s="8" t="s">
        <v>331</v>
      </c>
      <c r="P213" s="8" t="s">
        <v>238</v>
      </c>
      <c r="Q213" s="8" t="s">
        <v>575</v>
      </c>
      <c r="R213" s="6">
        <v>4</v>
      </c>
      <c r="S213" s="8" t="s">
        <v>75</v>
      </c>
      <c r="T213" s="9"/>
      <c r="U213" s="8" t="s">
        <v>240</v>
      </c>
      <c r="V213" s="8" t="s">
        <v>240</v>
      </c>
      <c r="W213" s="8" t="s">
        <v>240</v>
      </c>
      <c r="X213" s="8" t="s">
        <v>240</v>
      </c>
      <c r="Y213" s="8" t="s">
        <v>240</v>
      </c>
      <c r="Z213" s="6" t="b">
        <v>0</v>
      </c>
      <c r="AA213" s="9"/>
      <c r="AB213" s="9"/>
    </row>
    <row r="214" spans="1:28" ht="32">
      <c r="A214" s="6">
        <v>241</v>
      </c>
      <c r="B214" s="8" t="s">
        <v>542</v>
      </c>
      <c r="C214" s="8" t="s">
        <v>87</v>
      </c>
      <c r="D214" s="8" t="s">
        <v>576</v>
      </c>
      <c r="E214" s="8" t="s">
        <v>571</v>
      </c>
      <c r="F214" s="6">
        <v>238</v>
      </c>
      <c r="G214" s="6" t="b">
        <v>0</v>
      </c>
      <c r="H214" s="8" t="s">
        <v>240</v>
      </c>
      <c r="I214" s="6" t="b">
        <v>0</v>
      </c>
      <c r="J214" s="6" t="b">
        <v>0</v>
      </c>
      <c r="K214" s="6" t="b">
        <v>0</v>
      </c>
      <c r="L214" s="6" t="b">
        <v>0</v>
      </c>
      <c r="M214" s="6" t="b">
        <v>0</v>
      </c>
      <c r="N214" s="6">
        <v>4</v>
      </c>
      <c r="O214" s="8" t="s">
        <v>331</v>
      </c>
      <c r="P214" s="8" t="s">
        <v>240</v>
      </c>
      <c r="Q214" s="8" t="s">
        <v>240</v>
      </c>
      <c r="R214" s="6">
        <v>4</v>
      </c>
      <c r="S214" s="8" t="s">
        <v>75</v>
      </c>
      <c r="T214" s="9"/>
      <c r="U214" s="8" t="s">
        <v>240</v>
      </c>
      <c r="V214" s="8" t="s">
        <v>240</v>
      </c>
      <c r="W214" s="8" t="s">
        <v>240</v>
      </c>
      <c r="X214" s="8" t="s">
        <v>240</v>
      </c>
      <c r="Y214" s="8" t="s">
        <v>240</v>
      </c>
      <c r="Z214" s="6" t="b">
        <v>0</v>
      </c>
      <c r="AA214" s="9"/>
      <c r="AB214" s="9"/>
    </row>
    <row r="215" spans="1:28" ht="16">
      <c r="A215" s="6">
        <v>242</v>
      </c>
      <c r="B215" s="8" t="s">
        <v>542</v>
      </c>
      <c r="C215" s="8" t="s">
        <v>87</v>
      </c>
      <c r="D215" s="8" t="s">
        <v>577</v>
      </c>
      <c r="E215" s="8" t="s">
        <v>571</v>
      </c>
      <c r="F215" s="6">
        <v>238</v>
      </c>
      <c r="G215" s="6" t="b">
        <v>0</v>
      </c>
      <c r="H215" s="8" t="s">
        <v>240</v>
      </c>
      <c r="I215" s="6" t="b">
        <v>0</v>
      </c>
      <c r="J215" s="6" t="b">
        <v>0</v>
      </c>
      <c r="K215" s="6" t="b">
        <v>0</v>
      </c>
      <c r="L215" s="6" t="b">
        <v>0</v>
      </c>
      <c r="M215" s="6" t="b">
        <v>0</v>
      </c>
      <c r="N215" s="6">
        <v>4</v>
      </c>
      <c r="O215" s="8" t="s">
        <v>331</v>
      </c>
      <c r="P215" s="8" t="s">
        <v>240</v>
      </c>
      <c r="Q215" s="8" t="s">
        <v>240</v>
      </c>
      <c r="R215" s="6">
        <v>4</v>
      </c>
      <c r="S215" s="8" t="s">
        <v>75</v>
      </c>
      <c r="T215" s="9"/>
      <c r="U215" s="8" t="s">
        <v>240</v>
      </c>
      <c r="V215" s="8" t="s">
        <v>240</v>
      </c>
      <c r="W215" s="8" t="s">
        <v>240</v>
      </c>
      <c r="X215" s="8" t="s">
        <v>240</v>
      </c>
      <c r="Y215" s="8" t="s">
        <v>240</v>
      </c>
      <c r="Z215" s="6" t="b">
        <v>0</v>
      </c>
      <c r="AA215" s="9"/>
      <c r="AB215" s="9"/>
    </row>
    <row r="216" spans="1:28" ht="32">
      <c r="A216" s="6">
        <v>243</v>
      </c>
      <c r="B216" s="8" t="s">
        <v>542</v>
      </c>
      <c r="C216" s="8" t="s">
        <v>87</v>
      </c>
      <c r="D216" s="8" t="s">
        <v>578</v>
      </c>
      <c r="E216" s="8" t="s">
        <v>571</v>
      </c>
      <c r="F216" s="6">
        <v>238</v>
      </c>
      <c r="G216" s="6" t="b">
        <v>0</v>
      </c>
      <c r="H216" s="8" t="s">
        <v>240</v>
      </c>
      <c r="I216" s="6" t="b">
        <v>0</v>
      </c>
      <c r="J216" s="6" t="b">
        <v>0</v>
      </c>
      <c r="K216" s="6" t="b">
        <v>0</v>
      </c>
      <c r="L216" s="6" t="b">
        <v>0</v>
      </c>
      <c r="M216" s="6" t="b">
        <v>0</v>
      </c>
      <c r="N216" s="6">
        <v>4</v>
      </c>
      <c r="O216" s="8" t="s">
        <v>331</v>
      </c>
      <c r="P216" s="8" t="s">
        <v>240</v>
      </c>
      <c r="Q216" s="8" t="s">
        <v>240</v>
      </c>
      <c r="R216" s="6">
        <v>4</v>
      </c>
      <c r="S216" s="8" t="s">
        <v>75</v>
      </c>
      <c r="T216" s="9"/>
      <c r="U216" s="8" t="s">
        <v>240</v>
      </c>
      <c r="V216" s="8" t="s">
        <v>240</v>
      </c>
      <c r="W216" s="8" t="s">
        <v>240</v>
      </c>
      <c r="X216" s="8" t="s">
        <v>240</v>
      </c>
      <c r="Y216" s="8" t="s">
        <v>240</v>
      </c>
      <c r="Z216" s="6" t="b">
        <v>0</v>
      </c>
      <c r="AA216" s="9"/>
      <c r="AB216" s="9"/>
    </row>
    <row r="217" spans="1:28" ht="16">
      <c r="A217" s="6">
        <v>244</v>
      </c>
      <c r="B217" s="8" t="s">
        <v>542</v>
      </c>
      <c r="C217" s="8" t="s">
        <v>556</v>
      </c>
      <c r="D217" s="8" t="s">
        <v>556</v>
      </c>
      <c r="E217" s="8" t="s">
        <v>556</v>
      </c>
      <c r="F217" s="6">
        <v>244</v>
      </c>
      <c r="G217" s="6" t="b">
        <v>0</v>
      </c>
      <c r="H217" s="8" t="s">
        <v>240</v>
      </c>
      <c r="I217" s="6" t="b">
        <v>0</v>
      </c>
      <c r="J217" s="6" t="b">
        <v>0</v>
      </c>
      <c r="K217" s="6" t="b">
        <v>0</v>
      </c>
      <c r="L217" s="6" t="b">
        <v>0</v>
      </c>
      <c r="M217" s="6" t="b">
        <v>0</v>
      </c>
      <c r="N217" s="6">
        <v>4</v>
      </c>
      <c r="O217" s="8" t="s">
        <v>331</v>
      </c>
      <c r="P217" s="8" t="s">
        <v>240</v>
      </c>
      <c r="Q217" s="8" t="s">
        <v>240</v>
      </c>
      <c r="R217" s="6">
        <v>4</v>
      </c>
      <c r="S217" s="8" t="s">
        <v>75</v>
      </c>
      <c r="T217" s="9"/>
      <c r="U217" s="8" t="s">
        <v>240</v>
      </c>
      <c r="V217" s="8" t="s">
        <v>240</v>
      </c>
      <c r="W217" s="8" t="s">
        <v>240</v>
      </c>
      <c r="X217" s="8" t="s">
        <v>240</v>
      </c>
      <c r="Y217" s="8" t="s">
        <v>579</v>
      </c>
      <c r="Z217" s="6" t="b">
        <v>0</v>
      </c>
      <c r="AA217" s="9"/>
      <c r="AB217" s="9"/>
    </row>
    <row r="218" spans="1:28" ht="16">
      <c r="A218" s="6">
        <v>245</v>
      </c>
      <c r="B218" s="8" t="s">
        <v>542</v>
      </c>
      <c r="C218" s="8" t="s">
        <v>87</v>
      </c>
      <c r="D218" s="8" t="s">
        <v>119</v>
      </c>
      <c r="E218" s="8" t="s">
        <v>119</v>
      </c>
      <c r="F218" s="6">
        <v>245</v>
      </c>
      <c r="G218" s="6" t="b">
        <v>0</v>
      </c>
      <c r="H218" s="8" t="s">
        <v>240</v>
      </c>
      <c r="I218" s="6" t="b">
        <v>0</v>
      </c>
      <c r="J218" s="6" t="b">
        <v>0</v>
      </c>
      <c r="K218" s="6" t="b">
        <v>0</v>
      </c>
      <c r="L218" s="6" t="b">
        <v>0</v>
      </c>
      <c r="M218" s="6" t="b">
        <v>0</v>
      </c>
      <c r="N218" s="6">
        <v>4</v>
      </c>
      <c r="O218" s="8" t="s">
        <v>331</v>
      </c>
      <c r="P218" s="8" t="s">
        <v>240</v>
      </c>
      <c r="Q218" s="8" t="s">
        <v>240</v>
      </c>
      <c r="R218" s="6">
        <v>4</v>
      </c>
      <c r="S218" s="8" t="s">
        <v>75</v>
      </c>
      <c r="T218" s="9"/>
      <c r="U218" s="8" t="s">
        <v>240</v>
      </c>
      <c r="V218" s="8" t="s">
        <v>240</v>
      </c>
      <c r="W218" s="8" t="s">
        <v>240</v>
      </c>
      <c r="X218" s="8" t="s">
        <v>240</v>
      </c>
      <c r="Y218" s="8" t="s">
        <v>240</v>
      </c>
      <c r="Z218" s="6" t="b">
        <v>0</v>
      </c>
      <c r="AA218" s="9"/>
      <c r="AB218" s="9"/>
    </row>
    <row r="219" spans="1:28" ht="16">
      <c r="A219" s="6">
        <v>246</v>
      </c>
      <c r="B219" s="8" t="s">
        <v>542</v>
      </c>
      <c r="C219" s="8" t="s">
        <v>87</v>
      </c>
      <c r="D219" s="8" t="s">
        <v>580</v>
      </c>
      <c r="E219" s="8" t="s">
        <v>119</v>
      </c>
      <c r="F219" s="6">
        <v>245</v>
      </c>
      <c r="G219" s="6" t="b">
        <v>0</v>
      </c>
      <c r="H219" s="8" t="s">
        <v>240</v>
      </c>
      <c r="I219" s="6" t="b">
        <v>0</v>
      </c>
      <c r="J219" s="6" t="b">
        <v>0</v>
      </c>
      <c r="K219" s="6" t="b">
        <v>0</v>
      </c>
      <c r="L219" s="6" t="b">
        <v>0</v>
      </c>
      <c r="M219" s="6" t="b">
        <v>0</v>
      </c>
      <c r="N219" s="6">
        <v>4</v>
      </c>
      <c r="O219" s="8" t="s">
        <v>331</v>
      </c>
      <c r="P219" s="8" t="s">
        <v>240</v>
      </c>
      <c r="Q219" s="8" t="s">
        <v>240</v>
      </c>
      <c r="R219" s="6">
        <v>4</v>
      </c>
      <c r="S219" s="8" t="s">
        <v>75</v>
      </c>
      <c r="T219" s="9"/>
      <c r="U219" s="8" t="s">
        <v>240</v>
      </c>
      <c r="V219" s="8" t="s">
        <v>240</v>
      </c>
      <c r="W219" s="8" t="s">
        <v>240</v>
      </c>
      <c r="X219" s="8" t="s">
        <v>240</v>
      </c>
      <c r="Y219" s="8" t="s">
        <v>581</v>
      </c>
      <c r="Z219" s="6" t="b">
        <v>0</v>
      </c>
      <c r="AA219" s="9"/>
      <c r="AB219" s="9"/>
    </row>
    <row r="220" spans="1:28" ht="16">
      <c r="A220" s="6">
        <v>247</v>
      </c>
      <c r="B220" s="8" t="s">
        <v>542</v>
      </c>
      <c r="C220" s="8" t="s">
        <v>87</v>
      </c>
      <c r="D220" s="8" t="s">
        <v>87</v>
      </c>
      <c r="E220" s="8" t="s">
        <v>87</v>
      </c>
      <c r="F220" s="6">
        <v>247</v>
      </c>
      <c r="G220" s="6" t="b">
        <v>0</v>
      </c>
      <c r="H220" s="8" t="s">
        <v>240</v>
      </c>
      <c r="I220" s="6" t="b">
        <v>0</v>
      </c>
      <c r="J220" s="6" t="b">
        <v>0</v>
      </c>
      <c r="K220" s="6" t="b">
        <v>0</v>
      </c>
      <c r="L220" s="6" t="b">
        <v>0</v>
      </c>
      <c r="M220" s="6" t="b">
        <v>0</v>
      </c>
      <c r="N220" s="6">
        <v>4</v>
      </c>
      <c r="O220" s="8" t="s">
        <v>331</v>
      </c>
      <c r="P220" s="8" t="s">
        <v>240</v>
      </c>
      <c r="Q220" s="8" t="s">
        <v>240</v>
      </c>
      <c r="R220" s="6">
        <v>4</v>
      </c>
      <c r="S220" s="8" t="s">
        <v>75</v>
      </c>
      <c r="T220" s="9"/>
      <c r="U220" s="8" t="s">
        <v>240</v>
      </c>
      <c r="V220" s="8" t="s">
        <v>240</v>
      </c>
      <c r="W220" s="8" t="s">
        <v>240</v>
      </c>
      <c r="X220" s="8" t="s">
        <v>240</v>
      </c>
      <c r="Y220" s="8" t="s">
        <v>582</v>
      </c>
      <c r="Z220" s="6" t="b">
        <v>0</v>
      </c>
      <c r="AA220" s="9"/>
      <c r="AB220" s="9"/>
    </row>
    <row r="221" spans="1:28" ht="16">
      <c r="A221" s="6">
        <v>248</v>
      </c>
      <c r="B221" s="8" t="s">
        <v>542</v>
      </c>
      <c r="C221" s="8" t="s">
        <v>546</v>
      </c>
      <c r="D221" s="8" t="s">
        <v>583</v>
      </c>
      <c r="E221" s="8" t="s">
        <v>583</v>
      </c>
      <c r="F221" s="6">
        <v>248</v>
      </c>
      <c r="G221" s="6" t="b">
        <v>0</v>
      </c>
      <c r="H221" s="8" t="s">
        <v>240</v>
      </c>
      <c r="I221" s="6" t="b">
        <v>0</v>
      </c>
      <c r="J221" s="6" t="b">
        <v>0</v>
      </c>
      <c r="K221" s="6" t="b">
        <v>0</v>
      </c>
      <c r="L221" s="6" t="b">
        <v>0</v>
      </c>
      <c r="M221" s="6" t="b">
        <v>0</v>
      </c>
      <c r="N221" s="6">
        <v>4</v>
      </c>
      <c r="O221" s="8" t="s">
        <v>331</v>
      </c>
      <c r="P221" s="8" t="s">
        <v>240</v>
      </c>
      <c r="Q221" s="8" t="s">
        <v>240</v>
      </c>
      <c r="R221" s="6">
        <v>4</v>
      </c>
      <c r="S221" s="8" t="s">
        <v>75</v>
      </c>
      <c r="T221" s="9"/>
      <c r="U221" s="8" t="s">
        <v>240</v>
      </c>
      <c r="V221" s="8" t="s">
        <v>240</v>
      </c>
      <c r="W221" s="8" t="s">
        <v>240</v>
      </c>
      <c r="X221" s="8" t="s">
        <v>240</v>
      </c>
      <c r="Y221" s="8" t="s">
        <v>240</v>
      </c>
      <c r="Z221" s="6" t="b">
        <v>0</v>
      </c>
      <c r="AA221" s="9"/>
      <c r="AB221" s="9"/>
    </row>
    <row r="222" spans="1:28" ht="16">
      <c r="A222" s="6">
        <v>249</v>
      </c>
      <c r="B222" s="8" t="s">
        <v>542</v>
      </c>
      <c r="C222" s="8" t="s">
        <v>546</v>
      </c>
      <c r="D222" s="8" t="s">
        <v>584</v>
      </c>
      <c r="E222" s="8" t="s">
        <v>583</v>
      </c>
      <c r="F222" s="6">
        <v>248</v>
      </c>
      <c r="G222" s="6" t="b">
        <v>0</v>
      </c>
      <c r="H222" s="8" t="s">
        <v>240</v>
      </c>
      <c r="I222" s="6" t="b">
        <v>0</v>
      </c>
      <c r="J222" s="6" t="b">
        <v>0</v>
      </c>
      <c r="K222" s="6" t="b">
        <v>0</v>
      </c>
      <c r="L222" s="6" t="b">
        <v>0</v>
      </c>
      <c r="M222" s="6" t="b">
        <v>0</v>
      </c>
      <c r="N222" s="6">
        <v>4</v>
      </c>
      <c r="O222" s="8" t="s">
        <v>331</v>
      </c>
      <c r="P222" s="8" t="s">
        <v>240</v>
      </c>
      <c r="Q222" s="8" t="s">
        <v>240</v>
      </c>
      <c r="R222" s="6">
        <v>4</v>
      </c>
      <c r="S222" s="8" t="s">
        <v>75</v>
      </c>
      <c r="T222" s="9"/>
      <c r="U222" s="8" t="s">
        <v>240</v>
      </c>
      <c r="V222" s="8" t="s">
        <v>240</v>
      </c>
      <c r="W222" s="8" t="s">
        <v>240</v>
      </c>
      <c r="X222" s="8" t="s">
        <v>240</v>
      </c>
      <c r="Y222" s="8" t="s">
        <v>240</v>
      </c>
      <c r="Z222" s="6" t="b">
        <v>0</v>
      </c>
      <c r="AA222" s="9"/>
      <c r="AB222" s="9"/>
    </row>
    <row r="223" spans="1:28" ht="16">
      <c r="A223" s="6">
        <v>250</v>
      </c>
      <c r="B223" s="8" t="s">
        <v>585</v>
      </c>
      <c r="C223" s="8" t="s">
        <v>586</v>
      </c>
      <c r="D223" s="8" t="s">
        <v>587</v>
      </c>
      <c r="E223" s="8" t="s">
        <v>587</v>
      </c>
      <c r="F223" s="6">
        <v>250</v>
      </c>
      <c r="G223" s="6" t="b">
        <v>0</v>
      </c>
      <c r="H223" s="8" t="s">
        <v>240</v>
      </c>
      <c r="I223" s="6" t="b">
        <v>0</v>
      </c>
      <c r="J223" s="6" t="b">
        <v>0</v>
      </c>
      <c r="K223" s="6" t="b">
        <v>0</v>
      </c>
      <c r="L223" s="6" t="b">
        <v>0</v>
      </c>
      <c r="M223" s="6" t="b">
        <v>0</v>
      </c>
      <c r="N223" s="6">
        <v>7</v>
      </c>
      <c r="O223" s="8" t="s">
        <v>237</v>
      </c>
      <c r="P223" s="8" t="s">
        <v>238</v>
      </c>
      <c r="Q223" s="8" t="s">
        <v>335</v>
      </c>
      <c r="R223" s="6">
        <v>7</v>
      </c>
      <c r="S223" s="8" t="s">
        <v>75</v>
      </c>
      <c r="T223" s="9"/>
      <c r="U223" s="8" t="s">
        <v>240</v>
      </c>
      <c r="V223" s="8" t="s">
        <v>240</v>
      </c>
      <c r="W223" s="8" t="s">
        <v>240</v>
      </c>
      <c r="X223" s="8" t="s">
        <v>240</v>
      </c>
      <c r="Y223" s="8" t="s">
        <v>588</v>
      </c>
      <c r="Z223" s="6" t="b">
        <v>0</v>
      </c>
      <c r="AA223" s="9"/>
      <c r="AB223" s="9"/>
    </row>
    <row r="224" spans="1:28" ht="16">
      <c r="A224" s="6">
        <v>251</v>
      </c>
      <c r="B224" s="8" t="s">
        <v>585</v>
      </c>
      <c r="C224" s="8" t="s">
        <v>586</v>
      </c>
      <c r="D224" s="8" t="s">
        <v>589</v>
      </c>
      <c r="E224" s="8" t="s">
        <v>587</v>
      </c>
      <c r="F224" s="6">
        <v>250</v>
      </c>
      <c r="G224" s="6" t="b">
        <v>0</v>
      </c>
      <c r="H224" s="8" t="s">
        <v>240</v>
      </c>
      <c r="I224" s="6" t="b">
        <v>0</v>
      </c>
      <c r="J224" s="6" t="b">
        <v>0</v>
      </c>
      <c r="K224" s="6" t="b">
        <v>0</v>
      </c>
      <c r="L224" s="6" t="b">
        <v>0</v>
      </c>
      <c r="M224" s="6" t="b">
        <v>0</v>
      </c>
      <c r="N224" s="6">
        <v>7</v>
      </c>
      <c r="O224" s="8" t="s">
        <v>237</v>
      </c>
      <c r="P224" s="8" t="s">
        <v>238</v>
      </c>
      <c r="Q224" s="8" t="s">
        <v>335</v>
      </c>
      <c r="R224" s="6">
        <v>6.6</v>
      </c>
      <c r="S224" s="8" t="s">
        <v>247</v>
      </c>
      <c r="T224" s="6">
        <v>8</v>
      </c>
      <c r="U224" s="8" t="s">
        <v>590</v>
      </c>
      <c r="V224" s="8" t="s">
        <v>240</v>
      </c>
      <c r="W224" s="8" t="s">
        <v>240</v>
      </c>
      <c r="X224" s="8" t="s">
        <v>240</v>
      </c>
      <c r="Y224" s="8" t="s">
        <v>591</v>
      </c>
      <c r="Z224" s="6" t="b">
        <v>0</v>
      </c>
      <c r="AA224" s="9"/>
      <c r="AB224" s="9"/>
    </row>
    <row r="225" spans="1:28" ht="16">
      <c r="A225" s="6">
        <v>252</v>
      </c>
      <c r="B225" s="8" t="s">
        <v>585</v>
      </c>
      <c r="C225" s="8" t="s">
        <v>586</v>
      </c>
      <c r="D225" s="8" t="s">
        <v>592</v>
      </c>
      <c r="E225" s="8" t="s">
        <v>587</v>
      </c>
      <c r="F225" s="6">
        <v>250</v>
      </c>
      <c r="G225" s="6" t="b">
        <v>0</v>
      </c>
      <c r="H225" s="8" t="s">
        <v>240</v>
      </c>
      <c r="I225" s="6" t="b">
        <v>0</v>
      </c>
      <c r="J225" s="6" t="b">
        <v>0</v>
      </c>
      <c r="K225" s="6" t="b">
        <v>0</v>
      </c>
      <c r="L225" s="6" t="b">
        <v>0</v>
      </c>
      <c r="M225" s="6" t="b">
        <v>0</v>
      </c>
      <c r="N225" s="6">
        <v>7</v>
      </c>
      <c r="O225" s="8" t="s">
        <v>237</v>
      </c>
      <c r="P225" s="8" t="s">
        <v>238</v>
      </c>
      <c r="Q225" s="8" t="s">
        <v>335</v>
      </c>
      <c r="R225" s="6">
        <v>6.6</v>
      </c>
      <c r="S225" s="8" t="s">
        <v>247</v>
      </c>
      <c r="T225" s="6">
        <v>8</v>
      </c>
      <c r="U225" s="8" t="s">
        <v>590</v>
      </c>
      <c r="V225" s="8" t="s">
        <v>240</v>
      </c>
      <c r="W225" s="8" t="s">
        <v>240</v>
      </c>
      <c r="X225" s="8" t="s">
        <v>240</v>
      </c>
      <c r="Y225" s="8" t="s">
        <v>240</v>
      </c>
      <c r="Z225" s="6" t="b">
        <v>0</v>
      </c>
      <c r="AA225" s="9"/>
      <c r="AB225" s="9"/>
    </row>
    <row r="226" spans="1:28" ht="16">
      <c r="A226" s="6">
        <v>254</v>
      </c>
      <c r="B226" s="8" t="s">
        <v>585</v>
      </c>
      <c r="C226" s="8" t="s">
        <v>586</v>
      </c>
      <c r="D226" s="8" t="s">
        <v>586</v>
      </c>
      <c r="E226" s="8" t="s">
        <v>586</v>
      </c>
      <c r="F226" s="6">
        <v>254</v>
      </c>
      <c r="G226" s="6" t="b">
        <v>0</v>
      </c>
      <c r="H226" s="8" t="s">
        <v>240</v>
      </c>
      <c r="I226" s="6" t="b">
        <v>0</v>
      </c>
      <c r="J226" s="6" t="b">
        <v>0</v>
      </c>
      <c r="K226" s="6" t="b">
        <v>0</v>
      </c>
      <c r="L226" s="6" t="b">
        <v>0</v>
      </c>
      <c r="M226" s="6" t="b">
        <v>0</v>
      </c>
      <c r="N226" s="6">
        <v>7</v>
      </c>
      <c r="O226" s="8" t="s">
        <v>237</v>
      </c>
      <c r="P226" s="8" t="s">
        <v>238</v>
      </c>
      <c r="Q226" s="8" t="s">
        <v>335</v>
      </c>
      <c r="R226" s="6">
        <v>7</v>
      </c>
      <c r="S226" s="8" t="s">
        <v>75</v>
      </c>
      <c r="T226" s="9"/>
      <c r="U226" s="8" t="s">
        <v>593</v>
      </c>
      <c r="V226" s="8" t="s">
        <v>240</v>
      </c>
      <c r="W226" s="8" t="s">
        <v>240</v>
      </c>
      <c r="X226" s="8" t="s">
        <v>240</v>
      </c>
      <c r="Y226" s="8" t="s">
        <v>240</v>
      </c>
      <c r="Z226" s="6" t="b">
        <v>0</v>
      </c>
      <c r="AA226" s="9"/>
      <c r="AB226" s="9"/>
    </row>
    <row r="227" spans="1:28" ht="16">
      <c r="A227" s="6">
        <v>255</v>
      </c>
      <c r="B227" s="8" t="s">
        <v>594</v>
      </c>
      <c r="C227" s="8" t="s">
        <v>594</v>
      </c>
      <c r="D227" s="8" t="s">
        <v>594</v>
      </c>
      <c r="E227" s="8" t="s">
        <v>594</v>
      </c>
      <c r="F227" s="6">
        <v>255</v>
      </c>
      <c r="G227" s="6" t="b">
        <v>0</v>
      </c>
      <c r="H227" s="8" t="s">
        <v>240</v>
      </c>
      <c r="I227" s="6" t="b">
        <v>0</v>
      </c>
      <c r="J227" s="6" t="b">
        <v>0</v>
      </c>
      <c r="K227" s="6" t="b">
        <v>0</v>
      </c>
      <c r="L227" s="6" t="b">
        <v>0</v>
      </c>
      <c r="M227" s="6" t="b">
        <v>0</v>
      </c>
      <c r="N227" s="6">
        <v>6</v>
      </c>
      <c r="O227" s="8" t="s">
        <v>237</v>
      </c>
      <c r="P227" s="8" t="s">
        <v>238</v>
      </c>
      <c r="Q227" s="8" t="s">
        <v>237</v>
      </c>
      <c r="R227" s="6">
        <v>6</v>
      </c>
      <c r="S227" s="8" t="s">
        <v>75</v>
      </c>
      <c r="T227" s="9"/>
      <c r="U227" s="8" t="s">
        <v>240</v>
      </c>
      <c r="V227" s="8" t="s">
        <v>240</v>
      </c>
      <c r="W227" s="8" t="s">
        <v>240</v>
      </c>
      <c r="X227" s="8" t="s">
        <v>240</v>
      </c>
      <c r="Y227" s="8" t="s">
        <v>595</v>
      </c>
      <c r="Z227" s="6" t="b">
        <v>0</v>
      </c>
      <c r="AA227" s="9"/>
      <c r="AB227" s="9"/>
    </row>
    <row r="228" spans="1:28" ht="16">
      <c r="A228" s="6">
        <v>272</v>
      </c>
      <c r="B228" s="8" t="s">
        <v>94</v>
      </c>
      <c r="C228" s="8" t="s">
        <v>596</v>
      </c>
      <c r="D228" s="8" t="s">
        <v>597</v>
      </c>
      <c r="E228" s="8" t="s">
        <v>597</v>
      </c>
      <c r="F228" s="6">
        <v>272</v>
      </c>
      <c r="G228" s="6" t="b">
        <v>0</v>
      </c>
      <c r="H228" s="8" t="s">
        <v>240</v>
      </c>
      <c r="I228" s="6" t="b">
        <v>0</v>
      </c>
      <c r="J228" s="6" t="b">
        <v>0</v>
      </c>
      <c r="K228" s="6" t="b">
        <v>0</v>
      </c>
      <c r="L228" s="6" t="b">
        <v>0</v>
      </c>
      <c r="M228" s="6" t="b">
        <v>0</v>
      </c>
      <c r="N228" s="6">
        <v>8</v>
      </c>
      <c r="O228" s="8" t="s">
        <v>335</v>
      </c>
      <c r="P228" s="8" t="s">
        <v>255</v>
      </c>
      <c r="Q228" s="8" t="s">
        <v>335</v>
      </c>
      <c r="R228" s="6">
        <v>8</v>
      </c>
      <c r="S228" s="8" t="s">
        <v>75</v>
      </c>
      <c r="T228" s="9"/>
      <c r="U228" s="8" t="s">
        <v>240</v>
      </c>
      <c r="V228" s="8" t="s">
        <v>240</v>
      </c>
      <c r="W228" s="8" t="s">
        <v>240</v>
      </c>
      <c r="X228" s="8" t="s">
        <v>240</v>
      </c>
      <c r="Y228" s="8" t="s">
        <v>240</v>
      </c>
      <c r="Z228" s="6" t="b">
        <v>0</v>
      </c>
      <c r="AA228" s="9"/>
      <c r="AB228" s="9"/>
    </row>
    <row r="229" spans="1:28" ht="16">
      <c r="A229" s="6">
        <v>273</v>
      </c>
      <c r="B229" s="8" t="s">
        <v>94</v>
      </c>
      <c r="C229" s="8" t="s">
        <v>596</v>
      </c>
      <c r="D229" s="8" t="s">
        <v>598</v>
      </c>
      <c r="E229" s="8" t="s">
        <v>597</v>
      </c>
      <c r="F229" s="6">
        <v>272</v>
      </c>
      <c r="G229" s="6" t="b">
        <v>0</v>
      </c>
      <c r="H229" s="8" t="s">
        <v>240</v>
      </c>
      <c r="I229" s="6" t="b">
        <v>0</v>
      </c>
      <c r="J229" s="6" t="b">
        <v>0</v>
      </c>
      <c r="K229" s="6" t="b">
        <v>0</v>
      </c>
      <c r="L229" s="6" t="b">
        <v>0</v>
      </c>
      <c r="M229" s="6" t="b">
        <v>0</v>
      </c>
      <c r="N229" s="6">
        <v>8</v>
      </c>
      <c r="O229" s="8" t="s">
        <v>335</v>
      </c>
      <c r="P229" s="8" t="s">
        <v>255</v>
      </c>
      <c r="Q229" s="8" t="s">
        <v>335</v>
      </c>
      <c r="R229" s="6">
        <v>8</v>
      </c>
      <c r="S229" s="8" t="s">
        <v>335</v>
      </c>
      <c r="T229" s="6">
        <v>8</v>
      </c>
      <c r="U229" s="8" t="s">
        <v>240</v>
      </c>
      <c r="V229" s="8" t="s">
        <v>240</v>
      </c>
      <c r="W229" s="8" t="s">
        <v>240</v>
      </c>
      <c r="X229" s="8" t="s">
        <v>240</v>
      </c>
      <c r="Y229" s="8" t="s">
        <v>240</v>
      </c>
      <c r="Z229" s="6" t="b">
        <v>0</v>
      </c>
      <c r="AA229" s="9"/>
      <c r="AB229" s="9"/>
    </row>
    <row r="230" spans="1:28" ht="32">
      <c r="A230" s="6">
        <v>274</v>
      </c>
      <c r="B230" s="8" t="s">
        <v>94</v>
      </c>
      <c r="C230" s="8" t="s">
        <v>596</v>
      </c>
      <c r="D230" s="8" t="s">
        <v>599</v>
      </c>
      <c r="E230" s="8" t="s">
        <v>597</v>
      </c>
      <c r="F230" s="6">
        <v>272</v>
      </c>
      <c r="G230" s="6" t="b">
        <v>0</v>
      </c>
      <c r="H230" s="8" t="s">
        <v>240</v>
      </c>
      <c r="I230" s="6" t="b">
        <v>0</v>
      </c>
      <c r="J230" s="6" t="b">
        <v>0</v>
      </c>
      <c r="K230" s="6" t="b">
        <v>0</v>
      </c>
      <c r="L230" s="6" t="b">
        <v>0</v>
      </c>
      <c r="M230" s="6" t="b">
        <v>0</v>
      </c>
      <c r="N230" s="6">
        <v>8</v>
      </c>
      <c r="O230" s="8" t="s">
        <v>335</v>
      </c>
      <c r="P230" s="8" t="s">
        <v>255</v>
      </c>
      <c r="Q230" s="8" t="s">
        <v>335</v>
      </c>
      <c r="R230" s="6">
        <v>8</v>
      </c>
      <c r="S230" s="8" t="s">
        <v>335</v>
      </c>
      <c r="T230" s="6">
        <v>8</v>
      </c>
      <c r="U230" s="8" t="s">
        <v>240</v>
      </c>
      <c r="V230" s="8" t="s">
        <v>240</v>
      </c>
      <c r="W230" s="8" t="s">
        <v>240</v>
      </c>
      <c r="X230" s="8" t="s">
        <v>240</v>
      </c>
      <c r="Y230" s="8" t="s">
        <v>240</v>
      </c>
      <c r="Z230" s="6" t="b">
        <v>0</v>
      </c>
      <c r="AA230" s="9"/>
      <c r="AB230" s="9"/>
    </row>
    <row r="231" spans="1:28" ht="16">
      <c r="A231" s="6">
        <v>275</v>
      </c>
      <c r="B231" s="8" t="s">
        <v>94</v>
      </c>
      <c r="C231" s="8" t="s">
        <v>596</v>
      </c>
      <c r="D231" s="8" t="s">
        <v>596</v>
      </c>
      <c r="E231" s="8" t="s">
        <v>596</v>
      </c>
      <c r="F231" s="6">
        <v>275</v>
      </c>
      <c r="G231" s="6" t="b">
        <v>0</v>
      </c>
      <c r="H231" s="8" t="s">
        <v>240</v>
      </c>
      <c r="I231" s="6" t="b">
        <v>0</v>
      </c>
      <c r="J231" s="6" t="b">
        <v>0</v>
      </c>
      <c r="K231" s="6" t="b">
        <v>0</v>
      </c>
      <c r="L231" s="6" t="b">
        <v>0</v>
      </c>
      <c r="M231" s="6" t="b">
        <v>0</v>
      </c>
      <c r="N231" s="6">
        <v>8</v>
      </c>
      <c r="O231" s="8" t="s">
        <v>335</v>
      </c>
      <c r="P231" s="8" t="s">
        <v>255</v>
      </c>
      <c r="Q231" s="8" t="s">
        <v>335</v>
      </c>
      <c r="R231" s="6">
        <v>8</v>
      </c>
      <c r="S231" s="8" t="s">
        <v>75</v>
      </c>
      <c r="T231" s="6">
        <v>8</v>
      </c>
      <c r="U231" s="8" t="s">
        <v>240</v>
      </c>
      <c r="V231" s="8" t="s">
        <v>240</v>
      </c>
      <c r="W231" s="8" t="s">
        <v>240</v>
      </c>
      <c r="X231" s="8" t="s">
        <v>240</v>
      </c>
      <c r="Y231" s="8" t="s">
        <v>240</v>
      </c>
      <c r="Z231" s="6" t="b">
        <v>0</v>
      </c>
      <c r="AA231" s="9"/>
      <c r="AB231" s="9"/>
    </row>
    <row r="232" spans="1:28" ht="16">
      <c r="A232" s="6">
        <v>276</v>
      </c>
      <c r="B232" s="8" t="s">
        <v>94</v>
      </c>
      <c r="C232" s="8" t="s">
        <v>600</v>
      </c>
      <c r="D232" s="8" t="s">
        <v>601</v>
      </c>
      <c r="E232" s="8" t="s">
        <v>601</v>
      </c>
      <c r="F232" s="6">
        <v>276</v>
      </c>
      <c r="G232" s="6" t="b">
        <v>0</v>
      </c>
      <c r="H232" s="8" t="s">
        <v>240</v>
      </c>
      <c r="I232" s="6" t="b">
        <v>0</v>
      </c>
      <c r="J232" s="6" t="b">
        <v>0</v>
      </c>
      <c r="K232" s="6" t="b">
        <v>0</v>
      </c>
      <c r="L232" s="6" t="b">
        <v>0</v>
      </c>
      <c r="M232" s="6" t="b">
        <v>0</v>
      </c>
      <c r="N232" s="6">
        <v>7</v>
      </c>
      <c r="O232" s="8" t="s">
        <v>237</v>
      </c>
      <c r="P232" s="8" t="s">
        <v>350</v>
      </c>
      <c r="Q232" s="8" t="s">
        <v>335</v>
      </c>
      <c r="R232" s="6">
        <v>7</v>
      </c>
      <c r="S232" s="8" t="s">
        <v>75</v>
      </c>
      <c r="T232" s="9"/>
      <c r="U232" s="8" t="s">
        <v>240</v>
      </c>
      <c r="V232" s="8" t="s">
        <v>240</v>
      </c>
      <c r="W232" s="8" t="s">
        <v>240</v>
      </c>
      <c r="X232" s="8" t="s">
        <v>240</v>
      </c>
      <c r="Y232" s="8" t="s">
        <v>240</v>
      </c>
      <c r="Z232" s="6" t="b">
        <v>0</v>
      </c>
      <c r="AA232" s="9"/>
      <c r="AB232" s="9"/>
    </row>
    <row r="233" spans="1:28" ht="16">
      <c r="A233" s="6">
        <v>277</v>
      </c>
      <c r="B233" s="8" t="s">
        <v>94</v>
      </c>
      <c r="C233" s="8" t="s">
        <v>600</v>
      </c>
      <c r="D233" s="8" t="s">
        <v>602</v>
      </c>
      <c r="E233" s="8" t="s">
        <v>601</v>
      </c>
      <c r="F233" s="6">
        <v>276</v>
      </c>
      <c r="G233" s="6" t="b">
        <v>0</v>
      </c>
      <c r="H233" s="8" t="s">
        <v>240</v>
      </c>
      <c r="I233" s="6" t="b">
        <v>0</v>
      </c>
      <c r="J233" s="6" t="b">
        <v>0</v>
      </c>
      <c r="K233" s="6" t="b">
        <v>0</v>
      </c>
      <c r="L233" s="6" t="b">
        <v>0</v>
      </c>
      <c r="M233" s="6" t="b">
        <v>0</v>
      </c>
      <c r="N233" s="6">
        <v>7</v>
      </c>
      <c r="O233" s="8" t="s">
        <v>237</v>
      </c>
      <c r="P233" s="8" t="s">
        <v>350</v>
      </c>
      <c r="Q233" s="8" t="s">
        <v>335</v>
      </c>
      <c r="R233" s="6">
        <v>7</v>
      </c>
      <c r="S233" s="8" t="s">
        <v>75</v>
      </c>
      <c r="T233" s="6">
        <v>6</v>
      </c>
      <c r="U233" s="8" t="s">
        <v>240</v>
      </c>
      <c r="V233" s="8" t="s">
        <v>240</v>
      </c>
      <c r="W233" s="8" t="s">
        <v>240</v>
      </c>
      <c r="X233" s="8" t="s">
        <v>240</v>
      </c>
      <c r="Y233" s="8" t="s">
        <v>240</v>
      </c>
      <c r="Z233" s="6" t="b">
        <v>0</v>
      </c>
      <c r="AA233" s="9"/>
      <c r="AB233" s="9"/>
    </row>
    <row r="234" spans="1:28" ht="16">
      <c r="A234" s="6">
        <v>278</v>
      </c>
      <c r="B234" s="8" t="s">
        <v>94</v>
      </c>
      <c r="C234" s="8" t="s">
        <v>603</v>
      </c>
      <c r="D234" s="8" t="s">
        <v>604</v>
      </c>
      <c r="E234" s="8" t="s">
        <v>604</v>
      </c>
      <c r="F234" s="6">
        <v>278</v>
      </c>
      <c r="G234" s="6" t="b">
        <v>0</v>
      </c>
      <c r="H234" s="8" t="s">
        <v>240</v>
      </c>
      <c r="I234" s="6" t="b">
        <v>0</v>
      </c>
      <c r="J234" s="6" t="b">
        <v>0</v>
      </c>
      <c r="K234" s="6" t="b">
        <v>0</v>
      </c>
      <c r="L234" s="6" t="b">
        <v>0</v>
      </c>
      <c r="M234" s="6" t="b">
        <v>0</v>
      </c>
      <c r="N234" s="6">
        <v>10</v>
      </c>
      <c r="O234" s="8" t="s">
        <v>237</v>
      </c>
      <c r="P234" s="8" t="s">
        <v>350</v>
      </c>
      <c r="Q234" s="8" t="s">
        <v>335</v>
      </c>
      <c r="R234" s="6">
        <v>8</v>
      </c>
      <c r="S234" s="8" t="s">
        <v>372</v>
      </c>
      <c r="T234" s="6">
        <v>8</v>
      </c>
      <c r="U234" s="8" t="s">
        <v>240</v>
      </c>
      <c r="V234" s="8" t="s">
        <v>240</v>
      </c>
      <c r="W234" s="8" t="s">
        <v>240</v>
      </c>
      <c r="X234" s="8" t="s">
        <v>240</v>
      </c>
      <c r="Y234" s="8" t="s">
        <v>605</v>
      </c>
      <c r="Z234" s="6" t="b">
        <v>0</v>
      </c>
      <c r="AA234" s="9"/>
      <c r="AB234" s="9"/>
    </row>
    <row r="235" spans="1:28" ht="16">
      <c r="A235" s="6">
        <v>279</v>
      </c>
      <c r="B235" s="8" t="s">
        <v>94</v>
      </c>
      <c r="C235" s="8" t="s">
        <v>603</v>
      </c>
      <c r="D235" s="8" t="s">
        <v>606</v>
      </c>
      <c r="E235" s="8" t="s">
        <v>604</v>
      </c>
      <c r="F235" s="6">
        <v>278</v>
      </c>
      <c r="G235" s="6" t="b">
        <v>0</v>
      </c>
      <c r="H235" s="8" t="s">
        <v>240</v>
      </c>
      <c r="I235" s="6" t="b">
        <v>0</v>
      </c>
      <c r="J235" s="6" t="b">
        <v>0</v>
      </c>
      <c r="K235" s="6" t="b">
        <v>0</v>
      </c>
      <c r="L235" s="6" t="b">
        <v>0</v>
      </c>
      <c r="M235" s="6" t="b">
        <v>0</v>
      </c>
      <c r="N235" s="6">
        <v>10</v>
      </c>
      <c r="O235" s="8" t="s">
        <v>237</v>
      </c>
      <c r="P235" s="8" t="s">
        <v>350</v>
      </c>
      <c r="Q235" s="8" t="s">
        <v>335</v>
      </c>
      <c r="R235" s="6">
        <v>8</v>
      </c>
      <c r="S235" s="8" t="s">
        <v>335</v>
      </c>
      <c r="T235" s="6">
        <v>8</v>
      </c>
      <c r="U235" s="8" t="s">
        <v>240</v>
      </c>
      <c r="V235" s="8" t="s">
        <v>240</v>
      </c>
      <c r="W235" s="8" t="s">
        <v>240</v>
      </c>
      <c r="X235" s="8" t="s">
        <v>240</v>
      </c>
      <c r="Y235" s="8" t="s">
        <v>240</v>
      </c>
      <c r="Z235" s="6" t="b">
        <v>0</v>
      </c>
      <c r="AA235" s="9"/>
      <c r="AB235" s="9"/>
    </row>
    <row r="236" spans="1:28" ht="16">
      <c r="A236" s="6">
        <v>280</v>
      </c>
      <c r="B236" s="8" t="s">
        <v>94</v>
      </c>
      <c r="C236" s="8" t="s">
        <v>603</v>
      </c>
      <c r="D236" s="8" t="s">
        <v>607</v>
      </c>
      <c r="E236" s="8" t="s">
        <v>604</v>
      </c>
      <c r="F236" s="6">
        <v>278</v>
      </c>
      <c r="G236" s="6" t="b">
        <v>0</v>
      </c>
      <c r="H236" s="8" t="s">
        <v>240</v>
      </c>
      <c r="I236" s="6" t="b">
        <v>0</v>
      </c>
      <c r="J236" s="6" t="b">
        <v>0</v>
      </c>
      <c r="K236" s="6" t="b">
        <v>0</v>
      </c>
      <c r="L236" s="6" t="b">
        <v>0</v>
      </c>
      <c r="M236" s="6" t="b">
        <v>0</v>
      </c>
      <c r="N236" s="6">
        <v>10</v>
      </c>
      <c r="O236" s="8" t="s">
        <v>237</v>
      </c>
      <c r="P236" s="8" t="s">
        <v>350</v>
      </c>
      <c r="Q236" s="8" t="s">
        <v>335</v>
      </c>
      <c r="R236" s="6">
        <v>8</v>
      </c>
      <c r="S236" s="8" t="s">
        <v>335</v>
      </c>
      <c r="T236" s="6">
        <v>8</v>
      </c>
      <c r="U236" s="8" t="s">
        <v>240</v>
      </c>
      <c r="V236" s="8" t="s">
        <v>240</v>
      </c>
      <c r="W236" s="8" t="s">
        <v>240</v>
      </c>
      <c r="X236" s="8" t="s">
        <v>240</v>
      </c>
      <c r="Y236" s="8" t="s">
        <v>608</v>
      </c>
      <c r="Z236" s="6" t="b">
        <v>0</v>
      </c>
      <c r="AA236" s="9"/>
      <c r="AB236" s="9"/>
    </row>
    <row r="237" spans="1:28" ht="16">
      <c r="A237" s="6">
        <v>281</v>
      </c>
      <c r="B237" s="8" t="s">
        <v>94</v>
      </c>
      <c r="C237" s="8" t="s">
        <v>609</v>
      </c>
      <c r="D237" s="8" t="s">
        <v>610</v>
      </c>
      <c r="E237" s="8" t="s">
        <v>610</v>
      </c>
      <c r="F237" s="6">
        <v>281</v>
      </c>
      <c r="G237" s="6" t="b">
        <v>0</v>
      </c>
      <c r="H237" s="8" t="s">
        <v>240</v>
      </c>
      <c r="I237" s="6" t="b">
        <v>0</v>
      </c>
      <c r="J237" s="6" t="b">
        <v>0</v>
      </c>
      <c r="K237" s="6" t="b">
        <v>0</v>
      </c>
      <c r="L237" s="6" t="b">
        <v>0</v>
      </c>
      <c r="M237" s="6" t="b">
        <v>0</v>
      </c>
      <c r="N237" s="6">
        <v>6</v>
      </c>
      <c r="O237" s="8" t="s">
        <v>335</v>
      </c>
      <c r="P237" s="8" t="s">
        <v>350</v>
      </c>
      <c r="Q237" s="8" t="s">
        <v>335</v>
      </c>
      <c r="R237" s="6">
        <v>6</v>
      </c>
      <c r="S237" s="8" t="s">
        <v>335</v>
      </c>
      <c r="T237" s="9"/>
      <c r="U237" s="8" t="s">
        <v>240</v>
      </c>
      <c r="V237" s="8" t="s">
        <v>240</v>
      </c>
      <c r="W237" s="8" t="s">
        <v>240</v>
      </c>
      <c r="X237" s="8" t="s">
        <v>240</v>
      </c>
      <c r="Y237" s="8" t="s">
        <v>240</v>
      </c>
      <c r="Z237" s="6" t="b">
        <v>0</v>
      </c>
      <c r="AA237" s="9"/>
      <c r="AB237" s="9"/>
    </row>
    <row r="238" spans="1:28" ht="16">
      <c r="A238" s="6">
        <v>282</v>
      </c>
      <c r="B238" s="8" t="s">
        <v>94</v>
      </c>
      <c r="C238" s="8" t="s">
        <v>609</v>
      </c>
      <c r="D238" s="8" t="s">
        <v>609</v>
      </c>
      <c r="E238" s="8" t="s">
        <v>609</v>
      </c>
      <c r="F238" s="6">
        <v>282</v>
      </c>
      <c r="G238" s="6" t="b">
        <v>0</v>
      </c>
      <c r="H238" s="8" t="s">
        <v>240</v>
      </c>
      <c r="I238" s="6" t="b">
        <v>0</v>
      </c>
      <c r="J238" s="6" t="b">
        <v>0</v>
      </c>
      <c r="K238" s="6" t="b">
        <v>0</v>
      </c>
      <c r="L238" s="6" t="b">
        <v>0</v>
      </c>
      <c r="M238" s="6" t="b">
        <v>0</v>
      </c>
      <c r="N238" s="6">
        <v>6</v>
      </c>
      <c r="O238" s="8" t="s">
        <v>335</v>
      </c>
      <c r="P238" s="8" t="s">
        <v>350</v>
      </c>
      <c r="Q238" s="8" t="s">
        <v>335</v>
      </c>
      <c r="R238" s="6">
        <v>6</v>
      </c>
      <c r="S238" s="8" t="s">
        <v>335</v>
      </c>
      <c r="T238" s="6">
        <v>6</v>
      </c>
      <c r="U238" s="8" t="s">
        <v>240</v>
      </c>
      <c r="V238" s="8" t="s">
        <v>240</v>
      </c>
      <c r="W238" s="8" t="s">
        <v>240</v>
      </c>
      <c r="X238" s="8" t="s">
        <v>240</v>
      </c>
      <c r="Y238" s="8" t="s">
        <v>240</v>
      </c>
      <c r="Z238" s="6" t="b">
        <v>0</v>
      </c>
      <c r="AA238" s="9"/>
      <c r="AB238" s="9"/>
    </row>
    <row r="239" spans="1:28" ht="16">
      <c r="A239" s="6">
        <v>283</v>
      </c>
      <c r="B239" s="8" t="s">
        <v>94</v>
      </c>
      <c r="C239" s="8" t="s">
        <v>603</v>
      </c>
      <c r="D239" s="8" t="s">
        <v>611</v>
      </c>
      <c r="E239" s="8" t="s">
        <v>611</v>
      </c>
      <c r="F239" s="6">
        <v>283</v>
      </c>
      <c r="G239" s="6" t="b">
        <v>0</v>
      </c>
      <c r="H239" s="8" t="s">
        <v>240</v>
      </c>
      <c r="I239" s="6" t="b">
        <v>0</v>
      </c>
      <c r="J239" s="6" t="b">
        <v>0</v>
      </c>
      <c r="K239" s="6" t="b">
        <v>0</v>
      </c>
      <c r="L239" s="6" t="b">
        <v>0</v>
      </c>
      <c r="M239" s="6" t="b">
        <v>0</v>
      </c>
      <c r="N239" s="6">
        <v>10</v>
      </c>
      <c r="O239" s="8" t="s">
        <v>237</v>
      </c>
      <c r="P239" s="8" t="s">
        <v>350</v>
      </c>
      <c r="Q239" s="8" t="s">
        <v>239</v>
      </c>
      <c r="R239" s="6">
        <v>10</v>
      </c>
      <c r="S239" s="8" t="s">
        <v>75</v>
      </c>
      <c r="T239" s="9"/>
      <c r="U239" s="8" t="s">
        <v>240</v>
      </c>
      <c r="V239" s="8" t="s">
        <v>240</v>
      </c>
      <c r="W239" s="8" t="s">
        <v>240</v>
      </c>
      <c r="X239" s="8" t="s">
        <v>240</v>
      </c>
      <c r="Y239" s="8" t="s">
        <v>240</v>
      </c>
      <c r="Z239" s="6" t="b">
        <v>0</v>
      </c>
      <c r="AA239" s="9"/>
      <c r="AB239" s="9"/>
    </row>
    <row r="240" spans="1:28" ht="16">
      <c r="A240" s="6">
        <v>284</v>
      </c>
      <c r="B240" s="8" t="s">
        <v>94</v>
      </c>
      <c r="C240" s="8" t="s">
        <v>603</v>
      </c>
      <c r="D240" s="8" t="s">
        <v>612</v>
      </c>
      <c r="E240" s="8" t="s">
        <v>611</v>
      </c>
      <c r="F240" s="6">
        <v>283</v>
      </c>
      <c r="G240" s="6" t="b">
        <v>0</v>
      </c>
      <c r="H240" s="8" t="s">
        <v>240</v>
      </c>
      <c r="I240" s="6" t="b">
        <v>0</v>
      </c>
      <c r="J240" s="6" t="b">
        <v>0</v>
      </c>
      <c r="K240" s="6" t="b">
        <v>0</v>
      </c>
      <c r="L240" s="6" t="b">
        <v>0</v>
      </c>
      <c r="M240" s="6" t="b">
        <v>0</v>
      </c>
      <c r="N240" s="6">
        <v>10</v>
      </c>
      <c r="O240" s="8" t="s">
        <v>237</v>
      </c>
      <c r="P240" s="8" t="s">
        <v>350</v>
      </c>
      <c r="Q240" s="8" t="s">
        <v>335</v>
      </c>
      <c r="R240" s="6">
        <v>10</v>
      </c>
      <c r="S240" s="8" t="s">
        <v>335</v>
      </c>
      <c r="T240" s="6">
        <v>10</v>
      </c>
      <c r="U240" s="8" t="s">
        <v>240</v>
      </c>
      <c r="V240" s="8" t="s">
        <v>240</v>
      </c>
      <c r="W240" s="8" t="s">
        <v>240</v>
      </c>
      <c r="X240" s="8" t="s">
        <v>240</v>
      </c>
      <c r="Y240" s="8" t="s">
        <v>613</v>
      </c>
      <c r="Z240" s="6" t="b">
        <v>0</v>
      </c>
      <c r="AA240" s="9"/>
      <c r="AB240" s="9"/>
    </row>
    <row r="241" spans="1:28" ht="16">
      <c r="A241" s="6">
        <v>285</v>
      </c>
      <c r="B241" s="8" t="s">
        <v>94</v>
      </c>
      <c r="C241" s="8" t="s">
        <v>609</v>
      </c>
      <c r="D241" s="8" t="s">
        <v>614</v>
      </c>
      <c r="E241" s="8" t="s">
        <v>614</v>
      </c>
      <c r="F241" s="6">
        <v>285</v>
      </c>
      <c r="G241" s="6" t="b">
        <v>0</v>
      </c>
      <c r="H241" s="8" t="s">
        <v>240</v>
      </c>
      <c r="I241" s="6" t="b">
        <v>0</v>
      </c>
      <c r="J241" s="6" t="b">
        <v>0</v>
      </c>
      <c r="K241" s="6" t="b">
        <v>0</v>
      </c>
      <c r="L241" s="6" t="b">
        <v>0</v>
      </c>
      <c r="M241" s="6" t="b">
        <v>0</v>
      </c>
      <c r="N241" s="6">
        <v>6</v>
      </c>
      <c r="O241" s="8" t="s">
        <v>335</v>
      </c>
      <c r="P241" s="8" t="s">
        <v>240</v>
      </c>
      <c r="Q241" s="8" t="s">
        <v>240</v>
      </c>
      <c r="R241" s="6">
        <v>6</v>
      </c>
      <c r="S241" s="8" t="s">
        <v>75</v>
      </c>
      <c r="T241" s="9"/>
      <c r="U241" s="8" t="s">
        <v>240</v>
      </c>
      <c r="V241" s="8" t="s">
        <v>240</v>
      </c>
      <c r="W241" s="8" t="s">
        <v>240</v>
      </c>
      <c r="X241" s="8" t="s">
        <v>240</v>
      </c>
      <c r="Y241" s="8" t="s">
        <v>240</v>
      </c>
      <c r="Z241" s="6" t="b">
        <v>0</v>
      </c>
      <c r="AA241" s="9"/>
      <c r="AB241" s="9"/>
    </row>
    <row r="242" spans="1:28" ht="32">
      <c r="A242" s="6">
        <v>286</v>
      </c>
      <c r="B242" s="8" t="s">
        <v>94</v>
      </c>
      <c r="C242" s="8" t="s">
        <v>609</v>
      </c>
      <c r="D242" s="8" t="s">
        <v>615</v>
      </c>
      <c r="E242" s="8" t="s">
        <v>614</v>
      </c>
      <c r="F242" s="6">
        <v>285</v>
      </c>
      <c r="G242" s="6" t="b">
        <v>0</v>
      </c>
      <c r="H242" s="8" t="s">
        <v>240</v>
      </c>
      <c r="I242" s="6" t="b">
        <v>0</v>
      </c>
      <c r="J242" s="6" t="b">
        <v>0</v>
      </c>
      <c r="K242" s="6" t="b">
        <v>0</v>
      </c>
      <c r="L242" s="6" t="b">
        <v>0</v>
      </c>
      <c r="M242" s="6" t="b">
        <v>0</v>
      </c>
      <c r="N242" s="6">
        <v>6</v>
      </c>
      <c r="O242" s="8" t="s">
        <v>335</v>
      </c>
      <c r="P242" s="8" t="s">
        <v>240</v>
      </c>
      <c r="Q242" s="8" t="s">
        <v>240</v>
      </c>
      <c r="R242" s="6">
        <v>6</v>
      </c>
      <c r="S242" s="8" t="s">
        <v>75</v>
      </c>
      <c r="T242" s="9"/>
      <c r="U242" s="8" t="s">
        <v>240</v>
      </c>
      <c r="V242" s="8" t="s">
        <v>240</v>
      </c>
      <c r="W242" s="8" t="s">
        <v>240</v>
      </c>
      <c r="X242" s="8" t="s">
        <v>240</v>
      </c>
      <c r="Y242" s="8" t="s">
        <v>616</v>
      </c>
      <c r="Z242" s="6" t="b">
        <v>0</v>
      </c>
      <c r="AA242" s="9"/>
      <c r="AB242" s="9"/>
    </row>
    <row r="243" spans="1:28" ht="16">
      <c r="A243" s="6">
        <v>287</v>
      </c>
      <c r="B243" s="8" t="s">
        <v>94</v>
      </c>
      <c r="C243" s="8" t="s">
        <v>600</v>
      </c>
      <c r="D243" s="8" t="s">
        <v>617</v>
      </c>
      <c r="E243" s="8" t="s">
        <v>617</v>
      </c>
      <c r="F243" s="6">
        <v>287</v>
      </c>
      <c r="G243" s="6" t="b">
        <v>0</v>
      </c>
      <c r="H243" s="8" t="s">
        <v>240</v>
      </c>
      <c r="I243" s="6" t="b">
        <v>0</v>
      </c>
      <c r="J243" s="6" t="b">
        <v>0</v>
      </c>
      <c r="K243" s="6" t="b">
        <v>0</v>
      </c>
      <c r="L243" s="6" t="b">
        <v>0</v>
      </c>
      <c r="M243" s="6" t="b">
        <v>0</v>
      </c>
      <c r="N243" s="6">
        <v>7</v>
      </c>
      <c r="O243" s="8" t="s">
        <v>237</v>
      </c>
      <c r="P243" s="8" t="s">
        <v>238</v>
      </c>
      <c r="Q243" s="8" t="s">
        <v>339</v>
      </c>
      <c r="R243" s="6">
        <v>6</v>
      </c>
      <c r="S243" s="8" t="s">
        <v>335</v>
      </c>
      <c r="T243" s="6">
        <v>7</v>
      </c>
      <c r="U243" s="8" t="s">
        <v>240</v>
      </c>
      <c r="V243" s="8" t="s">
        <v>240</v>
      </c>
      <c r="W243" s="8" t="s">
        <v>240</v>
      </c>
      <c r="X243" s="8" t="s">
        <v>240</v>
      </c>
      <c r="Y243" s="8" t="s">
        <v>618</v>
      </c>
      <c r="Z243" s="6" t="b">
        <v>0</v>
      </c>
      <c r="AA243" s="9"/>
      <c r="AB243" s="9"/>
    </row>
    <row r="244" spans="1:28" ht="32">
      <c r="A244" s="6">
        <v>288</v>
      </c>
      <c r="B244" s="8" t="s">
        <v>94</v>
      </c>
      <c r="C244" s="8" t="s">
        <v>600</v>
      </c>
      <c r="D244" s="8" t="s">
        <v>619</v>
      </c>
      <c r="E244" s="8" t="s">
        <v>617</v>
      </c>
      <c r="F244" s="6">
        <v>287</v>
      </c>
      <c r="G244" s="6" t="b">
        <v>0</v>
      </c>
      <c r="H244" s="8" t="s">
        <v>240</v>
      </c>
      <c r="I244" s="6" t="b">
        <v>0</v>
      </c>
      <c r="J244" s="6" t="b">
        <v>0</v>
      </c>
      <c r="K244" s="6" t="b">
        <v>0</v>
      </c>
      <c r="L244" s="6" t="b">
        <v>0</v>
      </c>
      <c r="M244" s="6" t="b">
        <v>0</v>
      </c>
      <c r="N244" s="6">
        <v>7</v>
      </c>
      <c r="O244" s="8" t="s">
        <v>237</v>
      </c>
      <c r="P244" s="8" t="s">
        <v>238</v>
      </c>
      <c r="Q244" s="8" t="s">
        <v>339</v>
      </c>
      <c r="R244" s="6">
        <v>6</v>
      </c>
      <c r="S244" s="8" t="s">
        <v>335</v>
      </c>
      <c r="T244" s="6">
        <v>7</v>
      </c>
      <c r="U244" s="8" t="s">
        <v>620</v>
      </c>
      <c r="V244" s="8" t="s">
        <v>240</v>
      </c>
      <c r="W244" s="8" t="s">
        <v>240</v>
      </c>
      <c r="X244" s="8" t="s">
        <v>240</v>
      </c>
      <c r="Y244" s="8" t="s">
        <v>240</v>
      </c>
      <c r="Z244" s="6" t="b">
        <v>0</v>
      </c>
      <c r="AA244" s="9"/>
      <c r="AB244" s="9"/>
    </row>
    <row r="245" spans="1:28" ht="32">
      <c r="A245" s="6">
        <v>289</v>
      </c>
      <c r="B245" s="8" t="s">
        <v>94</v>
      </c>
      <c r="C245" s="8" t="s">
        <v>600</v>
      </c>
      <c r="D245" s="8" t="s">
        <v>621</v>
      </c>
      <c r="E245" s="8" t="s">
        <v>617</v>
      </c>
      <c r="F245" s="6">
        <v>287</v>
      </c>
      <c r="G245" s="6" t="b">
        <v>0</v>
      </c>
      <c r="H245" s="8" t="s">
        <v>240</v>
      </c>
      <c r="I245" s="6" t="b">
        <v>0</v>
      </c>
      <c r="J245" s="6" t="b">
        <v>0</v>
      </c>
      <c r="K245" s="6" t="b">
        <v>0</v>
      </c>
      <c r="L245" s="6" t="b">
        <v>0</v>
      </c>
      <c r="M245" s="6" t="b">
        <v>0</v>
      </c>
      <c r="N245" s="6">
        <v>7</v>
      </c>
      <c r="O245" s="8" t="s">
        <v>237</v>
      </c>
      <c r="P245" s="8" t="s">
        <v>238</v>
      </c>
      <c r="Q245" s="8" t="s">
        <v>335</v>
      </c>
      <c r="R245" s="6">
        <v>6</v>
      </c>
      <c r="S245" s="8" t="s">
        <v>335</v>
      </c>
      <c r="T245" s="6">
        <v>7</v>
      </c>
      <c r="U245" s="8" t="s">
        <v>240</v>
      </c>
      <c r="V245" s="8" t="s">
        <v>240</v>
      </c>
      <c r="W245" s="8" t="s">
        <v>240</v>
      </c>
      <c r="X245" s="8" t="s">
        <v>240</v>
      </c>
      <c r="Y245" s="8" t="s">
        <v>240</v>
      </c>
      <c r="Z245" s="6" t="b">
        <v>0</v>
      </c>
      <c r="AA245" s="9"/>
      <c r="AB245" s="9"/>
    </row>
    <row r="246" spans="1:28" ht="32">
      <c r="A246" s="6">
        <v>290</v>
      </c>
      <c r="B246" s="8" t="s">
        <v>94</v>
      </c>
      <c r="C246" s="8" t="s">
        <v>600</v>
      </c>
      <c r="D246" s="8" t="s">
        <v>622</v>
      </c>
      <c r="E246" s="8" t="s">
        <v>617</v>
      </c>
      <c r="F246" s="6">
        <v>287</v>
      </c>
      <c r="G246" s="6" t="b">
        <v>0</v>
      </c>
      <c r="H246" s="8" t="s">
        <v>240</v>
      </c>
      <c r="I246" s="6" t="b">
        <v>0</v>
      </c>
      <c r="J246" s="6" t="b">
        <v>0</v>
      </c>
      <c r="K246" s="6" t="b">
        <v>0</v>
      </c>
      <c r="L246" s="6" t="b">
        <v>0</v>
      </c>
      <c r="M246" s="6" t="b">
        <v>0</v>
      </c>
      <c r="N246" s="6">
        <v>7</v>
      </c>
      <c r="O246" s="8" t="s">
        <v>237</v>
      </c>
      <c r="P246" s="8" t="s">
        <v>238</v>
      </c>
      <c r="Q246" s="8" t="s">
        <v>335</v>
      </c>
      <c r="R246" s="6">
        <v>6</v>
      </c>
      <c r="S246" s="8" t="s">
        <v>335</v>
      </c>
      <c r="T246" s="6">
        <v>7</v>
      </c>
      <c r="U246" s="8" t="s">
        <v>620</v>
      </c>
      <c r="V246" s="8" t="s">
        <v>240</v>
      </c>
      <c r="W246" s="8" t="s">
        <v>240</v>
      </c>
      <c r="X246" s="8" t="s">
        <v>240</v>
      </c>
      <c r="Y246" s="8" t="s">
        <v>240</v>
      </c>
      <c r="Z246" s="6" t="b">
        <v>0</v>
      </c>
      <c r="AA246" s="9"/>
      <c r="AB246" s="9"/>
    </row>
    <row r="247" spans="1:28" ht="32">
      <c r="A247" s="6">
        <v>291</v>
      </c>
      <c r="B247" s="8" t="s">
        <v>94</v>
      </c>
      <c r="C247" s="8" t="s">
        <v>600</v>
      </c>
      <c r="D247" s="8" t="s">
        <v>623</v>
      </c>
      <c r="E247" s="8" t="s">
        <v>617</v>
      </c>
      <c r="F247" s="6">
        <v>287</v>
      </c>
      <c r="G247" s="6" t="b">
        <v>0</v>
      </c>
      <c r="H247" s="8" t="s">
        <v>240</v>
      </c>
      <c r="I247" s="6" t="b">
        <v>0</v>
      </c>
      <c r="J247" s="6" t="b">
        <v>0</v>
      </c>
      <c r="K247" s="6" t="b">
        <v>0</v>
      </c>
      <c r="L247" s="6" t="b">
        <v>0</v>
      </c>
      <c r="M247" s="6" t="b">
        <v>0</v>
      </c>
      <c r="N247" s="6">
        <v>7</v>
      </c>
      <c r="O247" s="8" t="s">
        <v>237</v>
      </c>
      <c r="P247" s="8" t="s">
        <v>238</v>
      </c>
      <c r="Q247" s="8" t="s">
        <v>335</v>
      </c>
      <c r="R247" s="6">
        <v>6</v>
      </c>
      <c r="S247" s="8" t="s">
        <v>335</v>
      </c>
      <c r="T247" s="6">
        <v>7</v>
      </c>
      <c r="U247" s="8" t="s">
        <v>240</v>
      </c>
      <c r="V247" s="8" t="s">
        <v>240</v>
      </c>
      <c r="W247" s="8" t="s">
        <v>240</v>
      </c>
      <c r="X247" s="8" t="s">
        <v>240</v>
      </c>
      <c r="Y247" s="8" t="s">
        <v>240</v>
      </c>
      <c r="Z247" s="6" t="b">
        <v>0</v>
      </c>
      <c r="AA247" s="9"/>
      <c r="AB247" s="9"/>
    </row>
    <row r="248" spans="1:28" ht="16">
      <c r="A248" s="6">
        <v>292</v>
      </c>
      <c r="B248" s="8" t="s">
        <v>94</v>
      </c>
      <c r="C248" s="8" t="s">
        <v>600</v>
      </c>
      <c r="D248" s="8" t="s">
        <v>624</v>
      </c>
      <c r="E248" s="8" t="s">
        <v>624</v>
      </c>
      <c r="F248" s="6">
        <v>292</v>
      </c>
      <c r="G248" s="6" t="b">
        <v>0</v>
      </c>
      <c r="H248" s="8" t="s">
        <v>240</v>
      </c>
      <c r="I248" s="6" t="b">
        <v>0</v>
      </c>
      <c r="J248" s="6" t="b">
        <v>0</v>
      </c>
      <c r="K248" s="6" t="b">
        <v>0</v>
      </c>
      <c r="L248" s="6" t="b">
        <v>0</v>
      </c>
      <c r="M248" s="6" t="b">
        <v>0</v>
      </c>
      <c r="N248" s="6">
        <v>7</v>
      </c>
      <c r="O248" s="8" t="s">
        <v>237</v>
      </c>
      <c r="P248" s="8" t="s">
        <v>350</v>
      </c>
      <c r="Q248" s="8" t="s">
        <v>339</v>
      </c>
      <c r="R248" s="6">
        <v>10</v>
      </c>
      <c r="S248" s="8" t="s">
        <v>625</v>
      </c>
      <c r="T248" s="6">
        <v>10</v>
      </c>
      <c r="U248" s="8" t="s">
        <v>240</v>
      </c>
      <c r="V248" s="8" t="s">
        <v>240</v>
      </c>
      <c r="W248" s="8" t="s">
        <v>240</v>
      </c>
      <c r="X248" s="8" t="s">
        <v>240</v>
      </c>
      <c r="Y248" s="8" t="s">
        <v>626</v>
      </c>
      <c r="Z248" s="6" t="b">
        <v>0</v>
      </c>
      <c r="AA248" s="9"/>
      <c r="AB248" s="9"/>
    </row>
    <row r="249" spans="1:28" ht="16">
      <c r="A249" s="6">
        <v>293</v>
      </c>
      <c r="B249" s="8" t="s">
        <v>94</v>
      </c>
      <c r="C249" s="8" t="s">
        <v>600</v>
      </c>
      <c r="D249" s="8" t="s">
        <v>627</v>
      </c>
      <c r="E249" s="8" t="s">
        <v>624</v>
      </c>
      <c r="F249" s="6">
        <v>292</v>
      </c>
      <c r="G249" s="6" t="b">
        <v>0</v>
      </c>
      <c r="H249" s="8" t="s">
        <v>240</v>
      </c>
      <c r="I249" s="6" t="b">
        <v>0</v>
      </c>
      <c r="J249" s="6" t="b">
        <v>0</v>
      </c>
      <c r="K249" s="6" t="b">
        <v>0</v>
      </c>
      <c r="L249" s="6" t="b">
        <v>0</v>
      </c>
      <c r="M249" s="6" t="b">
        <v>0</v>
      </c>
      <c r="N249" s="6">
        <v>7</v>
      </c>
      <c r="O249" s="8" t="s">
        <v>237</v>
      </c>
      <c r="P249" s="8" t="s">
        <v>350</v>
      </c>
      <c r="Q249" s="8" t="s">
        <v>339</v>
      </c>
      <c r="R249" s="6">
        <v>10</v>
      </c>
      <c r="S249" s="8" t="s">
        <v>625</v>
      </c>
      <c r="T249" s="9"/>
      <c r="U249" s="8" t="s">
        <v>240</v>
      </c>
      <c r="V249" s="8" t="s">
        <v>240</v>
      </c>
      <c r="W249" s="8" t="s">
        <v>240</v>
      </c>
      <c r="X249" s="8" t="s">
        <v>240</v>
      </c>
      <c r="Y249" s="8" t="s">
        <v>240</v>
      </c>
      <c r="Z249" s="6" t="b">
        <v>0</v>
      </c>
      <c r="AA249" s="9"/>
      <c r="AB249" s="9"/>
    </row>
    <row r="250" spans="1:28" ht="16">
      <c r="A250" s="6">
        <v>294</v>
      </c>
      <c r="B250" s="8" t="s">
        <v>94</v>
      </c>
      <c r="C250" s="8" t="s">
        <v>600</v>
      </c>
      <c r="D250" s="8" t="s">
        <v>628</v>
      </c>
      <c r="E250" s="8" t="s">
        <v>624</v>
      </c>
      <c r="F250" s="6">
        <v>292</v>
      </c>
      <c r="G250" s="6" t="b">
        <v>0</v>
      </c>
      <c r="H250" s="8" t="s">
        <v>240</v>
      </c>
      <c r="I250" s="6" t="b">
        <v>0</v>
      </c>
      <c r="J250" s="6" t="b">
        <v>0</v>
      </c>
      <c r="K250" s="6" t="b">
        <v>0</v>
      </c>
      <c r="L250" s="6" t="b">
        <v>0</v>
      </c>
      <c r="M250" s="6" t="b">
        <v>0</v>
      </c>
      <c r="N250" s="6">
        <v>7</v>
      </c>
      <c r="O250" s="8" t="s">
        <v>237</v>
      </c>
      <c r="P250" s="8" t="s">
        <v>350</v>
      </c>
      <c r="Q250" s="8" t="s">
        <v>335</v>
      </c>
      <c r="R250" s="6">
        <v>10</v>
      </c>
      <c r="S250" s="8" t="s">
        <v>335</v>
      </c>
      <c r="T250" s="6">
        <v>10</v>
      </c>
      <c r="U250" s="8" t="s">
        <v>240</v>
      </c>
      <c r="V250" s="8" t="s">
        <v>240</v>
      </c>
      <c r="W250" s="8" t="s">
        <v>240</v>
      </c>
      <c r="X250" s="8" t="s">
        <v>240</v>
      </c>
      <c r="Y250" s="8" t="s">
        <v>240</v>
      </c>
      <c r="Z250" s="6" t="b">
        <v>0</v>
      </c>
      <c r="AA250" s="9"/>
      <c r="AB250" s="9"/>
    </row>
    <row r="251" spans="1:28" ht="16">
      <c r="A251" s="6">
        <v>295</v>
      </c>
      <c r="B251" s="8" t="s">
        <v>94</v>
      </c>
      <c r="C251" s="8" t="s">
        <v>600</v>
      </c>
      <c r="D251" s="8" t="s">
        <v>629</v>
      </c>
      <c r="E251" s="8" t="s">
        <v>624</v>
      </c>
      <c r="F251" s="6">
        <v>292</v>
      </c>
      <c r="G251" s="6" t="b">
        <v>0</v>
      </c>
      <c r="H251" s="8" t="s">
        <v>240</v>
      </c>
      <c r="I251" s="6" t="b">
        <v>0</v>
      </c>
      <c r="J251" s="6" t="b">
        <v>0</v>
      </c>
      <c r="K251" s="6" t="b">
        <v>0</v>
      </c>
      <c r="L251" s="6" t="b">
        <v>0</v>
      </c>
      <c r="M251" s="6" t="b">
        <v>0</v>
      </c>
      <c r="N251" s="6">
        <v>7</v>
      </c>
      <c r="O251" s="8" t="s">
        <v>237</v>
      </c>
      <c r="P251" s="8" t="s">
        <v>350</v>
      </c>
      <c r="Q251" s="8" t="s">
        <v>335</v>
      </c>
      <c r="R251" s="6">
        <v>10</v>
      </c>
      <c r="S251" s="8" t="s">
        <v>335</v>
      </c>
      <c r="T251" s="6">
        <v>10</v>
      </c>
      <c r="U251" s="8" t="s">
        <v>240</v>
      </c>
      <c r="V251" s="8" t="s">
        <v>240</v>
      </c>
      <c r="W251" s="8" t="s">
        <v>240</v>
      </c>
      <c r="X251" s="8" t="s">
        <v>240</v>
      </c>
      <c r="Y251" s="8" t="s">
        <v>240</v>
      </c>
      <c r="Z251" s="6" t="b">
        <v>0</v>
      </c>
      <c r="AA251" s="9"/>
      <c r="AB251" s="9"/>
    </row>
    <row r="252" spans="1:28" ht="16">
      <c r="A252" s="6">
        <v>296</v>
      </c>
      <c r="B252" s="8" t="s">
        <v>94</v>
      </c>
      <c r="C252" s="8" t="s">
        <v>600</v>
      </c>
      <c r="D252" s="8" t="s">
        <v>630</v>
      </c>
      <c r="E252" s="8" t="s">
        <v>624</v>
      </c>
      <c r="F252" s="6">
        <v>292</v>
      </c>
      <c r="G252" s="6" t="b">
        <v>0</v>
      </c>
      <c r="H252" s="8" t="s">
        <v>240</v>
      </c>
      <c r="I252" s="6" t="b">
        <v>0</v>
      </c>
      <c r="J252" s="6" t="b">
        <v>0</v>
      </c>
      <c r="K252" s="6" t="b">
        <v>0</v>
      </c>
      <c r="L252" s="6" t="b">
        <v>0</v>
      </c>
      <c r="M252" s="6" t="b">
        <v>0</v>
      </c>
      <c r="N252" s="6">
        <v>7</v>
      </c>
      <c r="O252" s="8" t="s">
        <v>237</v>
      </c>
      <c r="P252" s="8" t="s">
        <v>350</v>
      </c>
      <c r="Q252" s="8" t="s">
        <v>335</v>
      </c>
      <c r="R252" s="6">
        <v>8</v>
      </c>
      <c r="S252" s="8" t="s">
        <v>335</v>
      </c>
      <c r="T252" s="6">
        <v>10</v>
      </c>
      <c r="U252" s="8" t="s">
        <v>631</v>
      </c>
      <c r="V252" s="8" t="s">
        <v>240</v>
      </c>
      <c r="W252" s="8" t="s">
        <v>240</v>
      </c>
      <c r="X252" s="8" t="s">
        <v>240</v>
      </c>
      <c r="Y252" s="8" t="s">
        <v>240</v>
      </c>
      <c r="Z252" s="6" t="b">
        <v>0</v>
      </c>
      <c r="AA252" s="9"/>
      <c r="AB252" s="9"/>
    </row>
    <row r="253" spans="1:28" ht="16">
      <c r="A253" s="6">
        <v>297</v>
      </c>
      <c r="B253" s="8" t="s">
        <v>94</v>
      </c>
      <c r="C253" s="8" t="s">
        <v>600</v>
      </c>
      <c r="D253" s="8" t="s">
        <v>632</v>
      </c>
      <c r="E253" s="8" t="s">
        <v>624</v>
      </c>
      <c r="F253" s="6">
        <v>292</v>
      </c>
      <c r="G253" s="6" t="b">
        <v>0</v>
      </c>
      <c r="H253" s="8" t="s">
        <v>240</v>
      </c>
      <c r="I253" s="6" t="b">
        <v>0</v>
      </c>
      <c r="J253" s="6" t="b">
        <v>0</v>
      </c>
      <c r="K253" s="6" t="b">
        <v>0</v>
      </c>
      <c r="L253" s="6" t="b">
        <v>0</v>
      </c>
      <c r="M253" s="6" t="b">
        <v>0</v>
      </c>
      <c r="N253" s="6">
        <v>7</v>
      </c>
      <c r="O253" s="8" t="s">
        <v>237</v>
      </c>
      <c r="P253" s="8" t="s">
        <v>350</v>
      </c>
      <c r="Q253" s="8" t="s">
        <v>339</v>
      </c>
      <c r="R253" s="6">
        <v>7</v>
      </c>
      <c r="S253" s="8" t="s">
        <v>75</v>
      </c>
      <c r="T253" s="9"/>
      <c r="U253" s="8" t="s">
        <v>240</v>
      </c>
      <c r="V253" s="8" t="s">
        <v>240</v>
      </c>
      <c r="W253" s="8" t="s">
        <v>240</v>
      </c>
      <c r="X253" s="8" t="s">
        <v>240</v>
      </c>
      <c r="Y253" s="8" t="s">
        <v>240</v>
      </c>
      <c r="Z253" s="6" t="b">
        <v>0</v>
      </c>
      <c r="AA253" s="9"/>
      <c r="AB253" s="9"/>
    </row>
    <row r="254" spans="1:28" ht="16">
      <c r="A254" s="6">
        <v>298</v>
      </c>
      <c r="B254" s="8" t="s">
        <v>94</v>
      </c>
      <c r="C254" s="8" t="s">
        <v>633</v>
      </c>
      <c r="D254" s="8" t="s">
        <v>634</v>
      </c>
      <c r="E254" s="8" t="s">
        <v>634</v>
      </c>
      <c r="F254" s="6">
        <v>298</v>
      </c>
      <c r="G254" s="6" t="b">
        <v>0</v>
      </c>
      <c r="H254" s="8" t="s">
        <v>240</v>
      </c>
      <c r="I254" s="6" t="b">
        <v>0</v>
      </c>
      <c r="J254" s="6" t="b">
        <v>0</v>
      </c>
      <c r="K254" s="6" t="b">
        <v>0</v>
      </c>
      <c r="L254" s="6" t="b">
        <v>0</v>
      </c>
      <c r="M254" s="6" t="b">
        <v>0</v>
      </c>
      <c r="N254" s="6">
        <v>8</v>
      </c>
      <c r="O254" s="8" t="s">
        <v>237</v>
      </c>
      <c r="P254" s="8" t="s">
        <v>350</v>
      </c>
      <c r="Q254" s="8" t="s">
        <v>635</v>
      </c>
      <c r="R254" s="6">
        <v>8</v>
      </c>
      <c r="S254" s="8" t="s">
        <v>372</v>
      </c>
      <c r="T254" s="9"/>
      <c r="U254" s="8" t="s">
        <v>240</v>
      </c>
      <c r="V254" s="8" t="s">
        <v>240</v>
      </c>
      <c r="W254" s="8" t="s">
        <v>240</v>
      </c>
      <c r="X254" s="8" t="s">
        <v>240</v>
      </c>
      <c r="Y254" s="8" t="s">
        <v>636</v>
      </c>
      <c r="Z254" s="6" t="b">
        <v>0</v>
      </c>
      <c r="AA254" s="9"/>
      <c r="AB254" s="9"/>
    </row>
    <row r="255" spans="1:28" ht="16">
      <c r="A255" s="6">
        <v>299</v>
      </c>
      <c r="B255" s="8" t="s">
        <v>94</v>
      </c>
      <c r="C255" s="8" t="s">
        <v>637</v>
      </c>
      <c r="D255" s="8" t="s">
        <v>637</v>
      </c>
      <c r="E255" s="8" t="s">
        <v>637</v>
      </c>
      <c r="F255" s="6">
        <v>299</v>
      </c>
      <c r="G255" s="6" t="b">
        <v>0</v>
      </c>
      <c r="H255" s="8" t="s">
        <v>240</v>
      </c>
      <c r="I255" s="6" t="b">
        <v>0</v>
      </c>
      <c r="J255" s="6" t="b">
        <v>0</v>
      </c>
      <c r="K255" s="6" t="b">
        <v>0</v>
      </c>
      <c r="L255" s="6" t="b">
        <v>0</v>
      </c>
      <c r="M255" s="6" t="b">
        <v>0</v>
      </c>
      <c r="N255" s="6">
        <v>10</v>
      </c>
      <c r="O255" s="8" t="s">
        <v>625</v>
      </c>
      <c r="P255" s="8" t="s">
        <v>350</v>
      </c>
      <c r="Q255" s="8" t="s">
        <v>339</v>
      </c>
      <c r="R255" s="6">
        <v>10</v>
      </c>
      <c r="S255" s="8" t="s">
        <v>75</v>
      </c>
      <c r="T255" s="6">
        <v>10</v>
      </c>
      <c r="U255" s="8" t="s">
        <v>240</v>
      </c>
      <c r="V255" s="8" t="s">
        <v>240</v>
      </c>
      <c r="W255" s="8" t="s">
        <v>240</v>
      </c>
      <c r="X255" s="8" t="s">
        <v>240</v>
      </c>
      <c r="Y255" s="8" t="s">
        <v>638</v>
      </c>
      <c r="Z255" s="6" t="b">
        <v>0</v>
      </c>
      <c r="AA255" s="9"/>
      <c r="AB255" s="9"/>
    </row>
    <row r="256" spans="1:28" ht="16">
      <c r="A256" s="6">
        <v>300</v>
      </c>
      <c r="B256" s="8" t="s">
        <v>94</v>
      </c>
      <c r="C256" s="8" t="s">
        <v>639</v>
      </c>
      <c r="D256" s="8" t="s">
        <v>639</v>
      </c>
      <c r="E256" s="8" t="s">
        <v>639</v>
      </c>
      <c r="F256" s="6">
        <v>300</v>
      </c>
      <c r="G256" s="6" t="b">
        <v>0</v>
      </c>
      <c r="H256" s="8" t="s">
        <v>240</v>
      </c>
      <c r="I256" s="6" t="b">
        <v>0</v>
      </c>
      <c r="J256" s="6" t="b">
        <v>0</v>
      </c>
      <c r="K256" s="6" t="b">
        <v>0</v>
      </c>
      <c r="L256" s="6" t="b">
        <v>0</v>
      </c>
      <c r="M256" s="6" t="b">
        <v>0</v>
      </c>
      <c r="N256" s="6">
        <v>8</v>
      </c>
      <c r="O256" s="8" t="s">
        <v>237</v>
      </c>
      <c r="P256" s="8" t="s">
        <v>240</v>
      </c>
      <c r="Q256" s="8" t="s">
        <v>240</v>
      </c>
      <c r="R256" s="6">
        <v>8</v>
      </c>
      <c r="S256" s="8" t="s">
        <v>237</v>
      </c>
      <c r="T256" s="9"/>
      <c r="U256" s="8" t="s">
        <v>240</v>
      </c>
      <c r="V256" s="8" t="s">
        <v>240</v>
      </c>
      <c r="W256" s="8" t="s">
        <v>240</v>
      </c>
      <c r="X256" s="8" t="s">
        <v>240</v>
      </c>
      <c r="Y256" s="8" t="s">
        <v>240</v>
      </c>
      <c r="Z256" s="6" t="b">
        <v>0</v>
      </c>
      <c r="AA256" s="9"/>
      <c r="AB256" s="9"/>
    </row>
    <row r="257" spans="1:28" ht="16">
      <c r="A257" s="6">
        <v>301</v>
      </c>
      <c r="B257" s="8" t="s">
        <v>94</v>
      </c>
      <c r="C257" s="8" t="s">
        <v>639</v>
      </c>
      <c r="D257" s="8" t="s">
        <v>640</v>
      </c>
      <c r="E257" s="8" t="s">
        <v>640</v>
      </c>
      <c r="F257" s="6">
        <v>301</v>
      </c>
      <c r="G257" s="6" t="b">
        <v>0</v>
      </c>
      <c r="H257" s="8" t="s">
        <v>240</v>
      </c>
      <c r="I257" s="6" t="b">
        <v>0</v>
      </c>
      <c r="J257" s="6" t="b">
        <v>0</v>
      </c>
      <c r="K257" s="6" t="b">
        <v>0</v>
      </c>
      <c r="L257" s="6" t="b">
        <v>0</v>
      </c>
      <c r="M257" s="6" t="b">
        <v>0</v>
      </c>
      <c r="N257" s="6">
        <v>8</v>
      </c>
      <c r="O257" s="8" t="s">
        <v>237</v>
      </c>
      <c r="P257" s="8" t="s">
        <v>240</v>
      </c>
      <c r="Q257" s="8" t="s">
        <v>240</v>
      </c>
      <c r="R257" s="6">
        <v>8</v>
      </c>
      <c r="S257" s="8" t="s">
        <v>75</v>
      </c>
      <c r="T257" s="9"/>
      <c r="U257" s="8" t="s">
        <v>240</v>
      </c>
      <c r="V257" s="8" t="s">
        <v>240</v>
      </c>
      <c r="W257" s="8" t="s">
        <v>240</v>
      </c>
      <c r="X257" s="8" t="s">
        <v>240</v>
      </c>
      <c r="Y257" s="8" t="s">
        <v>641</v>
      </c>
      <c r="Z257" s="6" t="b">
        <v>0</v>
      </c>
      <c r="AA257" s="9"/>
      <c r="AB257" s="9"/>
    </row>
    <row r="258" spans="1:28" ht="32">
      <c r="A258" s="6">
        <v>302</v>
      </c>
      <c r="B258" s="8" t="s">
        <v>94</v>
      </c>
      <c r="C258" s="8" t="s">
        <v>639</v>
      </c>
      <c r="D258" s="8" t="s">
        <v>642</v>
      </c>
      <c r="E258" s="8" t="s">
        <v>640</v>
      </c>
      <c r="F258" s="6">
        <v>301</v>
      </c>
      <c r="G258" s="6" t="b">
        <v>0</v>
      </c>
      <c r="H258" s="8" t="s">
        <v>240</v>
      </c>
      <c r="I258" s="6" t="b">
        <v>0</v>
      </c>
      <c r="J258" s="6" t="b">
        <v>0</v>
      </c>
      <c r="K258" s="6" t="b">
        <v>0</v>
      </c>
      <c r="L258" s="6" t="b">
        <v>0</v>
      </c>
      <c r="M258" s="6" t="b">
        <v>0</v>
      </c>
      <c r="N258" s="6">
        <v>8</v>
      </c>
      <c r="O258" s="8" t="s">
        <v>237</v>
      </c>
      <c r="P258" s="8" t="s">
        <v>240</v>
      </c>
      <c r="Q258" s="8" t="s">
        <v>240</v>
      </c>
      <c r="R258" s="6">
        <v>8</v>
      </c>
      <c r="S258" s="8" t="s">
        <v>75</v>
      </c>
      <c r="T258" s="9"/>
      <c r="U258" s="8" t="s">
        <v>240</v>
      </c>
      <c r="V258" s="8" t="s">
        <v>240</v>
      </c>
      <c r="W258" s="8" t="s">
        <v>240</v>
      </c>
      <c r="X258" s="8" t="s">
        <v>240</v>
      </c>
      <c r="Y258" s="8" t="s">
        <v>240</v>
      </c>
      <c r="Z258" s="6" t="b">
        <v>0</v>
      </c>
      <c r="AA258" s="9"/>
      <c r="AB258" s="9"/>
    </row>
    <row r="259" spans="1:28" ht="16">
      <c r="A259" s="6">
        <v>303</v>
      </c>
      <c r="B259" s="8" t="s">
        <v>94</v>
      </c>
      <c r="C259" s="8" t="s">
        <v>603</v>
      </c>
      <c r="D259" s="8" t="s">
        <v>643</v>
      </c>
      <c r="E259" s="8" t="s">
        <v>643</v>
      </c>
      <c r="F259" s="6">
        <v>303</v>
      </c>
      <c r="G259" s="6" t="b">
        <v>0</v>
      </c>
      <c r="H259" s="8" t="s">
        <v>240</v>
      </c>
      <c r="I259" s="6" t="b">
        <v>0</v>
      </c>
      <c r="J259" s="6" t="b">
        <v>0</v>
      </c>
      <c r="K259" s="6" t="b">
        <v>0</v>
      </c>
      <c r="L259" s="6" t="b">
        <v>0</v>
      </c>
      <c r="M259" s="6" t="b">
        <v>0</v>
      </c>
      <c r="N259" s="6">
        <v>10</v>
      </c>
      <c r="O259" s="8" t="s">
        <v>237</v>
      </c>
      <c r="P259" s="8" t="s">
        <v>350</v>
      </c>
      <c r="Q259" s="8" t="s">
        <v>335</v>
      </c>
      <c r="R259" s="6">
        <v>10</v>
      </c>
      <c r="S259" s="8" t="s">
        <v>372</v>
      </c>
      <c r="T259" s="6">
        <v>10</v>
      </c>
      <c r="U259" s="8" t="s">
        <v>240</v>
      </c>
      <c r="V259" s="8" t="s">
        <v>240</v>
      </c>
      <c r="W259" s="8" t="s">
        <v>240</v>
      </c>
      <c r="X259" s="8" t="s">
        <v>240</v>
      </c>
      <c r="Y259" s="8" t="s">
        <v>644</v>
      </c>
      <c r="Z259" s="6" t="b">
        <v>0</v>
      </c>
      <c r="AA259" s="9"/>
      <c r="AB259" s="9"/>
    </row>
    <row r="260" spans="1:28" ht="32">
      <c r="A260" s="6">
        <v>304</v>
      </c>
      <c r="B260" s="8" t="s">
        <v>94</v>
      </c>
      <c r="C260" s="8" t="s">
        <v>603</v>
      </c>
      <c r="D260" s="8" t="s">
        <v>645</v>
      </c>
      <c r="E260" s="8" t="s">
        <v>643</v>
      </c>
      <c r="F260" s="6">
        <v>303</v>
      </c>
      <c r="G260" s="6" t="b">
        <v>0</v>
      </c>
      <c r="H260" s="8" t="s">
        <v>240</v>
      </c>
      <c r="I260" s="6" t="b">
        <v>0</v>
      </c>
      <c r="J260" s="6" t="b">
        <v>0</v>
      </c>
      <c r="K260" s="6" t="b">
        <v>0</v>
      </c>
      <c r="L260" s="6" t="b">
        <v>0</v>
      </c>
      <c r="M260" s="6" t="b">
        <v>0</v>
      </c>
      <c r="N260" s="6">
        <v>10</v>
      </c>
      <c r="O260" s="8" t="s">
        <v>237</v>
      </c>
      <c r="P260" s="8" t="s">
        <v>350</v>
      </c>
      <c r="Q260" s="8" t="s">
        <v>335</v>
      </c>
      <c r="R260" s="6">
        <v>10</v>
      </c>
      <c r="S260" s="8" t="s">
        <v>335</v>
      </c>
      <c r="T260" s="6">
        <v>10</v>
      </c>
      <c r="U260" s="8" t="s">
        <v>240</v>
      </c>
      <c r="V260" s="8" t="s">
        <v>240</v>
      </c>
      <c r="W260" s="8" t="s">
        <v>240</v>
      </c>
      <c r="X260" s="8" t="s">
        <v>240</v>
      </c>
      <c r="Y260" s="8" t="s">
        <v>240</v>
      </c>
      <c r="Z260" s="6" t="b">
        <v>0</v>
      </c>
      <c r="AA260" s="9"/>
      <c r="AB260" s="9"/>
    </row>
    <row r="261" spans="1:28" ht="32">
      <c r="A261" s="6">
        <v>305</v>
      </c>
      <c r="B261" s="8" t="s">
        <v>94</v>
      </c>
      <c r="C261" s="8" t="s">
        <v>603</v>
      </c>
      <c r="D261" s="8" t="s">
        <v>646</v>
      </c>
      <c r="E261" s="8" t="s">
        <v>643</v>
      </c>
      <c r="F261" s="6">
        <v>303</v>
      </c>
      <c r="G261" s="6" t="b">
        <v>0</v>
      </c>
      <c r="H261" s="8" t="s">
        <v>240</v>
      </c>
      <c r="I261" s="6" t="b">
        <v>0</v>
      </c>
      <c r="J261" s="6" t="b">
        <v>0</v>
      </c>
      <c r="K261" s="6" t="b">
        <v>0</v>
      </c>
      <c r="L261" s="6" t="b">
        <v>0</v>
      </c>
      <c r="M261" s="6" t="b">
        <v>0</v>
      </c>
      <c r="N261" s="6">
        <v>10</v>
      </c>
      <c r="O261" s="8" t="s">
        <v>237</v>
      </c>
      <c r="P261" s="8" t="s">
        <v>350</v>
      </c>
      <c r="Q261" s="8" t="s">
        <v>335</v>
      </c>
      <c r="R261" s="6">
        <v>10</v>
      </c>
      <c r="S261" s="8" t="s">
        <v>335</v>
      </c>
      <c r="T261" s="6">
        <v>10</v>
      </c>
      <c r="U261" s="8" t="s">
        <v>240</v>
      </c>
      <c r="V261" s="8" t="s">
        <v>240</v>
      </c>
      <c r="W261" s="8" t="s">
        <v>240</v>
      </c>
      <c r="X261" s="8" t="s">
        <v>240</v>
      </c>
      <c r="Y261" s="8" t="s">
        <v>240</v>
      </c>
      <c r="Z261" s="6" t="b">
        <v>0</v>
      </c>
      <c r="AA261" s="9"/>
      <c r="AB261" s="9"/>
    </row>
    <row r="262" spans="1:28" ht="32">
      <c r="A262" s="6">
        <v>306</v>
      </c>
      <c r="B262" s="8" t="s">
        <v>94</v>
      </c>
      <c r="C262" s="8" t="s">
        <v>603</v>
      </c>
      <c r="D262" s="8" t="s">
        <v>647</v>
      </c>
      <c r="E262" s="8" t="s">
        <v>643</v>
      </c>
      <c r="F262" s="6">
        <v>303</v>
      </c>
      <c r="G262" s="6" t="b">
        <v>0</v>
      </c>
      <c r="H262" s="8" t="s">
        <v>240</v>
      </c>
      <c r="I262" s="6" t="b">
        <v>0</v>
      </c>
      <c r="J262" s="6" t="b">
        <v>0</v>
      </c>
      <c r="K262" s="6" t="b">
        <v>0</v>
      </c>
      <c r="L262" s="6" t="b">
        <v>0</v>
      </c>
      <c r="M262" s="6" t="b">
        <v>0</v>
      </c>
      <c r="N262" s="6">
        <v>10</v>
      </c>
      <c r="O262" s="8" t="s">
        <v>237</v>
      </c>
      <c r="P262" s="8" t="s">
        <v>350</v>
      </c>
      <c r="Q262" s="8" t="s">
        <v>335</v>
      </c>
      <c r="R262" s="6">
        <v>10</v>
      </c>
      <c r="S262" s="8" t="s">
        <v>335</v>
      </c>
      <c r="T262" s="6">
        <v>10</v>
      </c>
      <c r="U262" s="8" t="s">
        <v>240</v>
      </c>
      <c r="V262" s="8" t="s">
        <v>240</v>
      </c>
      <c r="W262" s="8" t="s">
        <v>240</v>
      </c>
      <c r="X262" s="8" t="s">
        <v>240</v>
      </c>
      <c r="Y262" s="8" t="s">
        <v>240</v>
      </c>
      <c r="Z262" s="6" t="b">
        <v>0</v>
      </c>
      <c r="AA262" s="9"/>
      <c r="AB262" s="9"/>
    </row>
    <row r="263" spans="1:28" ht="16">
      <c r="A263" s="6">
        <v>307</v>
      </c>
      <c r="B263" s="8" t="s">
        <v>94</v>
      </c>
      <c r="C263" s="8" t="s">
        <v>648</v>
      </c>
      <c r="D263" s="8" t="s">
        <v>648</v>
      </c>
      <c r="E263" s="8" t="s">
        <v>648</v>
      </c>
      <c r="F263" s="6">
        <v>307</v>
      </c>
      <c r="G263" s="6" t="b">
        <v>0</v>
      </c>
      <c r="H263" s="8" t="s">
        <v>240</v>
      </c>
      <c r="I263" s="6" t="b">
        <v>0</v>
      </c>
      <c r="J263" s="6" t="b">
        <v>0</v>
      </c>
      <c r="K263" s="6" t="b">
        <v>0</v>
      </c>
      <c r="L263" s="6" t="b">
        <v>0</v>
      </c>
      <c r="M263" s="6" t="b">
        <v>0</v>
      </c>
      <c r="N263" s="6">
        <v>10</v>
      </c>
      <c r="O263" s="8" t="s">
        <v>237</v>
      </c>
      <c r="P263" s="8" t="s">
        <v>240</v>
      </c>
      <c r="Q263" s="8" t="s">
        <v>240</v>
      </c>
      <c r="R263" s="6">
        <v>10</v>
      </c>
      <c r="S263" s="8" t="s">
        <v>75</v>
      </c>
      <c r="T263" s="6">
        <v>8</v>
      </c>
      <c r="U263" s="8" t="s">
        <v>240</v>
      </c>
      <c r="V263" s="8" t="s">
        <v>240</v>
      </c>
      <c r="W263" s="8" t="s">
        <v>240</v>
      </c>
      <c r="X263" s="8" t="s">
        <v>240</v>
      </c>
      <c r="Y263" s="8" t="s">
        <v>649</v>
      </c>
      <c r="Z263" s="6" t="b">
        <v>0</v>
      </c>
      <c r="AA263" s="9"/>
      <c r="AB263" s="9"/>
    </row>
    <row r="264" spans="1:28" ht="16">
      <c r="A264" s="6">
        <v>308</v>
      </c>
      <c r="B264" s="8" t="s">
        <v>94</v>
      </c>
      <c r="C264" s="8" t="s">
        <v>637</v>
      </c>
      <c r="D264" s="8" t="s">
        <v>650</v>
      </c>
      <c r="E264" s="8" t="s">
        <v>650</v>
      </c>
      <c r="F264" s="6">
        <v>308</v>
      </c>
      <c r="G264" s="6" t="b">
        <v>0</v>
      </c>
      <c r="H264" s="8" t="s">
        <v>240</v>
      </c>
      <c r="I264" s="6" t="b">
        <v>0</v>
      </c>
      <c r="J264" s="6" t="b">
        <v>0</v>
      </c>
      <c r="K264" s="6" t="b">
        <v>0</v>
      </c>
      <c r="L264" s="6" t="b">
        <v>0</v>
      </c>
      <c r="M264" s="6" t="b">
        <v>0</v>
      </c>
      <c r="N264" s="6">
        <v>10</v>
      </c>
      <c r="O264" s="8" t="s">
        <v>625</v>
      </c>
      <c r="P264" s="8" t="s">
        <v>350</v>
      </c>
      <c r="Q264" s="8" t="s">
        <v>335</v>
      </c>
      <c r="R264" s="6">
        <v>10</v>
      </c>
      <c r="S264" s="8" t="s">
        <v>75</v>
      </c>
      <c r="T264" s="9"/>
      <c r="U264" s="8" t="s">
        <v>240</v>
      </c>
      <c r="V264" s="8" t="s">
        <v>240</v>
      </c>
      <c r="W264" s="8" t="s">
        <v>240</v>
      </c>
      <c r="X264" s="8" t="s">
        <v>240</v>
      </c>
      <c r="Y264" s="8" t="s">
        <v>651</v>
      </c>
      <c r="Z264" s="6" t="b">
        <v>0</v>
      </c>
      <c r="AA264" s="9"/>
      <c r="AB264" s="9"/>
    </row>
    <row r="265" spans="1:28" ht="16">
      <c r="A265" s="6">
        <v>309</v>
      </c>
      <c r="B265" s="8" t="s">
        <v>94</v>
      </c>
      <c r="C265" s="8" t="s">
        <v>633</v>
      </c>
      <c r="D265" s="8" t="s">
        <v>633</v>
      </c>
      <c r="E265" s="8" t="s">
        <v>633</v>
      </c>
      <c r="F265" s="6">
        <v>309</v>
      </c>
      <c r="G265" s="6" t="b">
        <v>0</v>
      </c>
      <c r="H265" s="8" t="s">
        <v>240</v>
      </c>
      <c r="I265" s="6" t="b">
        <v>0</v>
      </c>
      <c r="J265" s="6" t="b">
        <v>0</v>
      </c>
      <c r="K265" s="6" t="b">
        <v>0</v>
      </c>
      <c r="L265" s="6" t="b">
        <v>0</v>
      </c>
      <c r="M265" s="6" t="b">
        <v>0</v>
      </c>
      <c r="N265" s="6">
        <v>8</v>
      </c>
      <c r="O265" s="8" t="s">
        <v>237</v>
      </c>
      <c r="P265" s="8" t="s">
        <v>350</v>
      </c>
      <c r="Q265" s="8" t="s">
        <v>335</v>
      </c>
      <c r="R265" s="6">
        <v>8</v>
      </c>
      <c r="S265" s="8" t="s">
        <v>237</v>
      </c>
      <c r="T265" s="6">
        <v>8</v>
      </c>
      <c r="U265" s="8" t="s">
        <v>240</v>
      </c>
      <c r="V265" s="8" t="s">
        <v>240</v>
      </c>
      <c r="W265" s="8" t="s">
        <v>240</v>
      </c>
      <c r="X265" s="8" t="s">
        <v>240</v>
      </c>
      <c r="Y265" s="8" t="s">
        <v>652</v>
      </c>
      <c r="Z265" s="6" t="b">
        <v>0</v>
      </c>
      <c r="AA265" s="9"/>
      <c r="AB265" s="9"/>
    </row>
    <row r="266" spans="1:28" ht="16">
      <c r="A266" s="6">
        <v>310</v>
      </c>
      <c r="B266" s="8" t="s">
        <v>94</v>
      </c>
      <c r="C266" s="8" t="s">
        <v>633</v>
      </c>
      <c r="D266" s="8" t="s">
        <v>653</v>
      </c>
      <c r="E266" s="8" t="s">
        <v>653</v>
      </c>
      <c r="F266" s="6">
        <v>310</v>
      </c>
      <c r="G266" s="6" t="b">
        <v>0</v>
      </c>
      <c r="H266" s="8" t="s">
        <v>240</v>
      </c>
      <c r="I266" s="6" t="b">
        <v>0</v>
      </c>
      <c r="J266" s="6" t="b">
        <v>0</v>
      </c>
      <c r="K266" s="6" t="b">
        <v>0</v>
      </c>
      <c r="L266" s="6" t="b">
        <v>0</v>
      </c>
      <c r="M266" s="6" t="b">
        <v>0</v>
      </c>
      <c r="N266" s="6">
        <v>8</v>
      </c>
      <c r="O266" s="8" t="s">
        <v>237</v>
      </c>
      <c r="P266" s="8" t="s">
        <v>350</v>
      </c>
      <c r="Q266" s="8" t="s">
        <v>335</v>
      </c>
      <c r="R266" s="6">
        <v>8</v>
      </c>
      <c r="S266" s="8" t="s">
        <v>335</v>
      </c>
      <c r="T266" s="6">
        <v>8</v>
      </c>
      <c r="U266" s="8" t="s">
        <v>240</v>
      </c>
      <c r="V266" s="8" t="s">
        <v>240</v>
      </c>
      <c r="W266" s="8" t="s">
        <v>240</v>
      </c>
      <c r="X266" s="8" t="s">
        <v>240</v>
      </c>
      <c r="Y266" s="8" t="s">
        <v>654</v>
      </c>
      <c r="Z266" s="6" t="b">
        <v>0</v>
      </c>
      <c r="AA266" s="9"/>
      <c r="AB266" s="9"/>
    </row>
    <row r="267" spans="1:28" ht="32">
      <c r="A267" s="6">
        <v>311</v>
      </c>
      <c r="B267" s="8" t="s">
        <v>94</v>
      </c>
      <c r="C267" s="8" t="s">
        <v>633</v>
      </c>
      <c r="D267" s="8" t="s">
        <v>655</v>
      </c>
      <c r="E267" s="8" t="s">
        <v>653</v>
      </c>
      <c r="F267" s="6">
        <v>310</v>
      </c>
      <c r="G267" s="6" t="b">
        <v>0</v>
      </c>
      <c r="H267" s="8" t="s">
        <v>240</v>
      </c>
      <c r="I267" s="6" t="b">
        <v>0</v>
      </c>
      <c r="J267" s="6" t="b">
        <v>0</v>
      </c>
      <c r="K267" s="6" t="b">
        <v>0</v>
      </c>
      <c r="L267" s="6" t="b">
        <v>0</v>
      </c>
      <c r="M267" s="6" t="b">
        <v>0</v>
      </c>
      <c r="N267" s="6">
        <v>8</v>
      </c>
      <c r="O267" s="8" t="s">
        <v>237</v>
      </c>
      <c r="P267" s="8" t="s">
        <v>350</v>
      </c>
      <c r="Q267" s="8" t="s">
        <v>335</v>
      </c>
      <c r="R267" s="6">
        <v>8</v>
      </c>
      <c r="S267" s="8" t="s">
        <v>335</v>
      </c>
      <c r="T267" s="9"/>
      <c r="U267" s="8" t="s">
        <v>240</v>
      </c>
      <c r="V267" s="8" t="s">
        <v>240</v>
      </c>
      <c r="W267" s="8" t="s">
        <v>240</v>
      </c>
      <c r="X267" s="8" t="s">
        <v>240</v>
      </c>
      <c r="Y267" s="8" t="s">
        <v>656</v>
      </c>
      <c r="Z267" s="6" t="b">
        <v>0</v>
      </c>
      <c r="AA267" s="9"/>
      <c r="AB267" s="9"/>
    </row>
    <row r="268" spans="1:28" ht="16">
      <c r="A268" s="6">
        <v>312</v>
      </c>
      <c r="B268" s="8" t="s">
        <v>94</v>
      </c>
      <c r="C268" s="8" t="s">
        <v>603</v>
      </c>
      <c r="D268" s="8" t="s">
        <v>657</v>
      </c>
      <c r="E268" s="8" t="s">
        <v>657</v>
      </c>
      <c r="F268" s="6">
        <v>312</v>
      </c>
      <c r="G268" s="6" t="b">
        <v>0</v>
      </c>
      <c r="H268" s="8" t="s">
        <v>240</v>
      </c>
      <c r="I268" s="6" t="b">
        <v>0</v>
      </c>
      <c r="J268" s="6" t="b">
        <v>0</v>
      </c>
      <c r="K268" s="6" t="b">
        <v>0</v>
      </c>
      <c r="L268" s="6" t="b">
        <v>0</v>
      </c>
      <c r="M268" s="6" t="b">
        <v>0</v>
      </c>
      <c r="N268" s="6">
        <v>10</v>
      </c>
      <c r="O268" s="8" t="s">
        <v>237</v>
      </c>
      <c r="P268" s="8" t="s">
        <v>240</v>
      </c>
      <c r="Q268" s="8" t="s">
        <v>240</v>
      </c>
      <c r="R268" s="6">
        <v>10</v>
      </c>
      <c r="S268" s="8" t="s">
        <v>75</v>
      </c>
      <c r="T268" s="9"/>
      <c r="U268" s="8" t="s">
        <v>240</v>
      </c>
      <c r="V268" s="8" t="s">
        <v>240</v>
      </c>
      <c r="W268" s="8" t="s">
        <v>240</v>
      </c>
      <c r="X268" s="8" t="s">
        <v>240</v>
      </c>
      <c r="Y268" s="8" t="s">
        <v>240</v>
      </c>
      <c r="Z268" s="6" t="b">
        <v>0</v>
      </c>
      <c r="AA268" s="9"/>
      <c r="AB268" s="9"/>
    </row>
    <row r="269" spans="1:28" ht="32">
      <c r="A269" s="6">
        <v>313</v>
      </c>
      <c r="B269" s="8" t="s">
        <v>94</v>
      </c>
      <c r="C269" s="8" t="s">
        <v>603</v>
      </c>
      <c r="D269" s="8" t="s">
        <v>658</v>
      </c>
      <c r="E269" s="8" t="s">
        <v>657</v>
      </c>
      <c r="F269" s="6">
        <v>312</v>
      </c>
      <c r="G269" s="6" t="b">
        <v>0</v>
      </c>
      <c r="H269" s="8" t="s">
        <v>240</v>
      </c>
      <c r="I269" s="6" t="b">
        <v>0</v>
      </c>
      <c r="J269" s="6" t="b">
        <v>0</v>
      </c>
      <c r="K269" s="6" t="b">
        <v>0</v>
      </c>
      <c r="L269" s="6" t="b">
        <v>0</v>
      </c>
      <c r="M269" s="6" t="b">
        <v>0</v>
      </c>
      <c r="N269" s="6">
        <v>10</v>
      </c>
      <c r="O269" s="8" t="s">
        <v>237</v>
      </c>
      <c r="P269" s="8" t="s">
        <v>240</v>
      </c>
      <c r="Q269" s="8" t="s">
        <v>240</v>
      </c>
      <c r="R269" s="6">
        <v>10</v>
      </c>
      <c r="S269" s="8" t="s">
        <v>75</v>
      </c>
      <c r="T269" s="9"/>
      <c r="U269" s="8" t="s">
        <v>240</v>
      </c>
      <c r="V269" s="8" t="s">
        <v>240</v>
      </c>
      <c r="W269" s="8" t="s">
        <v>240</v>
      </c>
      <c r="X269" s="8" t="s">
        <v>240</v>
      </c>
      <c r="Y269" s="8" t="s">
        <v>240</v>
      </c>
      <c r="Z269" s="6" t="b">
        <v>0</v>
      </c>
      <c r="AA269" s="9"/>
      <c r="AB269" s="9"/>
    </row>
    <row r="270" spans="1:28" ht="16">
      <c r="A270" s="6">
        <v>314</v>
      </c>
      <c r="B270" s="8" t="s">
        <v>94</v>
      </c>
      <c r="C270" s="8" t="s">
        <v>600</v>
      </c>
      <c r="D270" s="8" t="s">
        <v>600</v>
      </c>
      <c r="E270" s="8" t="s">
        <v>600</v>
      </c>
      <c r="F270" s="6">
        <v>314</v>
      </c>
      <c r="G270" s="6" t="b">
        <v>0</v>
      </c>
      <c r="H270" s="8" t="s">
        <v>240</v>
      </c>
      <c r="I270" s="6" t="b">
        <v>0</v>
      </c>
      <c r="J270" s="6" t="b">
        <v>0</v>
      </c>
      <c r="K270" s="6" t="b">
        <v>0</v>
      </c>
      <c r="L270" s="6" t="b">
        <v>0</v>
      </c>
      <c r="M270" s="6" t="b">
        <v>0</v>
      </c>
      <c r="N270" s="6">
        <v>7</v>
      </c>
      <c r="O270" s="8" t="s">
        <v>237</v>
      </c>
      <c r="P270" s="8" t="s">
        <v>350</v>
      </c>
      <c r="Q270" s="8" t="s">
        <v>239</v>
      </c>
      <c r="R270" s="6">
        <v>7</v>
      </c>
      <c r="S270" s="8" t="s">
        <v>75</v>
      </c>
      <c r="T270" s="9"/>
      <c r="U270" s="8" t="s">
        <v>240</v>
      </c>
      <c r="V270" s="8" t="s">
        <v>240</v>
      </c>
      <c r="W270" s="8" t="s">
        <v>240</v>
      </c>
      <c r="X270" s="8" t="s">
        <v>240</v>
      </c>
      <c r="Y270" s="8" t="s">
        <v>659</v>
      </c>
      <c r="Z270" s="6" t="b">
        <v>0</v>
      </c>
      <c r="AA270" s="9"/>
      <c r="AB270" s="9"/>
    </row>
    <row r="271" spans="1:28" ht="16">
      <c r="A271" s="6">
        <v>315</v>
      </c>
      <c r="B271" s="8" t="s">
        <v>94</v>
      </c>
      <c r="C271" s="8" t="s">
        <v>600</v>
      </c>
      <c r="D271" s="8" t="s">
        <v>660</v>
      </c>
      <c r="E271" s="8" t="s">
        <v>660</v>
      </c>
      <c r="F271" s="6">
        <v>315</v>
      </c>
      <c r="G271" s="6" t="b">
        <v>0</v>
      </c>
      <c r="H271" s="8" t="s">
        <v>240</v>
      </c>
      <c r="I271" s="6" t="b">
        <v>0</v>
      </c>
      <c r="J271" s="6" t="b">
        <v>0</v>
      </c>
      <c r="K271" s="6" t="b">
        <v>0</v>
      </c>
      <c r="L271" s="6" t="b">
        <v>0</v>
      </c>
      <c r="M271" s="6" t="b">
        <v>0</v>
      </c>
      <c r="N271" s="6">
        <v>7</v>
      </c>
      <c r="O271" s="8" t="s">
        <v>237</v>
      </c>
      <c r="P271" s="8" t="s">
        <v>350</v>
      </c>
      <c r="Q271" s="8" t="s">
        <v>339</v>
      </c>
      <c r="R271" s="6">
        <v>8</v>
      </c>
      <c r="S271" s="8" t="s">
        <v>335</v>
      </c>
      <c r="T271" s="6">
        <v>8</v>
      </c>
      <c r="U271" s="8" t="s">
        <v>240</v>
      </c>
      <c r="V271" s="8" t="s">
        <v>240</v>
      </c>
      <c r="W271" s="8" t="s">
        <v>240</v>
      </c>
      <c r="X271" s="8" t="s">
        <v>240</v>
      </c>
      <c r="Y271" s="8" t="s">
        <v>661</v>
      </c>
      <c r="Z271" s="6" t="b">
        <v>0</v>
      </c>
      <c r="AA271" s="9"/>
      <c r="AB271" s="9"/>
    </row>
    <row r="272" spans="1:28" ht="16">
      <c r="A272" s="6">
        <v>316</v>
      </c>
      <c r="B272" s="8" t="s">
        <v>94</v>
      </c>
      <c r="C272" s="8" t="s">
        <v>600</v>
      </c>
      <c r="D272" s="8" t="s">
        <v>662</v>
      </c>
      <c r="E272" s="8" t="s">
        <v>660</v>
      </c>
      <c r="F272" s="6">
        <v>315</v>
      </c>
      <c r="G272" s="6" t="b">
        <v>0</v>
      </c>
      <c r="H272" s="8" t="s">
        <v>240</v>
      </c>
      <c r="I272" s="6" t="b">
        <v>0</v>
      </c>
      <c r="J272" s="6" t="b">
        <v>0</v>
      </c>
      <c r="K272" s="6" t="b">
        <v>0</v>
      </c>
      <c r="L272" s="6" t="b">
        <v>0</v>
      </c>
      <c r="M272" s="6" t="b">
        <v>0</v>
      </c>
      <c r="N272" s="6">
        <v>7</v>
      </c>
      <c r="O272" s="8" t="s">
        <v>237</v>
      </c>
      <c r="P272" s="8" t="s">
        <v>350</v>
      </c>
      <c r="Q272" s="8" t="s">
        <v>335</v>
      </c>
      <c r="R272" s="6">
        <v>6</v>
      </c>
      <c r="S272" s="8" t="s">
        <v>335</v>
      </c>
      <c r="T272" s="6">
        <v>6</v>
      </c>
      <c r="U272" s="8" t="s">
        <v>240</v>
      </c>
      <c r="V272" s="8" t="s">
        <v>240</v>
      </c>
      <c r="W272" s="8" t="s">
        <v>240</v>
      </c>
      <c r="X272" s="8" t="s">
        <v>240</v>
      </c>
      <c r="Y272" s="8" t="s">
        <v>240</v>
      </c>
      <c r="Z272" s="6" t="b">
        <v>0</v>
      </c>
      <c r="AA272" s="9"/>
      <c r="AB272" s="9"/>
    </row>
    <row r="273" spans="1:28" ht="16">
      <c r="A273" s="6">
        <v>317</v>
      </c>
      <c r="B273" s="8" t="s">
        <v>94</v>
      </c>
      <c r="C273" s="8" t="s">
        <v>600</v>
      </c>
      <c r="D273" s="8" t="s">
        <v>663</v>
      </c>
      <c r="E273" s="8" t="s">
        <v>660</v>
      </c>
      <c r="F273" s="6">
        <v>315</v>
      </c>
      <c r="G273" s="6" t="b">
        <v>0</v>
      </c>
      <c r="H273" s="8" t="s">
        <v>240</v>
      </c>
      <c r="I273" s="6" t="b">
        <v>0</v>
      </c>
      <c r="J273" s="6" t="b">
        <v>0</v>
      </c>
      <c r="K273" s="6" t="b">
        <v>0</v>
      </c>
      <c r="L273" s="6" t="b">
        <v>0</v>
      </c>
      <c r="M273" s="6" t="b">
        <v>0</v>
      </c>
      <c r="N273" s="6">
        <v>7</v>
      </c>
      <c r="O273" s="8" t="s">
        <v>237</v>
      </c>
      <c r="P273" s="8" t="s">
        <v>350</v>
      </c>
      <c r="Q273" s="8" t="s">
        <v>335</v>
      </c>
      <c r="R273" s="6">
        <v>6</v>
      </c>
      <c r="S273" s="8" t="s">
        <v>335</v>
      </c>
      <c r="T273" s="6">
        <v>6</v>
      </c>
      <c r="U273" s="8" t="s">
        <v>240</v>
      </c>
      <c r="V273" s="8" t="s">
        <v>240</v>
      </c>
      <c r="W273" s="8" t="s">
        <v>240</v>
      </c>
      <c r="X273" s="8" t="s">
        <v>240</v>
      </c>
      <c r="Y273" s="8" t="s">
        <v>240</v>
      </c>
      <c r="Z273" s="6" t="b">
        <v>0</v>
      </c>
      <c r="AA273" s="9"/>
      <c r="AB273" s="9"/>
    </row>
    <row r="274" spans="1:28" ht="16">
      <c r="A274" s="6">
        <v>318</v>
      </c>
      <c r="B274" s="8" t="s">
        <v>94</v>
      </c>
      <c r="C274" s="8" t="s">
        <v>600</v>
      </c>
      <c r="D274" s="8" t="s">
        <v>664</v>
      </c>
      <c r="E274" s="8" t="s">
        <v>660</v>
      </c>
      <c r="F274" s="6">
        <v>315</v>
      </c>
      <c r="G274" s="6" t="b">
        <v>0</v>
      </c>
      <c r="H274" s="8" t="s">
        <v>240</v>
      </c>
      <c r="I274" s="6" t="b">
        <v>0</v>
      </c>
      <c r="J274" s="6" t="b">
        <v>0</v>
      </c>
      <c r="K274" s="6" t="b">
        <v>0</v>
      </c>
      <c r="L274" s="6" t="b">
        <v>0</v>
      </c>
      <c r="M274" s="6" t="b">
        <v>0</v>
      </c>
      <c r="N274" s="6">
        <v>7</v>
      </c>
      <c r="O274" s="8" t="s">
        <v>237</v>
      </c>
      <c r="P274" s="8" t="s">
        <v>350</v>
      </c>
      <c r="Q274" s="8" t="s">
        <v>335</v>
      </c>
      <c r="R274" s="6">
        <v>8</v>
      </c>
      <c r="S274" s="8" t="s">
        <v>335</v>
      </c>
      <c r="T274" s="6">
        <v>8</v>
      </c>
      <c r="U274" s="8" t="s">
        <v>240</v>
      </c>
      <c r="V274" s="8" t="s">
        <v>240</v>
      </c>
      <c r="W274" s="8" t="s">
        <v>240</v>
      </c>
      <c r="X274" s="8" t="s">
        <v>240</v>
      </c>
      <c r="Y274" s="8" t="s">
        <v>665</v>
      </c>
      <c r="Z274" s="6" t="b">
        <v>0</v>
      </c>
      <c r="AA274" s="9"/>
      <c r="AB274" s="9"/>
    </row>
    <row r="275" spans="1:28" ht="16">
      <c r="A275" s="6">
        <v>319</v>
      </c>
      <c r="B275" s="8" t="s">
        <v>94</v>
      </c>
      <c r="C275" s="8" t="s">
        <v>600</v>
      </c>
      <c r="D275" s="8" t="s">
        <v>666</v>
      </c>
      <c r="E275" s="8" t="s">
        <v>660</v>
      </c>
      <c r="F275" s="6">
        <v>315</v>
      </c>
      <c r="G275" s="6" t="b">
        <v>0</v>
      </c>
      <c r="H275" s="8" t="s">
        <v>240</v>
      </c>
      <c r="I275" s="6" t="b">
        <v>0</v>
      </c>
      <c r="J275" s="6" t="b">
        <v>0</v>
      </c>
      <c r="K275" s="6" t="b">
        <v>0</v>
      </c>
      <c r="L275" s="6" t="b">
        <v>0</v>
      </c>
      <c r="M275" s="6" t="b">
        <v>0</v>
      </c>
      <c r="N275" s="6">
        <v>7</v>
      </c>
      <c r="O275" s="8" t="s">
        <v>237</v>
      </c>
      <c r="P275" s="8" t="s">
        <v>350</v>
      </c>
      <c r="Q275" s="8" t="s">
        <v>335</v>
      </c>
      <c r="R275" s="6">
        <v>10</v>
      </c>
      <c r="S275" s="8" t="s">
        <v>335</v>
      </c>
      <c r="T275" s="6">
        <v>10</v>
      </c>
      <c r="U275" s="8" t="s">
        <v>240</v>
      </c>
      <c r="V275" s="8" t="s">
        <v>240</v>
      </c>
      <c r="W275" s="8" t="s">
        <v>240</v>
      </c>
      <c r="X275" s="8" t="s">
        <v>240</v>
      </c>
      <c r="Y275" s="8" t="s">
        <v>240</v>
      </c>
      <c r="Z275" s="6" t="b">
        <v>0</v>
      </c>
      <c r="AA275" s="9"/>
      <c r="AB275" s="9"/>
    </row>
    <row r="276" spans="1:28" ht="16">
      <c r="A276" s="6">
        <v>321</v>
      </c>
      <c r="B276" s="8" t="s">
        <v>94</v>
      </c>
      <c r="C276" s="8" t="s">
        <v>600</v>
      </c>
      <c r="D276" s="8" t="s">
        <v>667</v>
      </c>
      <c r="E276" s="8" t="s">
        <v>660</v>
      </c>
      <c r="F276" s="6">
        <v>315</v>
      </c>
      <c r="G276" s="6" t="b">
        <v>0</v>
      </c>
      <c r="H276" s="8" t="s">
        <v>240</v>
      </c>
      <c r="I276" s="6" t="b">
        <v>0</v>
      </c>
      <c r="J276" s="6" t="b">
        <v>0</v>
      </c>
      <c r="K276" s="6" t="b">
        <v>0</v>
      </c>
      <c r="L276" s="6" t="b">
        <v>0</v>
      </c>
      <c r="M276" s="6" t="b">
        <v>0</v>
      </c>
      <c r="N276" s="6">
        <v>7</v>
      </c>
      <c r="O276" s="8" t="s">
        <v>237</v>
      </c>
      <c r="P276" s="8" t="s">
        <v>350</v>
      </c>
      <c r="Q276" s="8" t="s">
        <v>339</v>
      </c>
      <c r="R276" s="6">
        <v>7</v>
      </c>
      <c r="S276" s="8" t="s">
        <v>75</v>
      </c>
      <c r="T276" s="6">
        <v>8</v>
      </c>
      <c r="U276" s="8" t="s">
        <v>240</v>
      </c>
      <c r="V276" s="8" t="s">
        <v>240</v>
      </c>
      <c r="W276" s="8" t="s">
        <v>240</v>
      </c>
      <c r="X276" s="8" t="s">
        <v>240</v>
      </c>
      <c r="Y276" s="8" t="s">
        <v>240</v>
      </c>
      <c r="Z276" s="6" t="b">
        <v>0</v>
      </c>
      <c r="AA276" s="9"/>
      <c r="AB276" s="9"/>
    </row>
    <row r="277" spans="1:28" ht="16">
      <c r="A277" s="6">
        <v>322</v>
      </c>
      <c r="B277" s="8" t="s">
        <v>94</v>
      </c>
      <c r="C277" s="8" t="s">
        <v>600</v>
      </c>
      <c r="D277" s="8" t="s">
        <v>668</v>
      </c>
      <c r="E277" s="8" t="s">
        <v>660</v>
      </c>
      <c r="F277" s="6">
        <v>315</v>
      </c>
      <c r="G277" s="6" t="b">
        <v>0</v>
      </c>
      <c r="H277" s="8" t="s">
        <v>240</v>
      </c>
      <c r="I277" s="6" t="b">
        <v>0</v>
      </c>
      <c r="J277" s="6" t="b">
        <v>0</v>
      </c>
      <c r="K277" s="6" t="b">
        <v>0</v>
      </c>
      <c r="L277" s="6" t="b">
        <v>0</v>
      </c>
      <c r="M277" s="6" t="b">
        <v>0</v>
      </c>
      <c r="N277" s="6">
        <v>7</v>
      </c>
      <c r="O277" s="8" t="s">
        <v>237</v>
      </c>
      <c r="P277" s="8" t="s">
        <v>350</v>
      </c>
      <c r="Q277" s="8" t="s">
        <v>339</v>
      </c>
      <c r="R277" s="6">
        <v>8</v>
      </c>
      <c r="S277" s="8" t="s">
        <v>335</v>
      </c>
      <c r="T277" s="9"/>
      <c r="U277" s="8" t="s">
        <v>240</v>
      </c>
      <c r="V277" s="8" t="s">
        <v>240</v>
      </c>
      <c r="W277" s="8" t="s">
        <v>240</v>
      </c>
      <c r="X277" s="8" t="s">
        <v>240</v>
      </c>
      <c r="Y277" s="8" t="s">
        <v>240</v>
      </c>
      <c r="Z277" s="6" t="b">
        <v>0</v>
      </c>
      <c r="AA277" s="9"/>
      <c r="AB277" s="9"/>
    </row>
    <row r="278" spans="1:28" ht="16">
      <c r="A278" s="6">
        <v>323</v>
      </c>
      <c r="B278" s="8" t="s">
        <v>94</v>
      </c>
      <c r="C278" s="8" t="s">
        <v>600</v>
      </c>
      <c r="D278" s="8" t="s">
        <v>669</v>
      </c>
      <c r="E278" s="8" t="s">
        <v>660</v>
      </c>
      <c r="F278" s="6">
        <v>315</v>
      </c>
      <c r="G278" s="6" t="b">
        <v>0</v>
      </c>
      <c r="H278" s="8" t="s">
        <v>240</v>
      </c>
      <c r="I278" s="6" t="b">
        <v>0</v>
      </c>
      <c r="J278" s="6" t="b">
        <v>0</v>
      </c>
      <c r="K278" s="6" t="b">
        <v>0</v>
      </c>
      <c r="L278" s="6" t="b">
        <v>0</v>
      </c>
      <c r="M278" s="6" t="b">
        <v>0</v>
      </c>
      <c r="N278" s="6">
        <v>7</v>
      </c>
      <c r="O278" s="8" t="s">
        <v>237</v>
      </c>
      <c r="P278" s="8" t="s">
        <v>350</v>
      </c>
      <c r="Q278" s="8" t="s">
        <v>335</v>
      </c>
      <c r="R278" s="6">
        <v>6</v>
      </c>
      <c r="S278" s="8" t="s">
        <v>335</v>
      </c>
      <c r="T278" s="6">
        <v>6</v>
      </c>
      <c r="U278" s="8" t="s">
        <v>240</v>
      </c>
      <c r="V278" s="8" t="s">
        <v>240</v>
      </c>
      <c r="W278" s="8" t="s">
        <v>240</v>
      </c>
      <c r="X278" s="8" t="s">
        <v>240</v>
      </c>
      <c r="Y278" s="8" t="s">
        <v>670</v>
      </c>
      <c r="Z278" s="6" t="b">
        <v>0</v>
      </c>
      <c r="AA278" s="9"/>
      <c r="AB278" s="9"/>
    </row>
    <row r="279" spans="1:28" ht="16">
      <c r="A279" s="6">
        <v>324</v>
      </c>
      <c r="B279" s="8" t="s">
        <v>94</v>
      </c>
      <c r="C279" s="8" t="s">
        <v>600</v>
      </c>
      <c r="D279" s="8" t="s">
        <v>671</v>
      </c>
      <c r="E279" s="8" t="s">
        <v>660</v>
      </c>
      <c r="F279" s="6">
        <v>315</v>
      </c>
      <c r="G279" s="6" t="b">
        <v>0</v>
      </c>
      <c r="H279" s="8" t="s">
        <v>240</v>
      </c>
      <c r="I279" s="6" t="b">
        <v>0</v>
      </c>
      <c r="J279" s="6" t="b">
        <v>0</v>
      </c>
      <c r="K279" s="6" t="b">
        <v>0</v>
      </c>
      <c r="L279" s="6" t="b">
        <v>0</v>
      </c>
      <c r="M279" s="6" t="b">
        <v>0</v>
      </c>
      <c r="N279" s="6">
        <v>7</v>
      </c>
      <c r="O279" s="8" t="s">
        <v>237</v>
      </c>
      <c r="P279" s="8" t="s">
        <v>350</v>
      </c>
      <c r="Q279" s="8" t="s">
        <v>339</v>
      </c>
      <c r="R279" s="6">
        <v>7</v>
      </c>
      <c r="S279" s="8" t="s">
        <v>75</v>
      </c>
      <c r="T279" s="6">
        <v>10</v>
      </c>
      <c r="U279" s="8" t="s">
        <v>240</v>
      </c>
      <c r="V279" s="8" t="s">
        <v>240</v>
      </c>
      <c r="W279" s="8" t="s">
        <v>240</v>
      </c>
      <c r="X279" s="8" t="s">
        <v>240</v>
      </c>
      <c r="Y279" s="8" t="s">
        <v>240</v>
      </c>
      <c r="Z279" s="6" t="b">
        <v>0</v>
      </c>
      <c r="AA279" s="9"/>
      <c r="AB279" s="9"/>
    </row>
    <row r="280" spans="1:28" ht="16">
      <c r="A280" s="6">
        <v>325</v>
      </c>
      <c r="B280" s="8" t="s">
        <v>94</v>
      </c>
      <c r="C280" s="8" t="s">
        <v>600</v>
      </c>
      <c r="D280" s="8" t="s">
        <v>672</v>
      </c>
      <c r="E280" s="8" t="s">
        <v>672</v>
      </c>
      <c r="F280" s="6">
        <v>325</v>
      </c>
      <c r="G280" s="6" t="b">
        <v>0</v>
      </c>
      <c r="H280" s="8" t="s">
        <v>240</v>
      </c>
      <c r="I280" s="6" t="b">
        <v>0</v>
      </c>
      <c r="J280" s="6" t="b">
        <v>0</v>
      </c>
      <c r="K280" s="6" t="b">
        <v>0</v>
      </c>
      <c r="L280" s="6" t="b">
        <v>0</v>
      </c>
      <c r="M280" s="6" t="b">
        <v>0</v>
      </c>
      <c r="N280" s="6">
        <v>7</v>
      </c>
      <c r="O280" s="8" t="s">
        <v>237</v>
      </c>
      <c r="P280" s="8" t="s">
        <v>350</v>
      </c>
      <c r="Q280" s="8" t="s">
        <v>335</v>
      </c>
      <c r="R280" s="6">
        <v>7</v>
      </c>
      <c r="S280" s="8" t="s">
        <v>75</v>
      </c>
      <c r="T280" s="9"/>
      <c r="U280" s="8" t="s">
        <v>240</v>
      </c>
      <c r="V280" s="8" t="s">
        <v>240</v>
      </c>
      <c r="W280" s="8" t="s">
        <v>240</v>
      </c>
      <c r="X280" s="8" t="s">
        <v>240</v>
      </c>
      <c r="Y280" s="8" t="s">
        <v>240</v>
      </c>
      <c r="Z280" s="6" t="b">
        <v>0</v>
      </c>
      <c r="AA280" s="9"/>
      <c r="AB280" s="9"/>
    </row>
    <row r="281" spans="1:28" ht="32">
      <c r="A281" s="6">
        <v>326</v>
      </c>
      <c r="B281" s="8" t="s">
        <v>94</v>
      </c>
      <c r="C281" s="8" t="s">
        <v>600</v>
      </c>
      <c r="D281" s="8" t="s">
        <v>673</v>
      </c>
      <c r="E281" s="8" t="s">
        <v>672</v>
      </c>
      <c r="F281" s="6">
        <v>325</v>
      </c>
      <c r="G281" s="6" t="b">
        <v>0</v>
      </c>
      <c r="H281" s="8" t="s">
        <v>240</v>
      </c>
      <c r="I281" s="6" t="b">
        <v>0</v>
      </c>
      <c r="J281" s="6" t="b">
        <v>0</v>
      </c>
      <c r="K281" s="6" t="b">
        <v>0</v>
      </c>
      <c r="L281" s="6" t="b">
        <v>0</v>
      </c>
      <c r="M281" s="6" t="b">
        <v>0</v>
      </c>
      <c r="N281" s="6">
        <v>7</v>
      </c>
      <c r="O281" s="8" t="s">
        <v>237</v>
      </c>
      <c r="P281" s="8" t="s">
        <v>350</v>
      </c>
      <c r="Q281" s="8" t="s">
        <v>335</v>
      </c>
      <c r="R281" s="6">
        <v>6</v>
      </c>
      <c r="S281" s="8" t="s">
        <v>335</v>
      </c>
      <c r="T281" s="6">
        <v>6</v>
      </c>
      <c r="U281" s="8" t="s">
        <v>240</v>
      </c>
      <c r="V281" s="8" t="s">
        <v>240</v>
      </c>
      <c r="W281" s="8" t="s">
        <v>240</v>
      </c>
      <c r="X281" s="8" t="s">
        <v>240</v>
      </c>
      <c r="Y281" s="8" t="s">
        <v>674</v>
      </c>
      <c r="Z281" s="6" t="b">
        <v>0</v>
      </c>
      <c r="AA281" s="9"/>
      <c r="AB281" s="9"/>
    </row>
    <row r="282" spans="1:28" ht="16">
      <c r="A282" s="6">
        <v>327</v>
      </c>
      <c r="B282" s="8" t="s">
        <v>94</v>
      </c>
      <c r="C282" s="8" t="s">
        <v>603</v>
      </c>
      <c r="D282" s="8" t="s">
        <v>675</v>
      </c>
      <c r="E282" s="8" t="s">
        <v>675</v>
      </c>
      <c r="F282" s="6">
        <v>327</v>
      </c>
      <c r="G282" s="6" t="b">
        <v>0</v>
      </c>
      <c r="H282" s="8" t="s">
        <v>240</v>
      </c>
      <c r="I282" s="6" t="b">
        <v>0</v>
      </c>
      <c r="J282" s="6" t="b">
        <v>0</v>
      </c>
      <c r="K282" s="6" t="b">
        <v>0</v>
      </c>
      <c r="L282" s="6" t="b">
        <v>0</v>
      </c>
      <c r="M282" s="6" t="b">
        <v>0</v>
      </c>
      <c r="N282" s="6">
        <v>10</v>
      </c>
      <c r="O282" s="8" t="s">
        <v>237</v>
      </c>
      <c r="P282" s="8" t="s">
        <v>350</v>
      </c>
      <c r="Q282" s="8" t="s">
        <v>335</v>
      </c>
      <c r="R282" s="6">
        <v>10</v>
      </c>
      <c r="S282" s="8" t="s">
        <v>75</v>
      </c>
      <c r="T282" s="9"/>
      <c r="U282" s="8" t="s">
        <v>240</v>
      </c>
      <c r="V282" s="8" t="s">
        <v>240</v>
      </c>
      <c r="W282" s="8" t="s">
        <v>240</v>
      </c>
      <c r="X282" s="8" t="s">
        <v>240</v>
      </c>
      <c r="Y282" s="8" t="s">
        <v>240</v>
      </c>
      <c r="Z282" s="6" t="b">
        <v>0</v>
      </c>
      <c r="AA282" s="9"/>
      <c r="AB282" s="9"/>
    </row>
    <row r="283" spans="1:28" ht="16">
      <c r="A283" s="6">
        <v>328</v>
      </c>
      <c r="B283" s="8" t="s">
        <v>94</v>
      </c>
      <c r="C283" s="8" t="s">
        <v>603</v>
      </c>
      <c r="D283" s="8" t="s">
        <v>676</v>
      </c>
      <c r="E283" s="8" t="s">
        <v>675</v>
      </c>
      <c r="F283" s="6">
        <v>327</v>
      </c>
      <c r="G283" s="6" t="b">
        <v>0</v>
      </c>
      <c r="H283" s="8" t="s">
        <v>240</v>
      </c>
      <c r="I283" s="6" t="b">
        <v>0</v>
      </c>
      <c r="J283" s="6" t="b">
        <v>0</v>
      </c>
      <c r="K283" s="6" t="b">
        <v>0</v>
      </c>
      <c r="L283" s="6" t="b">
        <v>0</v>
      </c>
      <c r="M283" s="6" t="b">
        <v>0</v>
      </c>
      <c r="N283" s="6">
        <v>10</v>
      </c>
      <c r="O283" s="8" t="s">
        <v>237</v>
      </c>
      <c r="P283" s="8" t="s">
        <v>350</v>
      </c>
      <c r="Q283" s="8" t="s">
        <v>335</v>
      </c>
      <c r="R283" s="6">
        <v>10</v>
      </c>
      <c r="S283" s="8" t="s">
        <v>372</v>
      </c>
      <c r="T283" s="6">
        <v>10</v>
      </c>
      <c r="U283" s="8" t="s">
        <v>677</v>
      </c>
      <c r="V283" s="8" t="s">
        <v>240</v>
      </c>
      <c r="W283" s="8" t="s">
        <v>240</v>
      </c>
      <c r="X283" s="8" t="s">
        <v>240</v>
      </c>
      <c r="Y283" s="8" t="s">
        <v>678</v>
      </c>
      <c r="Z283" s="6" t="b">
        <v>0</v>
      </c>
      <c r="AA283" s="9"/>
      <c r="AB283" s="9"/>
    </row>
    <row r="284" spans="1:28" ht="16">
      <c r="A284" s="6">
        <v>329</v>
      </c>
      <c r="B284" s="8" t="s">
        <v>94</v>
      </c>
      <c r="C284" s="8" t="s">
        <v>600</v>
      </c>
      <c r="D284" s="8" t="s">
        <v>679</v>
      </c>
      <c r="E284" s="8" t="s">
        <v>679</v>
      </c>
      <c r="F284" s="6">
        <v>329</v>
      </c>
      <c r="G284" s="6" t="b">
        <v>0</v>
      </c>
      <c r="H284" s="8" t="s">
        <v>240</v>
      </c>
      <c r="I284" s="6" t="b">
        <v>0</v>
      </c>
      <c r="J284" s="6" t="b">
        <v>0</v>
      </c>
      <c r="K284" s="6" t="b">
        <v>0</v>
      </c>
      <c r="L284" s="6" t="b">
        <v>0</v>
      </c>
      <c r="M284" s="6" t="b">
        <v>0</v>
      </c>
      <c r="N284" s="6">
        <v>7</v>
      </c>
      <c r="O284" s="8" t="s">
        <v>237</v>
      </c>
      <c r="P284" s="8" t="s">
        <v>350</v>
      </c>
      <c r="Q284" s="8" t="s">
        <v>339</v>
      </c>
      <c r="R284" s="6">
        <v>8</v>
      </c>
      <c r="S284" s="8" t="s">
        <v>335</v>
      </c>
      <c r="T284" s="6">
        <v>8</v>
      </c>
      <c r="U284" s="8" t="s">
        <v>240</v>
      </c>
      <c r="V284" s="8" t="s">
        <v>240</v>
      </c>
      <c r="W284" s="8" t="s">
        <v>240</v>
      </c>
      <c r="X284" s="8" t="s">
        <v>240</v>
      </c>
      <c r="Y284" s="8" t="s">
        <v>680</v>
      </c>
      <c r="Z284" s="6" t="b">
        <v>0</v>
      </c>
      <c r="AA284" s="9"/>
      <c r="AB284" s="9"/>
    </row>
    <row r="285" spans="1:28" ht="16">
      <c r="A285" s="6">
        <v>330</v>
      </c>
      <c r="B285" s="8" t="s">
        <v>94</v>
      </c>
      <c r="C285" s="8" t="s">
        <v>600</v>
      </c>
      <c r="D285" s="8" t="s">
        <v>681</v>
      </c>
      <c r="E285" s="8" t="s">
        <v>679</v>
      </c>
      <c r="F285" s="6">
        <v>329</v>
      </c>
      <c r="G285" s="6" t="b">
        <v>0</v>
      </c>
      <c r="H285" s="8" t="s">
        <v>240</v>
      </c>
      <c r="I285" s="6" t="b">
        <v>0</v>
      </c>
      <c r="J285" s="6" t="b">
        <v>0</v>
      </c>
      <c r="K285" s="6" t="b">
        <v>0</v>
      </c>
      <c r="L285" s="6" t="b">
        <v>0</v>
      </c>
      <c r="M285" s="6" t="b">
        <v>0</v>
      </c>
      <c r="N285" s="6">
        <v>7</v>
      </c>
      <c r="O285" s="8" t="s">
        <v>237</v>
      </c>
      <c r="P285" s="8" t="s">
        <v>350</v>
      </c>
      <c r="Q285" s="8" t="s">
        <v>339</v>
      </c>
      <c r="R285" s="6">
        <v>7</v>
      </c>
      <c r="S285" s="8" t="s">
        <v>75</v>
      </c>
      <c r="T285" s="6">
        <v>8</v>
      </c>
      <c r="U285" s="8" t="s">
        <v>240</v>
      </c>
      <c r="V285" s="8" t="s">
        <v>240</v>
      </c>
      <c r="W285" s="8" t="s">
        <v>240</v>
      </c>
      <c r="X285" s="8" t="s">
        <v>240</v>
      </c>
      <c r="Y285" s="8" t="s">
        <v>240</v>
      </c>
      <c r="Z285" s="6" t="b">
        <v>0</v>
      </c>
      <c r="AA285" s="9"/>
      <c r="AB285" s="9"/>
    </row>
    <row r="286" spans="1:28" ht="16">
      <c r="A286" s="6">
        <v>331</v>
      </c>
      <c r="B286" s="8" t="s">
        <v>94</v>
      </c>
      <c r="C286" s="8" t="s">
        <v>600</v>
      </c>
      <c r="D286" s="8" t="s">
        <v>682</v>
      </c>
      <c r="E286" s="8" t="s">
        <v>679</v>
      </c>
      <c r="F286" s="6">
        <v>329</v>
      </c>
      <c r="G286" s="6" t="b">
        <v>0</v>
      </c>
      <c r="H286" s="8" t="s">
        <v>240</v>
      </c>
      <c r="I286" s="6" t="b">
        <v>0</v>
      </c>
      <c r="J286" s="6" t="b">
        <v>0</v>
      </c>
      <c r="K286" s="6" t="b">
        <v>0</v>
      </c>
      <c r="L286" s="6" t="b">
        <v>0</v>
      </c>
      <c r="M286" s="6" t="b">
        <v>0</v>
      </c>
      <c r="N286" s="6">
        <v>7</v>
      </c>
      <c r="O286" s="8" t="s">
        <v>237</v>
      </c>
      <c r="P286" s="8" t="s">
        <v>350</v>
      </c>
      <c r="Q286" s="8" t="s">
        <v>339</v>
      </c>
      <c r="R286" s="6">
        <v>8</v>
      </c>
      <c r="S286" s="8" t="s">
        <v>335</v>
      </c>
      <c r="T286" s="9"/>
      <c r="U286" s="8" t="s">
        <v>683</v>
      </c>
      <c r="V286" s="8" t="s">
        <v>240</v>
      </c>
      <c r="W286" s="8" t="s">
        <v>240</v>
      </c>
      <c r="X286" s="8" t="s">
        <v>240</v>
      </c>
      <c r="Y286" s="8" t="s">
        <v>240</v>
      </c>
      <c r="Z286" s="6" t="b">
        <v>0</v>
      </c>
      <c r="AA286" s="9"/>
      <c r="AB286" s="9"/>
    </row>
    <row r="287" spans="1:28" ht="16">
      <c r="A287" s="6">
        <v>334</v>
      </c>
      <c r="B287" s="8" t="s">
        <v>94</v>
      </c>
      <c r="C287" s="8" t="s">
        <v>600</v>
      </c>
      <c r="D287" s="8" t="s">
        <v>684</v>
      </c>
      <c r="E287" s="8" t="s">
        <v>679</v>
      </c>
      <c r="F287" s="6">
        <v>329</v>
      </c>
      <c r="G287" s="6" t="b">
        <v>0</v>
      </c>
      <c r="H287" s="8" t="s">
        <v>240</v>
      </c>
      <c r="I287" s="6" t="b">
        <v>0</v>
      </c>
      <c r="J287" s="6" t="b">
        <v>0</v>
      </c>
      <c r="K287" s="6" t="b">
        <v>0</v>
      </c>
      <c r="L287" s="6" t="b">
        <v>0</v>
      </c>
      <c r="M287" s="6" t="b">
        <v>0</v>
      </c>
      <c r="N287" s="6">
        <v>7</v>
      </c>
      <c r="O287" s="8" t="s">
        <v>237</v>
      </c>
      <c r="P287" s="8" t="s">
        <v>350</v>
      </c>
      <c r="Q287" s="8" t="s">
        <v>339</v>
      </c>
      <c r="R287" s="6">
        <v>8</v>
      </c>
      <c r="S287" s="8" t="s">
        <v>335</v>
      </c>
      <c r="T287" s="9"/>
      <c r="U287" s="8" t="s">
        <v>683</v>
      </c>
      <c r="V287" s="8" t="s">
        <v>240</v>
      </c>
      <c r="W287" s="8" t="s">
        <v>240</v>
      </c>
      <c r="X287" s="8" t="s">
        <v>240</v>
      </c>
      <c r="Y287" s="8" t="s">
        <v>240</v>
      </c>
      <c r="Z287" s="6" t="b">
        <v>0</v>
      </c>
      <c r="AA287" s="9"/>
      <c r="AB287" s="9"/>
    </row>
    <row r="288" spans="1:28" ht="16">
      <c r="A288" s="6">
        <v>335</v>
      </c>
      <c r="B288" s="8" t="s">
        <v>94</v>
      </c>
      <c r="C288" s="8" t="s">
        <v>603</v>
      </c>
      <c r="D288" s="8" t="s">
        <v>685</v>
      </c>
      <c r="E288" s="8" t="s">
        <v>685</v>
      </c>
      <c r="F288" s="6">
        <v>335</v>
      </c>
      <c r="G288" s="6" t="b">
        <v>0</v>
      </c>
      <c r="H288" s="8" t="s">
        <v>240</v>
      </c>
      <c r="I288" s="6" t="b">
        <v>0</v>
      </c>
      <c r="J288" s="6" t="b">
        <v>0</v>
      </c>
      <c r="K288" s="6" t="b">
        <v>0</v>
      </c>
      <c r="L288" s="6" t="b">
        <v>0</v>
      </c>
      <c r="M288" s="6" t="b">
        <v>0</v>
      </c>
      <c r="N288" s="6">
        <v>10</v>
      </c>
      <c r="O288" s="8" t="s">
        <v>237</v>
      </c>
      <c r="P288" s="8" t="s">
        <v>350</v>
      </c>
      <c r="Q288" s="8" t="s">
        <v>335</v>
      </c>
      <c r="R288" s="6">
        <v>10</v>
      </c>
      <c r="S288" s="8" t="s">
        <v>372</v>
      </c>
      <c r="T288" s="9"/>
      <c r="U288" s="8" t="s">
        <v>240</v>
      </c>
      <c r="V288" s="8" t="s">
        <v>240</v>
      </c>
      <c r="W288" s="8" t="s">
        <v>240</v>
      </c>
      <c r="X288" s="8" t="s">
        <v>240</v>
      </c>
      <c r="Y288" s="8" t="s">
        <v>240</v>
      </c>
      <c r="Z288" s="6" t="b">
        <v>0</v>
      </c>
      <c r="AA288" s="9"/>
      <c r="AB288" s="9"/>
    </row>
    <row r="289" spans="1:28" ht="32">
      <c r="A289" s="6">
        <v>336</v>
      </c>
      <c r="B289" s="8" t="s">
        <v>94</v>
      </c>
      <c r="C289" s="8" t="s">
        <v>603</v>
      </c>
      <c r="D289" s="8" t="s">
        <v>686</v>
      </c>
      <c r="E289" s="8" t="s">
        <v>685</v>
      </c>
      <c r="F289" s="6">
        <v>335</v>
      </c>
      <c r="G289" s="6" t="b">
        <v>0</v>
      </c>
      <c r="H289" s="8" t="s">
        <v>240</v>
      </c>
      <c r="I289" s="6" t="b">
        <v>0</v>
      </c>
      <c r="J289" s="6" t="b">
        <v>0</v>
      </c>
      <c r="K289" s="6" t="b">
        <v>0</v>
      </c>
      <c r="L289" s="6" t="b">
        <v>0</v>
      </c>
      <c r="M289" s="6" t="b">
        <v>0</v>
      </c>
      <c r="N289" s="6">
        <v>10</v>
      </c>
      <c r="O289" s="8" t="s">
        <v>237</v>
      </c>
      <c r="P289" s="8" t="s">
        <v>350</v>
      </c>
      <c r="Q289" s="8" t="s">
        <v>335</v>
      </c>
      <c r="R289" s="6">
        <v>10</v>
      </c>
      <c r="S289" s="8" t="s">
        <v>335</v>
      </c>
      <c r="T289" s="6">
        <v>10</v>
      </c>
      <c r="U289" s="8" t="s">
        <v>240</v>
      </c>
      <c r="V289" s="8" t="s">
        <v>240</v>
      </c>
      <c r="W289" s="8" t="s">
        <v>240</v>
      </c>
      <c r="X289" s="8" t="s">
        <v>240</v>
      </c>
      <c r="Y289" s="8" t="s">
        <v>687</v>
      </c>
      <c r="Z289" s="6" t="b">
        <v>0</v>
      </c>
      <c r="AA289" s="9"/>
      <c r="AB289" s="9"/>
    </row>
    <row r="290" spans="1:28" ht="16">
      <c r="A290" s="6">
        <v>337</v>
      </c>
      <c r="B290" s="8" t="s">
        <v>94</v>
      </c>
      <c r="C290" s="8" t="s">
        <v>603</v>
      </c>
      <c r="D290" s="8" t="s">
        <v>688</v>
      </c>
      <c r="E290" s="8" t="s">
        <v>688</v>
      </c>
      <c r="F290" s="6">
        <v>337</v>
      </c>
      <c r="G290" s="6" t="b">
        <v>0</v>
      </c>
      <c r="H290" s="8" t="s">
        <v>240</v>
      </c>
      <c r="I290" s="6" t="b">
        <v>0</v>
      </c>
      <c r="J290" s="6" t="b">
        <v>0</v>
      </c>
      <c r="K290" s="6" t="b">
        <v>0</v>
      </c>
      <c r="L290" s="6" t="b">
        <v>0</v>
      </c>
      <c r="M290" s="6" t="b">
        <v>0</v>
      </c>
      <c r="N290" s="6">
        <v>10</v>
      </c>
      <c r="O290" s="8" t="s">
        <v>237</v>
      </c>
      <c r="P290" s="8" t="s">
        <v>240</v>
      </c>
      <c r="Q290" s="8" t="s">
        <v>240</v>
      </c>
      <c r="R290" s="6">
        <v>10</v>
      </c>
      <c r="S290" s="8" t="s">
        <v>75</v>
      </c>
      <c r="T290" s="9"/>
      <c r="U290" s="8" t="s">
        <v>240</v>
      </c>
      <c r="V290" s="8" t="s">
        <v>240</v>
      </c>
      <c r="W290" s="8" t="s">
        <v>240</v>
      </c>
      <c r="X290" s="8" t="s">
        <v>240</v>
      </c>
      <c r="Y290" s="8" t="s">
        <v>240</v>
      </c>
      <c r="Z290" s="6" t="b">
        <v>0</v>
      </c>
      <c r="AA290" s="9"/>
      <c r="AB290" s="9"/>
    </row>
    <row r="291" spans="1:28" ht="16">
      <c r="A291" s="6">
        <v>339</v>
      </c>
      <c r="B291" s="8" t="s">
        <v>94</v>
      </c>
      <c r="C291" s="8" t="s">
        <v>600</v>
      </c>
      <c r="D291" s="8" t="s">
        <v>689</v>
      </c>
      <c r="E291" s="8" t="s">
        <v>689</v>
      </c>
      <c r="F291" s="6">
        <v>339</v>
      </c>
      <c r="G291" s="6" t="b">
        <v>0</v>
      </c>
      <c r="H291" s="8" t="s">
        <v>240</v>
      </c>
      <c r="I291" s="6" t="b">
        <v>0</v>
      </c>
      <c r="J291" s="6" t="b">
        <v>0</v>
      </c>
      <c r="K291" s="6" t="b">
        <v>0</v>
      </c>
      <c r="L291" s="6" t="b">
        <v>0</v>
      </c>
      <c r="M291" s="6" t="b">
        <v>0</v>
      </c>
      <c r="N291" s="6">
        <v>7</v>
      </c>
      <c r="O291" s="8" t="s">
        <v>237</v>
      </c>
      <c r="P291" s="8" t="s">
        <v>350</v>
      </c>
      <c r="Q291" s="8" t="s">
        <v>335</v>
      </c>
      <c r="R291" s="6">
        <v>7</v>
      </c>
      <c r="S291" s="8" t="s">
        <v>75</v>
      </c>
      <c r="T291" s="9"/>
      <c r="U291" s="8" t="s">
        <v>240</v>
      </c>
      <c r="V291" s="8" t="s">
        <v>240</v>
      </c>
      <c r="W291" s="8" t="s">
        <v>240</v>
      </c>
      <c r="X291" s="8" t="s">
        <v>240</v>
      </c>
      <c r="Y291" s="8" t="s">
        <v>240</v>
      </c>
      <c r="Z291" s="6" t="b">
        <v>0</v>
      </c>
      <c r="AA291" s="9"/>
      <c r="AB291" s="9"/>
    </row>
    <row r="292" spans="1:28" ht="32">
      <c r="A292" s="6">
        <v>340</v>
      </c>
      <c r="B292" s="8" t="s">
        <v>94</v>
      </c>
      <c r="C292" s="8" t="s">
        <v>600</v>
      </c>
      <c r="D292" s="8" t="s">
        <v>690</v>
      </c>
      <c r="E292" s="8" t="s">
        <v>689</v>
      </c>
      <c r="F292" s="6">
        <v>339</v>
      </c>
      <c r="G292" s="6" t="b">
        <v>0</v>
      </c>
      <c r="H292" s="8" t="s">
        <v>240</v>
      </c>
      <c r="I292" s="6" t="b">
        <v>0</v>
      </c>
      <c r="J292" s="6" t="b">
        <v>0</v>
      </c>
      <c r="K292" s="6" t="b">
        <v>0</v>
      </c>
      <c r="L292" s="6" t="b">
        <v>0</v>
      </c>
      <c r="M292" s="6" t="b">
        <v>0</v>
      </c>
      <c r="N292" s="6">
        <v>7</v>
      </c>
      <c r="O292" s="8" t="s">
        <v>237</v>
      </c>
      <c r="P292" s="8" t="s">
        <v>350</v>
      </c>
      <c r="Q292" s="8" t="s">
        <v>335</v>
      </c>
      <c r="R292" s="6">
        <v>6</v>
      </c>
      <c r="S292" s="8" t="s">
        <v>335</v>
      </c>
      <c r="T292" s="6">
        <v>6</v>
      </c>
      <c r="U292" s="8" t="s">
        <v>240</v>
      </c>
      <c r="V292" s="8" t="s">
        <v>240</v>
      </c>
      <c r="W292" s="8" t="s">
        <v>240</v>
      </c>
      <c r="X292" s="8" t="s">
        <v>240</v>
      </c>
      <c r="Y292" s="8" t="s">
        <v>691</v>
      </c>
      <c r="Z292" s="6" t="b">
        <v>0</v>
      </c>
      <c r="AA292" s="9"/>
      <c r="AB292" s="9"/>
    </row>
    <row r="293" spans="1:28" ht="16">
      <c r="A293" s="6">
        <v>341</v>
      </c>
      <c r="B293" s="8" t="s">
        <v>94</v>
      </c>
      <c r="C293" s="8" t="s">
        <v>600</v>
      </c>
      <c r="D293" s="8" t="s">
        <v>692</v>
      </c>
      <c r="E293" s="8" t="s">
        <v>692</v>
      </c>
      <c r="F293" s="6">
        <v>341</v>
      </c>
      <c r="G293" s="6" t="b">
        <v>0</v>
      </c>
      <c r="H293" s="8" t="s">
        <v>240</v>
      </c>
      <c r="I293" s="6" t="b">
        <v>0</v>
      </c>
      <c r="J293" s="6" t="b">
        <v>0</v>
      </c>
      <c r="K293" s="6" t="b">
        <v>0</v>
      </c>
      <c r="L293" s="6" t="b">
        <v>0</v>
      </c>
      <c r="M293" s="6" t="b">
        <v>0</v>
      </c>
      <c r="N293" s="6">
        <v>7</v>
      </c>
      <c r="O293" s="8" t="s">
        <v>237</v>
      </c>
      <c r="P293" s="8" t="s">
        <v>350</v>
      </c>
      <c r="Q293" s="8" t="s">
        <v>239</v>
      </c>
      <c r="R293" s="6">
        <v>7</v>
      </c>
      <c r="S293" s="8" t="s">
        <v>75</v>
      </c>
      <c r="T293" s="9"/>
      <c r="U293" s="8" t="s">
        <v>240</v>
      </c>
      <c r="V293" s="8" t="s">
        <v>240</v>
      </c>
      <c r="W293" s="8" t="s">
        <v>240</v>
      </c>
      <c r="X293" s="8" t="s">
        <v>240</v>
      </c>
      <c r="Y293" s="8" t="s">
        <v>240</v>
      </c>
      <c r="Z293" s="6" t="b">
        <v>0</v>
      </c>
      <c r="AA293" s="9"/>
      <c r="AB293" s="9"/>
    </row>
    <row r="294" spans="1:28" ht="16">
      <c r="A294" s="6">
        <v>342</v>
      </c>
      <c r="B294" s="8" t="s">
        <v>94</v>
      </c>
      <c r="C294" s="8" t="s">
        <v>600</v>
      </c>
      <c r="D294" s="8" t="s">
        <v>693</v>
      </c>
      <c r="E294" s="8" t="s">
        <v>692</v>
      </c>
      <c r="F294" s="6">
        <v>341</v>
      </c>
      <c r="G294" s="6" t="b">
        <v>0</v>
      </c>
      <c r="H294" s="8" t="s">
        <v>240</v>
      </c>
      <c r="I294" s="6" t="b">
        <v>0</v>
      </c>
      <c r="J294" s="6" t="b">
        <v>0</v>
      </c>
      <c r="K294" s="6" t="b">
        <v>0</v>
      </c>
      <c r="L294" s="6" t="b">
        <v>0</v>
      </c>
      <c r="M294" s="6" t="b">
        <v>0</v>
      </c>
      <c r="N294" s="6">
        <v>7</v>
      </c>
      <c r="O294" s="8" t="s">
        <v>237</v>
      </c>
      <c r="P294" s="8" t="s">
        <v>350</v>
      </c>
      <c r="Q294" s="8" t="s">
        <v>335</v>
      </c>
      <c r="R294" s="6">
        <v>6</v>
      </c>
      <c r="S294" s="8" t="s">
        <v>335</v>
      </c>
      <c r="T294" s="6">
        <v>6</v>
      </c>
      <c r="U294" s="8" t="s">
        <v>240</v>
      </c>
      <c r="V294" s="8" t="s">
        <v>240</v>
      </c>
      <c r="W294" s="8" t="s">
        <v>240</v>
      </c>
      <c r="X294" s="8" t="s">
        <v>240</v>
      </c>
      <c r="Y294" s="8" t="s">
        <v>240</v>
      </c>
      <c r="Z294" s="6" t="b">
        <v>0</v>
      </c>
      <c r="AA294" s="9"/>
      <c r="AB294" s="9"/>
    </row>
    <row r="295" spans="1:28" ht="16">
      <c r="A295" s="6">
        <v>343</v>
      </c>
      <c r="B295" s="8" t="s">
        <v>94</v>
      </c>
      <c r="C295" s="8" t="s">
        <v>603</v>
      </c>
      <c r="D295" s="8" t="s">
        <v>694</v>
      </c>
      <c r="E295" s="8" t="s">
        <v>694</v>
      </c>
      <c r="F295" s="6">
        <v>343</v>
      </c>
      <c r="G295" s="6" t="b">
        <v>0</v>
      </c>
      <c r="H295" s="8" t="s">
        <v>240</v>
      </c>
      <c r="I295" s="6" t="b">
        <v>0</v>
      </c>
      <c r="J295" s="6" t="b">
        <v>0</v>
      </c>
      <c r="K295" s="6" t="b">
        <v>0</v>
      </c>
      <c r="L295" s="6" t="b">
        <v>0</v>
      </c>
      <c r="M295" s="6" t="b">
        <v>0</v>
      </c>
      <c r="N295" s="6">
        <v>10</v>
      </c>
      <c r="O295" s="8" t="s">
        <v>237</v>
      </c>
      <c r="P295" s="8" t="s">
        <v>350</v>
      </c>
      <c r="Q295" s="8" t="s">
        <v>335</v>
      </c>
      <c r="R295" s="6">
        <v>10</v>
      </c>
      <c r="S295" s="8" t="s">
        <v>372</v>
      </c>
      <c r="T295" s="9"/>
      <c r="U295" s="8" t="s">
        <v>240</v>
      </c>
      <c r="V295" s="8" t="s">
        <v>240</v>
      </c>
      <c r="W295" s="8" t="s">
        <v>240</v>
      </c>
      <c r="X295" s="8" t="s">
        <v>240</v>
      </c>
      <c r="Y295" s="8" t="s">
        <v>240</v>
      </c>
      <c r="Z295" s="6" t="b">
        <v>0</v>
      </c>
      <c r="AA295" s="9"/>
      <c r="AB295" s="9"/>
    </row>
    <row r="296" spans="1:28" ht="32">
      <c r="A296" s="6">
        <v>344</v>
      </c>
      <c r="B296" s="8" t="s">
        <v>94</v>
      </c>
      <c r="C296" s="8" t="s">
        <v>603</v>
      </c>
      <c r="D296" s="8" t="s">
        <v>695</v>
      </c>
      <c r="E296" s="8" t="s">
        <v>694</v>
      </c>
      <c r="F296" s="6">
        <v>343</v>
      </c>
      <c r="G296" s="6" t="b">
        <v>0</v>
      </c>
      <c r="H296" s="8" t="s">
        <v>240</v>
      </c>
      <c r="I296" s="6" t="b">
        <v>0</v>
      </c>
      <c r="J296" s="6" t="b">
        <v>0</v>
      </c>
      <c r="K296" s="6" t="b">
        <v>0</v>
      </c>
      <c r="L296" s="6" t="b">
        <v>0</v>
      </c>
      <c r="M296" s="6" t="b">
        <v>0</v>
      </c>
      <c r="N296" s="6">
        <v>10</v>
      </c>
      <c r="O296" s="8" t="s">
        <v>237</v>
      </c>
      <c r="P296" s="8" t="s">
        <v>350</v>
      </c>
      <c r="Q296" s="8" t="s">
        <v>335</v>
      </c>
      <c r="R296" s="6">
        <v>10</v>
      </c>
      <c r="S296" s="8" t="s">
        <v>372</v>
      </c>
      <c r="T296" s="9"/>
      <c r="U296" s="8" t="s">
        <v>240</v>
      </c>
      <c r="V296" s="8" t="s">
        <v>240</v>
      </c>
      <c r="W296" s="8" t="s">
        <v>240</v>
      </c>
      <c r="X296" s="8" t="s">
        <v>240</v>
      </c>
      <c r="Y296" s="8" t="s">
        <v>696</v>
      </c>
      <c r="Z296" s="6" t="b">
        <v>0</v>
      </c>
      <c r="AA296" s="9"/>
      <c r="AB296" s="9"/>
    </row>
    <row r="297" spans="1:28" ht="16">
      <c r="A297" s="6">
        <v>345</v>
      </c>
      <c r="B297" s="8" t="s">
        <v>94</v>
      </c>
      <c r="C297" s="8" t="s">
        <v>603</v>
      </c>
      <c r="D297" s="8" t="s">
        <v>697</v>
      </c>
      <c r="E297" s="8" t="s">
        <v>694</v>
      </c>
      <c r="F297" s="6">
        <v>343</v>
      </c>
      <c r="G297" s="6" t="b">
        <v>0</v>
      </c>
      <c r="H297" s="8" t="s">
        <v>240</v>
      </c>
      <c r="I297" s="6" t="b">
        <v>0</v>
      </c>
      <c r="J297" s="6" t="b">
        <v>0</v>
      </c>
      <c r="K297" s="6" t="b">
        <v>0</v>
      </c>
      <c r="L297" s="6" t="b">
        <v>0</v>
      </c>
      <c r="M297" s="6" t="b">
        <v>0</v>
      </c>
      <c r="N297" s="6">
        <v>10</v>
      </c>
      <c r="O297" s="8" t="s">
        <v>237</v>
      </c>
      <c r="P297" s="8" t="s">
        <v>350</v>
      </c>
      <c r="Q297" s="8" t="s">
        <v>335</v>
      </c>
      <c r="R297" s="6">
        <v>10</v>
      </c>
      <c r="S297" s="8" t="s">
        <v>372</v>
      </c>
      <c r="T297" s="6">
        <v>10</v>
      </c>
      <c r="U297" s="8" t="s">
        <v>677</v>
      </c>
      <c r="V297" s="8" t="s">
        <v>240</v>
      </c>
      <c r="W297" s="8" t="s">
        <v>240</v>
      </c>
      <c r="X297" s="8" t="s">
        <v>240</v>
      </c>
      <c r="Y297" s="8" t="s">
        <v>240</v>
      </c>
      <c r="Z297" s="6" t="b">
        <v>0</v>
      </c>
      <c r="AA297" s="9"/>
      <c r="AB297" s="9"/>
    </row>
    <row r="298" spans="1:28" ht="32">
      <c r="A298" s="6">
        <v>346</v>
      </c>
      <c r="B298" s="8" t="s">
        <v>94</v>
      </c>
      <c r="C298" s="8" t="s">
        <v>603</v>
      </c>
      <c r="D298" s="8" t="s">
        <v>698</v>
      </c>
      <c r="E298" s="8" t="s">
        <v>694</v>
      </c>
      <c r="F298" s="6">
        <v>343</v>
      </c>
      <c r="G298" s="6" t="b">
        <v>0</v>
      </c>
      <c r="H298" s="8" t="s">
        <v>240</v>
      </c>
      <c r="I298" s="6" t="b">
        <v>0</v>
      </c>
      <c r="J298" s="6" t="b">
        <v>0</v>
      </c>
      <c r="K298" s="6" t="b">
        <v>0</v>
      </c>
      <c r="L298" s="6" t="b">
        <v>0</v>
      </c>
      <c r="M298" s="6" t="b">
        <v>0</v>
      </c>
      <c r="N298" s="6">
        <v>10</v>
      </c>
      <c r="O298" s="8" t="s">
        <v>237</v>
      </c>
      <c r="P298" s="8" t="s">
        <v>350</v>
      </c>
      <c r="Q298" s="8" t="s">
        <v>335</v>
      </c>
      <c r="R298" s="6">
        <v>7.7</v>
      </c>
      <c r="S298" s="8" t="s">
        <v>247</v>
      </c>
      <c r="T298" s="9"/>
      <c r="U298" s="8" t="s">
        <v>240</v>
      </c>
      <c r="V298" s="8" t="s">
        <v>240</v>
      </c>
      <c r="W298" s="8" t="s">
        <v>240</v>
      </c>
      <c r="X298" s="8" t="s">
        <v>240</v>
      </c>
      <c r="Y298" s="8" t="s">
        <v>240</v>
      </c>
      <c r="Z298" s="6" t="b">
        <v>0</v>
      </c>
      <c r="AA298" s="9"/>
      <c r="AB298" s="9"/>
    </row>
    <row r="299" spans="1:28" ht="16">
      <c r="A299" s="6">
        <v>347</v>
      </c>
      <c r="B299" s="8" t="s">
        <v>94</v>
      </c>
      <c r="C299" s="8" t="s">
        <v>600</v>
      </c>
      <c r="D299" s="8" t="s">
        <v>699</v>
      </c>
      <c r="E299" s="8" t="s">
        <v>699</v>
      </c>
      <c r="F299" s="6">
        <v>347</v>
      </c>
      <c r="G299" s="6" t="b">
        <v>0</v>
      </c>
      <c r="H299" s="8" t="s">
        <v>240</v>
      </c>
      <c r="I299" s="6" t="b">
        <v>0</v>
      </c>
      <c r="J299" s="6" t="b">
        <v>0</v>
      </c>
      <c r="K299" s="6" t="b">
        <v>0</v>
      </c>
      <c r="L299" s="6" t="b">
        <v>0</v>
      </c>
      <c r="M299" s="6" t="b">
        <v>0</v>
      </c>
      <c r="N299" s="6">
        <v>7</v>
      </c>
      <c r="O299" s="8" t="s">
        <v>237</v>
      </c>
      <c r="P299" s="8" t="s">
        <v>350</v>
      </c>
      <c r="Q299" s="8" t="s">
        <v>335</v>
      </c>
      <c r="R299" s="6">
        <v>8</v>
      </c>
      <c r="S299" s="8" t="s">
        <v>372</v>
      </c>
      <c r="T299" s="9"/>
      <c r="U299" s="8" t="s">
        <v>240</v>
      </c>
      <c r="V299" s="8" t="s">
        <v>240</v>
      </c>
      <c r="W299" s="8" t="s">
        <v>240</v>
      </c>
      <c r="X299" s="8" t="s">
        <v>240</v>
      </c>
      <c r="Y299" s="8" t="s">
        <v>700</v>
      </c>
      <c r="Z299" s="6" t="b">
        <v>0</v>
      </c>
      <c r="AA299" s="9"/>
      <c r="AB299" s="9"/>
    </row>
    <row r="300" spans="1:28" ht="16">
      <c r="A300" s="6">
        <v>348</v>
      </c>
      <c r="B300" s="8" t="s">
        <v>94</v>
      </c>
      <c r="C300" s="8" t="s">
        <v>600</v>
      </c>
      <c r="D300" s="8" t="s">
        <v>701</v>
      </c>
      <c r="E300" s="8" t="s">
        <v>699</v>
      </c>
      <c r="F300" s="6">
        <v>347</v>
      </c>
      <c r="G300" s="6" t="b">
        <v>0</v>
      </c>
      <c r="H300" s="8" t="s">
        <v>240</v>
      </c>
      <c r="I300" s="6" t="b">
        <v>0</v>
      </c>
      <c r="J300" s="6" t="b">
        <v>0</v>
      </c>
      <c r="K300" s="6" t="b">
        <v>0</v>
      </c>
      <c r="L300" s="6" t="b">
        <v>0</v>
      </c>
      <c r="M300" s="6" t="b">
        <v>0</v>
      </c>
      <c r="N300" s="6">
        <v>7</v>
      </c>
      <c r="O300" s="8" t="s">
        <v>237</v>
      </c>
      <c r="P300" s="8" t="s">
        <v>350</v>
      </c>
      <c r="Q300" s="8" t="s">
        <v>335</v>
      </c>
      <c r="R300" s="6">
        <v>8</v>
      </c>
      <c r="S300" s="8" t="s">
        <v>335</v>
      </c>
      <c r="T300" s="6">
        <v>8</v>
      </c>
      <c r="U300" s="8" t="s">
        <v>702</v>
      </c>
      <c r="V300" s="8" t="s">
        <v>240</v>
      </c>
      <c r="W300" s="8" t="s">
        <v>240</v>
      </c>
      <c r="X300" s="8" t="s">
        <v>240</v>
      </c>
      <c r="Y300" s="8" t="s">
        <v>240</v>
      </c>
      <c r="Z300" s="6" t="b">
        <v>0</v>
      </c>
      <c r="AA300" s="9"/>
      <c r="AB300" s="9"/>
    </row>
    <row r="301" spans="1:28" ht="16">
      <c r="A301" s="6">
        <v>349</v>
      </c>
      <c r="B301" s="8" t="s">
        <v>94</v>
      </c>
      <c r="C301" s="8" t="s">
        <v>600</v>
      </c>
      <c r="D301" s="8" t="s">
        <v>703</v>
      </c>
      <c r="E301" s="8" t="s">
        <v>699</v>
      </c>
      <c r="F301" s="6">
        <v>347</v>
      </c>
      <c r="G301" s="6" t="b">
        <v>0</v>
      </c>
      <c r="H301" s="8" t="s">
        <v>240</v>
      </c>
      <c r="I301" s="6" t="b">
        <v>0</v>
      </c>
      <c r="J301" s="6" t="b">
        <v>0</v>
      </c>
      <c r="K301" s="6" t="b">
        <v>0</v>
      </c>
      <c r="L301" s="6" t="b">
        <v>0</v>
      </c>
      <c r="M301" s="6" t="b">
        <v>0</v>
      </c>
      <c r="N301" s="6">
        <v>7</v>
      </c>
      <c r="O301" s="8" t="s">
        <v>237</v>
      </c>
      <c r="P301" s="8" t="s">
        <v>350</v>
      </c>
      <c r="Q301" s="8" t="s">
        <v>335</v>
      </c>
      <c r="R301" s="6">
        <v>8</v>
      </c>
      <c r="S301" s="8" t="s">
        <v>335</v>
      </c>
      <c r="T301" s="6">
        <v>8</v>
      </c>
      <c r="U301" s="8" t="s">
        <v>702</v>
      </c>
      <c r="V301" s="8" t="s">
        <v>240</v>
      </c>
      <c r="W301" s="8" t="s">
        <v>240</v>
      </c>
      <c r="X301" s="8" t="s">
        <v>240</v>
      </c>
      <c r="Y301" s="8" t="s">
        <v>704</v>
      </c>
      <c r="Z301" s="6" t="b">
        <v>0</v>
      </c>
      <c r="AA301" s="9"/>
      <c r="AB301" s="9"/>
    </row>
    <row r="302" spans="1:28" ht="16">
      <c r="A302" s="6">
        <v>350</v>
      </c>
      <c r="B302" s="8" t="s">
        <v>94</v>
      </c>
      <c r="C302" s="8" t="s">
        <v>603</v>
      </c>
      <c r="D302" s="8" t="s">
        <v>705</v>
      </c>
      <c r="E302" s="8" t="s">
        <v>705</v>
      </c>
      <c r="F302" s="6">
        <v>350</v>
      </c>
      <c r="G302" s="6" t="b">
        <v>0</v>
      </c>
      <c r="H302" s="8" t="s">
        <v>240</v>
      </c>
      <c r="I302" s="6" t="b">
        <v>0</v>
      </c>
      <c r="J302" s="6" t="b">
        <v>0</v>
      </c>
      <c r="K302" s="6" t="b">
        <v>0</v>
      </c>
      <c r="L302" s="6" t="b">
        <v>0</v>
      </c>
      <c r="M302" s="6" t="b">
        <v>0</v>
      </c>
      <c r="N302" s="6">
        <v>10</v>
      </c>
      <c r="O302" s="8" t="s">
        <v>237</v>
      </c>
      <c r="P302" s="8" t="s">
        <v>240</v>
      </c>
      <c r="Q302" s="8" t="s">
        <v>240</v>
      </c>
      <c r="R302" s="6">
        <v>10</v>
      </c>
      <c r="S302" s="8" t="s">
        <v>75</v>
      </c>
      <c r="T302" s="9"/>
      <c r="U302" s="8" t="s">
        <v>240</v>
      </c>
      <c r="V302" s="8" t="s">
        <v>240</v>
      </c>
      <c r="W302" s="8" t="s">
        <v>240</v>
      </c>
      <c r="X302" s="8" t="s">
        <v>240</v>
      </c>
      <c r="Y302" s="8" t="s">
        <v>240</v>
      </c>
      <c r="Z302" s="6" t="b">
        <v>0</v>
      </c>
      <c r="AA302" s="9"/>
      <c r="AB302" s="9"/>
    </row>
    <row r="303" spans="1:28" ht="32">
      <c r="A303" s="6">
        <v>351</v>
      </c>
      <c r="B303" s="8" t="s">
        <v>94</v>
      </c>
      <c r="C303" s="8" t="s">
        <v>603</v>
      </c>
      <c r="D303" s="8" t="s">
        <v>706</v>
      </c>
      <c r="E303" s="8" t="s">
        <v>705</v>
      </c>
      <c r="F303" s="6">
        <v>350</v>
      </c>
      <c r="G303" s="6" t="b">
        <v>0</v>
      </c>
      <c r="H303" s="8" t="s">
        <v>240</v>
      </c>
      <c r="I303" s="6" t="b">
        <v>0</v>
      </c>
      <c r="J303" s="6" t="b">
        <v>0</v>
      </c>
      <c r="K303" s="6" t="b">
        <v>0</v>
      </c>
      <c r="L303" s="6" t="b">
        <v>0</v>
      </c>
      <c r="M303" s="6" t="b">
        <v>0</v>
      </c>
      <c r="N303" s="6">
        <v>10</v>
      </c>
      <c r="O303" s="8" t="s">
        <v>237</v>
      </c>
      <c r="P303" s="8" t="s">
        <v>240</v>
      </c>
      <c r="Q303" s="8" t="s">
        <v>240</v>
      </c>
      <c r="R303" s="6">
        <v>10</v>
      </c>
      <c r="S303" s="8" t="s">
        <v>75</v>
      </c>
      <c r="T303" s="9"/>
      <c r="U303" s="8" t="s">
        <v>240</v>
      </c>
      <c r="V303" s="8" t="s">
        <v>240</v>
      </c>
      <c r="W303" s="8" t="s">
        <v>240</v>
      </c>
      <c r="X303" s="8" t="s">
        <v>240</v>
      </c>
      <c r="Y303" s="8" t="s">
        <v>240</v>
      </c>
      <c r="Z303" s="6" t="b">
        <v>0</v>
      </c>
      <c r="AA303" s="9"/>
      <c r="AB303" s="9"/>
    </row>
    <row r="304" spans="1:28" ht="16">
      <c r="A304" s="6">
        <v>352</v>
      </c>
      <c r="B304" s="8" t="s">
        <v>94</v>
      </c>
      <c r="C304" s="8" t="s">
        <v>603</v>
      </c>
      <c r="D304" s="8" t="s">
        <v>707</v>
      </c>
      <c r="E304" s="8" t="s">
        <v>707</v>
      </c>
      <c r="F304" s="6">
        <v>352</v>
      </c>
      <c r="G304" s="6" t="b">
        <v>0</v>
      </c>
      <c r="H304" s="8" t="s">
        <v>240</v>
      </c>
      <c r="I304" s="6" t="b">
        <v>0</v>
      </c>
      <c r="J304" s="6" t="b">
        <v>0</v>
      </c>
      <c r="K304" s="6" t="b">
        <v>0</v>
      </c>
      <c r="L304" s="6" t="b">
        <v>0</v>
      </c>
      <c r="M304" s="6" t="b">
        <v>0</v>
      </c>
      <c r="N304" s="6">
        <v>10</v>
      </c>
      <c r="O304" s="8" t="s">
        <v>237</v>
      </c>
      <c r="P304" s="8" t="s">
        <v>350</v>
      </c>
      <c r="Q304" s="8" t="s">
        <v>708</v>
      </c>
      <c r="R304" s="6">
        <v>10</v>
      </c>
      <c r="S304" s="8" t="s">
        <v>75</v>
      </c>
      <c r="T304" s="9"/>
      <c r="U304" s="8" t="s">
        <v>240</v>
      </c>
      <c r="V304" s="8" t="s">
        <v>240</v>
      </c>
      <c r="W304" s="8" t="s">
        <v>240</v>
      </c>
      <c r="X304" s="8" t="s">
        <v>240</v>
      </c>
      <c r="Y304" s="8" t="s">
        <v>709</v>
      </c>
      <c r="Z304" s="6" t="b">
        <v>0</v>
      </c>
      <c r="AA304" s="9"/>
      <c r="AB304" s="9"/>
    </row>
    <row r="305" spans="1:28" ht="16">
      <c r="A305" s="6">
        <v>353</v>
      </c>
      <c r="B305" s="8" t="s">
        <v>94</v>
      </c>
      <c r="C305" s="8" t="s">
        <v>603</v>
      </c>
      <c r="D305" s="8" t="s">
        <v>710</v>
      </c>
      <c r="E305" s="8" t="s">
        <v>707</v>
      </c>
      <c r="F305" s="6">
        <v>352</v>
      </c>
      <c r="G305" s="6" t="b">
        <v>0</v>
      </c>
      <c r="H305" s="8" t="s">
        <v>240</v>
      </c>
      <c r="I305" s="6" t="b">
        <v>0</v>
      </c>
      <c r="J305" s="6" t="b">
        <v>0</v>
      </c>
      <c r="K305" s="6" t="b">
        <v>0</v>
      </c>
      <c r="L305" s="6" t="b">
        <v>0</v>
      </c>
      <c r="M305" s="6" t="b">
        <v>0</v>
      </c>
      <c r="N305" s="6">
        <v>10</v>
      </c>
      <c r="O305" s="8" t="s">
        <v>237</v>
      </c>
      <c r="P305" s="8" t="s">
        <v>350</v>
      </c>
      <c r="Q305" s="8" t="s">
        <v>708</v>
      </c>
      <c r="R305" s="6">
        <v>10</v>
      </c>
      <c r="S305" s="8" t="s">
        <v>335</v>
      </c>
      <c r="T305" s="6">
        <v>10</v>
      </c>
      <c r="U305" s="8" t="s">
        <v>240</v>
      </c>
      <c r="V305" s="8" t="s">
        <v>240</v>
      </c>
      <c r="W305" s="8" t="s">
        <v>240</v>
      </c>
      <c r="X305" s="8" t="s">
        <v>240</v>
      </c>
      <c r="Y305" s="8" t="s">
        <v>711</v>
      </c>
      <c r="Z305" s="6" t="b">
        <v>0</v>
      </c>
      <c r="AA305" s="9"/>
      <c r="AB305" s="9"/>
    </row>
    <row r="306" spans="1:28" ht="16">
      <c r="A306" s="6">
        <v>354</v>
      </c>
      <c r="B306" s="8" t="s">
        <v>94</v>
      </c>
      <c r="C306" s="8" t="s">
        <v>603</v>
      </c>
      <c r="D306" s="8" t="s">
        <v>603</v>
      </c>
      <c r="E306" s="8" t="s">
        <v>603</v>
      </c>
      <c r="F306" s="6">
        <v>354</v>
      </c>
      <c r="G306" s="6" t="b">
        <v>0</v>
      </c>
      <c r="H306" s="8" t="s">
        <v>240</v>
      </c>
      <c r="I306" s="6" t="b">
        <v>0</v>
      </c>
      <c r="J306" s="6" t="b">
        <v>0</v>
      </c>
      <c r="K306" s="6" t="b">
        <v>0</v>
      </c>
      <c r="L306" s="6" t="b">
        <v>0</v>
      </c>
      <c r="M306" s="6" t="b">
        <v>0</v>
      </c>
      <c r="N306" s="6">
        <v>10</v>
      </c>
      <c r="O306" s="8" t="s">
        <v>237</v>
      </c>
      <c r="P306" s="8" t="s">
        <v>350</v>
      </c>
      <c r="Q306" s="8" t="s">
        <v>335</v>
      </c>
      <c r="R306" s="6">
        <v>10</v>
      </c>
      <c r="S306" s="8" t="s">
        <v>75</v>
      </c>
      <c r="T306" s="6">
        <v>10</v>
      </c>
      <c r="U306" s="8" t="s">
        <v>240</v>
      </c>
      <c r="V306" s="8" t="s">
        <v>240</v>
      </c>
      <c r="W306" s="8" t="s">
        <v>240</v>
      </c>
      <c r="X306" s="8" t="s">
        <v>240</v>
      </c>
      <c r="Y306" s="8" t="s">
        <v>712</v>
      </c>
      <c r="Z306" s="6" t="b">
        <v>0</v>
      </c>
      <c r="AA306" s="9"/>
      <c r="AB306" s="9"/>
    </row>
    <row r="307" spans="1:28" ht="16">
      <c r="A307" s="6">
        <v>355</v>
      </c>
      <c r="B307" s="8" t="s">
        <v>94</v>
      </c>
      <c r="C307" s="8" t="s">
        <v>600</v>
      </c>
      <c r="D307" s="8" t="s">
        <v>713</v>
      </c>
      <c r="E307" s="8" t="s">
        <v>713</v>
      </c>
      <c r="F307" s="6">
        <v>355</v>
      </c>
      <c r="G307" s="6" t="b">
        <v>0</v>
      </c>
      <c r="H307" s="8" t="s">
        <v>240</v>
      </c>
      <c r="I307" s="6" t="b">
        <v>0</v>
      </c>
      <c r="J307" s="6" t="b">
        <v>0</v>
      </c>
      <c r="K307" s="6" t="b">
        <v>0</v>
      </c>
      <c r="L307" s="6" t="b">
        <v>0</v>
      </c>
      <c r="M307" s="6" t="b">
        <v>0</v>
      </c>
      <c r="N307" s="6">
        <v>7</v>
      </c>
      <c r="O307" s="8" t="s">
        <v>237</v>
      </c>
      <c r="P307" s="8" t="s">
        <v>350</v>
      </c>
      <c r="Q307" s="8" t="s">
        <v>335</v>
      </c>
      <c r="R307" s="6">
        <v>4</v>
      </c>
      <c r="S307" s="8" t="s">
        <v>335</v>
      </c>
      <c r="T307" s="6">
        <v>4</v>
      </c>
      <c r="U307" s="8" t="s">
        <v>240</v>
      </c>
      <c r="V307" s="8" t="s">
        <v>240</v>
      </c>
      <c r="W307" s="8" t="s">
        <v>240</v>
      </c>
      <c r="X307" s="8" t="s">
        <v>240</v>
      </c>
      <c r="Y307" s="8" t="s">
        <v>240</v>
      </c>
      <c r="Z307" s="6" t="b">
        <v>0</v>
      </c>
      <c r="AA307" s="9"/>
      <c r="AB307" s="9"/>
    </row>
    <row r="308" spans="1:28" ht="32">
      <c r="A308" s="6">
        <v>356</v>
      </c>
      <c r="B308" s="8" t="s">
        <v>94</v>
      </c>
      <c r="C308" s="8" t="s">
        <v>600</v>
      </c>
      <c r="D308" s="8" t="s">
        <v>714</v>
      </c>
      <c r="E308" s="8" t="s">
        <v>713</v>
      </c>
      <c r="F308" s="6">
        <v>355</v>
      </c>
      <c r="G308" s="6" t="b">
        <v>0</v>
      </c>
      <c r="H308" s="8" t="s">
        <v>240</v>
      </c>
      <c r="I308" s="6" t="b">
        <v>0</v>
      </c>
      <c r="J308" s="6" t="b">
        <v>0</v>
      </c>
      <c r="K308" s="6" t="b">
        <v>0</v>
      </c>
      <c r="L308" s="6" t="b">
        <v>0</v>
      </c>
      <c r="M308" s="6" t="b">
        <v>0</v>
      </c>
      <c r="N308" s="6">
        <v>7</v>
      </c>
      <c r="O308" s="8" t="s">
        <v>237</v>
      </c>
      <c r="P308" s="8" t="s">
        <v>350</v>
      </c>
      <c r="Q308" s="8" t="s">
        <v>335</v>
      </c>
      <c r="R308" s="6">
        <v>4</v>
      </c>
      <c r="S308" s="8" t="s">
        <v>335</v>
      </c>
      <c r="T308" s="6">
        <v>4</v>
      </c>
      <c r="U308" s="8" t="s">
        <v>240</v>
      </c>
      <c r="V308" s="8" t="s">
        <v>240</v>
      </c>
      <c r="W308" s="8" t="s">
        <v>240</v>
      </c>
      <c r="X308" s="8" t="s">
        <v>240</v>
      </c>
      <c r="Y308" s="8" t="s">
        <v>240</v>
      </c>
      <c r="Z308" s="6" t="b">
        <v>0</v>
      </c>
      <c r="AA308" s="9"/>
      <c r="AB308" s="9"/>
    </row>
    <row r="309" spans="1:28" ht="16">
      <c r="A309" s="6">
        <v>359</v>
      </c>
      <c r="B309" s="8" t="s">
        <v>205</v>
      </c>
      <c r="C309" s="8" t="s">
        <v>88</v>
      </c>
      <c r="D309" s="8" t="s">
        <v>715</v>
      </c>
      <c r="E309" s="8" t="s">
        <v>715</v>
      </c>
      <c r="F309" s="6">
        <v>359</v>
      </c>
      <c r="G309" s="6" t="b">
        <v>0</v>
      </c>
      <c r="H309" s="8" t="s">
        <v>240</v>
      </c>
      <c r="I309" s="6" t="b">
        <v>0</v>
      </c>
      <c r="J309" s="6" t="b">
        <v>0</v>
      </c>
      <c r="K309" s="6" t="b">
        <v>0</v>
      </c>
      <c r="L309" s="6" t="b">
        <v>0</v>
      </c>
      <c r="M309" s="6" t="b">
        <v>0</v>
      </c>
      <c r="N309" s="6">
        <v>8</v>
      </c>
      <c r="O309" s="8" t="s">
        <v>237</v>
      </c>
      <c r="P309" s="8" t="s">
        <v>238</v>
      </c>
      <c r="Q309" s="8" t="s">
        <v>237</v>
      </c>
      <c r="R309" s="6">
        <v>8</v>
      </c>
      <c r="S309" s="8" t="s">
        <v>75</v>
      </c>
      <c r="T309" s="9"/>
      <c r="U309" s="8" t="s">
        <v>240</v>
      </c>
      <c r="V309" s="8" t="s">
        <v>240</v>
      </c>
      <c r="W309" s="8" t="s">
        <v>240</v>
      </c>
      <c r="X309" s="8" t="s">
        <v>240</v>
      </c>
      <c r="Y309" s="8" t="s">
        <v>240</v>
      </c>
      <c r="Z309" s="6" t="b">
        <v>0</v>
      </c>
      <c r="AA309" s="9"/>
      <c r="AB309" s="9"/>
    </row>
    <row r="310" spans="1:28" ht="16">
      <c r="A310" s="6">
        <v>360</v>
      </c>
      <c r="B310" s="8" t="s">
        <v>205</v>
      </c>
      <c r="C310" s="8" t="s">
        <v>88</v>
      </c>
      <c r="D310" s="8" t="s">
        <v>716</v>
      </c>
      <c r="E310" s="8" t="s">
        <v>716</v>
      </c>
      <c r="F310" s="6">
        <v>360</v>
      </c>
      <c r="G310" s="6" t="b">
        <v>0</v>
      </c>
      <c r="H310" s="8" t="s">
        <v>240</v>
      </c>
      <c r="I310" s="6" t="b">
        <v>0</v>
      </c>
      <c r="J310" s="6" t="b">
        <v>0</v>
      </c>
      <c r="K310" s="6" t="b">
        <v>0</v>
      </c>
      <c r="L310" s="6" t="b">
        <v>0</v>
      </c>
      <c r="M310" s="6" t="b">
        <v>0</v>
      </c>
      <c r="N310" s="6">
        <v>8</v>
      </c>
      <c r="O310" s="8" t="s">
        <v>237</v>
      </c>
      <c r="P310" s="8" t="s">
        <v>238</v>
      </c>
      <c r="Q310" s="8" t="s">
        <v>237</v>
      </c>
      <c r="R310" s="6">
        <v>8</v>
      </c>
      <c r="S310" s="8" t="s">
        <v>75</v>
      </c>
      <c r="T310" s="9"/>
      <c r="U310" s="8" t="s">
        <v>240</v>
      </c>
      <c r="V310" s="8" t="s">
        <v>240</v>
      </c>
      <c r="W310" s="8" t="s">
        <v>240</v>
      </c>
      <c r="X310" s="8" t="s">
        <v>240</v>
      </c>
      <c r="Y310" s="8" t="s">
        <v>240</v>
      </c>
      <c r="Z310" s="6" t="b">
        <v>0</v>
      </c>
      <c r="AA310" s="9"/>
      <c r="AB310" s="9"/>
    </row>
    <row r="311" spans="1:28" ht="32">
      <c r="A311" s="6">
        <v>361</v>
      </c>
      <c r="B311" s="8" t="s">
        <v>205</v>
      </c>
      <c r="C311" s="8" t="s">
        <v>88</v>
      </c>
      <c r="D311" s="8" t="s">
        <v>717</v>
      </c>
      <c r="E311" s="8" t="s">
        <v>716</v>
      </c>
      <c r="F311" s="6">
        <v>360</v>
      </c>
      <c r="G311" s="6" t="b">
        <v>0</v>
      </c>
      <c r="H311" s="8" t="s">
        <v>240</v>
      </c>
      <c r="I311" s="6" t="b">
        <v>0</v>
      </c>
      <c r="J311" s="6" t="b">
        <v>0</v>
      </c>
      <c r="K311" s="6" t="b">
        <v>0</v>
      </c>
      <c r="L311" s="6" t="b">
        <v>0</v>
      </c>
      <c r="M311" s="6" t="b">
        <v>0</v>
      </c>
      <c r="N311" s="6">
        <v>8</v>
      </c>
      <c r="O311" s="8" t="s">
        <v>237</v>
      </c>
      <c r="P311" s="8" t="s">
        <v>238</v>
      </c>
      <c r="Q311" s="8" t="s">
        <v>237</v>
      </c>
      <c r="R311" s="6">
        <v>8</v>
      </c>
      <c r="S311" s="8" t="s">
        <v>75</v>
      </c>
      <c r="T311" s="9"/>
      <c r="U311" s="8" t="s">
        <v>240</v>
      </c>
      <c r="V311" s="8" t="s">
        <v>240</v>
      </c>
      <c r="W311" s="8" t="s">
        <v>240</v>
      </c>
      <c r="X311" s="8" t="s">
        <v>240</v>
      </c>
      <c r="Y311" s="8" t="s">
        <v>240</v>
      </c>
      <c r="Z311" s="6" t="b">
        <v>0</v>
      </c>
      <c r="AA311" s="9"/>
      <c r="AB311" s="9"/>
    </row>
    <row r="312" spans="1:28" ht="16">
      <c r="A312" s="6">
        <v>362</v>
      </c>
      <c r="B312" s="8" t="s">
        <v>205</v>
      </c>
      <c r="C312" s="8" t="s">
        <v>88</v>
      </c>
      <c r="D312" s="8" t="s">
        <v>718</v>
      </c>
      <c r="E312" s="8" t="s">
        <v>718</v>
      </c>
      <c r="F312" s="6">
        <v>362</v>
      </c>
      <c r="G312" s="6" t="b">
        <v>0</v>
      </c>
      <c r="H312" s="8" t="s">
        <v>240</v>
      </c>
      <c r="I312" s="6" t="b">
        <v>0</v>
      </c>
      <c r="J312" s="6" t="b">
        <v>0</v>
      </c>
      <c r="K312" s="6" t="b">
        <v>0</v>
      </c>
      <c r="L312" s="6" t="b">
        <v>0</v>
      </c>
      <c r="M312" s="6" t="b">
        <v>0</v>
      </c>
      <c r="N312" s="6">
        <v>8</v>
      </c>
      <c r="O312" s="8" t="s">
        <v>237</v>
      </c>
      <c r="P312" s="8" t="s">
        <v>238</v>
      </c>
      <c r="Q312" s="8" t="s">
        <v>335</v>
      </c>
      <c r="R312" s="6">
        <v>8</v>
      </c>
      <c r="S312" s="8" t="s">
        <v>75</v>
      </c>
      <c r="T312" s="9"/>
      <c r="U312" s="8" t="s">
        <v>240</v>
      </c>
      <c r="V312" s="8" t="s">
        <v>240</v>
      </c>
      <c r="W312" s="8" t="s">
        <v>240</v>
      </c>
      <c r="X312" s="8" t="s">
        <v>240</v>
      </c>
      <c r="Y312" s="8" t="s">
        <v>240</v>
      </c>
      <c r="Z312" s="6" t="b">
        <v>0</v>
      </c>
      <c r="AA312" s="9"/>
      <c r="AB312" s="9"/>
    </row>
    <row r="313" spans="1:28" ht="32">
      <c r="A313" s="6">
        <v>363</v>
      </c>
      <c r="B313" s="8" t="s">
        <v>205</v>
      </c>
      <c r="C313" s="8" t="s">
        <v>88</v>
      </c>
      <c r="D313" s="8" t="s">
        <v>719</v>
      </c>
      <c r="E313" s="8" t="s">
        <v>718</v>
      </c>
      <c r="F313" s="6">
        <v>362</v>
      </c>
      <c r="G313" s="6" t="b">
        <v>0</v>
      </c>
      <c r="H313" s="8" t="s">
        <v>240</v>
      </c>
      <c r="I313" s="6" t="b">
        <v>0</v>
      </c>
      <c r="J313" s="6" t="b">
        <v>0</v>
      </c>
      <c r="K313" s="6" t="b">
        <v>0</v>
      </c>
      <c r="L313" s="6" t="b">
        <v>0</v>
      </c>
      <c r="M313" s="6" t="b">
        <v>0</v>
      </c>
      <c r="N313" s="6">
        <v>8</v>
      </c>
      <c r="O313" s="8" t="s">
        <v>237</v>
      </c>
      <c r="P313" s="8" t="s">
        <v>238</v>
      </c>
      <c r="Q313" s="8" t="s">
        <v>335</v>
      </c>
      <c r="R313" s="6">
        <v>8</v>
      </c>
      <c r="S313" s="8" t="s">
        <v>75</v>
      </c>
      <c r="T313" s="9"/>
      <c r="U313" s="8" t="s">
        <v>240</v>
      </c>
      <c r="V313" s="8" t="s">
        <v>240</v>
      </c>
      <c r="W313" s="8" t="s">
        <v>240</v>
      </c>
      <c r="X313" s="8" t="s">
        <v>240</v>
      </c>
      <c r="Y313" s="8" t="s">
        <v>240</v>
      </c>
      <c r="Z313" s="6" t="b">
        <v>0</v>
      </c>
      <c r="AA313" s="9"/>
      <c r="AB313" s="9"/>
    </row>
    <row r="314" spans="1:28" ht="32">
      <c r="A314" s="6">
        <v>364</v>
      </c>
      <c r="B314" s="8" t="s">
        <v>205</v>
      </c>
      <c r="C314" s="8" t="s">
        <v>88</v>
      </c>
      <c r="D314" s="8" t="s">
        <v>720</v>
      </c>
      <c r="E314" s="8" t="s">
        <v>718</v>
      </c>
      <c r="F314" s="6">
        <v>362</v>
      </c>
      <c r="G314" s="6" t="b">
        <v>0</v>
      </c>
      <c r="H314" s="8" t="s">
        <v>240</v>
      </c>
      <c r="I314" s="6" t="b">
        <v>0</v>
      </c>
      <c r="J314" s="6" t="b">
        <v>0</v>
      </c>
      <c r="K314" s="6" t="b">
        <v>0</v>
      </c>
      <c r="L314" s="6" t="b">
        <v>0</v>
      </c>
      <c r="M314" s="6" t="b">
        <v>0</v>
      </c>
      <c r="N314" s="6">
        <v>8</v>
      </c>
      <c r="O314" s="8" t="s">
        <v>237</v>
      </c>
      <c r="P314" s="8" t="s">
        <v>238</v>
      </c>
      <c r="Q314" s="8" t="s">
        <v>335</v>
      </c>
      <c r="R314" s="6">
        <v>8</v>
      </c>
      <c r="S314" s="8" t="s">
        <v>75</v>
      </c>
      <c r="T314" s="6">
        <v>7</v>
      </c>
      <c r="U314" s="8" t="s">
        <v>250</v>
      </c>
      <c r="V314" s="8" t="s">
        <v>240</v>
      </c>
      <c r="W314" s="8" t="s">
        <v>240</v>
      </c>
      <c r="X314" s="8" t="s">
        <v>240</v>
      </c>
      <c r="Y314" s="8" t="s">
        <v>240</v>
      </c>
      <c r="Z314" s="6" t="b">
        <v>0</v>
      </c>
      <c r="AA314" s="9"/>
      <c r="AB314" s="9"/>
    </row>
    <row r="315" spans="1:28" ht="16">
      <c r="A315" s="6">
        <v>365</v>
      </c>
      <c r="B315" s="8" t="s">
        <v>205</v>
      </c>
      <c r="C315" s="8" t="s">
        <v>88</v>
      </c>
      <c r="D315" s="8" t="s">
        <v>721</v>
      </c>
      <c r="E315" s="8" t="s">
        <v>718</v>
      </c>
      <c r="F315" s="6">
        <v>362</v>
      </c>
      <c r="G315" s="6" t="b">
        <v>0</v>
      </c>
      <c r="H315" s="8" t="s">
        <v>240</v>
      </c>
      <c r="I315" s="6" t="b">
        <v>0</v>
      </c>
      <c r="J315" s="6" t="b">
        <v>0</v>
      </c>
      <c r="K315" s="6" t="b">
        <v>0</v>
      </c>
      <c r="L315" s="6" t="b">
        <v>0</v>
      </c>
      <c r="M315" s="6" t="b">
        <v>0</v>
      </c>
      <c r="N315" s="6">
        <v>8</v>
      </c>
      <c r="O315" s="8" t="s">
        <v>237</v>
      </c>
      <c r="P315" s="8" t="s">
        <v>238</v>
      </c>
      <c r="Q315" s="8" t="s">
        <v>341</v>
      </c>
      <c r="R315" s="6">
        <v>8</v>
      </c>
      <c r="S315" s="8" t="s">
        <v>341</v>
      </c>
      <c r="T315" s="9"/>
      <c r="U315" s="8" t="s">
        <v>240</v>
      </c>
      <c r="V315" s="8" t="s">
        <v>240</v>
      </c>
      <c r="W315" s="8" t="s">
        <v>240</v>
      </c>
      <c r="X315" s="8" t="s">
        <v>240</v>
      </c>
      <c r="Y315" s="8" t="s">
        <v>240</v>
      </c>
      <c r="Z315" s="6" t="b">
        <v>0</v>
      </c>
      <c r="AA315" s="9"/>
      <c r="AB315" s="9"/>
    </row>
    <row r="316" spans="1:28" ht="16">
      <c r="A316" s="6">
        <v>366</v>
      </c>
      <c r="B316" s="8" t="s">
        <v>205</v>
      </c>
      <c r="C316" s="8" t="s">
        <v>722</v>
      </c>
      <c r="D316" s="8" t="s">
        <v>723</v>
      </c>
      <c r="E316" s="8" t="s">
        <v>723</v>
      </c>
      <c r="F316" s="6">
        <v>366</v>
      </c>
      <c r="G316" s="6" t="b">
        <v>0</v>
      </c>
      <c r="H316" s="8" t="s">
        <v>240</v>
      </c>
      <c r="I316" s="6" t="b">
        <v>0</v>
      </c>
      <c r="J316" s="6" t="b">
        <v>0</v>
      </c>
      <c r="K316" s="6" t="b">
        <v>0</v>
      </c>
      <c r="L316" s="6" t="b">
        <v>0</v>
      </c>
      <c r="M316" s="6" t="b">
        <v>0</v>
      </c>
      <c r="N316" s="6">
        <v>8</v>
      </c>
      <c r="O316" s="8" t="s">
        <v>341</v>
      </c>
      <c r="P316" s="8" t="s">
        <v>238</v>
      </c>
      <c r="Q316" s="8" t="s">
        <v>239</v>
      </c>
      <c r="R316" s="6">
        <v>8</v>
      </c>
      <c r="S316" s="8" t="s">
        <v>75</v>
      </c>
      <c r="T316" s="9"/>
      <c r="U316" s="8" t="s">
        <v>240</v>
      </c>
      <c r="V316" s="8" t="s">
        <v>240</v>
      </c>
      <c r="W316" s="8" t="s">
        <v>240</v>
      </c>
      <c r="X316" s="8" t="s">
        <v>240</v>
      </c>
      <c r="Y316" s="8" t="s">
        <v>240</v>
      </c>
      <c r="Z316" s="6" t="b">
        <v>0</v>
      </c>
      <c r="AA316" s="9"/>
      <c r="AB316" s="9"/>
    </row>
    <row r="317" spans="1:28" ht="16">
      <c r="A317" s="6">
        <v>367</v>
      </c>
      <c r="B317" s="8" t="s">
        <v>205</v>
      </c>
      <c r="C317" s="8" t="s">
        <v>722</v>
      </c>
      <c r="D317" s="8" t="s">
        <v>724</v>
      </c>
      <c r="E317" s="8" t="s">
        <v>723</v>
      </c>
      <c r="F317" s="6">
        <v>366</v>
      </c>
      <c r="G317" s="6" t="b">
        <v>0</v>
      </c>
      <c r="H317" s="8" t="s">
        <v>240</v>
      </c>
      <c r="I317" s="6" t="b">
        <v>0</v>
      </c>
      <c r="J317" s="6" t="b">
        <v>0</v>
      </c>
      <c r="K317" s="6" t="b">
        <v>0</v>
      </c>
      <c r="L317" s="6" t="b">
        <v>0</v>
      </c>
      <c r="M317" s="6" t="b">
        <v>0</v>
      </c>
      <c r="N317" s="6">
        <v>8</v>
      </c>
      <c r="O317" s="8" t="s">
        <v>341</v>
      </c>
      <c r="P317" s="8" t="s">
        <v>238</v>
      </c>
      <c r="Q317" s="8" t="s">
        <v>239</v>
      </c>
      <c r="R317" s="6">
        <v>8</v>
      </c>
      <c r="S317" s="8" t="s">
        <v>75</v>
      </c>
      <c r="T317" s="9"/>
      <c r="U317" s="8" t="s">
        <v>240</v>
      </c>
      <c r="V317" s="8" t="s">
        <v>240</v>
      </c>
      <c r="W317" s="8" t="s">
        <v>240</v>
      </c>
      <c r="X317" s="8" t="s">
        <v>240</v>
      </c>
      <c r="Y317" s="8" t="s">
        <v>240</v>
      </c>
      <c r="Z317" s="6" t="b">
        <v>0</v>
      </c>
      <c r="AA317" s="9"/>
      <c r="AB317" s="9"/>
    </row>
    <row r="318" spans="1:28" ht="16">
      <c r="A318" s="6">
        <v>368</v>
      </c>
      <c r="B318" s="8" t="s">
        <v>205</v>
      </c>
      <c r="C318" s="8" t="s">
        <v>722</v>
      </c>
      <c r="D318" s="8" t="s">
        <v>725</v>
      </c>
      <c r="E318" s="8" t="s">
        <v>725</v>
      </c>
      <c r="F318" s="6">
        <v>368</v>
      </c>
      <c r="G318" s="6" t="b">
        <v>0</v>
      </c>
      <c r="H318" s="8" t="s">
        <v>240</v>
      </c>
      <c r="I318" s="6" t="b">
        <v>0</v>
      </c>
      <c r="J318" s="6" t="b">
        <v>0</v>
      </c>
      <c r="K318" s="6" t="b">
        <v>0</v>
      </c>
      <c r="L318" s="6" t="b">
        <v>0</v>
      </c>
      <c r="M318" s="6" t="b">
        <v>0</v>
      </c>
      <c r="N318" s="6">
        <v>8</v>
      </c>
      <c r="O318" s="8" t="s">
        <v>341</v>
      </c>
      <c r="P318" s="8" t="s">
        <v>238</v>
      </c>
      <c r="Q318" s="8" t="s">
        <v>239</v>
      </c>
      <c r="R318" s="6">
        <v>7.8</v>
      </c>
      <c r="S318" s="8" t="s">
        <v>247</v>
      </c>
      <c r="T318" s="9"/>
      <c r="U318" s="8" t="s">
        <v>240</v>
      </c>
      <c r="V318" s="8" t="s">
        <v>240</v>
      </c>
      <c r="W318" s="8" t="s">
        <v>240</v>
      </c>
      <c r="X318" s="8" t="s">
        <v>240</v>
      </c>
      <c r="Y318" s="8" t="s">
        <v>240</v>
      </c>
      <c r="Z318" s="6" t="b">
        <v>0</v>
      </c>
      <c r="AA318" s="9"/>
      <c r="AB318" s="9"/>
    </row>
    <row r="319" spans="1:28" ht="16">
      <c r="A319" s="6">
        <v>369</v>
      </c>
      <c r="B319" s="8" t="s">
        <v>205</v>
      </c>
      <c r="C319" s="8" t="s">
        <v>722</v>
      </c>
      <c r="D319" s="8" t="s">
        <v>726</v>
      </c>
      <c r="E319" s="8" t="s">
        <v>725</v>
      </c>
      <c r="F319" s="6">
        <v>368</v>
      </c>
      <c r="G319" s="6" t="b">
        <v>0</v>
      </c>
      <c r="H319" s="8" t="s">
        <v>240</v>
      </c>
      <c r="I319" s="6" t="b">
        <v>0</v>
      </c>
      <c r="J319" s="6" t="b">
        <v>0</v>
      </c>
      <c r="K319" s="6" t="b">
        <v>0</v>
      </c>
      <c r="L319" s="6" t="b">
        <v>0</v>
      </c>
      <c r="M319" s="6" t="b">
        <v>0</v>
      </c>
      <c r="N319" s="6">
        <v>8</v>
      </c>
      <c r="O319" s="8" t="s">
        <v>341</v>
      </c>
      <c r="P319" s="8" t="s">
        <v>238</v>
      </c>
      <c r="Q319" s="8" t="s">
        <v>239</v>
      </c>
      <c r="R319" s="6">
        <v>8</v>
      </c>
      <c r="S319" s="8" t="s">
        <v>75</v>
      </c>
      <c r="T319" s="9"/>
      <c r="U319" s="8" t="s">
        <v>240</v>
      </c>
      <c r="V319" s="8" t="s">
        <v>240</v>
      </c>
      <c r="W319" s="8" t="s">
        <v>240</v>
      </c>
      <c r="X319" s="8" t="s">
        <v>240</v>
      </c>
      <c r="Y319" s="8" t="s">
        <v>240</v>
      </c>
      <c r="Z319" s="6" t="b">
        <v>0</v>
      </c>
      <c r="AA319" s="9"/>
      <c r="AB319" s="9"/>
    </row>
    <row r="320" spans="1:28" ht="16">
      <c r="A320" s="6">
        <v>370</v>
      </c>
      <c r="B320" s="8" t="s">
        <v>205</v>
      </c>
      <c r="C320" s="8" t="s">
        <v>722</v>
      </c>
      <c r="D320" s="8" t="s">
        <v>722</v>
      </c>
      <c r="E320" s="8" t="s">
        <v>722</v>
      </c>
      <c r="F320" s="6">
        <v>370</v>
      </c>
      <c r="G320" s="6" t="b">
        <v>0</v>
      </c>
      <c r="H320" s="8" t="s">
        <v>240</v>
      </c>
      <c r="I320" s="6" t="b">
        <v>0</v>
      </c>
      <c r="J320" s="6" t="b">
        <v>0</v>
      </c>
      <c r="K320" s="6" t="b">
        <v>0</v>
      </c>
      <c r="L320" s="6" t="b">
        <v>0</v>
      </c>
      <c r="M320" s="6" t="b">
        <v>0</v>
      </c>
      <c r="N320" s="6">
        <v>8</v>
      </c>
      <c r="O320" s="8" t="s">
        <v>341</v>
      </c>
      <c r="P320" s="8" t="s">
        <v>238</v>
      </c>
      <c r="Q320" s="8" t="s">
        <v>239</v>
      </c>
      <c r="R320" s="6">
        <v>8</v>
      </c>
      <c r="S320" s="8" t="s">
        <v>341</v>
      </c>
      <c r="T320" s="9"/>
      <c r="U320" s="8" t="s">
        <v>240</v>
      </c>
      <c r="V320" s="8" t="s">
        <v>240</v>
      </c>
      <c r="W320" s="8" t="s">
        <v>240</v>
      </c>
      <c r="X320" s="8" t="s">
        <v>240</v>
      </c>
      <c r="Y320" s="8" t="s">
        <v>727</v>
      </c>
      <c r="Z320" s="6" t="b">
        <v>0</v>
      </c>
      <c r="AA320" s="9"/>
      <c r="AB320" s="9"/>
    </row>
    <row r="321" spans="1:28" ht="16">
      <c r="A321" s="6">
        <v>371</v>
      </c>
      <c r="B321" s="8" t="s">
        <v>205</v>
      </c>
      <c r="C321" s="8" t="s">
        <v>88</v>
      </c>
      <c r="D321" s="8" t="s">
        <v>728</v>
      </c>
      <c r="E321" s="8" t="s">
        <v>728</v>
      </c>
      <c r="F321" s="6">
        <v>371</v>
      </c>
      <c r="G321" s="6" t="b">
        <v>0</v>
      </c>
      <c r="H321" s="8" t="s">
        <v>240</v>
      </c>
      <c r="I321" s="6" t="b">
        <v>0</v>
      </c>
      <c r="J321" s="6" t="b">
        <v>0</v>
      </c>
      <c r="K321" s="6" t="b">
        <v>0</v>
      </c>
      <c r="L321" s="6" t="b">
        <v>0</v>
      </c>
      <c r="M321" s="6" t="b">
        <v>0</v>
      </c>
      <c r="N321" s="6">
        <v>8</v>
      </c>
      <c r="O321" s="8" t="s">
        <v>237</v>
      </c>
      <c r="P321" s="8" t="s">
        <v>238</v>
      </c>
      <c r="Q321" s="8" t="s">
        <v>239</v>
      </c>
      <c r="R321" s="6">
        <v>8</v>
      </c>
      <c r="S321" s="8" t="s">
        <v>75</v>
      </c>
      <c r="T321" s="9"/>
      <c r="U321" s="8" t="s">
        <v>240</v>
      </c>
      <c r="V321" s="8" t="s">
        <v>240</v>
      </c>
      <c r="W321" s="8" t="s">
        <v>240</v>
      </c>
      <c r="X321" s="8" t="s">
        <v>240</v>
      </c>
      <c r="Y321" s="8" t="s">
        <v>240</v>
      </c>
      <c r="Z321" s="6" t="b">
        <v>0</v>
      </c>
      <c r="AA321" s="9"/>
      <c r="AB321" s="9"/>
    </row>
    <row r="322" spans="1:28" ht="16">
      <c r="A322" s="6">
        <v>372</v>
      </c>
      <c r="B322" s="8" t="s">
        <v>205</v>
      </c>
      <c r="C322" s="8" t="s">
        <v>88</v>
      </c>
      <c r="D322" s="8" t="s">
        <v>88</v>
      </c>
      <c r="E322" s="8" t="s">
        <v>88</v>
      </c>
      <c r="F322" s="6">
        <v>372</v>
      </c>
      <c r="G322" s="6" t="b">
        <v>0</v>
      </c>
      <c r="H322" s="8" t="s">
        <v>240</v>
      </c>
      <c r="I322" s="6" t="b">
        <v>0</v>
      </c>
      <c r="J322" s="6" t="b">
        <v>0</v>
      </c>
      <c r="K322" s="6" t="b">
        <v>0</v>
      </c>
      <c r="L322" s="6" t="b">
        <v>0</v>
      </c>
      <c r="M322" s="6" t="b">
        <v>0</v>
      </c>
      <c r="N322" s="6">
        <v>8</v>
      </c>
      <c r="O322" s="8" t="s">
        <v>237</v>
      </c>
      <c r="P322" s="8" t="s">
        <v>238</v>
      </c>
      <c r="Q322" s="8" t="s">
        <v>339</v>
      </c>
      <c r="R322" s="6">
        <v>8</v>
      </c>
      <c r="S322" s="8" t="s">
        <v>341</v>
      </c>
      <c r="T322" s="9"/>
      <c r="U322" s="8" t="s">
        <v>240</v>
      </c>
      <c r="V322" s="8" t="s">
        <v>240</v>
      </c>
      <c r="W322" s="8" t="s">
        <v>240</v>
      </c>
      <c r="X322" s="8" t="s">
        <v>240</v>
      </c>
      <c r="Y322" s="8" t="s">
        <v>240</v>
      </c>
      <c r="Z322" s="6" t="b">
        <v>0</v>
      </c>
      <c r="AA322" s="9"/>
      <c r="AB322" s="9"/>
    </row>
    <row r="323" spans="1:28" ht="16">
      <c r="A323" s="6">
        <v>373</v>
      </c>
      <c r="B323" s="8" t="s">
        <v>205</v>
      </c>
      <c r="C323" s="8" t="s">
        <v>729</v>
      </c>
      <c r="D323" s="8" t="s">
        <v>730</v>
      </c>
      <c r="E323" s="8" t="s">
        <v>730</v>
      </c>
      <c r="F323" s="6">
        <v>373</v>
      </c>
      <c r="G323" s="6" t="b">
        <v>0</v>
      </c>
      <c r="H323" s="8" t="s">
        <v>240</v>
      </c>
      <c r="I323" s="6" t="b">
        <v>0</v>
      </c>
      <c r="J323" s="6" t="b">
        <v>0</v>
      </c>
      <c r="K323" s="6" t="b">
        <v>0</v>
      </c>
      <c r="L323" s="6" t="b">
        <v>0</v>
      </c>
      <c r="M323" s="6" t="b">
        <v>0</v>
      </c>
      <c r="N323" s="6">
        <v>6</v>
      </c>
      <c r="O323" s="8" t="s">
        <v>335</v>
      </c>
      <c r="P323" s="8" t="s">
        <v>238</v>
      </c>
      <c r="Q323" s="8" t="s">
        <v>239</v>
      </c>
      <c r="R323" s="6">
        <v>6</v>
      </c>
      <c r="S323" s="8" t="s">
        <v>75</v>
      </c>
      <c r="T323" s="9"/>
      <c r="U323" s="8" t="s">
        <v>240</v>
      </c>
      <c r="V323" s="8" t="s">
        <v>240</v>
      </c>
      <c r="W323" s="8" t="s">
        <v>240</v>
      </c>
      <c r="X323" s="8" t="s">
        <v>240</v>
      </c>
      <c r="Y323" s="8" t="s">
        <v>240</v>
      </c>
      <c r="Z323" s="6" t="b">
        <v>0</v>
      </c>
      <c r="AA323" s="9"/>
      <c r="AB323" s="9"/>
    </row>
    <row r="324" spans="1:28" ht="32">
      <c r="A324" s="6">
        <v>374</v>
      </c>
      <c r="B324" s="8" t="s">
        <v>205</v>
      </c>
      <c r="C324" s="8" t="s">
        <v>729</v>
      </c>
      <c r="D324" s="8" t="s">
        <v>731</v>
      </c>
      <c r="E324" s="8" t="s">
        <v>730</v>
      </c>
      <c r="F324" s="6">
        <v>373</v>
      </c>
      <c r="G324" s="6" t="b">
        <v>0</v>
      </c>
      <c r="H324" s="8" t="s">
        <v>240</v>
      </c>
      <c r="I324" s="6" t="b">
        <v>0</v>
      </c>
      <c r="J324" s="6" t="b">
        <v>0</v>
      </c>
      <c r="K324" s="6" t="b">
        <v>0</v>
      </c>
      <c r="L324" s="6" t="b">
        <v>0</v>
      </c>
      <c r="M324" s="6" t="b">
        <v>0</v>
      </c>
      <c r="N324" s="6">
        <v>6</v>
      </c>
      <c r="O324" s="8" t="s">
        <v>335</v>
      </c>
      <c r="P324" s="8" t="s">
        <v>238</v>
      </c>
      <c r="Q324" s="8" t="s">
        <v>239</v>
      </c>
      <c r="R324" s="6">
        <v>6</v>
      </c>
      <c r="S324" s="8" t="s">
        <v>75</v>
      </c>
      <c r="T324" s="9"/>
      <c r="U324" s="8" t="s">
        <v>240</v>
      </c>
      <c r="V324" s="8" t="s">
        <v>240</v>
      </c>
      <c r="W324" s="8" t="s">
        <v>240</v>
      </c>
      <c r="X324" s="8" t="s">
        <v>240</v>
      </c>
      <c r="Y324" s="8" t="s">
        <v>240</v>
      </c>
      <c r="Z324" s="6" t="b">
        <v>0</v>
      </c>
      <c r="AA324" s="9"/>
      <c r="AB324" s="9"/>
    </row>
    <row r="325" spans="1:28" ht="16">
      <c r="A325" s="6">
        <v>375</v>
      </c>
      <c r="B325" s="8" t="s">
        <v>205</v>
      </c>
      <c r="C325" s="8" t="s">
        <v>88</v>
      </c>
      <c r="D325" s="8" t="s">
        <v>732</v>
      </c>
      <c r="E325" s="8" t="s">
        <v>732</v>
      </c>
      <c r="F325" s="6">
        <v>375</v>
      </c>
      <c r="G325" s="6" t="b">
        <v>0</v>
      </c>
      <c r="H325" s="8" t="s">
        <v>240</v>
      </c>
      <c r="I325" s="6" t="b">
        <v>0</v>
      </c>
      <c r="J325" s="6" t="b">
        <v>0</v>
      </c>
      <c r="K325" s="6" t="b">
        <v>0</v>
      </c>
      <c r="L325" s="6" t="b">
        <v>0</v>
      </c>
      <c r="M325" s="6" t="b">
        <v>0</v>
      </c>
      <c r="N325" s="6">
        <v>8</v>
      </c>
      <c r="O325" s="8" t="s">
        <v>237</v>
      </c>
      <c r="P325" s="8" t="s">
        <v>238</v>
      </c>
      <c r="Q325" s="8" t="s">
        <v>239</v>
      </c>
      <c r="R325" s="6">
        <v>8</v>
      </c>
      <c r="S325" s="8" t="s">
        <v>75</v>
      </c>
      <c r="T325" s="9"/>
      <c r="U325" s="8" t="s">
        <v>240</v>
      </c>
      <c r="V325" s="8" t="s">
        <v>240</v>
      </c>
      <c r="W325" s="8" t="s">
        <v>240</v>
      </c>
      <c r="X325" s="8" t="s">
        <v>240</v>
      </c>
      <c r="Y325" s="8" t="s">
        <v>733</v>
      </c>
      <c r="Z325" s="6" t="b">
        <v>0</v>
      </c>
      <c r="AA325" s="9"/>
      <c r="AB325" s="9"/>
    </row>
    <row r="326" spans="1:28" ht="16">
      <c r="A326" s="6">
        <v>377</v>
      </c>
      <c r="B326" s="8" t="s">
        <v>205</v>
      </c>
      <c r="C326" s="8" t="s">
        <v>88</v>
      </c>
      <c r="D326" s="8" t="s">
        <v>734</v>
      </c>
      <c r="E326" s="8" t="s">
        <v>732</v>
      </c>
      <c r="F326" s="6">
        <v>375</v>
      </c>
      <c r="G326" s="6" t="b">
        <v>0</v>
      </c>
      <c r="H326" s="8" t="s">
        <v>240</v>
      </c>
      <c r="I326" s="6" t="b">
        <v>0</v>
      </c>
      <c r="J326" s="6" t="b">
        <v>0</v>
      </c>
      <c r="K326" s="6" t="b">
        <v>0</v>
      </c>
      <c r="L326" s="6" t="b">
        <v>0</v>
      </c>
      <c r="M326" s="6" t="b">
        <v>0</v>
      </c>
      <c r="N326" s="6">
        <v>8</v>
      </c>
      <c r="O326" s="8" t="s">
        <v>237</v>
      </c>
      <c r="P326" s="8" t="s">
        <v>238</v>
      </c>
      <c r="Q326" s="8" t="s">
        <v>239</v>
      </c>
      <c r="R326" s="6">
        <v>8</v>
      </c>
      <c r="S326" s="8" t="s">
        <v>75</v>
      </c>
      <c r="T326" s="9"/>
      <c r="U326" s="8" t="s">
        <v>240</v>
      </c>
      <c r="V326" s="8" t="s">
        <v>240</v>
      </c>
      <c r="W326" s="8" t="s">
        <v>240</v>
      </c>
      <c r="X326" s="8" t="s">
        <v>240</v>
      </c>
      <c r="Y326" s="8" t="s">
        <v>240</v>
      </c>
      <c r="Z326" s="6" t="b">
        <v>0</v>
      </c>
      <c r="AA326" s="9"/>
      <c r="AB326" s="9"/>
    </row>
    <row r="327" spans="1:28" ht="16">
      <c r="A327" s="6">
        <v>378</v>
      </c>
      <c r="B327" s="8" t="s">
        <v>205</v>
      </c>
      <c r="C327" s="8" t="s">
        <v>88</v>
      </c>
      <c r="D327" s="8" t="s">
        <v>735</v>
      </c>
      <c r="E327" s="8" t="s">
        <v>732</v>
      </c>
      <c r="F327" s="6">
        <v>375</v>
      </c>
      <c r="G327" s="6" t="b">
        <v>0</v>
      </c>
      <c r="H327" s="8" t="s">
        <v>240</v>
      </c>
      <c r="I327" s="6" t="b">
        <v>0</v>
      </c>
      <c r="J327" s="6" t="b">
        <v>0</v>
      </c>
      <c r="K327" s="6" t="b">
        <v>0</v>
      </c>
      <c r="L327" s="6" t="b">
        <v>0</v>
      </c>
      <c r="M327" s="6" t="b">
        <v>0</v>
      </c>
      <c r="N327" s="6">
        <v>8</v>
      </c>
      <c r="O327" s="8" t="s">
        <v>237</v>
      </c>
      <c r="P327" s="8" t="s">
        <v>238</v>
      </c>
      <c r="Q327" s="8" t="s">
        <v>339</v>
      </c>
      <c r="R327" s="6">
        <v>6.7</v>
      </c>
      <c r="S327" s="8" t="s">
        <v>247</v>
      </c>
      <c r="T327" s="6">
        <v>8</v>
      </c>
      <c r="U327" s="8" t="s">
        <v>240</v>
      </c>
      <c r="V327" s="8" t="s">
        <v>240</v>
      </c>
      <c r="W327" s="8" t="s">
        <v>240</v>
      </c>
      <c r="X327" s="8" t="s">
        <v>240</v>
      </c>
      <c r="Y327" s="8" t="s">
        <v>736</v>
      </c>
      <c r="Z327" s="6" t="b">
        <v>0</v>
      </c>
      <c r="AA327" s="9"/>
      <c r="AB327" s="9"/>
    </row>
    <row r="328" spans="1:28" ht="16">
      <c r="A328" s="6">
        <v>379</v>
      </c>
      <c r="B328" s="8" t="s">
        <v>205</v>
      </c>
      <c r="C328" s="8" t="s">
        <v>88</v>
      </c>
      <c r="D328" s="8" t="s">
        <v>737</v>
      </c>
      <c r="E328" s="8" t="s">
        <v>732</v>
      </c>
      <c r="F328" s="6">
        <v>375</v>
      </c>
      <c r="G328" s="6" t="b">
        <v>0</v>
      </c>
      <c r="H328" s="8" t="s">
        <v>240</v>
      </c>
      <c r="I328" s="6" t="b">
        <v>0</v>
      </c>
      <c r="J328" s="6" t="b">
        <v>0</v>
      </c>
      <c r="K328" s="6" t="b">
        <v>0</v>
      </c>
      <c r="L328" s="6" t="b">
        <v>0</v>
      </c>
      <c r="M328" s="6" t="b">
        <v>0</v>
      </c>
      <c r="N328" s="6">
        <v>8</v>
      </c>
      <c r="O328" s="8" t="s">
        <v>237</v>
      </c>
      <c r="P328" s="8" t="s">
        <v>238</v>
      </c>
      <c r="Q328" s="8" t="s">
        <v>339</v>
      </c>
      <c r="R328" s="6">
        <v>8.9</v>
      </c>
      <c r="S328" s="8" t="s">
        <v>247</v>
      </c>
      <c r="T328" s="6">
        <v>8</v>
      </c>
      <c r="U328" s="8" t="s">
        <v>240</v>
      </c>
      <c r="V328" s="8" t="s">
        <v>240</v>
      </c>
      <c r="W328" s="8" t="s">
        <v>240</v>
      </c>
      <c r="X328" s="8" t="s">
        <v>240</v>
      </c>
      <c r="Y328" s="8" t="s">
        <v>240</v>
      </c>
      <c r="Z328" s="6" t="b">
        <v>0</v>
      </c>
      <c r="AA328" s="9"/>
      <c r="AB328" s="9"/>
    </row>
    <row r="329" spans="1:28" ht="16">
      <c r="A329" s="6">
        <v>380</v>
      </c>
      <c r="B329" s="8" t="s">
        <v>205</v>
      </c>
      <c r="C329" s="8" t="s">
        <v>88</v>
      </c>
      <c r="D329" s="8" t="s">
        <v>88</v>
      </c>
      <c r="E329" s="8" t="s">
        <v>729</v>
      </c>
      <c r="F329" s="6">
        <v>380</v>
      </c>
      <c r="G329" s="6" t="b">
        <v>0</v>
      </c>
      <c r="H329" s="8" t="s">
        <v>240</v>
      </c>
      <c r="I329" s="6" t="b">
        <v>0</v>
      </c>
      <c r="J329" s="6" t="b">
        <v>0</v>
      </c>
      <c r="K329" s="6" t="b">
        <v>0</v>
      </c>
      <c r="L329" s="6" t="b">
        <v>0</v>
      </c>
      <c r="M329" s="6" t="b">
        <v>0</v>
      </c>
      <c r="N329" s="6">
        <v>6</v>
      </c>
      <c r="O329" s="8" t="s">
        <v>335</v>
      </c>
      <c r="P329" s="8" t="s">
        <v>238</v>
      </c>
      <c r="Q329" s="8" t="s">
        <v>339</v>
      </c>
      <c r="R329" s="6">
        <v>6</v>
      </c>
      <c r="S329" s="8" t="s">
        <v>335</v>
      </c>
      <c r="T329" s="9"/>
      <c r="U329" s="8" t="s">
        <v>240</v>
      </c>
      <c r="V329" s="8" t="s">
        <v>240</v>
      </c>
      <c r="W329" s="8" t="s">
        <v>240</v>
      </c>
      <c r="X329" s="8" t="s">
        <v>240</v>
      </c>
      <c r="Y329" s="8" t="s">
        <v>240</v>
      </c>
      <c r="Z329" s="6" t="b">
        <v>0</v>
      </c>
      <c r="AA329" s="9"/>
      <c r="AB329" s="9"/>
    </row>
    <row r="330" spans="1:28" ht="16">
      <c r="A330" s="6">
        <v>381</v>
      </c>
      <c r="B330" s="8" t="s">
        <v>205</v>
      </c>
      <c r="C330" s="8" t="s">
        <v>88</v>
      </c>
      <c r="D330" s="8" t="s">
        <v>738</v>
      </c>
      <c r="E330" s="8" t="s">
        <v>738</v>
      </c>
      <c r="F330" s="6">
        <v>381</v>
      </c>
      <c r="G330" s="6" t="b">
        <v>0</v>
      </c>
      <c r="H330" s="8" t="s">
        <v>240</v>
      </c>
      <c r="I330" s="6" t="b">
        <v>0</v>
      </c>
      <c r="J330" s="6" t="b">
        <v>0</v>
      </c>
      <c r="K330" s="6" t="b">
        <v>0</v>
      </c>
      <c r="L330" s="6" t="b">
        <v>0</v>
      </c>
      <c r="M330" s="6" t="b">
        <v>0</v>
      </c>
      <c r="N330" s="6">
        <v>8</v>
      </c>
      <c r="O330" s="8" t="s">
        <v>237</v>
      </c>
      <c r="P330" s="8" t="s">
        <v>238</v>
      </c>
      <c r="Q330" s="8" t="s">
        <v>237</v>
      </c>
      <c r="R330" s="6">
        <v>8</v>
      </c>
      <c r="S330" s="8" t="s">
        <v>75</v>
      </c>
      <c r="T330" s="9"/>
      <c r="U330" s="8" t="s">
        <v>240</v>
      </c>
      <c r="V330" s="8" t="s">
        <v>240</v>
      </c>
      <c r="W330" s="8" t="s">
        <v>240</v>
      </c>
      <c r="X330" s="8" t="s">
        <v>240</v>
      </c>
      <c r="Y330" s="8" t="s">
        <v>739</v>
      </c>
      <c r="Z330" s="6" t="b">
        <v>0</v>
      </c>
      <c r="AA330" s="9"/>
      <c r="AB330" s="9"/>
    </row>
    <row r="331" spans="1:28" ht="16">
      <c r="A331" s="6">
        <v>382</v>
      </c>
      <c r="B331" s="8" t="s">
        <v>205</v>
      </c>
      <c r="C331" s="8" t="s">
        <v>722</v>
      </c>
      <c r="D331" s="8" t="s">
        <v>740</v>
      </c>
      <c r="E331" s="8" t="s">
        <v>740</v>
      </c>
      <c r="F331" s="6">
        <v>382</v>
      </c>
      <c r="G331" s="6" t="b">
        <v>0</v>
      </c>
      <c r="H331" s="8" t="s">
        <v>240</v>
      </c>
      <c r="I331" s="6" t="b">
        <v>0</v>
      </c>
      <c r="J331" s="6" t="b">
        <v>0</v>
      </c>
      <c r="K331" s="6" t="b">
        <v>0</v>
      </c>
      <c r="L331" s="6" t="b">
        <v>0</v>
      </c>
      <c r="M331" s="6" t="b">
        <v>0</v>
      </c>
      <c r="N331" s="6">
        <v>8</v>
      </c>
      <c r="O331" s="8" t="s">
        <v>341</v>
      </c>
      <c r="P331" s="8" t="s">
        <v>238</v>
      </c>
      <c r="Q331" s="8" t="s">
        <v>239</v>
      </c>
      <c r="R331" s="6">
        <v>7.8</v>
      </c>
      <c r="S331" s="8" t="s">
        <v>247</v>
      </c>
      <c r="T331" s="9"/>
      <c r="U331" s="8" t="s">
        <v>240</v>
      </c>
      <c r="V331" s="8" t="s">
        <v>240</v>
      </c>
      <c r="W331" s="8" t="s">
        <v>240</v>
      </c>
      <c r="X331" s="8" t="s">
        <v>240</v>
      </c>
      <c r="Y331" s="8" t="s">
        <v>741</v>
      </c>
      <c r="Z331" s="6" t="b">
        <v>0</v>
      </c>
      <c r="AA331" s="9"/>
      <c r="AB331" s="9"/>
    </row>
    <row r="332" spans="1:28" ht="32">
      <c r="A332" s="6">
        <v>383</v>
      </c>
      <c r="B332" s="8" t="s">
        <v>205</v>
      </c>
      <c r="C332" s="8" t="s">
        <v>722</v>
      </c>
      <c r="D332" s="8" t="s">
        <v>742</v>
      </c>
      <c r="E332" s="8" t="s">
        <v>740</v>
      </c>
      <c r="F332" s="6">
        <v>382</v>
      </c>
      <c r="G332" s="6" t="b">
        <v>0</v>
      </c>
      <c r="H332" s="8" t="s">
        <v>240</v>
      </c>
      <c r="I332" s="6" t="b">
        <v>0</v>
      </c>
      <c r="J332" s="6" t="b">
        <v>0</v>
      </c>
      <c r="K332" s="6" t="b">
        <v>0</v>
      </c>
      <c r="L332" s="6" t="b">
        <v>0</v>
      </c>
      <c r="M332" s="6" t="b">
        <v>0</v>
      </c>
      <c r="N332" s="6">
        <v>8</v>
      </c>
      <c r="O332" s="8" t="s">
        <v>341</v>
      </c>
      <c r="P332" s="8" t="s">
        <v>238</v>
      </c>
      <c r="Q332" s="8" t="s">
        <v>239</v>
      </c>
      <c r="R332" s="6">
        <v>8</v>
      </c>
      <c r="S332" s="8" t="s">
        <v>75</v>
      </c>
      <c r="T332" s="9"/>
      <c r="U332" s="8" t="s">
        <v>240</v>
      </c>
      <c r="V332" s="8" t="s">
        <v>240</v>
      </c>
      <c r="W332" s="8" t="s">
        <v>240</v>
      </c>
      <c r="X332" s="8" t="s">
        <v>240</v>
      </c>
      <c r="Y332" s="8" t="s">
        <v>240</v>
      </c>
      <c r="Z332" s="6" t="b">
        <v>0</v>
      </c>
      <c r="AA332" s="9"/>
      <c r="AB332" s="9"/>
    </row>
    <row r="333" spans="1:28" ht="32">
      <c r="A333" s="6">
        <v>384</v>
      </c>
      <c r="B333" s="8" t="s">
        <v>205</v>
      </c>
      <c r="C333" s="8" t="s">
        <v>722</v>
      </c>
      <c r="D333" s="8" t="s">
        <v>743</v>
      </c>
      <c r="E333" s="8" t="s">
        <v>740</v>
      </c>
      <c r="F333" s="6">
        <v>382</v>
      </c>
      <c r="G333" s="6" t="b">
        <v>0</v>
      </c>
      <c r="H333" s="8" t="s">
        <v>240</v>
      </c>
      <c r="I333" s="6" t="b">
        <v>0</v>
      </c>
      <c r="J333" s="6" t="b">
        <v>0</v>
      </c>
      <c r="K333" s="6" t="b">
        <v>0</v>
      </c>
      <c r="L333" s="6" t="b">
        <v>0</v>
      </c>
      <c r="M333" s="6" t="b">
        <v>0</v>
      </c>
      <c r="N333" s="6">
        <v>8</v>
      </c>
      <c r="O333" s="8" t="s">
        <v>341</v>
      </c>
      <c r="P333" s="8" t="s">
        <v>238</v>
      </c>
      <c r="Q333" s="8" t="s">
        <v>239</v>
      </c>
      <c r="R333" s="6">
        <v>8</v>
      </c>
      <c r="S333" s="8" t="s">
        <v>75</v>
      </c>
      <c r="T333" s="9"/>
      <c r="U333" s="8" t="s">
        <v>240</v>
      </c>
      <c r="V333" s="8" t="s">
        <v>240</v>
      </c>
      <c r="W333" s="8" t="s">
        <v>240</v>
      </c>
      <c r="X333" s="8" t="s">
        <v>240</v>
      </c>
      <c r="Y333" s="8" t="s">
        <v>240</v>
      </c>
      <c r="Z333" s="6" t="b">
        <v>0</v>
      </c>
      <c r="AA333" s="9"/>
      <c r="AB333" s="9"/>
    </row>
    <row r="334" spans="1:28" ht="32">
      <c r="A334" s="6">
        <v>385</v>
      </c>
      <c r="B334" s="8" t="s">
        <v>205</v>
      </c>
      <c r="C334" s="8" t="s">
        <v>722</v>
      </c>
      <c r="D334" s="8" t="s">
        <v>744</v>
      </c>
      <c r="E334" s="8" t="s">
        <v>740</v>
      </c>
      <c r="F334" s="6">
        <v>382</v>
      </c>
      <c r="G334" s="6" t="b">
        <v>0</v>
      </c>
      <c r="H334" s="8" t="s">
        <v>240</v>
      </c>
      <c r="I334" s="6" t="b">
        <v>0</v>
      </c>
      <c r="J334" s="6" t="b">
        <v>0</v>
      </c>
      <c r="K334" s="6" t="b">
        <v>0</v>
      </c>
      <c r="L334" s="6" t="b">
        <v>0</v>
      </c>
      <c r="M334" s="6" t="b">
        <v>0</v>
      </c>
      <c r="N334" s="6">
        <v>8</v>
      </c>
      <c r="O334" s="8" t="s">
        <v>341</v>
      </c>
      <c r="P334" s="8" t="s">
        <v>238</v>
      </c>
      <c r="Q334" s="8" t="s">
        <v>239</v>
      </c>
      <c r="R334" s="6">
        <v>8</v>
      </c>
      <c r="S334" s="8" t="s">
        <v>75</v>
      </c>
      <c r="T334" s="9"/>
      <c r="U334" s="8" t="s">
        <v>240</v>
      </c>
      <c r="V334" s="8" t="s">
        <v>240</v>
      </c>
      <c r="W334" s="8" t="s">
        <v>240</v>
      </c>
      <c r="X334" s="8" t="s">
        <v>240</v>
      </c>
      <c r="Y334" s="8" t="s">
        <v>240</v>
      </c>
      <c r="Z334" s="6" t="b">
        <v>0</v>
      </c>
      <c r="AA334" s="9"/>
      <c r="AB334" s="9"/>
    </row>
    <row r="335" spans="1:28" ht="32">
      <c r="A335" s="6">
        <v>386</v>
      </c>
      <c r="B335" s="8" t="s">
        <v>205</v>
      </c>
      <c r="C335" s="8" t="s">
        <v>722</v>
      </c>
      <c r="D335" s="8" t="s">
        <v>745</v>
      </c>
      <c r="E335" s="8" t="s">
        <v>740</v>
      </c>
      <c r="F335" s="6">
        <v>382</v>
      </c>
      <c r="G335" s="6" t="b">
        <v>0</v>
      </c>
      <c r="H335" s="8" t="s">
        <v>240</v>
      </c>
      <c r="I335" s="6" t="b">
        <v>0</v>
      </c>
      <c r="J335" s="6" t="b">
        <v>0</v>
      </c>
      <c r="K335" s="6" t="b">
        <v>0</v>
      </c>
      <c r="L335" s="6" t="b">
        <v>0</v>
      </c>
      <c r="M335" s="6" t="b">
        <v>0</v>
      </c>
      <c r="N335" s="6">
        <v>8</v>
      </c>
      <c r="O335" s="8" t="s">
        <v>341</v>
      </c>
      <c r="P335" s="8" t="s">
        <v>238</v>
      </c>
      <c r="Q335" s="8" t="s">
        <v>239</v>
      </c>
      <c r="R335" s="6">
        <v>9.6999999999999993</v>
      </c>
      <c r="S335" s="8" t="s">
        <v>247</v>
      </c>
      <c r="T335" s="9"/>
      <c r="U335" s="8" t="s">
        <v>240</v>
      </c>
      <c r="V335" s="8" t="s">
        <v>240</v>
      </c>
      <c r="W335" s="8" t="s">
        <v>240</v>
      </c>
      <c r="X335" s="8" t="s">
        <v>240</v>
      </c>
      <c r="Y335" s="8" t="s">
        <v>240</v>
      </c>
      <c r="Z335" s="6" t="b">
        <v>0</v>
      </c>
      <c r="AA335" s="9"/>
      <c r="AB335" s="9"/>
    </row>
    <row r="336" spans="1:28" ht="16">
      <c r="A336" s="6">
        <v>387</v>
      </c>
      <c r="B336" s="8" t="s">
        <v>205</v>
      </c>
      <c r="C336" s="8" t="s">
        <v>746</v>
      </c>
      <c r="D336" s="8" t="s">
        <v>747</v>
      </c>
      <c r="E336" s="8" t="s">
        <v>747</v>
      </c>
      <c r="F336" s="6">
        <v>387</v>
      </c>
      <c r="G336" s="6" t="b">
        <v>0</v>
      </c>
      <c r="H336" s="8" t="s">
        <v>240</v>
      </c>
      <c r="I336" s="6" t="b">
        <v>0</v>
      </c>
      <c r="J336" s="6" t="b">
        <v>0</v>
      </c>
      <c r="K336" s="6" t="b">
        <v>0</v>
      </c>
      <c r="L336" s="6" t="b">
        <v>0</v>
      </c>
      <c r="M336" s="6" t="b">
        <v>0</v>
      </c>
      <c r="N336" s="6">
        <v>7</v>
      </c>
      <c r="O336" s="8" t="s">
        <v>341</v>
      </c>
      <c r="P336" s="8" t="s">
        <v>238</v>
      </c>
      <c r="Q336" s="8" t="s">
        <v>239</v>
      </c>
      <c r="R336" s="6">
        <v>7</v>
      </c>
      <c r="S336" s="8" t="s">
        <v>75</v>
      </c>
      <c r="T336" s="9"/>
      <c r="U336" s="8" t="s">
        <v>240</v>
      </c>
      <c r="V336" s="8" t="s">
        <v>240</v>
      </c>
      <c r="W336" s="8" t="s">
        <v>240</v>
      </c>
      <c r="X336" s="8" t="s">
        <v>240</v>
      </c>
      <c r="Y336" s="8" t="s">
        <v>240</v>
      </c>
      <c r="Z336" s="6" t="b">
        <v>0</v>
      </c>
      <c r="AA336" s="9"/>
      <c r="AB336" s="9"/>
    </row>
    <row r="337" spans="1:28" ht="16">
      <c r="A337" s="6">
        <v>388</v>
      </c>
      <c r="B337" s="8" t="s">
        <v>205</v>
      </c>
      <c r="C337" s="8" t="s">
        <v>746</v>
      </c>
      <c r="D337" s="8" t="s">
        <v>748</v>
      </c>
      <c r="E337" s="8" t="s">
        <v>747</v>
      </c>
      <c r="F337" s="6">
        <v>387</v>
      </c>
      <c r="G337" s="6" t="b">
        <v>0</v>
      </c>
      <c r="H337" s="8" t="s">
        <v>240</v>
      </c>
      <c r="I337" s="6" t="b">
        <v>0</v>
      </c>
      <c r="J337" s="6" t="b">
        <v>0</v>
      </c>
      <c r="K337" s="6" t="b">
        <v>0</v>
      </c>
      <c r="L337" s="6" t="b">
        <v>0</v>
      </c>
      <c r="M337" s="6" t="b">
        <v>0</v>
      </c>
      <c r="N337" s="6">
        <v>7</v>
      </c>
      <c r="O337" s="8" t="s">
        <v>341</v>
      </c>
      <c r="P337" s="8" t="s">
        <v>238</v>
      </c>
      <c r="Q337" s="8" t="s">
        <v>237</v>
      </c>
      <c r="R337" s="6">
        <v>7</v>
      </c>
      <c r="S337" s="8" t="s">
        <v>75</v>
      </c>
      <c r="T337" s="9"/>
      <c r="U337" s="8" t="s">
        <v>240</v>
      </c>
      <c r="V337" s="8" t="s">
        <v>240</v>
      </c>
      <c r="W337" s="8" t="s">
        <v>240</v>
      </c>
      <c r="X337" s="8" t="s">
        <v>240</v>
      </c>
      <c r="Y337" s="8" t="s">
        <v>240</v>
      </c>
      <c r="Z337" s="6" t="b">
        <v>0</v>
      </c>
      <c r="AA337" s="9"/>
      <c r="AB337" s="9"/>
    </row>
    <row r="338" spans="1:28" ht="16">
      <c r="A338" s="6">
        <v>389</v>
      </c>
      <c r="B338" s="8" t="s">
        <v>205</v>
      </c>
      <c r="C338" s="8" t="s">
        <v>722</v>
      </c>
      <c r="D338" s="8" t="s">
        <v>749</v>
      </c>
      <c r="E338" s="8" t="s">
        <v>749</v>
      </c>
      <c r="F338" s="6">
        <v>389</v>
      </c>
      <c r="G338" s="6" t="b">
        <v>0</v>
      </c>
      <c r="H338" s="8" t="s">
        <v>240</v>
      </c>
      <c r="I338" s="6" t="b">
        <v>0</v>
      </c>
      <c r="J338" s="6" t="b">
        <v>0</v>
      </c>
      <c r="K338" s="6" t="b">
        <v>0</v>
      </c>
      <c r="L338" s="6" t="b">
        <v>0</v>
      </c>
      <c r="M338" s="6" t="b">
        <v>0</v>
      </c>
      <c r="N338" s="6">
        <v>8</v>
      </c>
      <c r="O338" s="8" t="s">
        <v>341</v>
      </c>
      <c r="P338" s="8" t="s">
        <v>238</v>
      </c>
      <c r="Q338" s="8" t="s">
        <v>237</v>
      </c>
      <c r="R338" s="6">
        <v>8</v>
      </c>
      <c r="S338" s="8" t="s">
        <v>75</v>
      </c>
      <c r="T338" s="9"/>
      <c r="U338" s="8" t="s">
        <v>240</v>
      </c>
      <c r="V338" s="8" t="s">
        <v>240</v>
      </c>
      <c r="W338" s="8" t="s">
        <v>240</v>
      </c>
      <c r="X338" s="8" t="s">
        <v>240</v>
      </c>
      <c r="Y338" s="8" t="s">
        <v>240</v>
      </c>
      <c r="Z338" s="6" t="b">
        <v>0</v>
      </c>
      <c r="AA338" s="9"/>
      <c r="AB338" s="9"/>
    </row>
    <row r="339" spans="1:28" ht="16">
      <c r="A339" s="6">
        <v>390</v>
      </c>
      <c r="B339" s="8" t="s">
        <v>205</v>
      </c>
      <c r="C339" s="8" t="s">
        <v>722</v>
      </c>
      <c r="D339" s="8" t="s">
        <v>750</v>
      </c>
      <c r="E339" s="8" t="s">
        <v>749</v>
      </c>
      <c r="F339" s="6">
        <v>389</v>
      </c>
      <c r="G339" s="6" t="b">
        <v>0</v>
      </c>
      <c r="H339" s="8" t="s">
        <v>240</v>
      </c>
      <c r="I339" s="6" t="b">
        <v>0</v>
      </c>
      <c r="J339" s="6" t="b">
        <v>0</v>
      </c>
      <c r="K339" s="6" t="b">
        <v>0</v>
      </c>
      <c r="L339" s="6" t="b">
        <v>0</v>
      </c>
      <c r="M339" s="6" t="b">
        <v>0</v>
      </c>
      <c r="N339" s="6">
        <v>8</v>
      </c>
      <c r="O339" s="8" t="s">
        <v>341</v>
      </c>
      <c r="P339" s="8" t="s">
        <v>238</v>
      </c>
      <c r="Q339" s="8" t="s">
        <v>237</v>
      </c>
      <c r="R339" s="6">
        <v>8</v>
      </c>
      <c r="S339" s="8" t="s">
        <v>75</v>
      </c>
      <c r="T339" s="9"/>
      <c r="U339" s="8" t="s">
        <v>240</v>
      </c>
      <c r="V339" s="8" t="s">
        <v>240</v>
      </c>
      <c r="W339" s="8" t="s">
        <v>240</v>
      </c>
      <c r="X339" s="8" t="s">
        <v>240</v>
      </c>
      <c r="Y339" s="8" t="s">
        <v>240</v>
      </c>
      <c r="Z339" s="6" t="b">
        <v>0</v>
      </c>
      <c r="AA339" s="9"/>
      <c r="AB339" s="9"/>
    </row>
    <row r="340" spans="1:28" ht="16">
      <c r="A340" s="6">
        <v>391</v>
      </c>
      <c r="B340" s="8" t="s">
        <v>205</v>
      </c>
      <c r="C340" s="8" t="s">
        <v>88</v>
      </c>
      <c r="D340" s="8" t="s">
        <v>751</v>
      </c>
      <c r="E340" s="8" t="s">
        <v>751</v>
      </c>
      <c r="F340" s="6">
        <v>391</v>
      </c>
      <c r="G340" s="6" t="b">
        <v>0</v>
      </c>
      <c r="H340" s="8" t="s">
        <v>240</v>
      </c>
      <c r="I340" s="6" t="b">
        <v>0</v>
      </c>
      <c r="J340" s="6" t="b">
        <v>0</v>
      </c>
      <c r="K340" s="6" t="b">
        <v>0</v>
      </c>
      <c r="L340" s="6" t="b">
        <v>0</v>
      </c>
      <c r="M340" s="6" t="b">
        <v>0</v>
      </c>
      <c r="N340" s="6">
        <v>8</v>
      </c>
      <c r="O340" s="8" t="s">
        <v>237</v>
      </c>
      <c r="P340" s="8" t="s">
        <v>238</v>
      </c>
      <c r="Q340" s="8" t="s">
        <v>239</v>
      </c>
      <c r="R340" s="6">
        <v>8</v>
      </c>
      <c r="S340" s="8" t="s">
        <v>75</v>
      </c>
      <c r="T340" s="9"/>
      <c r="U340" s="8" t="s">
        <v>240</v>
      </c>
      <c r="V340" s="8" t="s">
        <v>240</v>
      </c>
      <c r="W340" s="8" t="s">
        <v>240</v>
      </c>
      <c r="X340" s="8" t="s">
        <v>240</v>
      </c>
      <c r="Y340" s="8" t="s">
        <v>240</v>
      </c>
      <c r="Z340" s="6" t="b">
        <v>0</v>
      </c>
      <c r="AA340" s="9"/>
      <c r="AB340" s="9"/>
    </row>
    <row r="341" spans="1:28" ht="32">
      <c r="A341" s="6">
        <v>392</v>
      </c>
      <c r="B341" s="8" t="s">
        <v>205</v>
      </c>
      <c r="C341" s="8" t="s">
        <v>88</v>
      </c>
      <c r="D341" s="8" t="s">
        <v>752</v>
      </c>
      <c r="E341" s="8" t="s">
        <v>751</v>
      </c>
      <c r="F341" s="6">
        <v>391</v>
      </c>
      <c r="G341" s="6" t="b">
        <v>0</v>
      </c>
      <c r="H341" s="8" t="s">
        <v>240</v>
      </c>
      <c r="I341" s="6" t="b">
        <v>0</v>
      </c>
      <c r="J341" s="6" t="b">
        <v>0</v>
      </c>
      <c r="K341" s="6" t="b">
        <v>0</v>
      </c>
      <c r="L341" s="6" t="b">
        <v>0</v>
      </c>
      <c r="M341" s="6" t="b">
        <v>0</v>
      </c>
      <c r="N341" s="6">
        <v>8</v>
      </c>
      <c r="O341" s="8" t="s">
        <v>237</v>
      </c>
      <c r="P341" s="8" t="s">
        <v>238</v>
      </c>
      <c r="Q341" s="8" t="s">
        <v>239</v>
      </c>
      <c r="R341" s="6">
        <v>8</v>
      </c>
      <c r="S341" s="8" t="s">
        <v>75</v>
      </c>
      <c r="T341" s="9"/>
      <c r="U341" s="8" t="s">
        <v>240</v>
      </c>
      <c r="V341" s="8" t="s">
        <v>240</v>
      </c>
      <c r="W341" s="8" t="s">
        <v>240</v>
      </c>
      <c r="X341" s="8" t="s">
        <v>240</v>
      </c>
      <c r="Y341" s="8" t="s">
        <v>240</v>
      </c>
      <c r="Z341" s="6" t="b">
        <v>0</v>
      </c>
      <c r="AA341" s="9"/>
      <c r="AB341" s="9"/>
    </row>
    <row r="342" spans="1:28" ht="16">
      <c r="A342" s="6">
        <v>393</v>
      </c>
      <c r="B342" s="8" t="s">
        <v>205</v>
      </c>
      <c r="C342" s="8" t="s">
        <v>746</v>
      </c>
      <c r="D342" s="8" t="s">
        <v>753</v>
      </c>
      <c r="E342" s="8" t="s">
        <v>753</v>
      </c>
      <c r="F342" s="6">
        <v>393</v>
      </c>
      <c r="G342" s="6" t="b">
        <v>0</v>
      </c>
      <c r="H342" s="8" t="s">
        <v>240</v>
      </c>
      <c r="I342" s="6" t="b">
        <v>0</v>
      </c>
      <c r="J342" s="6" t="b">
        <v>0</v>
      </c>
      <c r="K342" s="6" t="b">
        <v>0</v>
      </c>
      <c r="L342" s="6" t="b">
        <v>0</v>
      </c>
      <c r="M342" s="6" t="b">
        <v>0</v>
      </c>
      <c r="N342" s="6">
        <v>7</v>
      </c>
      <c r="O342" s="8" t="s">
        <v>341</v>
      </c>
      <c r="P342" s="8" t="s">
        <v>238</v>
      </c>
      <c r="Q342" s="8" t="s">
        <v>239</v>
      </c>
      <c r="R342" s="6">
        <v>7</v>
      </c>
      <c r="S342" s="8" t="s">
        <v>75</v>
      </c>
      <c r="T342" s="9"/>
      <c r="U342" s="8" t="s">
        <v>240</v>
      </c>
      <c r="V342" s="8" t="s">
        <v>240</v>
      </c>
      <c r="W342" s="8" t="s">
        <v>240</v>
      </c>
      <c r="X342" s="8" t="s">
        <v>240</v>
      </c>
      <c r="Y342" s="8" t="s">
        <v>240</v>
      </c>
      <c r="Z342" s="6" t="b">
        <v>0</v>
      </c>
      <c r="AA342" s="9"/>
      <c r="AB342" s="9"/>
    </row>
    <row r="343" spans="1:28" ht="16">
      <c r="A343" s="6">
        <v>394</v>
      </c>
      <c r="B343" s="8" t="s">
        <v>205</v>
      </c>
      <c r="C343" s="8" t="s">
        <v>746</v>
      </c>
      <c r="D343" s="8" t="s">
        <v>754</v>
      </c>
      <c r="E343" s="8" t="s">
        <v>753</v>
      </c>
      <c r="F343" s="6">
        <v>393</v>
      </c>
      <c r="G343" s="6" t="b">
        <v>0</v>
      </c>
      <c r="H343" s="8" t="s">
        <v>240</v>
      </c>
      <c r="I343" s="6" t="b">
        <v>0</v>
      </c>
      <c r="J343" s="6" t="b">
        <v>0</v>
      </c>
      <c r="K343" s="6" t="b">
        <v>0</v>
      </c>
      <c r="L343" s="6" t="b">
        <v>0</v>
      </c>
      <c r="M343" s="6" t="b">
        <v>0</v>
      </c>
      <c r="N343" s="6">
        <v>7</v>
      </c>
      <c r="O343" s="8" t="s">
        <v>341</v>
      </c>
      <c r="P343" s="8" t="s">
        <v>238</v>
      </c>
      <c r="Q343" s="8" t="s">
        <v>239</v>
      </c>
      <c r="R343" s="6">
        <v>7</v>
      </c>
      <c r="S343" s="8" t="s">
        <v>75</v>
      </c>
      <c r="T343" s="9"/>
      <c r="U343" s="8" t="s">
        <v>240</v>
      </c>
      <c r="V343" s="8" t="s">
        <v>240</v>
      </c>
      <c r="W343" s="8" t="s">
        <v>240</v>
      </c>
      <c r="X343" s="8" t="s">
        <v>240</v>
      </c>
      <c r="Y343" s="8" t="s">
        <v>240</v>
      </c>
      <c r="Z343" s="6" t="b">
        <v>0</v>
      </c>
      <c r="AA343" s="9"/>
      <c r="AB343" s="9"/>
    </row>
    <row r="344" spans="1:28" ht="16">
      <c r="A344" s="6">
        <v>395</v>
      </c>
      <c r="B344" s="8" t="s">
        <v>205</v>
      </c>
      <c r="C344" s="8" t="s">
        <v>746</v>
      </c>
      <c r="D344" s="8" t="s">
        <v>746</v>
      </c>
      <c r="E344" s="8" t="s">
        <v>746</v>
      </c>
      <c r="F344" s="6">
        <v>395</v>
      </c>
      <c r="G344" s="6" t="b">
        <v>0</v>
      </c>
      <c r="H344" s="8" t="s">
        <v>240</v>
      </c>
      <c r="I344" s="6" t="b">
        <v>0</v>
      </c>
      <c r="J344" s="6" t="b">
        <v>0</v>
      </c>
      <c r="K344" s="6" t="b">
        <v>0</v>
      </c>
      <c r="L344" s="6" t="b">
        <v>0</v>
      </c>
      <c r="M344" s="6" t="b">
        <v>0</v>
      </c>
      <c r="N344" s="6">
        <v>7</v>
      </c>
      <c r="O344" s="8" t="s">
        <v>341</v>
      </c>
      <c r="P344" s="8" t="s">
        <v>238</v>
      </c>
      <c r="Q344" s="8" t="s">
        <v>239</v>
      </c>
      <c r="R344" s="6">
        <v>7</v>
      </c>
      <c r="S344" s="8" t="s">
        <v>341</v>
      </c>
      <c r="T344" s="9"/>
      <c r="U344" s="8" t="s">
        <v>240</v>
      </c>
      <c r="V344" s="8" t="s">
        <v>240</v>
      </c>
      <c r="W344" s="8" t="s">
        <v>240</v>
      </c>
      <c r="X344" s="8" t="s">
        <v>240</v>
      </c>
      <c r="Y344" s="8" t="s">
        <v>755</v>
      </c>
      <c r="Z344" s="6" t="b">
        <v>0</v>
      </c>
      <c r="AA344" s="9"/>
      <c r="AB344" s="9"/>
    </row>
    <row r="345" spans="1:28" ht="16">
      <c r="A345" s="6">
        <v>396</v>
      </c>
      <c r="B345" s="8" t="s">
        <v>197</v>
      </c>
      <c r="C345" s="8" t="s">
        <v>530</v>
      </c>
      <c r="D345" s="8" t="s">
        <v>530</v>
      </c>
      <c r="E345" s="8" t="s">
        <v>530</v>
      </c>
      <c r="F345" s="6">
        <v>396</v>
      </c>
      <c r="G345" s="6" t="b">
        <v>0</v>
      </c>
      <c r="H345" s="8" t="s">
        <v>480</v>
      </c>
      <c r="I345" s="6" t="b">
        <v>0</v>
      </c>
      <c r="J345" s="6" t="b">
        <v>0</v>
      </c>
      <c r="K345" s="6" t="b">
        <v>0</v>
      </c>
      <c r="L345" s="6" t="b">
        <v>1</v>
      </c>
      <c r="M345" s="6" t="b">
        <v>0</v>
      </c>
      <c r="N345" s="6">
        <v>0</v>
      </c>
      <c r="O345" s="8" t="s">
        <v>331</v>
      </c>
      <c r="P345" s="8" t="s">
        <v>380</v>
      </c>
      <c r="Q345" s="8" t="s">
        <v>446</v>
      </c>
      <c r="R345" s="6">
        <v>0</v>
      </c>
      <c r="S345" s="8" t="s">
        <v>331</v>
      </c>
      <c r="T345" s="6">
        <v>0</v>
      </c>
      <c r="U345" s="8" t="s">
        <v>240</v>
      </c>
      <c r="V345" s="8" t="s">
        <v>510</v>
      </c>
      <c r="W345" s="8" t="s">
        <v>240</v>
      </c>
      <c r="X345" s="8" t="s">
        <v>240</v>
      </c>
      <c r="Y345" s="8" t="s">
        <v>240</v>
      </c>
      <c r="Z345" s="6" t="b">
        <v>0</v>
      </c>
      <c r="AA345" s="9"/>
      <c r="AB345" s="9"/>
    </row>
    <row r="346" spans="1:28" ht="16">
      <c r="A346" s="6">
        <v>397</v>
      </c>
      <c r="B346" s="8" t="s">
        <v>197</v>
      </c>
      <c r="C346" s="8" t="s">
        <v>104</v>
      </c>
      <c r="D346" s="8" t="s">
        <v>756</v>
      </c>
      <c r="E346" s="8" t="s">
        <v>756</v>
      </c>
      <c r="F346" s="6">
        <v>397</v>
      </c>
      <c r="G346" s="6" t="b">
        <v>0</v>
      </c>
      <c r="H346" s="8" t="s">
        <v>480</v>
      </c>
      <c r="I346" s="6" t="b">
        <v>0</v>
      </c>
      <c r="J346" s="6" t="b">
        <v>0</v>
      </c>
      <c r="K346" s="6" t="b">
        <v>0</v>
      </c>
      <c r="L346" s="6" t="b">
        <v>1</v>
      </c>
      <c r="M346" s="6" t="b">
        <v>0</v>
      </c>
      <c r="N346" s="6">
        <v>2</v>
      </c>
      <c r="O346" s="8" t="s">
        <v>331</v>
      </c>
      <c r="P346" s="8" t="s">
        <v>380</v>
      </c>
      <c r="Q346" s="8" t="s">
        <v>502</v>
      </c>
      <c r="R346" s="6">
        <v>1</v>
      </c>
      <c r="S346" s="8" t="s">
        <v>523</v>
      </c>
      <c r="T346" s="6">
        <v>1</v>
      </c>
      <c r="U346" s="8" t="s">
        <v>240</v>
      </c>
      <c r="V346" s="8" t="s">
        <v>510</v>
      </c>
      <c r="W346" s="8" t="s">
        <v>386</v>
      </c>
      <c r="X346" s="8" t="s">
        <v>240</v>
      </c>
      <c r="Y346" s="8" t="s">
        <v>757</v>
      </c>
      <c r="Z346" s="6" t="b">
        <v>0</v>
      </c>
      <c r="AA346" s="9"/>
      <c r="AB346" s="9"/>
    </row>
    <row r="347" spans="1:28" ht="16">
      <c r="A347" s="6">
        <v>398</v>
      </c>
      <c r="B347" s="8" t="s">
        <v>197</v>
      </c>
      <c r="C347" s="8" t="s">
        <v>104</v>
      </c>
      <c r="D347" s="8" t="s">
        <v>758</v>
      </c>
      <c r="E347" s="8" t="s">
        <v>756</v>
      </c>
      <c r="F347" s="6">
        <v>397</v>
      </c>
      <c r="G347" s="6" t="b">
        <v>0</v>
      </c>
      <c r="H347" s="8" t="s">
        <v>480</v>
      </c>
      <c r="I347" s="6" t="b">
        <v>0</v>
      </c>
      <c r="J347" s="6" t="b">
        <v>0</v>
      </c>
      <c r="K347" s="6" t="b">
        <v>0</v>
      </c>
      <c r="L347" s="6" t="b">
        <v>1</v>
      </c>
      <c r="M347" s="6" t="b">
        <v>0</v>
      </c>
      <c r="N347" s="6">
        <v>2</v>
      </c>
      <c r="O347" s="8" t="s">
        <v>331</v>
      </c>
      <c r="P347" s="8" t="s">
        <v>380</v>
      </c>
      <c r="Q347" s="8" t="s">
        <v>502</v>
      </c>
      <c r="R347" s="6">
        <v>1</v>
      </c>
      <c r="S347" s="8" t="s">
        <v>237</v>
      </c>
      <c r="T347" s="9"/>
      <c r="U347" s="8" t="s">
        <v>240</v>
      </c>
      <c r="V347" s="8" t="s">
        <v>510</v>
      </c>
      <c r="W347" s="8" t="s">
        <v>386</v>
      </c>
      <c r="X347" s="8" t="s">
        <v>240</v>
      </c>
      <c r="Y347" s="8" t="s">
        <v>240</v>
      </c>
      <c r="Z347" s="6" t="b">
        <v>0</v>
      </c>
      <c r="AA347" s="9"/>
      <c r="AB347" s="9"/>
    </row>
    <row r="348" spans="1:28" ht="16">
      <c r="A348" s="6">
        <v>400</v>
      </c>
      <c r="B348" s="8" t="s">
        <v>197</v>
      </c>
      <c r="C348" s="8" t="s">
        <v>104</v>
      </c>
      <c r="D348" s="8" t="s">
        <v>759</v>
      </c>
      <c r="E348" s="8" t="s">
        <v>756</v>
      </c>
      <c r="F348" s="6">
        <v>397</v>
      </c>
      <c r="G348" s="6" t="b">
        <v>0</v>
      </c>
      <c r="H348" s="8" t="s">
        <v>480</v>
      </c>
      <c r="I348" s="6" t="b">
        <v>0</v>
      </c>
      <c r="J348" s="6" t="b">
        <v>0</v>
      </c>
      <c r="K348" s="6" t="b">
        <v>0</v>
      </c>
      <c r="L348" s="6" t="b">
        <v>1</v>
      </c>
      <c r="M348" s="6" t="b">
        <v>0</v>
      </c>
      <c r="N348" s="6">
        <v>2</v>
      </c>
      <c r="O348" s="8" t="s">
        <v>331</v>
      </c>
      <c r="P348" s="8" t="s">
        <v>380</v>
      </c>
      <c r="Q348" s="8" t="s">
        <v>502</v>
      </c>
      <c r="R348" s="6">
        <v>1</v>
      </c>
      <c r="S348" s="8" t="s">
        <v>347</v>
      </c>
      <c r="T348" s="9"/>
      <c r="U348" s="8" t="s">
        <v>240</v>
      </c>
      <c r="V348" s="8" t="s">
        <v>510</v>
      </c>
      <c r="W348" s="8" t="s">
        <v>386</v>
      </c>
      <c r="X348" s="8" t="s">
        <v>240</v>
      </c>
      <c r="Y348" s="8" t="s">
        <v>240</v>
      </c>
      <c r="Z348" s="6" t="b">
        <v>0</v>
      </c>
      <c r="AA348" s="9"/>
      <c r="AB348" s="9"/>
    </row>
    <row r="349" spans="1:28" ht="16">
      <c r="A349" s="6">
        <v>402</v>
      </c>
      <c r="B349" s="8" t="s">
        <v>197</v>
      </c>
      <c r="C349" s="8" t="s">
        <v>104</v>
      </c>
      <c r="D349" s="8" t="s">
        <v>104</v>
      </c>
      <c r="E349" s="8" t="s">
        <v>104</v>
      </c>
      <c r="F349" s="6">
        <v>402</v>
      </c>
      <c r="G349" s="6" t="b">
        <v>0</v>
      </c>
      <c r="H349" s="8" t="s">
        <v>480</v>
      </c>
      <c r="I349" s="6" t="b">
        <v>0</v>
      </c>
      <c r="J349" s="6" t="b">
        <v>0</v>
      </c>
      <c r="K349" s="6" t="b">
        <v>0</v>
      </c>
      <c r="L349" s="6" t="b">
        <v>1</v>
      </c>
      <c r="M349" s="6" t="b">
        <v>0</v>
      </c>
      <c r="N349" s="6">
        <v>2</v>
      </c>
      <c r="O349" s="8" t="s">
        <v>331</v>
      </c>
      <c r="P349" s="8" t="s">
        <v>380</v>
      </c>
      <c r="Q349" s="8" t="s">
        <v>502</v>
      </c>
      <c r="R349" s="6">
        <v>2</v>
      </c>
      <c r="S349" s="8" t="s">
        <v>331</v>
      </c>
      <c r="T349" s="6">
        <v>2</v>
      </c>
      <c r="U349" s="8" t="s">
        <v>240</v>
      </c>
      <c r="V349" s="8" t="s">
        <v>524</v>
      </c>
      <c r="W349" s="8" t="s">
        <v>240</v>
      </c>
      <c r="X349" s="8" t="s">
        <v>240</v>
      </c>
      <c r="Y349" s="8" t="s">
        <v>760</v>
      </c>
      <c r="Z349" s="6" t="b">
        <v>0</v>
      </c>
      <c r="AA349" s="9"/>
      <c r="AB349" s="9"/>
    </row>
    <row r="350" spans="1:28" ht="16">
      <c r="A350" s="6">
        <v>403</v>
      </c>
      <c r="B350" s="8" t="s">
        <v>197</v>
      </c>
      <c r="C350" s="8" t="s">
        <v>105</v>
      </c>
      <c r="D350" s="8" t="s">
        <v>761</v>
      </c>
      <c r="E350" s="8" t="s">
        <v>761</v>
      </c>
      <c r="F350" s="6">
        <v>403</v>
      </c>
      <c r="G350" s="6" t="b">
        <v>0</v>
      </c>
      <c r="H350" s="8" t="s">
        <v>480</v>
      </c>
      <c r="I350" s="6" t="b">
        <v>0</v>
      </c>
      <c r="J350" s="6" t="b">
        <v>0</v>
      </c>
      <c r="K350" s="6" t="b">
        <v>0</v>
      </c>
      <c r="L350" s="6" t="b">
        <v>1</v>
      </c>
      <c r="M350" s="6" t="b">
        <v>0</v>
      </c>
      <c r="N350" s="6">
        <v>1</v>
      </c>
      <c r="O350" s="8" t="s">
        <v>331</v>
      </c>
      <c r="P350" s="8" t="s">
        <v>238</v>
      </c>
      <c r="Q350" s="8" t="s">
        <v>762</v>
      </c>
      <c r="R350" s="6">
        <v>1</v>
      </c>
      <c r="S350" s="8" t="s">
        <v>347</v>
      </c>
      <c r="T350" s="6">
        <v>3</v>
      </c>
      <c r="U350" s="8" t="s">
        <v>240</v>
      </c>
      <c r="V350" s="8" t="s">
        <v>482</v>
      </c>
      <c r="W350" s="8" t="s">
        <v>240</v>
      </c>
      <c r="X350" s="8" t="s">
        <v>240</v>
      </c>
      <c r="Y350" s="8" t="s">
        <v>240</v>
      </c>
      <c r="Z350" s="6" t="b">
        <v>0</v>
      </c>
      <c r="AA350" s="9"/>
      <c r="AB350" s="9"/>
    </row>
    <row r="351" spans="1:28" ht="16">
      <c r="A351" s="6">
        <v>404</v>
      </c>
      <c r="B351" s="8" t="s">
        <v>197</v>
      </c>
      <c r="C351" s="8" t="s">
        <v>105</v>
      </c>
      <c r="D351" s="8" t="s">
        <v>763</v>
      </c>
      <c r="E351" s="8" t="s">
        <v>761</v>
      </c>
      <c r="F351" s="6">
        <v>404</v>
      </c>
      <c r="G351" s="6" t="b">
        <v>0</v>
      </c>
      <c r="H351" s="8" t="s">
        <v>480</v>
      </c>
      <c r="I351" s="6" t="b">
        <v>0</v>
      </c>
      <c r="J351" s="6" t="b">
        <v>0</v>
      </c>
      <c r="K351" s="6" t="b">
        <v>0</v>
      </c>
      <c r="L351" s="6" t="b">
        <v>1</v>
      </c>
      <c r="M351" s="6" t="b">
        <v>0</v>
      </c>
      <c r="N351" s="6">
        <v>1</v>
      </c>
      <c r="O351" s="8" t="s">
        <v>331</v>
      </c>
      <c r="P351" s="8" t="s">
        <v>238</v>
      </c>
      <c r="Q351" s="8" t="s">
        <v>239</v>
      </c>
      <c r="R351" s="6">
        <v>3</v>
      </c>
      <c r="S351" s="8" t="s">
        <v>335</v>
      </c>
      <c r="T351" s="9"/>
      <c r="U351" s="8" t="s">
        <v>240</v>
      </c>
      <c r="V351" s="8" t="s">
        <v>482</v>
      </c>
      <c r="W351" s="8" t="s">
        <v>240</v>
      </c>
      <c r="X351" s="8" t="s">
        <v>240</v>
      </c>
      <c r="Y351" s="8" t="s">
        <v>240</v>
      </c>
      <c r="Z351" s="6" t="b">
        <v>0</v>
      </c>
      <c r="AA351" s="9"/>
      <c r="AB351" s="9"/>
    </row>
    <row r="352" spans="1:28" ht="16">
      <c r="A352" s="6">
        <v>405</v>
      </c>
      <c r="B352" s="8" t="s">
        <v>197</v>
      </c>
      <c r="C352" s="8" t="s">
        <v>106</v>
      </c>
      <c r="D352" s="8" t="s">
        <v>764</v>
      </c>
      <c r="E352" s="8" t="s">
        <v>764</v>
      </c>
      <c r="F352" s="6">
        <v>405</v>
      </c>
      <c r="G352" s="6" t="b">
        <v>0</v>
      </c>
      <c r="H352" s="8" t="s">
        <v>480</v>
      </c>
      <c r="I352" s="6" t="b">
        <v>0</v>
      </c>
      <c r="J352" s="6" t="b">
        <v>0</v>
      </c>
      <c r="K352" s="6" t="b">
        <v>0</v>
      </c>
      <c r="L352" s="6" t="b">
        <v>1</v>
      </c>
      <c r="M352" s="6" t="b">
        <v>0</v>
      </c>
      <c r="N352" s="6">
        <v>2</v>
      </c>
      <c r="O352" s="8" t="s">
        <v>331</v>
      </c>
      <c r="P352" s="8" t="s">
        <v>380</v>
      </c>
      <c r="Q352" s="8" t="s">
        <v>381</v>
      </c>
      <c r="R352" s="6">
        <v>2</v>
      </c>
      <c r="S352" s="8" t="s">
        <v>75</v>
      </c>
      <c r="T352" s="9"/>
      <c r="U352" s="8" t="s">
        <v>240</v>
      </c>
      <c r="V352" s="8" t="s">
        <v>524</v>
      </c>
      <c r="W352" s="8" t="s">
        <v>240</v>
      </c>
      <c r="X352" s="8" t="s">
        <v>240</v>
      </c>
      <c r="Y352" s="8" t="s">
        <v>765</v>
      </c>
      <c r="Z352" s="6" t="b">
        <v>0</v>
      </c>
      <c r="AA352" s="9"/>
      <c r="AB352" s="9"/>
    </row>
    <row r="353" spans="1:28" ht="32">
      <c r="A353" s="6">
        <v>406</v>
      </c>
      <c r="B353" s="8" t="s">
        <v>197</v>
      </c>
      <c r="C353" s="8" t="s">
        <v>106</v>
      </c>
      <c r="D353" s="8" t="s">
        <v>766</v>
      </c>
      <c r="E353" s="8" t="s">
        <v>764</v>
      </c>
      <c r="F353" s="6">
        <v>405</v>
      </c>
      <c r="G353" s="6" t="b">
        <v>0</v>
      </c>
      <c r="H353" s="8" t="s">
        <v>480</v>
      </c>
      <c r="I353" s="6" t="b">
        <v>0</v>
      </c>
      <c r="J353" s="6" t="b">
        <v>0</v>
      </c>
      <c r="K353" s="6" t="b">
        <v>0</v>
      </c>
      <c r="L353" s="6" t="b">
        <v>1</v>
      </c>
      <c r="M353" s="6" t="b">
        <v>0</v>
      </c>
      <c r="N353" s="6">
        <v>2</v>
      </c>
      <c r="O353" s="8" t="s">
        <v>331</v>
      </c>
      <c r="P353" s="8" t="s">
        <v>380</v>
      </c>
      <c r="Q353" s="8" t="s">
        <v>381</v>
      </c>
      <c r="R353" s="6">
        <v>1</v>
      </c>
      <c r="S353" s="8" t="s">
        <v>347</v>
      </c>
      <c r="T353" s="9"/>
      <c r="U353" s="8" t="s">
        <v>767</v>
      </c>
      <c r="V353" s="8" t="s">
        <v>524</v>
      </c>
      <c r="W353" s="8" t="s">
        <v>240</v>
      </c>
      <c r="X353" s="8" t="s">
        <v>240</v>
      </c>
      <c r="Y353" s="8" t="s">
        <v>768</v>
      </c>
      <c r="Z353" s="6" t="b">
        <v>0</v>
      </c>
      <c r="AA353" s="9"/>
      <c r="AB353" s="9"/>
    </row>
    <row r="354" spans="1:28" ht="16">
      <c r="A354" s="6">
        <v>407</v>
      </c>
      <c r="B354" s="8" t="s">
        <v>197</v>
      </c>
      <c r="C354" s="8" t="s">
        <v>104</v>
      </c>
      <c r="D354" s="8" t="s">
        <v>769</v>
      </c>
      <c r="E354" s="8" t="s">
        <v>769</v>
      </c>
      <c r="F354" s="6">
        <v>407</v>
      </c>
      <c r="G354" s="6" t="b">
        <v>0</v>
      </c>
      <c r="H354" s="8" t="s">
        <v>480</v>
      </c>
      <c r="I354" s="6" t="b">
        <v>0</v>
      </c>
      <c r="J354" s="6" t="b">
        <v>0</v>
      </c>
      <c r="K354" s="6" t="b">
        <v>0</v>
      </c>
      <c r="L354" s="6" t="b">
        <v>1</v>
      </c>
      <c r="M354" s="6" t="b">
        <v>0</v>
      </c>
      <c r="N354" s="6">
        <v>2</v>
      </c>
      <c r="O354" s="8" t="s">
        <v>331</v>
      </c>
      <c r="P354" s="8" t="s">
        <v>380</v>
      </c>
      <c r="Q354" s="8" t="s">
        <v>335</v>
      </c>
      <c r="R354" s="6">
        <v>2</v>
      </c>
      <c r="S354" s="8" t="s">
        <v>75</v>
      </c>
      <c r="T354" s="6">
        <v>2</v>
      </c>
      <c r="U354" s="8" t="s">
        <v>240</v>
      </c>
      <c r="V354" s="8" t="s">
        <v>524</v>
      </c>
      <c r="W354" s="8" t="s">
        <v>386</v>
      </c>
      <c r="X354" s="8" t="s">
        <v>240</v>
      </c>
      <c r="Y354" s="8" t="s">
        <v>770</v>
      </c>
      <c r="Z354" s="6" t="b">
        <v>0</v>
      </c>
      <c r="AA354" s="9"/>
      <c r="AB354" s="9"/>
    </row>
    <row r="355" spans="1:28" ht="16">
      <c r="A355" s="6">
        <v>408</v>
      </c>
      <c r="B355" s="8" t="s">
        <v>197</v>
      </c>
      <c r="C355" s="8" t="s">
        <v>104</v>
      </c>
      <c r="D355" s="8" t="s">
        <v>771</v>
      </c>
      <c r="E355" s="8" t="s">
        <v>769</v>
      </c>
      <c r="F355" s="6">
        <v>407</v>
      </c>
      <c r="G355" s="6" t="b">
        <v>0</v>
      </c>
      <c r="H355" s="8" t="s">
        <v>480</v>
      </c>
      <c r="I355" s="6" t="b">
        <v>0</v>
      </c>
      <c r="J355" s="6" t="b">
        <v>0</v>
      </c>
      <c r="K355" s="6" t="b">
        <v>0</v>
      </c>
      <c r="L355" s="6" t="b">
        <v>1</v>
      </c>
      <c r="M355" s="6" t="b">
        <v>0</v>
      </c>
      <c r="N355" s="6">
        <v>2</v>
      </c>
      <c r="O355" s="8" t="s">
        <v>331</v>
      </c>
      <c r="P355" s="8" t="s">
        <v>380</v>
      </c>
      <c r="Q355" s="8" t="s">
        <v>335</v>
      </c>
      <c r="R355" s="6">
        <v>1</v>
      </c>
      <c r="S355" s="8" t="s">
        <v>523</v>
      </c>
      <c r="T355" s="9"/>
      <c r="U355" s="8" t="s">
        <v>772</v>
      </c>
      <c r="V355" s="8" t="s">
        <v>524</v>
      </c>
      <c r="W355" s="8" t="s">
        <v>386</v>
      </c>
      <c r="X355" s="8" t="s">
        <v>240</v>
      </c>
      <c r="Y355" s="8" t="s">
        <v>240</v>
      </c>
      <c r="Z355" s="6" t="b">
        <v>0</v>
      </c>
      <c r="AA355" s="9"/>
      <c r="AB355" s="9"/>
    </row>
    <row r="356" spans="1:28" ht="16">
      <c r="A356" s="6">
        <v>409</v>
      </c>
      <c r="B356" s="8" t="s">
        <v>197</v>
      </c>
      <c r="C356" s="8" t="s">
        <v>498</v>
      </c>
      <c r="D356" s="8" t="s">
        <v>773</v>
      </c>
      <c r="E356" s="8" t="s">
        <v>773</v>
      </c>
      <c r="F356" s="6">
        <v>409</v>
      </c>
      <c r="G356" s="6" t="b">
        <v>0</v>
      </c>
      <c r="H356" s="8" t="s">
        <v>480</v>
      </c>
      <c r="I356" s="6" t="b">
        <v>0</v>
      </c>
      <c r="J356" s="6" t="b">
        <v>0</v>
      </c>
      <c r="K356" s="6" t="b">
        <v>0</v>
      </c>
      <c r="L356" s="6" t="b">
        <v>1</v>
      </c>
      <c r="M356" s="6" t="b">
        <v>0</v>
      </c>
      <c r="N356" s="6">
        <v>1</v>
      </c>
      <c r="O356" s="8" t="s">
        <v>331</v>
      </c>
      <c r="P356" s="8" t="s">
        <v>380</v>
      </c>
      <c r="Q356" s="8" t="s">
        <v>502</v>
      </c>
      <c r="R356" s="6">
        <v>1</v>
      </c>
      <c r="S356" s="8" t="s">
        <v>335</v>
      </c>
      <c r="T356" s="6">
        <v>1</v>
      </c>
      <c r="U356" s="8" t="s">
        <v>240</v>
      </c>
      <c r="V356" s="8" t="s">
        <v>524</v>
      </c>
      <c r="W356" s="8" t="s">
        <v>386</v>
      </c>
      <c r="X356" s="8" t="s">
        <v>240</v>
      </c>
      <c r="Y356" s="8" t="s">
        <v>240</v>
      </c>
      <c r="Z356" s="6" t="b">
        <v>0</v>
      </c>
      <c r="AA356" s="9"/>
      <c r="AB356" s="9"/>
    </row>
    <row r="357" spans="1:28" ht="16">
      <c r="A357" s="6">
        <v>410</v>
      </c>
      <c r="B357" s="8" t="s">
        <v>197</v>
      </c>
      <c r="C357" s="8" t="s">
        <v>498</v>
      </c>
      <c r="D357" s="8" t="s">
        <v>774</v>
      </c>
      <c r="E357" s="8" t="s">
        <v>773</v>
      </c>
      <c r="F357" s="6">
        <v>409</v>
      </c>
      <c r="G357" s="6" t="b">
        <v>0</v>
      </c>
      <c r="H357" s="8" t="s">
        <v>480</v>
      </c>
      <c r="I357" s="6" t="b">
        <v>0</v>
      </c>
      <c r="J357" s="6" t="b">
        <v>0</v>
      </c>
      <c r="K357" s="6" t="b">
        <v>0</v>
      </c>
      <c r="L357" s="6" t="b">
        <v>1</v>
      </c>
      <c r="M357" s="6" t="b">
        <v>0</v>
      </c>
      <c r="N357" s="6">
        <v>1</v>
      </c>
      <c r="O357" s="8" t="s">
        <v>331</v>
      </c>
      <c r="P357" s="8" t="s">
        <v>380</v>
      </c>
      <c r="Q357" s="8" t="s">
        <v>502</v>
      </c>
      <c r="R357" s="6">
        <v>1</v>
      </c>
      <c r="S357" s="8" t="s">
        <v>347</v>
      </c>
      <c r="T357" s="9"/>
      <c r="U357" s="8" t="s">
        <v>240</v>
      </c>
      <c r="V357" s="8" t="s">
        <v>524</v>
      </c>
      <c r="W357" s="8" t="s">
        <v>386</v>
      </c>
      <c r="X357" s="8" t="s">
        <v>240</v>
      </c>
      <c r="Y357" s="8" t="s">
        <v>240</v>
      </c>
      <c r="Z357" s="6" t="b">
        <v>0</v>
      </c>
      <c r="AA357" s="9"/>
      <c r="AB357" s="9"/>
    </row>
    <row r="358" spans="1:28" ht="16">
      <c r="A358" s="6">
        <v>411</v>
      </c>
      <c r="B358" s="8" t="s">
        <v>197</v>
      </c>
      <c r="C358" s="8" t="s">
        <v>498</v>
      </c>
      <c r="D358" s="8" t="s">
        <v>775</v>
      </c>
      <c r="E358" s="8" t="s">
        <v>773</v>
      </c>
      <c r="F358" s="6">
        <v>409</v>
      </c>
      <c r="G358" s="6" t="b">
        <v>0</v>
      </c>
      <c r="H358" s="8" t="s">
        <v>480</v>
      </c>
      <c r="I358" s="6" t="b">
        <v>0</v>
      </c>
      <c r="J358" s="6" t="b">
        <v>0</v>
      </c>
      <c r="K358" s="6" t="b">
        <v>0</v>
      </c>
      <c r="L358" s="6" t="b">
        <v>1</v>
      </c>
      <c r="M358" s="6" t="b">
        <v>0</v>
      </c>
      <c r="N358" s="6">
        <v>1</v>
      </c>
      <c r="O358" s="8" t="s">
        <v>331</v>
      </c>
      <c r="P358" s="8" t="s">
        <v>380</v>
      </c>
      <c r="Q358" s="8" t="s">
        <v>502</v>
      </c>
      <c r="R358" s="6">
        <v>1</v>
      </c>
      <c r="S358" s="8" t="s">
        <v>335</v>
      </c>
      <c r="T358" s="9"/>
      <c r="U358" s="8" t="s">
        <v>240</v>
      </c>
      <c r="V358" s="8" t="s">
        <v>524</v>
      </c>
      <c r="W358" s="8" t="s">
        <v>386</v>
      </c>
      <c r="X358" s="8" t="s">
        <v>240</v>
      </c>
      <c r="Y358" s="8" t="s">
        <v>240</v>
      </c>
      <c r="Z358" s="6" t="b">
        <v>0</v>
      </c>
      <c r="AA358" s="9"/>
      <c r="AB358" s="9"/>
    </row>
    <row r="359" spans="1:28" ht="16">
      <c r="A359" s="6">
        <v>412</v>
      </c>
      <c r="B359" s="8" t="s">
        <v>197</v>
      </c>
      <c r="C359" s="8" t="s">
        <v>105</v>
      </c>
      <c r="D359" s="8" t="s">
        <v>776</v>
      </c>
      <c r="E359" s="8" t="s">
        <v>776</v>
      </c>
      <c r="F359" s="6">
        <v>412</v>
      </c>
      <c r="G359" s="6" t="b">
        <v>0</v>
      </c>
      <c r="H359" s="8" t="s">
        <v>480</v>
      </c>
      <c r="I359" s="6" t="b">
        <v>0</v>
      </c>
      <c r="J359" s="6" t="b">
        <v>0</v>
      </c>
      <c r="K359" s="6" t="b">
        <v>0</v>
      </c>
      <c r="L359" s="6" t="b">
        <v>1</v>
      </c>
      <c r="M359" s="6" t="b">
        <v>0</v>
      </c>
      <c r="N359" s="6">
        <v>1</v>
      </c>
      <c r="O359" s="8" t="s">
        <v>331</v>
      </c>
      <c r="P359" s="8" t="s">
        <v>238</v>
      </c>
      <c r="Q359" s="8" t="s">
        <v>446</v>
      </c>
      <c r="R359" s="6">
        <v>1</v>
      </c>
      <c r="S359" s="8" t="s">
        <v>75</v>
      </c>
      <c r="T359" s="6">
        <v>1</v>
      </c>
      <c r="U359" s="8" t="s">
        <v>240</v>
      </c>
      <c r="V359" s="8" t="s">
        <v>482</v>
      </c>
      <c r="W359" s="8" t="s">
        <v>386</v>
      </c>
      <c r="X359" s="8" t="s">
        <v>240</v>
      </c>
      <c r="Y359" s="8" t="s">
        <v>240</v>
      </c>
      <c r="Z359" s="6" t="b">
        <v>0</v>
      </c>
      <c r="AA359" s="9"/>
      <c r="AB359" s="9"/>
    </row>
    <row r="360" spans="1:28" ht="32">
      <c r="A360" s="6">
        <v>413</v>
      </c>
      <c r="B360" s="8" t="s">
        <v>197</v>
      </c>
      <c r="C360" s="8" t="s">
        <v>105</v>
      </c>
      <c r="D360" s="8" t="s">
        <v>777</v>
      </c>
      <c r="E360" s="8" t="s">
        <v>776</v>
      </c>
      <c r="F360" s="6">
        <v>412</v>
      </c>
      <c r="G360" s="6" t="b">
        <v>0</v>
      </c>
      <c r="H360" s="8" t="s">
        <v>480</v>
      </c>
      <c r="I360" s="6" t="b">
        <v>0</v>
      </c>
      <c r="J360" s="6" t="b">
        <v>0</v>
      </c>
      <c r="K360" s="6" t="b">
        <v>0</v>
      </c>
      <c r="L360" s="6" t="b">
        <v>1</v>
      </c>
      <c r="M360" s="6" t="b">
        <v>0</v>
      </c>
      <c r="N360" s="6">
        <v>1</v>
      </c>
      <c r="O360" s="8" t="s">
        <v>331</v>
      </c>
      <c r="P360" s="8" t="s">
        <v>238</v>
      </c>
      <c r="Q360" s="8" t="s">
        <v>335</v>
      </c>
      <c r="R360" s="6">
        <v>1</v>
      </c>
      <c r="S360" s="8" t="s">
        <v>335</v>
      </c>
      <c r="T360" s="6">
        <v>1</v>
      </c>
      <c r="U360" s="8" t="s">
        <v>240</v>
      </c>
      <c r="V360" s="8" t="s">
        <v>482</v>
      </c>
      <c r="W360" s="8" t="s">
        <v>386</v>
      </c>
      <c r="X360" s="8" t="s">
        <v>240</v>
      </c>
      <c r="Y360" s="8" t="s">
        <v>778</v>
      </c>
      <c r="Z360" s="6" t="b">
        <v>0</v>
      </c>
      <c r="AA360" s="9"/>
      <c r="AB360" s="9"/>
    </row>
    <row r="361" spans="1:28" ht="16">
      <c r="A361" s="6">
        <v>414</v>
      </c>
      <c r="B361" s="8" t="s">
        <v>197</v>
      </c>
      <c r="C361" s="8" t="s">
        <v>105</v>
      </c>
      <c r="D361" s="8" t="s">
        <v>779</v>
      </c>
      <c r="E361" s="8" t="s">
        <v>776</v>
      </c>
      <c r="F361" s="6">
        <v>412</v>
      </c>
      <c r="G361" s="6" t="b">
        <v>0</v>
      </c>
      <c r="H361" s="8" t="s">
        <v>480</v>
      </c>
      <c r="I361" s="6" t="b">
        <v>0</v>
      </c>
      <c r="J361" s="6" t="b">
        <v>0</v>
      </c>
      <c r="K361" s="6" t="b">
        <v>0</v>
      </c>
      <c r="L361" s="6" t="b">
        <v>1</v>
      </c>
      <c r="M361" s="6" t="b">
        <v>0</v>
      </c>
      <c r="N361" s="6">
        <v>1</v>
      </c>
      <c r="O361" s="8" t="s">
        <v>331</v>
      </c>
      <c r="P361" s="8" t="s">
        <v>238</v>
      </c>
      <c r="Q361" s="8" t="s">
        <v>335</v>
      </c>
      <c r="R361" s="6">
        <v>1</v>
      </c>
      <c r="S361" s="8" t="s">
        <v>502</v>
      </c>
      <c r="T361" s="6">
        <v>5</v>
      </c>
      <c r="U361" s="8" t="s">
        <v>240</v>
      </c>
      <c r="V361" s="8" t="s">
        <v>482</v>
      </c>
      <c r="W361" s="8" t="s">
        <v>386</v>
      </c>
      <c r="X361" s="8" t="s">
        <v>240</v>
      </c>
      <c r="Y361" s="8" t="s">
        <v>780</v>
      </c>
      <c r="Z361" s="6" t="b">
        <v>0</v>
      </c>
      <c r="AA361" s="9"/>
      <c r="AB361" s="9"/>
    </row>
    <row r="362" spans="1:28" ht="16">
      <c r="A362" s="6">
        <v>415</v>
      </c>
      <c r="B362" s="8" t="s">
        <v>197</v>
      </c>
      <c r="C362" s="8" t="s">
        <v>530</v>
      </c>
      <c r="D362" s="8" t="s">
        <v>781</v>
      </c>
      <c r="E362" s="8" t="s">
        <v>781</v>
      </c>
      <c r="F362" s="6">
        <v>415</v>
      </c>
      <c r="G362" s="6" t="b">
        <v>0</v>
      </c>
      <c r="H362" s="8" t="s">
        <v>480</v>
      </c>
      <c r="I362" s="6" t="b">
        <v>0</v>
      </c>
      <c r="J362" s="6" t="b">
        <v>0</v>
      </c>
      <c r="K362" s="6" t="b">
        <v>0</v>
      </c>
      <c r="L362" s="6" t="b">
        <v>1</v>
      </c>
      <c r="M362" s="6" t="b">
        <v>0</v>
      </c>
      <c r="N362" s="6">
        <v>0</v>
      </c>
      <c r="O362" s="8" t="s">
        <v>331</v>
      </c>
      <c r="P362" s="8" t="s">
        <v>380</v>
      </c>
      <c r="Q362" s="8" t="s">
        <v>381</v>
      </c>
      <c r="R362" s="6">
        <v>0</v>
      </c>
      <c r="S362" s="8" t="s">
        <v>75</v>
      </c>
      <c r="T362" s="9"/>
      <c r="U362" s="8" t="s">
        <v>240</v>
      </c>
      <c r="V362" s="8" t="s">
        <v>482</v>
      </c>
      <c r="W362" s="8" t="s">
        <v>386</v>
      </c>
      <c r="X362" s="8" t="s">
        <v>240</v>
      </c>
      <c r="Y362" s="8" t="s">
        <v>240</v>
      </c>
      <c r="Z362" s="6" t="b">
        <v>0</v>
      </c>
      <c r="AA362" s="9"/>
      <c r="AB362" s="9"/>
    </row>
    <row r="363" spans="1:28" ht="16">
      <c r="A363" s="6">
        <v>416</v>
      </c>
      <c r="B363" s="8" t="s">
        <v>197</v>
      </c>
      <c r="C363" s="8" t="s">
        <v>530</v>
      </c>
      <c r="D363" s="8" t="s">
        <v>782</v>
      </c>
      <c r="E363" s="8" t="s">
        <v>781</v>
      </c>
      <c r="F363" s="6">
        <v>415</v>
      </c>
      <c r="G363" s="6" t="b">
        <v>0</v>
      </c>
      <c r="H363" s="8" t="s">
        <v>480</v>
      </c>
      <c r="I363" s="6" t="b">
        <v>0</v>
      </c>
      <c r="J363" s="6" t="b">
        <v>0</v>
      </c>
      <c r="K363" s="6" t="b">
        <v>0</v>
      </c>
      <c r="L363" s="6" t="b">
        <v>1</v>
      </c>
      <c r="M363" s="6" t="b">
        <v>0</v>
      </c>
      <c r="N363" s="6">
        <v>0</v>
      </c>
      <c r="O363" s="8" t="s">
        <v>331</v>
      </c>
      <c r="P363" s="8" t="s">
        <v>380</v>
      </c>
      <c r="Q363" s="8" t="s">
        <v>381</v>
      </c>
      <c r="R363" s="6">
        <v>0</v>
      </c>
      <c r="S363" s="8" t="s">
        <v>75</v>
      </c>
      <c r="T363" s="9"/>
      <c r="U363" s="8" t="s">
        <v>240</v>
      </c>
      <c r="V363" s="8"/>
      <c r="W363" s="8" t="s">
        <v>386</v>
      </c>
      <c r="X363" s="8" t="s">
        <v>240</v>
      </c>
      <c r="Y363" s="8" t="s">
        <v>240</v>
      </c>
      <c r="Z363" s="6" t="b">
        <v>0</v>
      </c>
      <c r="AA363" s="9"/>
      <c r="AB363" s="9"/>
    </row>
    <row r="364" spans="1:28" ht="16">
      <c r="A364" s="6">
        <v>417</v>
      </c>
      <c r="B364" s="8" t="s">
        <v>197</v>
      </c>
      <c r="C364" s="8" t="s">
        <v>783</v>
      </c>
      <c r="D364" s="8" t="s">
        <v>784</v>
      </c>
      <c r="E364" s="8" t="s">
        <v>784</v>
      </c>
      <c r="F364" s="6">
        <v>417</v>
      </c>
      <c r="G364" s="6" t="b">
        <v>0</v>
      </c>
      <c r="H364" s="8" t="s">
        <v>480</v>
      </c>
      <c r="I364" s="6" t="b">
        <v>0</v>
      </c>
      <c r="J364" s="6" t="b">
        <v>0</v>
      </c>
      <c r="K364" s="6" t="b">
        <v>0</v>
      </c>
      <c r="L364" s="6" t="b">
        <v>1</v>
      </c>
      <c r="M364" s="6" t="b">
        <v>0</v>
      </c>
      <c r="N364" s="6">
        <v>1</v>
      </c>
      <c r="O364" s="8" t="s">
        <v>237</v>
      </c>
      <c r="P364" s="8" t="s">
        <v>380</v>
      </c>
      <c r="Q364" s="8" t="s">
        <v>446</v>
      </c>
      <c r="R364" s="6">
        <v>1</v>
      </c>
      <c r="S364" s="8" t="s">
        <v>75</v>
      </c>
      <c r="T364" s="9"/>
      <c r="U364" s="8" t="s">
        <v>240</v>
      </c>
      <c r="V364" s="8" t="s">
        <v>524</v>
      </c>
      <c r="W364" s="8" t="s">
        <v>386</v>
      </c>
      <c r="X364" s="8" t="s">
        <v>240</v>
      </c>
      <c r="Y364" s="8" t="s">
        <v>785</v>
      </c>
      <c r="Z364" s="6" t="b">
        <v>0</v>
      </c>
      <c r="AA364" s="9"/>
      <c r="AB364" s="9"/>
    </row>
    <row r="365" spans="1:28" ht="16">
      <c r="A365" s="6">
        <v>418</v>
      </c>
      <c r="B365" s="8" t="s">
        <v>197</v>
      </c>
      <c r="C365" s="8" t="s">
        <v>783</v>
      </c>
      <c r="D365" s="8" t="s">
        <v>783</v>
      </c>
      <c r="E365" s="8" t="s">
        <v>783</v>
      </c>
      <c r="F365" s="6">
        <v>418</v>
      </c>
      <c r="G365" s="6" t="b">
        <v>0</v>
      </c>
      <c r="H365" s="8" t="s">
        <v>480</v>
      </c>
      <c r="I365" s="6" t="b">
        <v>0</v>
      </c>
      <c r="J365" s="6" t="b">
        <v>0</v>
      </c>
      <c r="K365" s="6" t="b">
        <v>0</v>
      </c>
      <c r="L365" s="6" t="b">
        <v>1</v>
      </c>
      <c r="M365" s="6" t="b">
        <v>0</v>
      </c>
      <c r="N365" s="6">
        <v>1</v>
      </c>
      <c r="O365" s="8" t="s">
        <v>237</v>
      </c>
      <c r="P365" s="8" t="s">
        <v>380</v>
      </c>
      <c r="Q365" s="8" t="s">
        <v>381</v>
      </c>
      <c r="R365" s="6">
        <v>1</v>
      </c>
      <c r="S365" s="8" t="s">
        <v>237</v>
      </c>
      <c r="T365" s="9"/>
      <c r="U365" s="8" t="s">
        <v>240</v>
      </c>
      <c r="V365" s="8" t="s">
        <v>524</v>
      </c>
      <c r="W365" s="8" t="s">
        <v>240</v>
      </c>
      <c r="X365" s="8" t="s">
        <v>240</v>
      </c>
      <c r="Y365" s="8" t="s">
        <v>240</v>
      </c>
      <c r="Z365" s="6" t="b">
        <v>0</v>
      </c>
      <c r="AA365" s="9"/>
      <c r="AB365" s="9"/>
    </row>
    <row r="366" spans="1:28" ht="16">
      <c r="A366" s="6">
        <v>419</v>
      </c>
      <c r="B366" s="8" t="s">
        <v>197</v>
      </c>
      <c r="C366" s="8" t="s">
        <v>105</v>
      </c>
      <c r="D366" s="8" t="s">
        <v>786</v>
      </c>
      <c r="E366" s="8" t="s">
        <v>786</v>
      </c>
      <c r="F366" s="6">
        <v>419</v>
      </c>
      <c r="G366" s="6" t="b">
        <v>0</v>
      </c>
      <c r="H366" s="8" t="s">
        <v>480</v>
      </c>
      <c r="I366" s="6" t="b">
        <v>0</v>
      </c>
      <c r="J366" s="6" t="b">
        <v>0</v>
      </c>
      <c r="K366" s="6" t="b">
        <v>0</v>
      </c>
      <c r="L366" s="6" t="b">
        <v>1</v>
      </c>
      <c r="M366" s="6" t="b">
        <v>0</v>
      </c>
      <c r="N366" s="6">
        <v>1</v>
      </c>
      <c r="O366" s="8" t="s">
        <v>331</v>
      </c>
      <c r="P366" s="8" t="s">
        <v>238</v>
      </c>
      <c r="Q366" s="8" t="s">
        <v>446</v>
      </c>
      <c r="R366" s="6">
        <v>4</v>
      </c>
      <c r="S366" s="8" t="s">
        <v>341</v>
      </c>
      <c r="T366" s="9"/>
      <c r="U366" s="8" t="s">
        <v>240</v>
      </c>
      <c r="V366" s="8" t="s">
        <v>482</v>
      </c>
      <c r="W366" s="8" t="s">
        <v>483</v>
      </c>
      <c r="X366" s="8" t="s">
        <v>240</v>
      </c>
      <c r="Y366" s="8" t="s">
        <v>787</v>
      </c>
      <c r="Z366" s="6" t="b">
        <v>0</v>
      </c>
      <c r="AA366" s="9"/>
      <c r="AB366" s="9"/>
    </row>
    <row r="367" spans="1:28" ht="16">
      <c r="A367" s="6">
        <v>420</v>
      </c>
      <c r="B367" s="8" t="s">
        <v>197</v>
      </c>
      <c r="C367" s="8" t="s">
        <v>105</v>
      </c>
      <c r="D367" s="8" t="s">
        <v>788</v>
      </c>
      <c r="E367" s="8" t="s">
        <v>786</v>
      </c>
      <c r="F367" s="6">
        <v>419</v>
      </c>
      <c r="G367" s="6" t="b">
        <v>0</v>
      </c>
      <c r="H367" s="8" t="s">
        <v>480</v>
      </c>
      <c r="I367" s="6" t="b">
        <v>0</v>
      </c>
      <c r="J367" s="6" t="b">
        <v>0</v>
      </c>
      <c r="K367" s="6" t="b">
        <v>0</v>
      </c>
      <c r="L367" s="6" t="b">
        <v>1</v>
      </c>
      <c r="M367" s="6" t="b">
        <v>0</v>
      </c>
      <c r="N367" s="6">
        <v>1</v>
      </c>
      <c r="O367" s="8" t="s">
        <v>331</v>
      </c>
      <c r="P367" s="8" t="s">
        <v>238</v>
      </c>
      <c r="Q367" s="8" t="s">
        <v>335</v>
      </c>
      <c r="R367" s="6">
        <v>4</v>
      </c>
      <c r="S367" s="8" t="s">
        <v>341</v>
      </c>
      <c r="T367" s="9"/>
      <c r="U367" s="8" t="s">
        <v>240</v>
      </c>
      <c r="V367" s="8" t="s">
        <v>482</v>
      </c>
      <c r="W367" s="8" t="s">
        <v>483</v>
      </c>
      <c r="X367" s="8" t="s">
        <v>240</v>
      </c>
      <c r="Y367" s="8" t="s">
        <v>789</v>
      </c>
      <c r="Z367" s="6" t="b">
        <v>0</v>
      </c>
      <c r="AA367" s="9"/>
      <c r="AB367" s="9"/>
    </row>
    <row r="368" spans="1:28" ht="16">
      <c r="A368" s="6">
        <v>421</v>
      </c>
      <c r="B368" s="8" t="s">
        <v>197</v>
      </c>
      <c r="C368" s="8" t="s">
        <v>105</v>
      </c>
      <c r="D368" s="8" t="s">
        <v>105</v>
      </c>
      <c r="E368" s="8" t="s">
        <v>105</v>
      </c>
      <c r="F368" s="6">
        <v>421</v>
      </c>
      <c r="G368" s="6" t="b">
        <v>0</v>
      </c>
      <c r="H368" s="8" t="s">
        <v>480</v>
      </c>
      <c r="I368" s="6" t="b">
        <v>0</v>
      </c>
      <c r="J368" s="6" t="b">
        <v>0</v>
      </c>
      <c r="K368" s="6" t="b">
        <v>0</v>
      </c>
      <c r="L368" s="6" t="b">
        <v>1</v>
      </c>
      <c r="M368" s="6" t="b">
        <v>0</v>
      </c>
      <c r="N368" s="6">
        <v>1</v>
      </c>
      <c r="O368" s="8" t="s">
        <v>331</v>
      </c>
      <c r="P368" s="8" t="s">
        <v>238</v>
      </c>
      <c r="Q368" s="8" t="s">
        <v>502</v>
      </c>
      <c r="R368" s="6">
        <v>1</v>
      </c>
      <c r="S368" s="8" t="s">
        <v>331</v>
      </c>
      <c r="T368" s="6">
        <v>3</v>
      </c>
      <c r="U368" s="8" t="s">
        <v>240</v>
      </c>
      <c r="V368" s="8" t="s">
        <v>482</v>
      </c>
      <c r="W368" s="8" t="s">
        <v>240</v>
      </c>
      <c r="X368" s="8" t="s">
        <v>240</v>
      </c>
      <c r="Y368" s="8" t="s">
        <v>790</v>
      </c>
      <c r="Z368" s="6" t="b">
        <v>0</v>
      </c>
      <c r="AA368" s="9"/>
      <c r="AB368" s="9"/>
    </row>
    <row r="369" spans="1:28" ht="16">
      <c r="A369" s="6">
        <v>422</v>
      </c>
      <c r="B369" s="8" t="s">
        <v>197</v>
      </c>
      <c r="C369" s="8" t="s">
        <v>105</v>
      </c>
      <c r="D369" s="8" t="s">
        <v>791</v>
      </c>
      <c r="E369" s="8" t="s">
        <v>791</v>
      </c>
      <c r="F369" s="6">
        <v>422</v>
      </c>
      <c r="G369" s="6" t="b">
        <v>0</v>
      </c>
      <c r="H369" s="8" t="s">
        <v>480</v>
      </c>
      <c r="I369" s="6" t="b">
        <v>0</v>
      </c>
      <c r="J369" s="6" t="b">
        <v>0</v>
      </c>
      <c r="K369" s="6" t="b">
        <v>0</v>
      </c>
      <c r="L369" s="6" t="b">
        <v>1</v>
      </c>
      <c r="M369" s="6" t="b">
        <v>0</v>
      </c>
      <c r="N369" s="6">
        <v>1</v>
      </c>
      <c r="O369" s="8" t="s">
        <v>331</v>
      </c>
      <c r="P369" s="8" t="s">
        <v>238</v>
      </c>
      <c r="Q369" s="8" t="s">
        <v>388</v>
      </c>
      <c r="R369" s="6">
        <v>2</v>
      </c>
      <c r="S369" s="8" t="s">
        <v>341</v>
      </c>
      <c r="T369" s="9"/>
      <c r="U369" s="8" t="s">
        <v>240</v>
      </c>
      <c r="V369" s="8" t="s">
        <v>482</v>
      </c>
      <c r="W369" s="8" t="s">
        <v>386</v>
      </c>
      <c r="X369" s="8" t="s">
        <v>240</v>
      </c>
      <c r="Y369" s="8" t="s">
        <v>792</v>
      </c>
      <c r="Z369" s="6" t="b">
        <v>0</v>
      </c>
      <c r="AA369" s="9"/>
      <c r="AB369" s="9"/>
    </row>
    <row r="370" spans="1:28" ht="16">
      <c r="A370" s="6">
        <v>423</v>
      </c>
      <c r="B370" s="8" t="s">
        <v>197</v>
      </c>
      <c r="C370" s="8" t="s">
        <v>105</v>
      </c>
      <c r="D370" s="8" t="s">
        <v>793</v>
      </c>
      <c r="E370" s="8" t="s">
        <v>791</v>
      </c>
      <c r="F370" s="6">
        <v>422</v>
      </c>
      <c r="G370" s="6" t="b">
        <v>0</v>
      </c>
      <c r="H370" s="8" t="s">
        <v>480</v>
      </c>
      <c r="I370" s="6" t="b">
        <v>0</v>
      </c>
      <c r="J370" s="6" t="b">
        <v>0</v>
      </c>
      <c r="K370" s="6" t="b">
        <v>0</v>
      </c>
      <c r="L370" s="6" t="b">
        <v>1</v>
      </c>
      <c r="M370" s="6" t="b">
        <v>0</v>
      </c>
      <c r="N370" s="6">
        <v>1</v>
      </c>
      <c r="O370" s="8" t="s">
        <v>331</v>
      </c>
      <c r="P370" s="8" t="s">
        <v>238</v>
      </c>
      <c r="Q370" s="8" t="s">
        <v>388</v>
      </c>
      <c r="R370" s="6">
        <v>1</v>
      </c>
      <c r="S370" s="8" t="s">
        <v>347</v>
      </c>
      <c r="T370" s="9"/>
      <c r="U370" s="8" t="s">
        <v>240</v>
      </c>
      <c r="V370" s="8" t="s">
        <v>482</v>
      </c>
      <c r="W370" s="8" t="s">
        <v>386</v>
      </c>
      <c r="X370" s="8" t="s">
        <v>240</v>
      </c>
      <c r="Y370" s="8" t="s">
        <v>240</v>
      </c>
      <c r="Z370" s="6" t="b">
        <v>0</v>
      </c>
      <c r="AA370" s="9"/>
      <c r="AB370" s="9"/>
    </row>
    <row r="371" spans="1:28" ht="16">
      <c r="A371" s="6">
        <v>424</v>
      </c>
      <c r="B371" s="8" t="s">
        <v>197</v>
      </c>
      <c r="C371" s="8" t="s">
        <v>105</v>
      </c>
      <c r="D371" s="8" t="s">
        <v>794</v>
      </c>
      <c r="E371" s="8" t="s">
        <v>791</v>
      </c>
      <c r="F371" s="6">
        <v>422</v>
      </c>
      <c r="G371" s="6" t="b">
        <v>0</v>
      </c>
      <c r="H371" s="8" t="s">
        <v>480</v>
      </c>
      <c r="I371" s="6" t="b">
        <v>0</v>
      </c>
      <c r="J371" s="6" t="b">
        <v>0</v>
      </c>
      <c r="K371" s="6" t="b">
        <v>0</v>
      </c>
      <c r="L371" s="6" t="b">
        <v>1</v>
      </c>
      <c r="M371" s="6" t="b">
        <v>0</v>
      </c>
      <c r="N371" s="6">
        <v>1</v>
      </c>
      <c r="O371" s="8" t="s">
        <v>331</v>
      </c>
      <c r="P371" s="8" t="s">
        <v>238</v>
      </c>
      <c r="Q371" s="8" t="s">
        <v>388</v>
      </c>
      <c r="R371" s="6">
        <v>1</v>
      </c>
      <c r="S371" s="8" t="s">
        <v>75</v>
      </c>
      <c r="T371" s="9"/>
      <c r="U371" s="8" t="s">
        <v>240</v>
      </c>
      <c r="V371" s="8" t="s">
        <v>240</v>
      </c>
      <c r="W371" s="8" t="s">
        <v>386</v>
      </c>
      <c r="X371" s="8" t="s">
        <v>240</v>
      </c>
      <c r="Y371" s="8" t="s">
        <v>240</v>
      </c>
      <c r="Z371" s="6" t="b">
        <v>0</v>
      </c>
      <c r="AA371" s="9"/>
      <c r="AB371" s="9"/>
    </row>
    <row r="372" spans="1:28" ht="16">
      <c r="A372" s="6">
        <v>425</v>
      </c>
      <c r="B372" s="8" t="s">
        <v>197</v>
      </c>
      <c r="C372" s="8" t="s">
        <v>153</v>
      </c>
      <c r="D372" s="8" t="s">
        <v>153</v>
      </c>
      <c r="E372" s="8" t="s">
        <v>153</v>
      </c>
      <c r="F372" s="6">
        <v>425</v>
      </c>
      <c r="G372" s="6" t="b">
        <v>0</v>
      </c>
      <c r="H372" s="8" t="s">
        <v>480</v>
      </c>
      <c r="I372" s="6" t="b">
        <v>0</v>
      </c>
      <c r="J372" s="6" t="b">
        <v>0</v>
      </c>
      <c r="K372" s="6" t="b">
        <v>0</v>
      </c>
      <c r="L372" s="6" t="b">
        <v>1</v>
      </c>
      <c r="M372" s="6" t="b">
        <v>0</v>
      </c>
      <c r="N372" s="6">
        <v>2</v>
      </c>
      <c r="O372" s="8" t="s">
        <v>331</v>
      </c>
      <c r="P372" s="8" t="s">
        <v>238</v>
      </c>
      <c r="Q372" s="8" t="s">
        <v>502</v>
      </c>
      <c r="R372" s="6">
        <v>2</v>
      </c>
      <c r="S372" s="8" t="s">
        <v>331</v>
      </c>
      <c r="T372" s="9"/>
      <c r="U372" s="8" t="s">
        <v>240</v>
      </c>
      <c r="V372" s="8" t="s">
        <v>482</v>
      </c>
      <c r="W372" s="8" t="s">
        <v>386</v>
      </c>
      <c r="X372" s="8" t="s">
        <v>240</v>
      </c>
      <c r="Y372" s="8" t="s">
        <v>795</v>
      </c>
      <c r="Z372" s="6" t="b">
        <v>0</v>
      </c>
      <c r="AA372" s="9"/>
      <c r="AB372" s="9"/>
    </row>
    <row r="373" spans="1:28" ht="16">
      <c r="A373" s="6">
        <v>426</v>
      </c>
      <c r="B373" s="8" t="s">
        <v>197</v>
      </c>
      <c r="C373" s="8" t="s">
        <v>105</v>
      </c>
      <c r="D373" s="8" t="s">
        <v>796</v>
      </c>
      <c r="E373" s="8" t="s">
        <v>796</v>
      </c>
      <c r="F373" s="6">
        <v>426</v>
      </c>
      <c r="G373" s="6" t="b">
        <v>0</v>
      </c>
      <c r="H373" s="8" t="s">
        <v>480</v>
      </c>
      <c r="I373" s="6" t="b">
        <v>0</v>
      </c>
      <c r="J373" s="6" t="b">
        <v>0</v>
      </c>
      <c r="K373" s="6" t="b">
        <v>0</v>
      </c>
      <c r="L373" s="6" t="b">
        <v>1</v>
      </c>
      <c r="M373" s="6" t="b">
        <v>0</v>
      </c>
      <c r="N373" s="6">
        <v>1</v>
      </c>
      <c r="O373" s="8" t="s">
        <v>331</v>
      </c>
      <c r="P373" s="8" t="s">
        <v>238</v>
      </c>
      <c r="Q373" s="8" t="s">
        <v>446</v>
      </c>
      <c r="R373" s="6">
        <v>2</v>
      </c>
      <c r="S373" s="8" t="s">
        <v>335</v>
      </c>
      <c r="T373" s="6">
        <v>2</v>
      </c>
      <c r="U373" s="8" t="s">
        <v>86</v>
      </c>
      <c r="V373" s="8" t="s">
        <v>482</v>
      </c>
      <c r="W373" s="8" t="s">
        <v>240</v>
      </c>
      <c r="X373" s="8" t="s">
        <v>240</v>
      </c>
      <c r="Y373" s="8" t="s">
        <v>797</v>
      </c>
      <c r="Z373" s="6" t="b">
        <v>0</v>
      </c>
      <c r="AA373" s="9"/>
      <c r="AB373" s="9"/>
    </row>
    <row r="374" spans="1:28" ht="32">
      <c r="A374" s="6">
        <v>427</v>
      </c>
      <c r="B374" s="8" t="s">
        <v>197</v>
      </c>
      <c r="C374" s="8" t="s">
        <v>105</v>
      </c>
      <c r="D374" s="8" t="s">
        <v>798</v>
      </c>
      <c r="E374" s="8" t="s">
        <v>796</v>
      </c>
      <c r="F374" s="6">
        <v>426</v>
      </c>
      <c r="G374" s="6" t="b">
        <v>0</v>
      </c>
      <c r="H374" s="8" t="s">
        <v>480</v>
      </c>
      <c r="I374" s="6" t="b">
        <v>0</v>
      </c>
      <c r="J374" s="6" t="b">
        <v>0</v>
      </c>
      <c r="K374" s="6" t="b">
        <v>0</v>
      </c>
      <c r="L374" s="6" t="b">
        <v>1</v>
      </c>
      <c r="M374" s="6" t="b">
        <v>0</v>
      </c>
      <c r="N374" s="6">
        <v>1</v>
      </c>
      <c r="O374" s="8" t="s">
        <v>331</v>
      </c>
      <c r="P374" s="8" t="s">
        <v>238</v>
      </c>
      <c r="Q374" s="8" t="s">
        <v>446</v>
      </c>
      <c r="R374" s="6">
        <v>2</v>
      </c>
      <c r="S374" s="8" t="s">
        <v>347</v>
      </c>
      <c r="T374" s="6">
        <v>2</v>
      </c>
      <c r="U374" s="8" t="s">
        <v>496</v>
      </c>
      <c r="V374" s="8" t="s">
        <v>482</v>
      </c>
      <c r="W374" s="8" t="s">
        <v>240</v>
      </c>
      <c r="X374" s="8" t="s">
        <v>240</v>
      </c>
      <c r="Y374" s="8" t="s">
        <v>240</v>
      </c>
      <c r="Z374" s="6" t="b">
        <v>0</v>
      </c>
      <c r="AA374" s="9"/>
      <c r="AB374" s="9"/>
    </row>
    <row r="375" spans="1:28" ht="16">
      <c r="A375" s="6">
        <v>428</v>
      </c>
      <c r="B375" s="8" t="s">
        <v>197</v>
      </c>
      <c r="C375" s="8" t="s">
        <v>104</v>
      </c>
      <c r="D375" s="8" t="s">
        <v>799</v>
      </c>
      <c r="E375" s="8" t="s">
        <v>799</v>
      </c>
      <c r="F375" s="6">
        <v>428</v>
      </c>
      <c r="G375" s="6" t="b">
        <v>0</v>
      </c>
      <c r="H375" s="8" t="s">
        <v>480</v>
      </c>
      <c r="I375" s="6" t="b">
        <v>0</v>
      </c>
      <c r="J375" s="6" t="b">
        <v>0</v>
      </c>
      <c r="K375" s="6" t="b">
        <v>0</v>
      </c>
      <c r="L375" s="6" t="b">
        <v>1</v>
      </c>
      <c r="M375" s="6" t="b">
        <v>0</v>
      </c>
      <c r="N375" s="6">
        <v>2</v>
      </c>
      <c r="O375" s="8" t="s">
        <v>331</v>
      </c>
      <c r="P375" s="8" t="s">
        <v>380</v>
      </c>
      <c r="Q375" s="8" t="s">
        <v>446</v>
      </c>
      <c r="R375" s="6">
        <v>2</v>
      </c>
      <c r="S375" s="8" t="s">
        <v>347</v>
      </c>
      <c r="T375" s="9"/>
      <c r="U375" s="8" t="s">
        <v>240</v>
      </c>
      <c r="V375" s="8" t="s">
        <v>510</v>
      </c>
      <c r="W375" s="8" t="s">
        <v>240</v>
      </c>
      <c r="X375" s="8" t="s">
        <v>240</v>
      </c>
      <c r="Y375" s="8" t="s">
        <v>240</v>
      </c>
      <c r="Z375" s="6" t="b">
        <v>0</v>
      </c>
      <c r="AA375" s="9"/>
      <c r="AB375" s="9"/>
    </row>
    <row r="376" spans="1:28" ht="16">
      <c r="A376" s="6">
        <v>429</v>
      </c>
      <c r="B376" s="8" t="s">
        <v>197</v>
      </c>
      <c r="C376" s="8" t="s">
        <v>104</v>
      </c>
      <c r="D376" s="8" t="s">
        <v>800</v>
      </c>
      <c r="E376" s="8" t="s">
        <v>799</v>
      </c>
      <c r="F376" s="6">
        <v>428</v>
      </c>
      <c r="G376" s="6" t="b">
        <v>0</v>
      </c>
      <c r="H376" s="8" t="s">
        <v>480</v>
      </c>
      <c r="I376" s="6" t="b">
        <v>0</v>
      </c>
      <c r="J376" s="6" t="b">
        <v>0</v>
      </c>
      <c r="K376" s="6" t="b">
        <v>0</v>
      </c>
      <c r="L376" s="6" t="b">
        <v>1</v>
      </c>
      <c r="M376" s="6" t="b">
        <v>0</v>
      </c>
      <c r="N376" s="6">
        <v>2</v>
      </c>
      <c r="O376" s="8" t="s">
        <v>331</v>
      </c>
      <c r="P376" s="8" t="s">
        <v>380</v>
      </c>
      <c r="Q376" s="8" t="s">
        <v>446</v>
      </c>
      <c r="R376" s="6">
        <v>2</v>
      </c>
      <c r="S376" s="8" t="s">
        <v>347</v>
      </c>
      <c r="T376" s="9"/>
      <c r="U376" s="8" t="s">
        <v>801</v>
      </c>
      <c r="V376" s="8" t="s">
        <v>510</v>
      </c>
      <c r="W376" s="8" t="s">
        <v>240</v>
      </c>
      <c r="X376" s="8" t="s">
        <v>240</v>
      </c>
      <c r="Y376" s="8" t="s">
        <v>240</v>
      </c>
      <c r="Z376" s="6" t="b">
        <v>0</v>
      </c>
      <c r="AA376" s="9"/>
      <c r="AB376" s="9"/>
    </row>
    <row r="377" spans="1:28" ht="32">
      <c r="A377" s="6">
        <v>430</v>
      </c>
      <c r="B377" s="8" t="s">
        <v>197</v>
      </c>
      <c r="C377" s="8" t="s">
        <v>802</v>
      </c>
      <c r="D377" s="8" t="s">
        <v>803</v>
      </c>
      <c r="E377" s="8" t="s">
        <v>803</v>
      </c>
      <c r="F377" s="6">
        <v>430</v>
      </c>
      <c r="G377" s="6" t="b">
        <v>0</v>
      </c>
      <c r="H377" s="8" t="s">
        <v>480</v>
      </c>
      <c r="I377" s="6" t="b">
        <v>0</v>
      </c>
      <c r="J377" s="6" t="b">
        <v>0</v>
      </c>
      <c r="K377" s="6" t="b">
        <v>0</v>
      </c>
      <c r="L377" s="6" t="b">
        <v>1</v>
      </c>
      <c r="M377" s="6" t="b">
        <v>0</v>
      </c>
      <c r="N377" s="6">
        <v>0</v>
      </c>
      <c r="O377" s="8" t="s">
        <v>347</v>
      </c>
      <c r="P377" s="8" t="s">
        <v>380</v>
      </c>
      <c r="Q377" s="8" t="s">
        <v>481</v>
      </c>
      <c r="R377" s="6">
        <v>0</v>
      </c>
      <c r="S377" s="8" t="s">
        <v>347</v>
      </c>
      <c r="T377" s="6">
        <v>0</v>
      </c>
      <c r="U377" s="8" t="s">
        <v>240</v>
      </c>
      <c r="V377" s="8" t="s">
        <v>524</v>
      </c>
      <c r="W377" s="8" t="s">
        <v>386</v>
      </c>
      <c r="X377" s="8" t="s">
        <v>240</v>
      </c>
      <c r="Y377" s="8" t="s">
        <v>804</v>
      </c>
      <c r="Z377" s="6" t="b">
        <v>0</v>
      </c>
      <c r="AA377" s="9"/>
      <c r="AB377" s="9"/>
    </row>
    <row r="378" spans="1:28" ht="16">
      <c r="A378" s="6">
        <v>431</v>
      </c>
      <c r="B378" s="8" t="s">
        <v>197</v>
      </c>
      <c r="C378" s="8" t="s">
        <v>106</v>
      </c>
      <c r="D378" s="8" t="s">
        <v>805</v>
      </c>
      <c r="E378" s="8" t="s">
        <v>805</v>
      </c>
      <c r="F378" s="6">
        <v>431</v>
      </c>
      <c r="G378" s="6" t="b">
        <v>0</v>
      </c>
      <c r="H378" s="8" t="s">
        <v>480</v>
      </c>
      <c r="I378" s="6" t="b">
        <v>0</v>
      </c>
      <c r="J378" s="6" t="b">
        <v>0</v>
      </c>
      <c r="K378" s="6" t="b">
        <v>0</v>
      </c>
      <c r="L378" s="6" t="b">
        <v>1</v>
      </c>
      <c r="M378" s="6" t="b">
        <v>0</v>
      </c>
      <c r="N378" s="6">
        <v>2</v>
      </c>
      <c r="O378" s="8" t="s">
        <v>331</v>
      </c>
      <c r="P378" s="8" t="s">
        <v>380</v>
      </c>
      <c r="Q378" s="8" t="s">
        <v>335</v>
      </c>
      <c r="R378" s="6">
        <v>3</v>
      </c>
      <c r="S378" s="8" t="s">
        <v>347</v>
      </c>
      <c r="T378" s="9"/>
      <c r="U378" s="8" t="s">
        <v>240</v>
      </c>
      <c r="V378" s="8" t="s">
        <v>510</v>
      </c>
      <c r="W378" s="8" t="s">
        <v>240</v>
      </c>
      <c r="X378" s="8" t="s">
        <v>240</v>
      </c>
      <c r="Y378" s="8" t="s">
        <v>240</v>
      </c>
      <c r="Z378" s="6" t="b">
        <v>0</v>
      </c>
      <c r="AA378" s="9"/>
      <c r="AB378" s="9"/>
    </row>
    <row r="379" spans="1:28" ht="32">
      <c r="A379" s="6">
        <v>432</v>
      </c>
      <c r="B379" s="8" t="s">
        <v>197</v>
      </c>
      <c r="C379" s="8" t="s">
        <v>106</v>
      </c>
      <c r="D379" s="8" t="s">
        <v>806</v>
      </c>
      <c r="E379" s="8" t="s">
        <v>805</v>
      </c>
      <c r="F379" s="6">
        <v>431</v>
      </c>
      <c r="G379" s="6" t="b">
        <v>0</v>
      </c>
      <c r="H379" s="8" t="s">
        <v>480</v>
      </c>
      <c r="I379" s="6" t="b">
        <v>0</v>
      </c>
      <c r="J379" s="6" t="b">
        <v>0</v>
      </c>
      <c r="K379" s="6" t="b">
        <v>0</v>
      </c>
      <c r="L379" s="6" t="b">
        <v>1</v>
      </c>
      <c r="M379" s="6" t="b">
        <v>0</v>
      </c>
      <c r="N379" s="6">
        <v>2</v>
      </c>
      <c r="O379" s="8" t="s">
        <v>331</v>
      </c>
      <c r="P379" s="8" t="s">
        <v>380</v>
      </c>
      <c r="Q379" s="8" t="s">
        <v>335</v>
      </c>
      <c r="R379" s="6">
        <v>3</v>
      </c>
      <c r="S379" s="8" t="s">
        <v>347</v>
      </c>
      <c r="T379" s="6">
        <v>3</v>
      </c>
      <c r="U379" s="8" t="s">
        <v>807</v>
      </c>
      <c r="V379" s="8" t="s">
        <v>510</v>
      </c>
      <c r="W379" s="8" t="s">
        <v>240</v>
      </c>
      <c r="X379" s="8" t="s">
        <v>240</v>
      </c>
      <c r="Y379" s="8" t="s">
        <v>808</v>
      </c>
      <c r="Z379" s="6" t="b">
        <v>0</v>
      </c>
      <c r="AA379" s="9"/>
      <c r="AB379" s="9"/>
    </row>
    <row r="380" spans="1:28" ht="16">
      <c r="A380" s="6">
        <v>433</v>
      </c>
      <c r="B380" s="8" t="s">
        <v>197</v>
      </c>
      <c r="C380" s="8" t="s">
        <v>106</v>
      </c>
      <c r="D380" s="8" t="s">
        <v>809</v>
      </c>
      <c r="E380" s="8" t="s">
        <v>809</v>
      </c>
      <c r="F380" s="6">
        <v>433</v>
      </c>
      <c r="G380" s="6" t="b">
        <v>0</v>
      </c>
      <c r="H380" s="8" t="s">
        <v>480</v>
      </c>
      <c r="I380" s="6" t="b">
        <v>0</v>
      </c>
      <c r="J380" s="6" t="b">
        <v>0</v>
      </c>
      <c r="K380" s="6" t="b">
        <v>0</v>
      </c>
      <c r="L380" s="6" t="b">
        <v>1</v>
      </c>
      <c r="M380" s="6" t="b">
        <v>0</v>
      </c>
      <c r="N380" s="6">
        <v>2</v>
      </c>
      <c r="O380" s="8" t="s">
        <v>331</v>
      </c>
      <c r="P380" s="8" t="s">
        <v>380</v>
      </c>
      <c r="Q380" s="8" t="s">
        <v>381</v>
      </c>
      <c r="R380" s="6">
        <v>2</v>
      </c>
      <c r="S380" s="8" t="s">
        <v>75</v>
      </c>
      <c r="T380" s="9"/>
      <c r="U380" s="8" t="s">
        <v>240</v>
      </c>
      <c r="V380" s="8" t="s">
        <v>510</v>
      </c>
      <c r="W380" s="8" t="s">
        <v>483</v>
      </c>
      <c r="X380" s="8" t="s">
        <v>240</v>
      </c>
      <c r="Y380" s="8" t="s">
        <v>240</v>
      </c>
      <c r="Z380" s="6" t="b">
        <v>0</v>
      </c>
      <c r="AA380" s="9"/>
      <c r="AB380" s="9"/>
    </row>
    <row r="381" spans="1:28" ht="16">
      <c r="A381" s="6">
        <v>436</v>
      </c>
      <c r="B381" s="8" t="s">
        <v>197</v>
      </c>
      <c r="C381" s="8" t="s">
        <v>106</v>
      </c>
      <c r="D381" s="8" t="s">
        <v>106</v>
      </c>
      <c r="E381" s="8" t="s">
        <v>106</v>
      </c>
      <c r="F381" s="6">
        <v>436</v>
      </c>
      <c r="G381" s="6" t="b">
        <v>0</v>
      </c>
      <c r="H381" s="8" t="s">
        <v>480</v>
      </c>
      <c r="I381" s="6" t="b">
        <v>0</v>
      </c>
      <c r="J381" s="6" t="b">
        <v>0</v>
      </c>
      <c r="K381" s="6" t="b">
        <v>0</v>
      </c>
      <c r="L381" s="6" t="b">
        <v>1</v>
      </c>
      <c r="M381" s="6" t="b">
        <v>0</v>
      </c>
      <c r="N381" s="6">
        <v>2</v>
      </c>
      <c r="O381" s="8" t="s">
        <v>331</v>
      </c>
      <c r="P381" s="8" t="s">
        <v>380</v>
      </c>
      <c r="Q381" s="8" t="s">
        <v>381</v>
      </c>
      <c r="R381" s="6">
        <v>2</v>
      </c>
      <c r="S381" s="8" t="s">
        <v>331</v>
      </c>
      <c r="T381" s="9"/>
      <c r="U381" s="8" t="s">
        <v>240</v>
      </c>
      <c r="V381" s="8" t="s">
        <v>510</v>
      </c>
      <c r="W381" s="8" t="s">
        <v>240</v>
      </c>
      <c r="X381" s="8" t="s">
        <v>240</v>
      </c>
      <c r="Y381" s="8" t="s">
        <v>240</v>
      </c>
      <c r="Z381" s="6" t="b">
        <v>0</v>
      </c>
      <c r="AA381" s="9"/>
      <c r="AB381" s="9"/>
    </row>
    <row r="382" spans="1:28" ht="32">
      <c r="A382" s="6">
        <v>437</v>
      </c>
      <c r="B382" s="8" t="s">
        <v>197</v>
      </c>
      <c r="C382" s="8" t="s">
        <v>106</v>
      </c>
      <c r="D382" s="8" t="s">
        <v>810</v>
      </c>
      <c r="E382" s="8" t="s">
        <v>810</v>
      </c>
      <c r="F382" s="6">
        <v>437</v>
      </c>
      <c r="G382" s="6" t="b">
        <v>0</v>
      </c>
      <c r="H382" s="8" t="s">
        <v>480</v>
      </c>
      <c r="I382" s="6" t="b">
        <v>0</v>
      </c>
      <c r="J382" s="6" t="b">
        <v>0</v>
      </c>
      <c r="K382" s="6" t="b">
        <v>0</v>
      </c>
      <c r="L382" s="6" t="b">
        <v>1</v>
      </c>
      <c r="M382" s="6" t="b">
        <v>0</v>
      </c>
      <c r="N382" s="6">
        <v>2</v>
      </c>
      <c r="O382" s="8" t="s">
        <v>331</v>
      </c>
      <c r="P382" s="8" t="s">
        <v>380</v>
      </c>
      <c r="Q382" s="8" t="s">
        <v>811</v>
      </c>
      <c r="R382" s="6">
        <v>2</v>
      </c>
      <c r="S382" s="8" t="s">
        <v>347</v>
      </c>
      <c r="T382" s="6">
        <v>2</v>
      </c>
      <c r="U382" s="8" t="s">
        <v>240</v>
      </c>
      <c r="V382" s="8" t="s">
        <v>510</v>
      </c>
      <c r="W382" s="8" t="s">
        <v>483</v>
      </c>
      <c r="X382" s="8" t="s">
        <v>240</v>
      </c>
      <c r="Y382" s="8" t="s">
        <v>812</v>
      </c>
      <c r="Z382" s="6" t="b">
        <v>0</v>
      </c>
      <c r="AA382" s="9"/>
      <c r="AB382" s="9"/>
    </row>
    <row r="383" spans="1:28" ht="16">
      <c r="A383" s="6">
        <v>438</v>
      </c>
      <c r="B383" s="8" t="s">
        <v>197</v>
      </c>
      <c r="C383" s="8" t="s">
        <v>106</v>
      </c>
      <c r="D383" s="8" t="s">
        <v>813</v>
      </c>
      <c r="E383" s="8" t="s">
        <v>810</v>
      </c>
      <c r="F383" s="6">
        <v>437</v>
      </c>
      <c r="G383" s="6" t="b">
        <v>0</v>
      </c>
      <c r="H383" s="8" t="s">
        <v>480</v>
      </c>
      <c r="I383" s="6" t="b">
        <v>0</v>
      </c>
      <c r="J383" s="6" t="b">
        <v>0</v>
      </c>
      <c r="K383" s="6" t="b">
        <v>0</v>
      </c>
      <c r="L383" s="6" t="b">
        <v>1</v>
      </c>
      <c r="M383" s="6" t="b">
        <v>0</v>
      </c>
      <c r="N383" s="6">
        <v>2</v>
      </c>
      <c r="O383" s="8" t="s">
        <v>331</v>
      </c>
      <c r="P383" s="8" t="s">
        <v>380</v>
      </c>
      <c r="Q383" s="8" t="s">
        <v>335</v>
      </c>
      <c r="R383" s="6">
        <v>2</v>
      </c>
      <c r="S383" s="8" t="s">
        <v>347</v>
      </c>
      <c r="T383" s="6">
        <v>2</v>
      </c>
      <c r="U383" s="8" t="s">
        <v>240</v>
      </c>
      <c r="V383" s="8" t="s">
        <v>510</v>
      </c>
      <c r="W383" s="8" t="s">
        <v>483</v>
      </c>
      <c r="X383" s="8" t="s">
        <v>240</v>
      </c>
      <c r="Y383" s="8" t="s">
        <v>814</v>
      </c>
      <c r="Z383" s="6" t="b">
        <v>0</v>
      </c>
      <c r="AA383" s="9"/>
      <c r="AB383" s="9"/>
    </row>
    <row r="384" spans="1:28" ht="16">
      <c r="A384" s="6">
        <v>439</v>
      </c>
      <c r="B384" s="8" t="s">
        <v>197</v>
      </c>
      <c r="C384" s="8" t="s">
        <v>106</v>
      </c>
      <c r="D384" s="8" t="s">
        <v>815</v>
      </c>
      <c r="E384" s="8" t="s">
        <v>810</v>
      </c>
      <c r="F384" s="6">
        <v>437</v>
      </c>
      <c r="G384" s="6" t="b">
        <v>0</v>
      </c>
      <c r="H384" s="8" t="s">
        <v>480</v>
      </c>
      <c r="I384" s="6" t="b">
        <v>0</v>
      </c>
      <c r="J384" s="6" t="b">
        <v>0</v>
      </c>
      <c r="K384" s="6" t="b">
        <v>0</v>
      </c>
      <c r="L384" s="6" t="b">
        <v>1</v>
      </c>
      <c r="M384" s="6" t="b">
        <v>0</v>
      </c>
      <c r="N384" s="6">
        <v>2</v>
      </c>
      <c r="O384" s="8" t="s">
        <v>331</v>
      </c>
      <c r="P384" s="8" t="s">
        <v>380</v>
      </c>
      <c r="Q384" s="8" t="s">
        <v>335</v>
      </c>
      <c r="R384" s="6">
        <v>2</v>
      </c>
      <c r="S384" s="8" t="s">
        <v>347</v>
      </c>
      <c r="T384" s="6">
        <v>2</v>
      </c>
      <c r="U384" s="8" t="s">
        <v>240</v>
      </c>
      <c r="V384" s="8" t="s">
        <v>510</v>
      </c>
      <c r="W384" s="8" t="s">
        <v>483</v>
      </c>
      <c r="X384" s="8" t="s">
        <v>240</v>
      </c>
      <c r="Y384" s="8" t="s">
        <v>816</v>
      </c>
      <c r="Z384" s="6" t="b">
        <v>0</v>
      </c>
      <c r="AA384" s="9"/>
      <c r="AB384" s="9"/>
    </row>
    <row r="385" spans="1:28" ht="32">
      <c r="A385" s="6">
        <v>440</v>
      </c>
      <c r="B385" s="8" t="s">
        <v>197</v>
      </c>
      <c r="C385" s="8" t="s">
        <v>106</v>
      </c>
      <c r="D385" s="8" t="s">
        <v>817</v>
      </c>
      <c r="E385" s="8" t="s">
        <v>810</v>
      </c>
      <c r="F385" s="6">
        <v>437</v>
      </c>
      <c r="G385" s="6" t="b">
        <v>0</v>
      </c>
      <c r="H385" s="8" t="s">
        <v>480</v>
      </c>
      <c r="I385" s="6" t="b">
        <v>0</v>
      </c>
      <c r="J385" s="6" t="b">
        <v>0</v>
      </c>
      <c r="K385" s="6" t="b">
        <v>0</v>
      </c>
      <c r="L385" s="6" t="b">
        <v>1</v>
      </c>
      <c r="M385" s="6" t="b">
        <v>0</v>
      </c>
      <c r="N385" s="6">
        <v>2</v>
      </c>
      <c r="O385" s="8" t="s">
        <v>331</v>
      </c>
      <c r="P385" s="8" t="s">
        <v>380</v>
      </c>
      <c r="Q385" s="8" t="s">
        <v>335</v>
      </c>
      <c r="R385" s="6">
        <v>2</v>
      </c>
      <c r="S385" s="8" t="s">
        <v>347</v>
      </c>
      <c r="T385" s="6">
        <v>2</v>
      </c>
      <c r="U385" s="8" t="s">
        <v>240</v>
      </c>
      <c r="V385" s="8" t="s">
        <v>510</v>
      </c>
      <c r="W385" s="8" t="s">
        <v>483</v>
      </c>
      <c r="X385" s="8" t="s">
        <v>240</v>
      </c>
      <c r="Y385" s="8" t="s">
        <v>240</v>
      </c>
      <c r="Z385" s="6" t="b">
        <v>0</v>
      </c>
      <c r="AA385" s="9"/>
      <c r="AB385" s="9"/>
    </row>
    <row r="386" spans="1:28" ht="16">
      <c r="A386" s="6">
        <v>441</v>
      </c>
      <c r="B386" s="8" t="s">
        <v>199</v>
      </c>
      <c r="C386" s="8" t="s">
        <v>96</v>
      </c>
      <c r="D386" s="8" t="s">
        <v>818</v>
      </c>
      <c r="E386" s="8" t="s">
        <v>818</v>
      </c>
      <c r="F386" s="6">
        <v>441</v>
      </c>
      <c r="G386" s="6" t="b">
        <v>0</v>
      </c>
      <c r="H386" s="8" t="s">
        <v>480</v>
      </c>
      <c r="I386" s="6" t="b">
        <v>0</v>
      </c>
      <c r="J386" s="6" t="b">
        <v>0</v>
      </c>
      <c r="K386" s="6" t="b">
        <v>0</v>
      </c>
      <c r="L386" s="6" t="b">
        <v>1</v>
      </c>
      <c r="M386" s="6" t="b">
        <v>0</v>
      </c>
      <c r="N386" s="6">
        <v>4</v>
      </c>
      <c r="O386" s="8" t="s">
        <v>331</v>
      </c>
      <c r="P386" s="8" t="s">
        <v>516</v>
      </c>
      <c r="Q386" s="8" t="s">
        <v>239</v>
      </c>
      <c r="R386" s="6">
        <v>4</v>
      </c>
      <c r="S386" s="8" t="s">
        <v>75</v>
      </c>
      <c r="T386" s="9"/>
      <c r="U386" s="8" t="s">
        <v>240</v>
      </c>
      <c r="V386" s="8" t="s">
        <v>240</v>
      </c>
      <c r="W386" s="8" t="s">
        <v>240</v>
      </c>
      <c r="X386" s="8" t="s">
        <v>240</v>
      </c>
      <c r="Y386" s="8" t="s">
        <v>240</v>
      </c>
      <c r="Z386" s="6" t="b">
        <v>0</v>
      </c>
      <c r="AA386" s="9"/>
      <c r="AB386" s="9"/>
    </row>
    <row r="387" spans="1:28" ht="16">
      <c r="A387" s="6">
        <v>442</v>
      </c>
      <c r="B387" s="8" t="s">
        <v>197</v>
      </c>
      <c r="C387" s="8" t="s">
        <v>783</v>
      </c>
      <c r="D387" s="8" t="s">
        <v>819</v>
      </c>
      <c r="E387" s="8" t="s">
        <v>819</v>
      </c>
      <c r="F387" s="6">
        <v>442</v>
      </c>
      <c r="G387" s="6" t="b">
        <v>0</v>
      </c>
      <c r="H387" s="8" t="s">
        <v>480</v>
      </c>
      <c r="I387" s="6" t="b">
        <v>0</v>
      </c>
      <c r="J387" s="6" t="b">
        <v>0</v>
      </c>
      <c r="K387" s="6" t="b">
        <v>0</v>
      </c>
      <c r="L387" s="6" t="b">
        <v>1</v>
      </c>
      <c r="M387" s="6" t="b">
        <v>0</v>
      </c>
      <c r="N387" s="6">
        <v>1</v>
      </c>
      <c r="O387" s="8" t="s">
        <v>237</v>
      </c>
      <c r="P387" s="8" t="s">
        <v>380</v>
      </c>
      <c r="Q387" s="8" t="s">
        <v>502</v>
      </c>
      <c r="R387" s="6">
        <v>0</v>
      </c>
      <c r="S387" s="8" t="s">
        <v>335</v>
      </c>
      <c r="T387" s="6">
        <v>0</v>
      </c>
      <c r="U387" s="8" t="s">
        <v>240</v>
      </c>
      <c r="V387" s="8" t="s">
        <v>524</v>
      </c>
      <c r="W387" s="8" t="s">
        <v>386</v>
      </c>
      <c r="X387" s="8" t="s">
        <v>240</v>
      </c>
      <c r="Y387" s="8" t="s">
        <v>820</v>
      </c>
      <c r="Z387" s="6" t="b">
        <v>0</v>
      </c>
      <c r="AA387" s="9"/>
      <c r="AB387" s="9"/>
    </row>
    <row r="388" spans="1:28" ht="32">
      <c r="A388" s="6">
        <v>443</v>
      </c>
      <c r="B388" s="8" t="s">
        <v>199</v>
      </c>
      <c r="C388" s="8" t="s">
        <v>96</v>
      </c>
      <c r="D388" s="8" t="s">
        <v>821</v>
      </c>
      <c r="E388" s="8" t="s">
        <v>821</v>
      </c>
      <c r="F388" s="6">
        <v>443</v>
      </c>
      <c r="G388" s="6" t="b">
        <v>0</v>
      </c>
      <c r="H388" s="8" t="s">
        <v>480</v>
      </c>
      <c r="I388" s="6" t="b">
        <v>0</v>
      </c>
      <c r="J388" s="6" t="b">
        <v>0</v>
      </c>
      <c r="K388" s="6" t="b">
        <v>0</v>
      </c>
      <c r="L388" s="6" t="b">
        <v>1</v>
      </c>
      <c r="M388" s="6" t="b">
        <v>0</v>
      </c>
      <c r="N388" s="6">
        <v>4</v>
      </c>
      <c r="O388" s="8" t="s">
        <v>331</v>
      </c>
      <c r="P388" s="8" t="s">
        <v>822</v>
      </c>
      <c r="Q388" s="8" t="s">
        <v>823</v>
      </c>
      <c r="R388" s="6">
        <v>4</v>
      </c>
      <c r="S388" s="8" t="s">
        <v>372</v>
      </c>
      <c r="T388" s="6">
        <v>6</v>
      </c>
      <c r="U388" s="8" t="s">
        <v>240</v>
      </c>
      <c r="V388" s="8" t="s">
        <v>824</v>
      </c>
      <c r="W388" s="8" t="s">
        <v>386</v>
      </c>
      <c r="X388" s="8" t="s">
        <v>240</v>
      </c>
      <c r="Y388" s="8" t="s">
        <v>825</v>
      </c>
      <c r="Z388" s="6" t="b">
        <v>0</v>
      </c>
      <c r="AA388" s="9"/>
      <c r="AB388" s="9"/>
    </row>
    <row r="389" spans="1:28" ht="32">
      <c r="A389" s="6">
        <v>444</v>
      </c>
      <c r="B389" s="8" t="s">
        <v>199</v>
      </c>
      <c r="C389" s="8" t="s">
        <v>96</v>
      </c>
      <c r="D389" s="8" t="s">
        <v>826</v>
      </c>
      <c r="E389" s="8" t="s">
        <v>821</v>
      </c>
      <c r="F389" s="6">
        <v>443</v>
      </c>
      <c r="G389" s="6" t="b">
        <v>0</v>
      </c>
      <c r="H389" s="8" t="s">
        <v>480</v>
      </c>
      <c r="I389" s="6" t="b">
        <v>0</v>
      </c>
      <c r="J389" s="6" t="b">
        <v>0</v>
      </c>
      <c r="K389" s="6" t="b">
        <v>0</v>
      </c>
      <c r="L389" s="6" t="b">
        <v>1</v>
      </c>
      <c r="M389" s="6" t="b">
        <v>0</v>
      </c>
      <c r="N389" s="6">
        <v>4</v>
      </c>
      <c r="O389" s="8" t="s">
        <v>331</v>
      </c>
      <c r="P389" s="8" t="s">
        <v>822</v>
      </c>
      <c r="Q389" s="8" t="s">
        <v>823</v>
      </c>
      <c r="R389" s="6">
        <v>2</v>
      </c>
      <c r="S389" s="8" t="s">
        <v>347</v>
      </c>
      <c r="T389" s="9"/>
      <c r="U389" s="8" t="s">
        <v>827</v>
      </c>
      <c r="V389" s="8" t="s">
        <v>824</v>
      </c>
      <c r="W389" s="8" t="s">
        <v>386</v>
      </c>
      <c r="X389" s="8" t="s">
        <v>240</v>
      </c>
      <c r="Y389" s="8" t="s">
        <v>240</v>
      </c>
      <c r="Z389" s="6" t="b">
        <v>0</v>
      </c>
      <c r="AA389" s="9"/>
      <c r="AB389" s="9"/>
    </row>
    <row r="390" spans="1:28" ht="32">
      <c r="A390" s="6">
        <v>445</v>
      </c>
      <c r="B390" s="8" t="s">
        <v>199</v>
      </c>
      <c r="C390" s="8" t="s">
        <v>828</v>
      </c>
      <c r="D390" s="8" t="s">
        <v>829</v>
      </c>
      <c r="E390" s="8" t="s">
        <v>829</v>
      </c>
      <c r="F390" s="6">
        <v>445</v>
      </c>
      <c r="G390" s="6" t="b">
        <v>0</v>
      </c>
      <c r="H390" s="8" t="s">
        <v>480</v>
      </c>
      <c r="I390" s="6" t="b">
        <v>0</v>
      </c>
      <c r="J390" s="6" t="b">
        <v>0</v>
      </c>
      <c r="K390" s="6" t="b">
        <v>0</v>
      </c>
      <c r="L390" s="6" t="b">
        <v>1</v>
      </c>
      <c r="M390" s="6" t="b">
        <v>0</v>
      </c>
      <c r="N390" s="6">
        <v>7</v>
      </c>
      <c r="O390" s="8" t="s">
        <v>331</v>
      </c>
      <c r="P390" s="8" t="s">
        <v>350</v>
      </c>
      <c r="Q390" s="8" t="s">
        <v>481</v>
      </c>
      <c r="R390" s="6">
        <v>0</v>
      </c>
      <c r="S390" s="8" t="s">
        <v>347</v>
      </c>
      <c r="T390" s="6">
        <v>0</v>
      </c>
      <c r="U390" s="8" t="s">
        <v>240</v>
      </c>
      <c r="V390" s="8" t="s">
        <v>830</v>
      </c>
      <c r="W390" s="8" t="s">
        <v>386</v>
      </c>
      <c r="X390" s="8" t="s">
        <v>240</v>
      </c>
      <c r="Y390" s="8" t="s">
        <v>831</v>
      </c>
      <c r="Z390" s="6" t="b">
        <v>0</v>
      </c>
      <c r="AA390" s="9"/>
      <c r="AB390" s="9"/>
    </row>
    <row r="391" spans="1:28" ht="32">
      <c r="A391" s="6">
        <v>446</v>
      </c>
      <c r="B391" s="8" t="s">
        <v>199</v>
      </c>
      <c r="C391" s="8" t="s">
        <v>832</v>
      </c>
      <c r="D391" s="8" t="s">
        <v>833</v>
      </c>
      <c r="E391" s="8" t="s">
        <v>833</v>
      </c>
      <c r="F391" s="6">
        <v>446</v>
      </c>
      <c r="G391" s="6" t="b">
        <v>0</v>
      </c>
      <c r="H391" s="8" t="s">
        <v>480</v>
      </c>
      <c r="I391" s="6" t="b">
        <v>0</v>
      </c>
      <c r="J391" s="6" t="b">
        <v>0</v>
      </c>
      <c r="K391" s="6" t="b">
        <v>0</v>
      </c>
      <c r="L391" s="6" t="b">
        <v>1</v>
      </c>
      <c r="M391" s="6" t="b">
        <v>0</v>
      </c>
      <c r="N391" s="6">
        <v>4</v>
      </c>
      <c r="O391" s="8" t="s">
        <v>331</v>
      </c>
      <c r="P391" s="8" t="s">
        <v>350</v>
      </c>
      <c r="Q391" s="8" t="s">
        <v>811</v>
      </c>
      <c r="R391" s="6">
        <v>4</v>
      </c>
      <c r="S391" s="8" t="s">
        <v>347</v>
      </c>
      <c r="T391" s="6">
        <v>4</v>
      </c>
      <c r="U391" s="8" t="s">
        <v>482</v>
      </c>
      <c r="V391" s="8" t="s">
        <v>524</v>
      </c>
      <c r="W391" s="8" t="s">
        <v>240</v>
      </c>
      <c r="X391" s="8" t="s">
        <v>240</v>
      </c>
      <c r="Y391" s="8" t="s">
        <v>240</v>
      </c>
      <c r="Z391" s="6" t="b">
        <v>0</v>
      </c>
      <c r="AA391" s="9"/>
      <c r="AB391" s="9"/>
    </row>
    <row r="392" spans="1:28" ht="16">
      <c r="A392" s="6">
        <v>447</v>
      </c>
      <c r="B392" s="8" t="s">
        <v>199</v>
      </c>
      <c r="C392" s="8" t="s">
        <v>111</v>
      </c>
      <c r="D392" s="8" t="s">
        <v>834</v>
      </c>
      <c r="E392" s="8" t="s">
        <v>834</v>
      </c>
      <c r="F392" s="6">
        <v>447</v>
      </c>
      <c r="G392" s="6" t="b">
        <v>0</v>
      </c>
      <c r="H392" s="8" t="s">
        <v>480</v>
      </c>
      <c r="I392" s="6" t="b">
        <v>0</v>
      </c>
      <c r="J392" s="6" t="b">
        <v>0</v>
      </c>
      <c r="K392" s="6" t="b">
        <v>0</v>
      </c>
      <c r="L392" s="6" t="b">
        <v>1</v>
      </c>
      <c r="M392" s="6" t="b">
        <v>0</v>
      </c>
      <c r="N392" s="6">
        <v>4</v>
      </c>
      <c r="O392" s="8" t="s">
        <v>331</v>
      </c>
      <c r="P392" s="8" t="s">
        <v>255</v>
      </c>
      <c r="Q392" s="8" t="s">
        <v>446</v>
      </c>
      <c r="R392" s="6">
        <v>3</v>
      </c>
      <c r="S392" s="8" t="s">
        <v>341</v>
      </c>
      <c r="T392" s="9"/>
      <c r="U392" s="8" t="s">
        <v>240</v>
      </c>
      <c r="V392" s="8" t="s">
        <v>830</v>
      </c>
      <c r="W392" s="8" t="s">
        <v>240</v>
      </c>
      <c r="X392" s="8" t="s">
        <v>240</v>
      </c>
      <c r="Y392" s="8" t="s">
        <v>240</v>
      </c>
      <c r="Z392" s="6" t="b">
        <v>0</v>
      </c>
      <c r="AA392" s="9"/>
      <c r="AB392" s="9"/>
    </row>
    <row r="393" spans="1:28" ht="16">
      <c r="A393" s="6">
        <v>448</v>
      </c>
      <c r="B393" s="8" t="s">
        <v>199</v>
      </c>
      <c r="C393" s="8" t="s">
        <v>151</v>
      </c>
      <c r="D393" s="8" t="s">
        <v>835</v>
      </c>
      <c r="E393" s="8" t="s">
        <v>835</v>
      </c>
      <c r="F393" s="6">
        <v>448</v>
      </c>
      <c r="G393" s="6" t="b">
        <v>0</v>
      </c>
      <c r="H393" s="8" t="s">
        <v>480</v>
      </c>
      <c r="I393" s="6" t="b">
        <v>0</v>
      </c>
      <c r="J393" s="6" t="b">
        <v>0</v>
      </c>
      <c r="K393" s="6" t="b">
        <v>0</v>
      </c>
      <c r="L393" s="6" t="b">
        <v>1</v>
      </c>
      <c r="M393" s="6" t="b">
        <v>0</v>
      </c>
      <c r="N393" s="6">
        <v>1</v>
      </c>
      <c r="O393" s="8" t="s">
        <v>331</v>
      </c>
      <c r="P393" s="8" t="s">
        <v>350</v>
      </c>
      <c r="Q393" s="8" t="s">
        <v>335</v>
      </c>
      <c r="R393" s="6">
        <v>2</v>
      </c>
      <c r="S393" s="8" t="s">
        <v>341</v>
      </c>
      <c r="T393" s="9"/>
      <c r="U393" s="8" t="s">
        <v>240</v>
      </c>
      <c r="V393" s="8" t="s">
        <v>482</v>
      </c>
      <c r="W393" s="8" t="s">
        <v>240</v>
      </c>
      <c r="X393" s="8" t="s">
        <v>240</v>
      </c>
      <c r="Y393" s="8" t="s">
        <v>836</v>
      </c>
      <c r="Z393" s="6" t="b">
        <v>0</v>
      </c>
      <c r="AA393" s="9"/>
      <c r="AB393" s="9"/>
    </row>
    <row r="394" spans="1:28" ht="16">
      <c r="A394" s="6">
        <v>449</v>
      </c>
      <c r="B394" s="8" t="s">
        <v>199</v>
      </c>
      <c r="C394" s="8" t="s">
        <v>151</v>
      </c>
      <c r="D394" s="8" t="s">
        <v>837</v>
      </c>
      <c r="E394" s="8" t="s">
        <v>835</v>
      </c>
      <c r="F394" s="6">
        <v>448</v>
      </c>
      <c r="G394" s="6" t="b">
        <v>0</v>
      </c>
      <c r="H394" s="8" t="s">
        <v>480</v>
      </c>
      <c r="I394" s="6" t="b">
        <v>0</v>
      </c>
      <c r="J394" s="6" t="b">
        <v>0</v>
      </c>
      <c r="K394" s="6" t="b">
        <v>0</v>
      </c>
      <c r="L394" s="6" t="b">
        <v>1</v>
      </c>
      <c r="M394" s="6" t="b">
        <v>0</v>
      </c>
      <c r="N394" s="6">
        <v>1</v>
      </c>
      <c r="O394" s="8" t="s">
        <v>331</v>
      </c>
      <c r="P394" s="8" t="s">
        <v>350</v>
      </c>
      <c r="Q394" s="8" t="s">
        <v>335</v>
      </c>
      <c r="R394" s="6">
        <v>3</v>
      </c>
      <c r="S394" s="8" t="s">
        <v>347</v>
      </c>
      <c r="T394" s="6">
        <v>1</v>
      </c>
      <c r="U394" s="8" t="s">
        <v>240</v>
      </c>
      <c r="V394" s="8" t="s">
        <v>482</v>
      </c>
      <c r="W394" s="8" t="s">
        <v>240</v>
      </c>
      <c r="X394" s="8" t="s">
        <v>240</v>
      </c>
      <c r="Y394" s="8" t="s">
        <v>240</v>
      </c>
      <c r="Z394" s="6" t="b">
        <v>0</v>
      </c>
      <c r="AA394" s="9"/>
      <c r="AB394" s="9"/>
    </row>
    <row r="395" spans="1:28" ht="16">
      <c r="A395" s="6">
        <v>450</v>
      </c>
      <c r="B395" s="8" t="s">
        <v>199</v>
      </c>
      <c r="C395" s="8" t="s">
        <v>96</v>
      </c>
      <c r="D395" s="8" t="s">
        <v>96</v>
      </c>
      <c r="E395" s="8" t="s">
        <v>96</v>
      </c>
      <c r="F395" s="6">
        <v>450</v>
      </c>
      <c r="G395" s="6" t="b">
        <v>0</v>
      </c>
      <c r="H395" s="8" t="s">
        <v>480</v>
      </c>
      <c r="I395" s="6" t="b">
        <v>0</v>
      </c>
      <c r="J395" s="6" t="b">
        <v>0</v>
      </c>
      <c r="K395" s="6" t="b">
        <v>0</v>
      </c>
      <c r="L395" s="6" t="b">
        <v>1</v>
      </c>
      <c r="M395" s="6" t="b">
        <v>0</v>
      </c>
      <c r="N395" s="6">
        <v>4</v>
      </c>
      <c r="O395" s="8" t="s">
        <v>331</v>
      </c>
      <c r="P395" s="8" t="s">
        <v>822</v>
      </c>
      <c r="Q395" s="8" t="s">
        <v>838</v>
      </c>
      <c r="R395" s="6">
        <v>4</v>
      </c>
      <c r="S395" s="8" t="s">
        <v>331</v>
      </c>
      <c r="T395" s="6">
        <v>6</v>
      </c>
      <c r="U395" s="8" t="s">
        <v>240</v>
      </c>
      <c r="V395" s="8" t="s">
        <v>839</v>
      </c>
      <c r="W395" s="8" t="s">
        <v>483</v>
      </c>
      <c r="X395" s="8" t="s">
        <v>240</v>
      </c>
      <c r="Y395" s="8" t="s">
        <v>840</v>
      </c>
      <c r="Z395" s="6" t="b">
        <v>0</v>
      </c>
      <c r="AA395" s="9"/>
      <c r="AB395" s="9"/>
    </row>
    <row r="396" spans="1:28" ht="32">
      <c r="A396" s="6">
        <v>451</v>
      </c>
      <c r="B396" s="8" t="s">
        <v>199</v>
      </c>
      <c r="C396" s="8" t="s">
        <v>96</v>
      </c>
      <c r="D396" s="8" t="s">
        <v>841</v>
      </c>
      <c r="E396" s="8" t="s">
        <v>841</v>
      </c>
      <c r="F396" s="6">
        <v>451</v>
      </c>
      <c r="G396" s="6" t="b">
        <v>0</v>
      </c>
      <c r="H396" s="8" t="s">
        <v>480</v>
      </c>
      <c r="I396" s="6" t="b">
        <v>0</v>
      </c>
      <c r="J396" s="6" t="b">
        <v>0</v>
      </c>
      <c r="K396" s="6" t="b">
        <v>0</v>
      </c>
      <c r="L396" s="6" t="b">
        <v>1</v>
      </c>
      <c r="M396" s="6" t="b">
        <v>0</v>
      </c>
      <c r="N396" s="6">
        <v>4</v>
      </c>
      <c r="O396" s="8" t="s">
        <v>331</v>
      </c>
      <c r="P396" s="8" t="s">
        <v>350</v>
      </c>
      <c r="Q396" s="8" t="s">
        <v>481</v>
      </c>
      <c r="R396" s="6">
        <v>6</v>
      </c>
      <c r="S396" s="8" t="s">
        <v>335</v>
      </c>
      <c r="T396" s="6">
        <v>6</v>
      </c>
      <c r="U396" s="8" t="s">
        <v>240</v>
      </c>
      <c r="V396" s="8" t="s">
        <v>839</v>
      </c>
      <c r="W396" s="8" t="s">
        <v>483</v>
      </c>
      <c r="X396" s="8" t="s">
        <v>240</v>
      </c>
      <c r="Y396" s="8" t="s">
        <v>842</v>
      </c>
      <c r="Z396" s="6" t="b">
        <v>0</v>
      </c>
      <c r="AA396" s="9"/>
      <c r="AB396" s="9"/>
    </row>
    <row r="397" spans="1:28" ht="32">
      <c r="A397" s="6">
        <v>452</v>
      </c>
      <c r="B397" s="8" t="s">
        <v>199</v>
      </c>
      <c r="C397" s="8" t="s">
        <v>96</v>
      </c>
      <c r="D397" s="8" t="s">
        <v>843</v>
      </c>
      <c r="E397" s="8" t="s">
        <v>841</v>
      </c>
      <c r="F397" s="6">
        <v>451</v>
      </c>
      <c r="G397" s="6" t="b">
        <v>0</v>
      </c>
      <c r="H397" s="8" t="s">
        <v>480</v>
      </c>
      <c r="I397" s="6" t="b">
        <v>0</v>
      </c>
      <c r="J397" s="6" t="b">
        <v>0</v>
      </c>
      <c r="K397" s="6" t="b">
        <v>0</v>
      </c>
      <c r="L397" s="6" t="b">
        <v>1</v>
      </c>
      <c r="M397" s="6" t="b">
        <v>0</v>
      </c>
      <c r="N397" s="6">
        <v>4</v>
      </c>
      <c r="O397" s="8" t="s">
        <v>331</v>
      </c>
      <c r="P397" s="8" t="s">
        <v>822</v>
      </c>
      <c r="Q397" s="8" t="s">
        <v>823</v>
      </c>
      <c r="R397" s="6">
        <v>4</v>
      </c>
      <c r="S397" s="8" t="s">
        <v>347</v>
      </c>
      <c r="T397" s="9"/>
      <c r="U397" s="8" t="s">
        <v>240</v>
      </c>
      <c r="V397" s="8" t="s">
        <v>839</v>
      </c>
      <c r="W397" s="8" t="s">
        <v>483</v>
      </c>
      <c r="X397" s="8" t="s">
        <v>240</v>
      </c>
      <c r="Y397" s="8" t="s">
        <v>240</v>
      </c>
      <c r="Z397" s="6" t="b">
        <v>0</v>
      </c>
      <c r="AA397" s="9"/>
      <c r="AB397" s="9"/>
    </row>
    <row r="398" spans="1:28" ht="16">
      <c r="A398" s="6">
        <v>453</v>
      </c>
      <c r="B398" s="8" t="s">
        <v>199</v>
      </c>
      <c r="C398" s="8" t="s">
        <v>96</v>
      </c>
      <c r="D398" s="8" t="s">
        <v>844</v>
      </c>
      <c r="E398" s="8" t="s">
        <v>841</v>
      </c>
      <c r="F398" s="6">
        <v>451</v>
      </c>
      <c r="G398" s="6" t="b">
        <v>0</v>
      </c>
      <c r="H398" s="8" t="s">
        <v>480</v>
      </c>
      <c r="I398" s="6" t="b">
        <v>0</v>
      </c>
      <c r="J398" s="6" t="b">
        <v>0</v>
      </c>
      <c r="K398" s="6" t="b">
        <v>0</v>
      </c>
      <c r="L398" s="6" t="b">
        <v>1</v>
      </c>
      <c r="M398" s="6" t="b">
        <v>0</v>
      </c>
      <c r="N398" s="6">
        <v>4</v>
      </c>
      <c r="O398" s="8" t="s">
        <v>331</v>
      </c>
      <c r="P398" s="8" t="s">
        <v>350</v>
      </c>
      <c r="Q398" s="8" t="s">
        <v>335</v>
      </c>
      <c r="R398" s="6">
        <v>4</v>
      </c>
      <c r="S398" s="8" t="s">
        <v>347</v>
      </c>
      <c r="T398" s="6">
        <v>4</v>
      </c>
      <c r="U398" s="8" t="s">
        <v>240</v>
      </c>
      <c r="V398" s="8" t="s">
        <v>839</v>
      </c>
      <c r="W398" s="8" t="s">
        <v>483</v>
      </c>
      <c r="X398" s="8" t="s">
        <v>240</v>
      </c>
      <c r="Y398" s="8" t="s">
        <v>240</v>
      </c>
      <c r="Z398" s="6" t="b">
        <v>0</v>
      </c>
      <c r="AA398" s="9"/>
      <c r="AB398" s="9"/>
    </row>
    <row r="399" spans="1:28" ht="32">
      <c r="A399" s="6">
        <v>454</v>
      </c>
      <c r="B399" s="8" t="s">
        <v>199</v>
      </c>
      <c r="C399" s="8" t="s">
        <v>96</v>
      </c>
      <c r="D399" s="8" t="s">
        <v>845</v>
      </c>
      <c r="E399" s="8" t="s">
        <v>841</v>
      </c>
      <c r="F399" s="6">
        <v>451</v>
      </c>
      <c r="G399" s="6" t="b">
        <v>0</v>
      </c>
      <c r="H399" s="8" t="s">
        <v>480</v>
      </c>
      <c r="I399" s="6" t="b">
        <v>0</v>
      </c>
      <c r="J399" s="6" t="b">
        <v>0</v>
      </c>
      <c r="K399" s="6" t="b">
        <v>0</v>
      </c>
      <c r="L399" s="6" t="b">
        <v>1</v>
      </c>
      <c r="M399" s="6" t="b">
        <v>0</v>
      </c>
      <c r="N399" s="6">
        <v>4</v>
      </c>
      <c r="O399" s="8" t="s">
        <v>331</v>
      </c>
      <c r="P399" s="8" t="s">
        <v>822</v>
      </c>
      <c r="Q399" s="8" t="s">
        <v>823</v>
      </c>
      <c r="R399" s="6">
        <v>4</v>
      </c>
      <c r="S399" s="8" t="s">
        <v>523</v>
      </c>
      <c r="T399" s="9"/>
      <c r="U399" s="8" t="s">
        <v>846</v>
      </c>
      <c r="V399" s="8" t="s">
        <v>839</v>
      </c>
      <c r="W399" s="8" t="s">
        <v>483</v>
      </c>
      <c r="X399" s="8" t="s">
        <v>240</v>
      </c>
      <c r="Y399" s="8" t="s">
        <v>240</v>
      </c>
      <c r="Z399" s="6" t="b">
        <v>0</v>
      </c>
      <c r="AA399" s="9"/>
      <c r="AB399" s="9"/>
    </row>
    <row r="400" spans="1:28" ht="16">
      <c r="A400" s="6">
        <v>455</v>
      </c>
      <c r="B400" s="8" t="s">
        <v>199</v>
      </c>
      <c r="C400" s="8" t="s">
        <v>96</v>
      </c>
      <c r="D400" s="8" t="s">
        <v>847</v>
      </c>
      <c r="E400" s="8" t="s">
        <v>841</v>
      </c>
      <c r="F400" s="6">
        <v>451</v>
      </c>
      <c r="G400" s="6" t="b">
        <v>0</v>
      </c>
      <c r="H400" s="8" t="s">
        <v>480</v>
      </c>
      <c r="I400" s="6" t="b">
        <v>0</v>
      </c>
      <c r="J400" s="6" t="b">
        <v>0</v>
      </c>
      <c r="K400" s="6" t="b">
        <v>0</v>
      </c>
      <c r="L400" s="6" t="b">
        <v>1</v>
      </c>
      <c r="M400" s="6" t="b">
        <v>0</v>
      </c>
      <c r="N400" s="6">
        <v>4</v>
      </c>
      <c r="O400" s="8" t="s">
        <v>331</v>
      </c>
      <c r="P400" s="8" t="s">
        <v>516</v>
      </c>
      <c r="Q400" s="8" t="s">
        <v>239</v>
      </c>
      <c r="R400" s="6">
        <v>4</v>
      </c>
      <c r="S400" s="8" t="s">
        <v>347</v>
      </c>
      <c r="T400" s="9"/>
      <c r="U400" s="8" t="s">
        <v>848</v>
      </c>
      <c r="V400" s="8" t="s">
        <v>839</v>
      </c>
      <c r="W400" s="8" t="s">
        <v>483</v>
      </c>
      <c r="X400" s="8" t="s">
        <v>240</v>
      </c>
      <c r="Y400" s="8" t="s">
        <v>240</v>
      </c>
      <c r="Z400" s="6" t="b">
        <v>0</v>
      </c>
      <c r="AA400" s="9"/>
      <c r="AB400" s="9"/>
    </row>
    <row r="401" spans="1:28" ht="16">
      <c r="A401" s="6">
        <v>456</v>
      </c>
      <c r="B401" s="8" t="s">
        <v>199</v>
      </c>
      <c r="C401" s="8" t="s">
        <v>96</v>
      </c>
      <c r="D401" s="8" t="s">
        <v>849</v>
      </c>
      <c r="E401" s="8" t="s">
        <v>841</v>
      </c>
      <c r="F401" s="6">
        <v>451</v>
      </c>
      <c r="G401" s="6" t="b">
        <v>0</v>
      </c>
      <c r="H401" s="8" t="s">
        <v>480</v>
      </c>
      <c r="I401" s="6" t="b">
        <v>0</v>
      </c>
      <c r="J401" s="6" t="b">
        <v>0</v>
      </c>
      <c r="K401" s="6" t="b">
        <v>0</v>
      </c>
      <c r="L401" s="6" t="b">
        <v>1</v>
      </c>
      <c r="M401" s="6" t="b">
        <v>0</v>
      </c>
      <c r="N401" s="6">
        <v>4</v>
      </c>
      <c r="O401" s="8" t="s">
        <v>331</v>
      </c>
      <c r="P401" s="8" t="s">
        <v>350</v>
      </c>
      <c r="Q401" s="8" t="s">
        <v>339</v>
      </c>
      <c r="R401" s="6">
        <v>4</v>
      </c>
      <c r="S401" s="8" t="s">
        <v>347</v>
      </c>
      <c r="T401" s="6">
        <v>4</v>
      </c>
      <c r="U401" s="8" t="s">
        <v>240</v>
      </c>
      <c r="V401" s="8" t="s">
        <v>839</v>
      </c>
      <c r="W401" s="8" t="s">
        <v>483</v>
      </c>
      <c r="X401" s="8" t="s">
        <v>240</v>
      </c>
      <c r="Y401" s="8" t="s">
        <v>240</v>
      </c>
      <c r="Z401" s="6" t="b">
        <v>0</v>
      </c>
      <c r="AA401" s="9"/>
      <c r="AB401" s="9"/>
    </row>
    <row r="402" spans="1:28" ht="16">
      <c r="A402" s="6">
        <v>457</v>
      </c>
      <c r="B402" s="8" t="s">
        <v>199</v>
      </c>
      <c r="C402" s="8" t="s">
        <v>96</v>
      </c>
      <c r="D402" s="8" t="s">
        <v>850</v>
      </c>
      <c r="E402" s="8" t="s">
        <v>841</v>
      </c>
      <c r="F402" s="6">
        <v>451</v>
      </c>
      <c r="G402" s="6" t="b">
        <v>0</v>
      </c>
      <c r="H402" s="8" t="s">
        <v>480</v>
      </c>
      <c r="I402" s="6" t="b">
        <v>0</v>
      </c>
      <c r="J402" s="6" t="b">
        <v>0</v>
      </c>
      <c r="K402" s="6" t="b">
        <v>0</v>
      </c>
      <c r="L402" s="6" t="b">
        <v>1</v>
      </c>
      <c r="M402" s="6" t="b">
        <v>0</v>
      </c>
      <c r="N402" s="6">
        <v>4</v>
      </c>
      <c r="O402" s="8" t="s">
        <v>331</v>
      </c>
      <c r="P402" s="8" t="s">
        <v>350</v>
      </c>
      <c r="Q402" s="8" t="s">
        <v>239</v>
      </c>
      <c r="R402" s="6">
        <v>5</v>
      </c>
      <c r="S402" s="8" t="s">
        <v>347</v>
      </c>
      <c r="T402" s="9"/>
      <c r="U402" s="8" t="s">
        <v>240</v>
      </c>
      <c r="V402" s="8" t="s">
        <v>839</v>
      </c>
      <c r="W402" s="8" t="s">
        <v>483</v>
      </c>
      <c r="X402" s="8" t="s">
        <v>240</v>
      </c>
      <c r="Y402" s="8" t="s">
        <v>240</v>
      </c>
      <c r="Z402" s="6" t="b">
        <v>0</v>
      </c>
      <c r="AA402" s="9"/>
      <c r="AB402" s="9"/>
    </row>
    <row r="403" spans="1:28" ht="16">
      <c r="A403" s="6">
        <v>458</v>
      </c>
      <c r="B403" s="8" t="s">
        <v>199</v>
      </c>
      <c r="C403" s="8" t="s">
        <v>96</v>
      </c>
      <c r="D403" s="8" t="s">
        <v>851</v>
      </c>
      <c r="E403" s="8" t="s">
        <v>841</v>
      </c>
      <c r="F403" s="6">
        <v>451</v>
      </c>
      <c r="G403" s="6" t="b">
        <v>0</v>
      </c>
      <c r="H403" s="8" t="s">
        <v>480</v>
      </c>
      <c r="I403" s="6" t="b">
        <v>0</v>
      </c>
      <c r="J403" s="6" t="b">
        <v>0</v>
      </c>
      <c r="K403" s="6" t="b">
        <v>0</v>
      </c>
      <c r="L403" s="6" t="b">
        <v>1</v>
      </c>
      <c r="M403" s="6" t="b">
        <v>0</v>
      </c>
      <c r="N403" s="6">
        <v>4</v>
      </c>
      <c r="O403" s="8" t="s">
        <v>331</v>
      </c>
      <c r="P403" s="8" t="s">
        <v>350</v>
      </c>
      <c r="Q403" s="8" t="s">
        <v>339</v>
      </c>
      <c r="R403" s="6">
        <v>6</v>
      </c>
      <c r="S403" s="8" t="s">
        <v>347</v>
      </c>
      <c r="T403" s="6">
        <v>5</v>
      </c>
      <c r="U403" s="8" t="s">
        <v>240</v>
      </c>
      <c r="V403" s="8" t="s">
        <v>839</v>
      </c>
      <c r="W403" s="8" t="s">
        <v>483</v>
      </c>
      <c r="X403" s="8" t="s">
        <v>240</v>
      </c>
      <c r="Y403" s="8" t="s">
        <v>240</v>
      </c>
      <c r="Z403" s="6" t="b">
        <v>0</v>
      </c>
      <c r="AA403" s="9"/>
      <c r="AB403" s="9"/>
    </row>
    <row r="404" spans="1:28" ht="16">
      <c r="A404" s="6">
        <v>459</v>
      </c>
      <c r="B404" s="8" t="s">
        <v>199</v>
      </c>
      <c r="C404" s="8" t="s">
        <v>96</v>
      </c>
      <c r="D404" s="8" t="s">
        <v>852</v>
      </c>
      <c r="E404" s="8" t="s">
        <v>841</v>
      </c>
      <c r="F404" s="6">
        <v>451</v>
      </c>
      <c r="G404" s="6" t="b">
        <v>0</v>
      </c>
      <c r="H404" s="8" t="s">
        <v>480</v>
      </c>
      <c r="I404" s="6" t="b">
        <v>0</v>
      </c>
      <c r="J404" s="6" t="b">
        <v>0</v>
      </c>
      <c r="K404" s="6" t="b">
        <v>0</v>
      </c>
      <c r="L404" s="6" t="b">
        <v>1</v>
      </c>
      <c r="M404" s="6" t="b">
        <v>0</v>
      </c>
      <c r="N404" s="6">
        <v>4</v>
      </c>
      <c r="O404" s="8" t="s">
        <v>331</v>
      </c>
      <c r="P404" s="8" t="s">
        <v>350</v>
      </c>
      <c r="Q404" s="8" t="s">
        <v>335</v>
      </c>
      <c r="R404" s="6">
        <v>4</v>
      </c>
      <c r="S404" s="8" t="s">
        <v>335</v>
      </c>
      <c r="T404" s="6">
        <v>6</v>
      </c>
      <c r="U404" s="8" t="s">
        <v>240</v>
      </c>
      <c r="V404" s="8" t="s">
        <v>839</v>
      </c>
      <c r="W404" s="8" t="s">
        <v>483</v>
      </c>
      <c r="X404" s="8" t="s">
        <v>240</v>
      </c>
      <c r="Y404" s="8" t="s">
        <v>240</v>
      </c>
      <c r="Z404" s="6" t="b">
        <v>0</v>
      </c>
      <c r="AA404" s="9"/>
      <c r="AB404" s="9"/>
    </row>
    <row r="405" spans="1:28" ht="16">
      <c r="A405" s="6">
        <v>460</v>
      </c>
      <c r="B405" s="8" t="s">
        <v>199</v>
      </c>
      <c r="C405" s="8" t="s">
        <v>96</v>
      </c>
      <c r="D405" s="8" t="s">
        <v>853</v>
      </c>
      <c r="E405" s="8" t="s">
        <v>841</v>
      </c>
      <c r="F405" s="6">
        <v>451</v>
      </c>
      <c r="G405" s="6" t="b">
        <v>0</v>
      </c>
      <c r="H405" s="8" t="s">
        <v>480</v>
      </c>
      <c r="I405" s="6" t="b">
        <v>0</v>
      </c>
      <c r="J405" s="6" t="b">
        <v>0</v>
      </c>
      <c r="K405" s="6" t="b">
        <v>0</v>
      </c>
      <c r="L405" s="6" t="b">
        <v>1</v>
      </c>
      <c r="M405" s="6" t="b">
        <v>0</v>
      </c>
      <c r="N405" s="6">
        <v>4</v>
      </c>
      <c r="O405" s="8" t="s">
        <v>331</v>
      </c>
      <c r="P405" s="8" t="s">
        <v>516</v>
      </c>
      <c r="Q405" s="8" t="s">
        <v>239</v>
      </c>
      <c r="R405" s="6">
        <v>6</v>
      </c>
      <c r="S405" s="8" t="s">
        <v>335</v>
      </c>
      <c r="T405" s="9"/>
      <c r="U405" s="8" t="s">
        <v>240</v>
      </c>
      <c r="V405" s="8" t="s">
        <v>839</v>
      </c>
      <c r="W405" s="8" t="s">
        <v>483</v>
      </c>
      <c r="X405" s="8" t="s">
        <v>240</v>
      </c>
      <c r="Y405" s="8" t="s">
        <v>240</v>
      </c>
      <c r="Z405" s="6" t="b">
        <v>0</v>
      </c>
      <c r="AA405" s="9"/>
      <c r="AB405" s="9"/>
    </row>
    <row r="406" spans="1:28" ht="16">
      <c r="A406" s="6">
        <v>461</v>
      </c>
      <c r="B406" s="8" t="s">
        <v>199</v>
      </c>
      <c r="C406" s="8" t="s">
        <v>96</v>
      </c>
      <c r="D406" s="8" t="s">
        <v>854</v>
      </c>
      <c r="E406" s="8" t="s">
        <v>841</v>
      </c>
      <c r="F406" s="6">
        <v>451</v>
      </c>
      <c r="G406" s="6" t="b">
        <v>0</v>
      </c>
      <c r="H406" s="8" t="s">
        <v>480</v>
      </c>
      <c r="I406" s="6" t="b">
        <v>0</v>
      </c>
      <c r="J406" s="6" t="b">
        <v>0</v>
      </c>
      <c r="K406" s="6" t="b">
        <v>0</v>
      </c>
      <c r="L406" s="6" t="b">
        <v>1</v>
      </c>
      <c r="M406" s="6" t="b">
        <v>0</v>
      </c>
      <c r="N406" s="6">
        <v>4</v>
      </c>
      <c r="O406" s="8" t="s">
        <v>331</v>
      </c>
      <c r="P406" s="8" t="s">
        <v>350</v>
      </c>
      <c r="Q406" s="8" t="s">
        <v>335</v>
      </c>
      <c r="R406" s="6">
        <v>4</v>
      </c>
      <c r="S406" s="8" t="s">
        <v>347</v>
      </c>
      <c r="T406" s="6">
        <v>4</v>
      </c>
      <c r="U406" s="8" t="s">
        <v>240</v>
      </c>
      <c r="V406" s="8" t="s">
        <v>839</v>
      </c>
      <c r="W406" s="8" t="s">
        <v>483</v>
      </c>
      <c r="X406" s="8" t="s">
        <v>240</v>
      </c>
      <c r="Y406" s="8" t="s">
        <v>240</v>
      </c>
      <c r="Z406" s="6" t="b">
        <v>0</v>
      </c>
      <c r="AA406" s="9"/>
      <c r="AB406" s="9"/>
    </row>
    <row r="407" spans="1:28" ht="32">
      <c r="A407" s="6">
        <v>462</v>
      </c>
      <c r="B407" s="8" t="s">
        <v>199</v>
      </c>
      <c r="C407" s="8" t="s">
        <v>96</v>
      </c>
      <c r="D407" s="8" t="s">
        <v>855</v>
      </c>
      <c r="E407" s="8" t="s">
        <v>841</v>
      </c>
      <c r="F407" s="6">
        <v>451</v>
      </c>
      <c r="G407" s="6" t="b">
        <v>0</v>
      </c>
      <c r="H407" s="8" t="s">
        <v>480</v>
      </c>
      <c r="I407" s="6" t="b">
        <v>0</v>
      </c>
      <c r="J407" s="6" t="b">
        <v>0</v>
      </c>
      <c r="K407" s="6" t="b">
        <v>0</v>
      </c>
      <c r="L407" s="6" t="b">
        <v>1</v>
      </c>
      <c r="M407" s="6" t="b">
        <v>0</v>
      </c>
      <c r="N407" s="6">
        <v>4</v>
      </c>
      <c r="O407" s="8" t="s">
        <v>331</v>
      </c>
      <c r="P407" s="8" t="s">
        <v>350</v>
      </c>
      <c r="Q407" s="8" t="s">
        <v>481</v>
      </c>
      <c r="R407" s="6">
        <v>6</v>
      </c>
      <c r="S407" s="8" t="s">
        <v>335</v>
      </c>
      <c r="T407" s="6">
        <v>6</v>
      </c>
      <c r="U407" s="8" t="s">
        <v>240</v>
      </c>
      <c r="V407" s="8" t="s">
        <v>839</v>
      </c>
      <c r="W407" s="8" t="s">
        <v>483</v>
      </c>
      <c r="X407" s="8" t="s">
        <v>240</v>
      </c>
      <c r="Y407" s="8" t="s">
        <v>240</v>
      </c>
      <c r="Z407" s="6" t="b">
        <v>0</v>
      </c>
      <c r="AA407" s="9"/>
      <c r="AB407" s="9"/>
    </row>
    <row r="408" spans="1:28" ht="32">
      <c r="A408" s="6">
        <v>463</v>
      </c>
      <c r="B408" s="8" t="s">
        <v>199</v>
      </c>
      <c r="C408" s="8" t="s">
        <v>96</v>
      </c>
      <c r="D408" s="8" t="s">
        <v>856</v>
      </c>
      <c r="E408" s="8" t="s">
        <v>841</v>
      </c>
      <c r="F408" s="6">
        <v>451</v>
      </c>
      <c r="G408" s="6" t="b">
        <v>0</v>
      </c>
      <c r="H408" s="8" t="s">
        <v>480</v>
      </c>
      <c r="I408" s="6" t="b">
        <v>0</v>
      </c>
      <c r="J408" s="6" t="b">
        <v>0</v>
      </c>
      <c r="K408" s="6" t="b">
        <v>0</v>
      </c>
      <c r="L408" s="6" t="b">
        <v>1</v>
      </c>
      <c r="M408" s="6" t="b">
        <v>0</v>
      </c>
      <c r="N408" s="6">
        <v>4</v>
      </c>
      <c r="O408" s="8" t="s">
        <v>331</v>
      </c>
      <c r="P408" s="8" t="s">
        <v>350</v>
      </c>
      <c r="Q408" s="8" t="s">
        <v>481</v>
      </c>
      <c r="R408" s="6">
        <v>2</v>
      </c>
      <c r="S408" s="8" t="s">
        <v>347</v>
      </c>
      <c r="T408" s="9"/>
      <c r="U408" s="8" t="s">
        <v>240</v>
      </c>
      <c r="V408" s="8" t="s">
        <v>839</v>
      </c>
      <c r="W408" s="8" t="s">
        <v>483</v>
      </c>
      <c r="X408" s="8" t="s">
        <v>240</v>
      </c>
      <c r="Y408" s="8" t="s">
        <v>240</v>
      </c>
      <c r="Z408" s="6" t="b">
        <v>0</v>
      </c>
      <c r="AA408" s="9"/>
      <c r="AB408" s="9"/>
    </row>
    <row r="409" spans="1:28" ht="32">
      <c r="A409" s="6">
        <v>464</v>
      </c>
      <c r="B409" s="8" t="s">
        <v>199</v>
      </c>
      <c r="C409" s="8" t="s">
        <v>857</v>
      </c>
      <c r="D409" s="8" t="s">
        <v>858</v>
      </c>
      <c r="E409" s="8" t="s">
        <v>858</v>
      </c>
      <c r="F409" s="6">
        <v>464</v>
      </c>
      <c r="G409" s="6" t="b">
        <v>0</v>
      </c>
      <c r="H409" s="8" t="s">
        <v>480</v>
      </c>
      <c r="I409" s="6" t="b">
        <v>0</v>
      </c>
      <c r="J409" s="6" t="b">
        <v>0</v>
      </c>
      <c r="K409" s="6" t="b">
        <v>0</v>
      </c>
      <c r="L409" s="6" t="b">
        <v>1</v>
      </c>
      <c r="M409" s="6" t="b">
        <v>0</v>
      </c>
      <c r="N409" s="6">
        <v>3</v>
      </c>
      <c r="O409" s="8" t="s">
        <v>331</v>
      </c>
      <c r="P409" s="8" t="s">
        <v>350</v>
      </c>
      <c r="Q409" s="8" t="s">
        <v>811</v>
      </c>
      <c r="R409" s="6">
        <v>4</v>
      </c>
      <c r="S409" s="8" t="s">
        <v>335</v>
      </c>
      <c r="T409" s="6">
        <v>4</v>
      </c>
      <c r="U409" s="8" t="s">
        <v>240</v>
      </c>
      <c r="V409" s="8" t="s">
        <v>510</v>
      </c>
      <c r="W409" s="8" t="s">
        <v>386</v>
      </c>
      <c r="X409" s="8" t="s">
        <v>240</v>
      </c>
      <c r="Y409" s="8" t="s">
        <v>240</v>
      </c>
      <c r="Z409" s="6" t="b">
        <v>0</v>
      </c>
      <c r="AA409" s="9"/>
      <c r="AB409" s="9"/>
    </row>
    <row r="410" spans="1:28" ht="32">
      <c r="A410" s="6">
        <v>465</v>
      </c>
      <c r="B410" s="8" t="s">
        <v>199</v>
      </c>
      <c r="C410" s="8" t="s">
        <v>857</v>
      </c>
      <c r="D410" s="8" t="s">
        <v>859</v>
      </c>
      <c r="E410" s="8" t="s">
        <v>858</v>
      </c>
      <c r="F410" s="6">
        <v>464</v>
      </c>
      <c r="G410" s="6" t="b">
        <v>0</v>
      </c>
      <c r="H410" s="8" t="s">
        <v>480</v>
      </c>
      <c r="I410" s="6" t="b">
        <v>0</v>
      </c>
      <c r="J410" s="6" t="b">
        <v>0</v>
      </c>
      <c r="K410" s="6" t="b">
        <v>0</v>
      </c>
      <c r="L410" s="6" t="b">
        <v>1</v>
      </c>
      <c r="M410" s="6" t="b">
        <v>0</v>
      </c>
      <c r="N410" s="6">
        <v>3</v>
      </c>
      <c r="O410" s="8" t="s">
        <v>331</v>
      </c>
      <c r="P410" s="8" t="s">
        <v>350</v>
      </c>
      <c r="Q410" s="8" t="s">
        <v>811</v>
      </c>
      <c r="R410" s="6">
        <v>5</v>
      </c>
      <c r="S410" s="8" t="s">
        <v>347</v>
      </c>
      <c r="T410" s="9"/>
      <c r="U410" s="8" t="s">
        <v>240</v>
      </c>
      <c r="V410" s="8" t="s">
        <v>510</v>
      </c>
      <c r="W410" s="8" t="s">
        <v>386</v>
      </c>
      <c r="X410" s="8" t="s">
        <v>240</v>
      </c>
      <c r="Y410" s="8" t="s">
        <v>240</v>
      </c>
      <c r="Z410" s="6" t="b">
        <v>0</v>
      </c>
      <c r="AA410" s="9"/>
      <c r="AB410" s="9"/>
    </row>
    <row r="411" spans="1:28" ht="32">
      <c r="A411" s="6">
        <v>466</v>
      </c>
      <c r="B411" s="8" t="s">
        <v>199</v>
      </c>
      <c r="C411" s="8" t="s">
        <v>857</v>
      </c>
      <c r="D411" s="8" t="s">
        <v>860</v>
      </c>
      <c r="E411" s="8" t="s">
        <v>858</v>
      </c>
      <c r="F411" s="6">
        <v>464</v>
      </c>
      <c r="G411" s="6" t="b">
        <v>0</v>
      </c>
      <c r="H411" s="8" t="s">
        <v>480</v>
      </c>
      <c r="I411" s="6" t="b">
        <v>0</v>
      </c>
      <c r="J411" s="6" t="b">
        <v>0</v>
      </c>
      <c r="K411" s="6" t="b">
        <v>0</v>
      </c>
      <c r="L411" s="6" t="b">
        <v>1</v>
      </c>
      <c r="M411" s="6" t="b">
        <v>0</v>
      </c>
      <c r="N411" s="6">
        <v>3</v>
      </c>
      <c r="O411" s="8" t="s">
        <v>331</v>
      </c>
      <c r="P411" s="8" t="s">
        <v>350</v>
      </c>
      <c r="Q411" s="8" t="s">
        <v>811</v>
      </c>
      <c r="R411" s="6">
        <v>5</v>
      </c>
      <c r="S411" s="8" t="s">
        <v>347</v>
      </c>
      <c r="T411" s="9"/>
      <c r="U411" s="8" t="s">
        <v>240</v>
      </c>
      <c r="V411" s="8" t="s">
        <v>510</v>
      </c>
      <c r="W411" s="8" t="s">
        <v>386</v>
      </c>
      <c r="X411" s="8" t="s">
        <v>240</v>
      </c>
      <c r="Y411" s="8" t="s">
        <v>240</v>
      </c>
      <c r="Z411" s="6" t="b">
        <v>0</v>
      </c>
      <c r="AA411" s="9"/>
      <c r="AB411" s="9"/>
    </row>
    <row r="412" spans="1:28" ht="16">
      <c r="A412" s="6">
        <v>467</v>
      </c>
      <c r="B412" s="8" t="s">
        <v>199</v>
      </c>
      <c r="C412" s="8" t="s">
        <v>857</v>
      </c>
      <c r="D412" s="8" t="s">
        <v>857</v>
      </c>
      <c r="E412" s="8" t="s">
        <v>857</v>
      </c>
      <c r="F412" s="6">
        <v>467</v>
      </c>
      <c r="G412" s="6" t="b">
        <v>0</v>
      </c>
      <c r="H412" s="8" t="s">
        <v>480</v>
      </c>
      <c r="I412" s="6" t="b">
        <v>0</v>
      </c>
      <c r="J412" s="6" t="b">
        <v>0</v>
      </c>
      <c r="K412" s="6" t="b">
        <v>0</v>
      </c>
      <c r="L412" s="6" t="b">
        <v>1</v>
      </c>
      <c r="M412" s="6" t="b">
        <v>0</v>
      </c>
      <c r="N412" s="6">
        <v>3</v>
      </c>
      <c r="O412" s="8" t="s">
        <v>331</v>
      </c>
      <c r="P412" s="8" t="s">
        <v>822</v>
      </c>
      <c r="Q412" s="8" t="s">
        <v>446</v>
      </c>
      <c r="R412" s="6">
        <v>3</v>
      </c>
      <c r="S412" s="8" t="s">
        <v>331</v>
      </c>
      <c r="T412" s="9"/>
      <c r="U412" s="8" t="s">
        <v>240</v>
      </c>
      <c r="V412" s="8" t="s">
        <v>240</v>
      </c>
      <c r="W412" s="8" t="s">
        <v>240</v>
      </c>
      <c r="X412" s="8" t="s">
        <v>240</v>
      </c>
      <c r="Y412" s="8" t="s">
        <v>861</v>
      </c>
      <c r="Z412" s="6" t="b">
        <v>0</v>
      </c>
      <c r="AA412" s="9"/>
      <c r="AB412" s="9"/>
    </row>
    <row r="413" spans="1:28" ht="32">
      <c r="A413" s="6">
        <v>468</v>
      </c>
      <c r="B413" s="8" t="s">
        <v>199</v>
      </c>
      <c r="C413" s="8" t="s">
        <v>154</v>
      </c>
      <c r="D413" s="8" t="s">
        <v>862</v>
      </c>
      <c r="E413" s="8" t="s">
        <v>862</v>
      </c>
      <c r="F413" s="6">
        <v>468</v>
      </c>
      <c r="G413" s="6" t="b">
        <v>0</v>
      </c>
      <c r="H413" s="8" t="s">
        <v>480</v>
      </c>
      <c r="I413" s="6" t="b">
        <v>0</v>
      </c>
      <c r="J413" s="6" t="b">
        <v>0</v>
      </c>
      <c r="K413" s="6" t="b">
        <v>0</v>
      </c>
      <c r="L413" s="6" t="b">
        <v>1</v>
      </c>
      <c r="M413" s="6" t="b">
        <v>0</v>
      </c>
      <c r="N413" s="6">
        <v>7</v>
      </c>
      <c r="O413" s="8" t="s">
        <v>331</v>
      </c>
      <c r="P413" s="8" t="s">
        <v>350</v>
      </c>
      <c r="Q413" s="8" t="s">
        <v>811</v>
      </c>
      <c r="R413" s="6">
        <v>3</v>
      </c>
      <c r="S413" s="8" t="s">
        <v>347</v>
      </c>
      <c r="T413" s="6">
        <v>3</v>
      </c>
      <c r="U413" s="8" t="s">
        <v>240</v>
      </c>
      <c r="V413" s="8" t="s">
        <v>450</v>
      </c>
      <c r="W413" s="8" t="s">
        <v>240</v>
      </c>
      <c r="X413" s="8" t="s">
        <v>240</v>
      </c>
      <c r="Y413" s="8" t="s">
        <v>240</v>
      </c>
      <c r="Z413" s="6" t="b">
        <v>0</v>
      </c>
      <c r="AA413" s="9"/>
      <c r="AB413" s="9"/>
    </row>
    <row r="414" spans="1:28" ht="16">
      <c r="A414" s="6">
        <v>469</v>
      </c>
      <c r="B414" s="8" t="s">
        <v>199</v>
      </c>
      <c r="C414" s="8" t="s">
        <v>154</v>
      </c>
      <c r="D414" s="8" t="s">
        <v>154</v>
      </c>
      <c r="E414" s="8" t="s">
        <v>154</v>
      </c>
      <c r="F414" s="6">
        <v>469</v>
      </c>
      <c r="G414" s="6" t="b">
        <v>0</v>
      </c>
      <c r="H414" s="8" t="s">
        <v>480</v>
      </c>
      <c r="I414" s="6" t="b">
        <v>0</v>
      </c>
      <c r="J414" s="6" t="b">
        <v>0</v>
      </c>
      <c r="K414" s="6" t="b">
        <v>0</v>
      </c>
      <c r="L414" s="6" t="b">
        <v>1</v>
      </c>
      <c r="M414" s="6" t="b">
        <v>0</v>
      </c>
      <c r="N414" s="6">
        <v>7</v>
      </c>
      <c r="O414" s="8" t="s">
        <v>331</v>
      </c>
      <c r="P414" s="8" t="s">
        <v>350</v>
      </c>
      <c r="Q414" s="8" t="s">
        <v>381</v>
      </c>
      <c r="R414" s="6">
        <v>7</v>
      </c>
      <c r="S414" s="8" t="s">
        <v>331</v>
      </c>
      <c r="T414" s="6">
        <v>6</v>
      </c>
      <c r="U414" s="8" t="s">
        <v>240</v>
      </c>
      <c r="V414" s="8" t="s">
        <v>240</v>
      </c>
      <c r="W414" s="8" t="s">
        <v>240</v>
      </c>
      <c r="X414" s="8" t="s">
        <v>240</v>
      </c>
      <c r="Y414" s="8" t="s">
        <v>240</v>
      </c>
      <c r="Z414" s="6" t="b">
        <v>0</v>
      </c>
      <c r="AA414" s="9"/>
      <c r="AB414" s="9"/>
    </row>
    <row r="415" spans="1:28" ht="32">
      <c r="A415" s="6">
        <v>470</v>
      </c>
      <c r="B415" s="8" t="s">
        <v>199</v>
      </c>
      <c r="C415" s="8" t="s">
        <v>154</v>
      </c>
      <c r="D415" s="8" t="s">
        <v>863</v>
      </c>
      <c r="E415" s="8" t="s">
        <v>863</v>
      </c>
      <c r="F415" s="6">
        <v>470</v>
      </c>
      <c r="G415" s="6" t="b">
        <v>0</v>
      </c>
      <c r="H415" s="8" t="s">
        <v>480</v>
      </c>
      <c r="I415" s="6" t="b">
        <v>0</v>
      </c>
      <c r="J415" s="6" t="b">
        <v>0</v>
      </c>
      <c r="K415" s="6" t="b">
        <v>0</v>
      </c>
      <c r="L415" s="6" t="b">
        <v>1</v>
      </c>
      <c r="M415" s="6" t="b">
        <v>0</v>
      </c>
      <c r="N415" s="6">
        <v>7</v>
      </c>
      <c r="O415" s="8" t="s">
        <v>331</v>
      </c>
      <c r="P415" s="8" t="s">
        <v>350</v>
      </c>
      <c r="Q415" s="8" t="s">
        <v>481</v>
      </c>
      <c r="R415" s="6">
        <v>7</v>
      </c>
      <c r="S415" s="8" t="s">
        <v>347</v>
      </c>
      <c r="T415" s="6">
        <v>6</v>
      </c>
      <c r="U415" s="8" t="s">
        <v>240</v>
      </c>
      <c r="V415" s="8" t="s">
        <v>450</v>
      </c>
      <c r="W415" s="8" t="s">
        <v>240</v>
      </c>
      <c r="X415" s="8" t="s">
        <v>240</v>
      </c>
      <c r="Y415" s="8" t="s">
        <v>864</v>
      </c>
      <c r="Z415" s="6" t="b">
        <v>0</v>
      </c>
      <c r="AA415" s="9"/>
      <c r="AB415" s="9"/>
    </row>
    <row r="416" spans="1:28" ht="32">
      <c r="A416" s="6">
        <v>471</v>
      </c>
      <c r="B416" s="8" t="s">
        <v>199</v>
      </c>
      <c r="C416" s="8" t="s">
        <v>96</v>
      </c>
      <c r="D416" s="8" t="s">
        <v>865</v>
      </c>
      <c r="E416" s="8" t="s">
        <v>865</v>
      </c>
      <c r="F416" s="6">
        <v>471</v>
      </c>
      <c r="G416" s="6" t="b">
        <v>0</v>
      </c>
      <c r="H416" s="8" t="s">
        <v>480</v>
      </c>
      <c r="I416" s="6" t="b">
        <v>0</v>
      </c>
      <c r="J416" s="6" t="b">
        <v>0</v>
      </c>
      <c r="K416" s="6" t="b">
        <v>0</v>
      </c>
      <c r="L416" s="6" t="b">
        <v>1</v>
      </c>
      <c r="M416" s="6" t="b">
        <v>0</v>
      </c>
      <c r="N416" s="6">
        <v>4</v>
      </c>
      <c r="O416" s="8" t="s">
        <v>331</v>
      </c>
      <c r="P416" s="8" t="s">
        <v>350</v>
      </c>
      <c r="Q416" s="8" t="s">
        <v>811</v>
      </c>
      <c r="R416" s="6">
        <v>9</v>
      </c>
      <c r="S416" s="8" t="s">
        <v>347</v>
      </c>
      <c r="T416" s="6">
        <v>7</v>
      </c>
      <c r="U416" s="8" t="s">
        <v>240</v>
      </c>
      <c r="V416" s="8" t="s">
        <v>866</v>
      </c>
      <c r="W416" s="8" t="s">
        <v>240</v>
      </c>
      <c r="X416" s="8" t="s">
        <v>240</v>
      </c>
      <c r="Y416" s="8" t="s">
        <v>240</v>
      </c>
      <c r="Z416" s="6" t="b">
        <v>0</v>
      </c>
      <c r="AA416" s="9"/>
      <c r="AB416" s="9"/>
    </row>
    <row r="417" spans="1:28" ht="32">
      <c r="A417" s="6">
        <v>472</v>
      </c>
      <c r="B417" s="8" t="s">
        <v>199</v>
      </c>
      <c r="C417" s="8" t="s">
        <v>96</v>
      </c>
      <c r="D417" s="8" t="s">
        <v>867</v>
      </c>
      <c r="E417" s="8" t="s">
        <v>867</v>
      </c>
      <c r="F417" s="6">
        <v>472</v>
      </c>
      <c r="G417" s="6" t="b">
        <v>0</v>
      </c>
      <c r="H417" s="8" t="s">
        <v>480</v>
      </c>
      <c r="I417" s="6" t="b">
        <v>0</v>
      </c>
      <c r="J417" s="6" t="b">
        <v>0</v>
      </c>
      <c r="K417" s="6" t="b">
        <v>0</v>
      </c>
      <c r="L417" s="6" t="b">
        <v>1</v>
      </c>
      <c r="M417" s="6" t="b">
        <v>0</v>
      </c>
      <c r="N417" s="6">
        <v>4</v>
      </c>
      <c r="O417" s="8" t="s">
        <v>331</v>
      </c>
      <c r="P417" s="8" t="s">
        <v>350</v>
      </c>
      <c r="Q417" s="8" t="s">
        <v>811</v>
      </c>
      <c r="R417" s="6">
        <v>2</v>
      </c>
      <c r="S417" s="8" t="s">
        <v>347</v>
      </c>
      <c r="T417" s="6">
        <v>2</v>
      </c>
      <c r="U417" s="8" t="s">
        <v>240</v>
      </c>
      <c r="V417" s="8" t="s">
        <v>830</v>
      </c>
      <c r="W417" s="8" t="s">
        <v>386</v>
      </c>
      <c r="X417" s="8" t="s">
        <v>240</v>
      </c>
      <c r="Y417" s="8" t="s">
        <v>868</v>
      </c>
      <c r="Z417" s="6" t="b">
        <v>0</v>
      </c>
      <c r="AA417" s="9"/>
      <c r="AB417" s="9"/>
    </row>
    <row r="418" spans="1:28" ht="32">
      <c r="A418" s="6">
        <v>473</v>
      </c>
      <c r="B418" s="8" t="s">
        <v>199</v>
      </c>
      <c r="C418" s="8" t="s">
        <v>869</v>
      </c>
      <c r="D418" s="8" t="s">
        <v>870</v>
      </c>
      <c r="E418" s="8" t="s">
        <v>870</v>
      </c>
      <c r="F418" s="6">
        <v>473</v>
      </c>
      <c r="G418" s="6" t="b">
        <v>0</v>
      </c>
      <c r="H418" s="8" t="s">
        <v>480</v>
      </c>
      <c r="I418" s="6" t="b">
        <v>0</v>
      </c>
      <c r="J418" s="6" t="b">
        <v>0</v>
      </c>
      <c r="K418" s="6" t="b">
        <v>0</v>
      </c>
      <c r="L418" s="6" t="b">
        <v>1</v>
      </c>
      <c r="M418" s="6" t="b">
        <v>0</v>
      </c>
      <c r="N418" s="6">
        <v>2</v>
      </c>
      <c r="O418" s="8" t="s">
        <v>331</v>
      </c>
      <c r="P418" s="8" t="s">
        <v>350</v>
      </c>
      <c r="Q418" s="8" t="s">
        <v>811</v>
      </c>
      <c r="R418" s="6">
        <v>2</v>
      </c>
      <c r="S418" s="8" t="s">
        <v>523</v>
      </c>
      <c r="T418" s="6">
        <v>2</v>
      </c>
      <c r="U418" s="8" t="s">
        <v>240</v>
      </c>
      <c r="V418" s="8" t="s">
        <v>524</v>
      </c>
      <c r="W418" s="8" t="s">
        <v>386</v>
      </c>
      <c r="X418" s="8" t="s">
        <v>240</v>
      </c>
      <c r="Y418" s="8" t="s">
        <v>240</v>
      </c>
      <c r="Z418" s="6" t="b">
        <v>0</v>
      </c>
      <c r="AA418" s="9"/>
      <c r="AB418" s="9"/>
    </row>
    <row r="419" spans="1:28" ht="16">
      <c r="A419" s="6">
        <v>474</v>
      </c>
      <c r="B419" s="8" t="s">
        <v>199</v>
      </c>
      <c r="C419" s="8" t="s">
        <v>111</v>
      </c>
      <c r="D419" s="8" t="s">
        <v>871</v>
      </c>
      <c r="E419" s="8" t="s">
        <v>871</v>
      </c>
      <c r="F419" s="6">
        <v>474</v>
      </c>
      <c r="G419" s="6" t="b">
        <v>0</v>
      </c>
      <c r="H419" s="8" t="s">
        <v>480</v>
      </c>
      <c r="I419" s="6" t="b">
        <v>0</v>
      </c>
      <c r="J419" s="6" t="b">
        <v>0</v>
      </c>
      <c r="K419" s="6" t="b">
        <v>0</v>
      </c>
      <c r="L419" s="6" t="b">
        <v>1</v>
      </c>
      <c r="M419" s="6" t="b">
        <v>0</v>
      </c>
      <c r="N419" s="6">
        <v>4</v>
      </c>
      <c r="O419" s="8" t="s">
        <v>331</v>
      </c>
      <c r="P419" s="8" t="s">
        <v>822</v>
      </c>
      <c r="Q419" s="8" t="s">
        <v>446</v>
      </c>
      <c r="R419" s="6">
        <v>4</v>
      </c>
      <c r="S419" s="8" t="s">
        <v>75</v>
      </c>
      <c r="T419" s="9"/>
      <c r="U419" s="8" t="s">
        <v>240</v>
      </c>
      <c r="V419" s="8" t="s">
        <v>482</v>
      </c>
      <c r="W419" s="8" t="s">
        <v>386</v>
      </c>
      <c r="X419" s="8" t="s">
        <v>240</v>
      </c>
      <c r="Y419" s="8" t="s">
        <v>872</v>
      </c>
      <c r="Z419" s="6" t="b">
        <v>0</v>
      </c>
      <c r="AA419" s="9"/>
      <c r="AB419" s="9"/>
    </row>
    <row r="420" spans="1:28" ht="32">
      <c r="A420" s="6">
        <v>475</v>
      </c>
      <c r="B420" s="8" t="s">
        <v>199</v>
      </c>
      <c r="C420" s="8" t="s">
        <v>96</v>
      </c>
      <c r="D420" s="8" t="s">
        <v>873</v>
      </c>
      <c r="E420" s="8" t="s">
        <v>873</v>
      </c>
      <c r="F420" s="6">
        <v>475</v>
      </c>
      <c r="G420" s="6" t="b">
        <v>0</v>
      </c>
      <c r="H420" s="8" t="s">
        <v>480</v>
      </c>
      <c r="I420" s="6" t="b">
        <v>0</v>
      </c>
      <c r="J420" s="6" t="b">
        <v>0</v>
      </c>
      <c r="K420" s="6" t="b">
        <v>0</v>
      </c>
      <c r="L420" s="6" t="b">
        <v>1</v>
      </c>
      <c r="M420" s="6" t="b">
        <v>0</v>
      </c>
      <c r="N420" s="6">
        <v>4</v>
      </c>
      <c r="O420" s="8" t="s">
        <v>331</v>
      </c>
      <c r="P420" s="8" t="s">
        <v>350</v>
      </c>
      <c r="Q420" s="8" t="s">
        <v>811</v>
      </c>
      <c r="R420" s="6">
        <v>4</v>
      </c>
      <c r="S420" s="8" t="s">
        <v>347</v>
      </c>
      <c r="T420" s="6">
        <v>4</v>
      </c>
      <c r="U420" s="8" t="s">
        <v>874</v>
      </c>
      <c r="V420" s="8" t="s">
        <v>830</v>
      </c>
      <c r="W420" s="8" t="s">
        <v>483</v>
      </c>
      <c r="X420" s="8" t="s">
        <v>240</v>
      </c>
      <c r="Y420" s="8" t="s">
        <v>240</v>
      </c>
      <c r="Z420" s="6" t="b">
        <v>0</v>
      </c>
      <c r="AA420" s="9"/>
      <c r="AB420" s="9"/>
    </row>
    <row r="421" spans="1:28" ht="16">
      <c r="A421" s="6">
        <v>476</v>
      </c>
      <c r="B421" s="8" t="s">
        <v>199</v>
      </c>
      <c r="C421" s="8" t="s">
        <v>151</v>
      </c>
      <c r="D421" s="8" t="s">
        <v>875</v>
      </c>
      <c r="E421" s="8" t="s">
        <v>875</v>
      </c>
      <c r="F421" s="6">
        <v>476</v>
      </c>
      <c r="G421" s="6" t="b">
        <v>0</v>
      </c>
      <c r="H421" s="8" t="s">
        <v>480</v>
      </c>
      <c r="I421" s="6" t="b">
        <v>0</v>
      </c>
      <c r="J421" s="6" t="b">
        <v>0</v>
      </c>
      <c r="K421" s="6" t="b">
        <v>0</v>
      </c>
      <c r="L421" s="6" t="b">
        <v>1</v>
      </c>
      <c r="M421" s="6" t="b">
        <v>0</v>
      </c>
      <c r="N421" s="6">
        <v>1</v>
      </c>
      <c r="O421" s="8" t="s">
        <v>331</v>
      </c>
      <c r="P421" s="8" t="s">
        <v>822</v>
      </c>
      <c r="Q421" s="8" t="s">
        <v>876</v>
      </c>
      <c r="R421" s="6">
        <v>2</v>
      </c>
      <c r="S421" s="8" t="s">
        <v>523</v>
      </c>
      <c r="T421" s="6">
        <v>2</v>
      </c>
      <c r="U421" s="8" t="s">
        <v>240</v>
      </c>
      <c r="V421" s="8" t="s">
        <v>482</v>
      </c>
      <c r="W421" s="8" t="s">
        <v>483</v>
      </c>
      <c r="X421" s="8" t="s">
        <v>240</v>
      </c>
      <c r="Y421" s="8" t="s">
        <v>240</v>
      </c>
      <c r="Z421" s="6" t="b">
        <v>0</v>
      </c>
      <c r="AA421" s="9"/>
      <c r="AB421" s="9"/>
    </row>
    <row r="422" spans="1:28" ht="16">
      <c r="A422" s="6">
        <v>477</v>
      </c>
      <c r="B422" s="8" t="s">
        <v>199</v>
      </c>
      <c r="C422" s="8" t="s">
        <v>151</v>
      </c>
      <c r="D422" s="8" t="s">
        <v>877</v>
      </c>
      <c r="E422" s="8" t="s">
        <v>875</v>
      </c>
      <c r="F422" s="6">
        <v>476</v>
      </c>
      <c r="G422" s="6" t="b">
        <v>0</v>
      </c>
      <c r="H422" s="8" t="s">
        <v>480</v>
      </c>
      <c r="I422" s="6" t="b">
        <v>0</v>
      </c>
      <c r="J422" s="6" t="b">
        <v>0</v>
      </c>
      <c r="K422" s="6" t="b">
        <v>0</v>
      </c>
      <c r="L422" s="6" t="b">
        <v>1</v>
      </c>
      <c r="M422" s="6" t="b">
        <v>0</v>
      </c>
      <c r="N422" s="6">
        <v>1</v>
      </c>
      <c r="O422" s="8" t="s">
        <v>331</v>
      </c>
      <c r="P422" s="8" t="s">
        <v>350</v>
      </c>
      <c r="Q422" s="8" t="s">
        <v>239</v>
      </c>
      <c r="R422" s="6">
        <v>4</v>
      </c>
      <c r="S422" s="8" t="s">
        <v>347</v>
      </c>
      <c r="T422" s="9"/>
      <c r="U422" s="8" t="s">
        <v>878</v>
      </c>
      <c r="V422" s="8" t="s">
        <v>482</v>
      </c>
      <c r="W422" s="8" t="s">
        <v>483</v>
      </c>
      <c r="X422" s="8" t="s">
        <v>240</v>
      </c>
      <c r="Y422" s="8" t="s">
        <v>240</v>
      </c>
      <c r="Z422" s="6" t="b">
        <v>0</v>
      </c>
      <c r="AA422" s="9"/>
      <c r="AB422" s="9"/>
    </row>
    <row r="423" spans="1:28" ht="16">
      <c r="A423" s="6">
        <v>478</v>
      </c>
      <c r="B423" s="8" t="s">
        <v>199</v>
      </c>
      <c r="C423" s="8" t="s">
        <v>151</v>
      </c>
      <c r="D423" s="8" t="s">
        <v>879</v>
      </c>
      <c r="E423" s="8" t="s">
        <v>875</v>
      </c>
      <c r="F423" s="6">
        <v>476</v>
      </c>
      <c r="G423" s="6" t="b">
        <v>0</v>
      </c>
      <c r="H423" s="8" t="s">
        <v>480</v>
      </c>
      <c r="I423" s="6" t="b">
        <v>0</v>
      </c>
      <c r="J423" s="6" t="b">
        <v>0</v>
      </c>
      <c r="K423" s="6" t="b">
        <v>0</v>
      </c>
      <c r="L423" s="6" t="b">
        <v>1</v>
      </c>
      <c r="M423" s="6" t="b">
        <v>0</v>
      </c>
      <c r="N423" s="6">
        <v>1</v>
      </c>
      <c r="O423" s="8" t="s">
        <v>331</v>
      </c>
      <c r="P423" s="8" t="s">
        <v>350</v>
      </c>
      <c r="Q423" s="8" t="s">
        <v>335</v>
      </c>
      <c r="R423" s="6">
        <v>2</v>
      </c>
      <c r="S423" s="8" t="s">
        <v>880</v>
      </c>
      <c r="T423" s="6">
        <v>2</v>
      </c>
      <c r="U423" s="8" t="s">
        <v>881</v>
      </c>
      <c r="V423" s="8" t="s">
        <v>482</v>
      </c>
      <c r="W423" s="8" t="s">
        <v>483</v>
      </c>
      <c r="X423" s="8" t="s">
        <v>240</v>
      </c>
      <c r="Y423" s="8" t="s">
        <v>240</v>
      </c>
      <c r="Z423" s="6" t="b">
        <v>0</v>
      </c>
      <c r="AA423" s="9"/>
      <c r="AB423" s="9"/>
    </row>
    <row r="424" spans="1:28" ht="16">
      <c r="A424" s="6">
        <v>479</v>
      </c>
      <c r="B424" s="8" t="s">
        <v>199</v>
      </c>
      <c r="C424" s="8" t="s">
        <v>151</v>
      </c>
      <c r="D424" s="8" t="s">
        <v>882</v>
      </c>
      <c r="E424" s="8" t="s">
        <v>882</v>
      </c>
      <c r="F424" s="6">
        <v>479</v>
      </c>
      <c r="G424" s="6" t="b">
        <v>0</v>
      </c>
      <c r="H424" s="8" t="s">
        <v>480</v>
      </c>
      <c r="I424" s="6" t="b">
        <v>0</v>
      </c>
      <c r="J424" s="6" t="b">
        <v>0</v>
      </c>
      <c r="K424" s="6" t="b">
        <v>0</v>
      </c>
      <c r="L424" s="6" t="b">
        <v>1</v>
      </c>
      <c r="M424" s="6" t="b">
        <v>0</v>
      </c>
      <c r="N424" s="6">
        <v>1</v>
      </c>
      <c r="O424" s="8" t="s">
        <v>331</v>
      </c>
      <c r="P424" s="8" t="s">
        <v>516</v>
      </c>
      <c r="Q424" s="8" t="s">
        <v>381</v>
      </c>
      <c r="R424" s="6">
        <v>1</v>
      </c>
      <c r="S424" s="8" t="s">
        <v>341</v>
      </c>
      <c r="T424" s="9"/>
      <c r="U424" s="8" t="s">
        <v>240</v>
      </c>
      <c r="V424" s="8" t="s">
        <v>524</v>
      </c>
      <c r="W424" s="8" t="s">
        <v>386</v>
      </c>
      <c r="X424" s="8" t="s">
        <v>240</v>
      </c>
      <c r="Y424" s="8" t="s">
        <v>883</v>
      </c>
      <c r="Z424" s="6" t="b">
        <v>0</v>
      </c>
      <c r="AA424" s="9"/>
      <c r="AB424" s="9"/>
    </row>
    <row r="425" spans="1:28" ht="16">
      <c r="A425" s="6">
        <v>480</v>
      </c>
      <c r="B425" s="8" t="s">
        <v>199</v>
      </c>
      <c r="C425" s="8" t="s">
        <v>151</v>
      </c>
      <c r="D425" s="8" t="s">
        <v>884</v>
      </c>
      <c r="E425" s="8" t="s">
        <v>882</v>
      </c>
      <c r="F425" s="6">
        <v>479</v>
      </c>
      <c r="G425" s="6" t="b">
        <v>0</v>
      </c>
      <c r="H425" s="8" t="s">
        <v>480</v>
      </c>
      <c r="I425" s="6" t="b">
        <v>0</v>
      </c>
      <c r="J425" s="6" t="b">
        <v>0</v>
      </c>
      <c r="K425" s="6" t="b">
        <v>0</v>
      </c>
      <c r="L425" s="6" t="b">
        <v>1</v>
      </c>
      <c r="M425" s="6" t="b">
        <v>0</v>
      </c>
      <c r="N425" s="6">
        <v>1</v>
      </c>
      <c r="O425" s="8" t="s">
        <v>331</v>
      </c>
      <c r="P425" s="8" t="s">
        <v>350</v>
      </c>
      <c r="Q425" s="8" t="s">
        <v>335</v>
      </c>
      <c r="R425" s="6">
        <v>0</v>
      </c>
      <c r="S425" s="8" t="s">
        <v>335</v>
      </c>
      <c r="T425" s="6">
        <v>0</v>
      </c>
      <c r="U425" s="8" t="s">
        <v>885</v>
      </c>
      <c r="V425" s="8" t="s">
        <v>524</v>
      </c>
      <c r="W425" s="8" t="s">
        <v>386</v>
      </c>
      <c r="X425" s="8" t="s">
        <v>240</v>
      </c>
      <c r="Y425" s="8" t="s">
        <v>886</v>
      </c>
      <c r="Z425" s="6" t="b">
        <v>0</v>
      </c>
      <c r="AA425" s="9"/>
      <c r="AB425" s="9"/>
    </row>
    <row r="426" spans="1:28" ht="16">
      <c r="A426" s="6">
        <v>481</v>
      </c>
      <c r="B426" s="8" t="s">
        <v>199</v>
      </c>
      <c r="C426" s="8" t="s">
        <v>151</v>
      </c>
      <c r="D426" s="8" t="s">
        <v>887</v>
      </c>
      <c r="E426" s="8" t="s">
        <v>882</v>
      </c>
      <c r="F426" s="6">
        <v>479</v>
      </c>
      <c r="G426" s="6" t="b">
        <v>0</v>
      </c>
      <c r="H426" s="8" t="s">
        <v>480</v>
      </c>
      <c r="I426" s="6" t="b">
        <v>0</v>
      </c>
      <c r="J426" s="6" t="b">
        <v>0</v>
      </c>
      <c r="K426" s="6" t="b">
        <v>0</v>
      </c>
      <c r="L426" s="6" t="b">
        <v>1</v>
      </c>
      <c r="M426" s="6" t="b">
        <v>0</v>
      </c>
      <c r="N426" s="6">
        <v>1</v>
      </c>
      <c r="O426" s="8" t="s">
        <v>331</v>
      </c>
      <c r="P426" s="8" t="s">
        <v>516</v>
      </c>
      <c r="Q426" s="8" t="s">
        <v>335</v>
      </c>
      <c r="R426" s="6">
        <v>0</v>
      </c>
      <c r="S426" s="8" t="s">
        <v>347</v>
      </c>
      <c r="T426" s="6">
        <v>0</v>
      </c>
      <c r="U426" s="8" t="s">
        <v>885</v>
      </c>
      <c r="V426" s="8" t="s">
        <v>524</v>
      </c>
      <c r="W426" s="8" t="s">
        <v>386</v>
      </c>
      <c r="X426" s="8" t="s">
        <v>240</v>
      </c>
      <c r="Y426" s="8" t="s">
        <v>888</v>
      </c>
      <c r="Z426" s="6" t="b">
        <v>0</v>
      </c>
      <c r="AA426" s="9"/>
      <c r="AB426" s="9"/>
    </row>
    <row r="427" spans="1:28" ht="16">
      <c r="A427" s="6">
        <v>482</v>
      </c>
      <c r="B427" s="8" t="s">
        <v>199</v>
      </c>
      <c r="C427" s="8" t="s">
        <v>151</v>
      </c>
      <c r="D427" s="8" t="s">
        <v>889</v>
      </c>
      <c r="E427" s="8" t="s">
        <v>882</v>
      </c>
      <c r="F427" s="6">
        <v>479</v>
      </c>
      <c r="G427" s="6" t="b">
        <v>0</v>
      </c>
      <c r="H427" s="8" t="s">
        <v>480</v>
      </c>
      <c r="I427" s="6" t="b">
        <v>0</v>
      </c>
      <c r="J427" s="6" t="b">
        <v>0</v>
      </c>
      <c r="K427" s="6" t="b">
        <v>0</v>
      </c>
      <c r="L427" s="6" t="b">
        <v>1</v>
      </c>
      <c r="M427" s="6" t="b">
        <v>0</v>
      </c>
      <c r="N427" s="6">
        <v>1</v>
      </c>
      <c r="O427" s="8" t="s">
        <v>331</v>
      </c>
      <c r="P427" s="8" t="s">
        <v>516</v>
      </c>
      <c r="Q427" s="8" t="s">
        <v>335</v>
      </c>
      <c r="R427" s="6">
        <v>0</v>
      </c>
      <c r="S427" s="8" t="s">
        <v>335</v>
      </c>
      <c r="T427" s="6">
        <v>0</v>
      </c>
      <c r="U427" s="8" t="s">
        <v>890</v>
      </c>
      <c r="V427" s="8" t="s">
        <v>524</v>
      </c>
      <c r="W427" s="8" t="s">
        <v>386</v>
      </c>
      <c r="X427" s="8" t="s">
        <v>240</v>
      </c>
      <c r="Y427" s="8" t="s">
        <v>240</v>
      </c>
      <c r="Z427" s="6" t="b">
        <v>0</v>
      </c>
      <c r="AA427" s="9"/>
      <c r="AB427" s="9"/>
    </row>
    <row r="428" spans="1:28" ht="16">
      <c r="A428" s="6">
        <v>483</v>
      </c>
      <c r="B428" s="8" t="s">
        <v>199</v>
      </c>
      <c r="C428" s="8" t="s">
        <v>151</v>
      </c>
      <c r="D428" s="8" t="s">
        <v>891</v>
      </c>
      <c r="E428" s="8" t="s">
        <v>882</v>
      </c>
      <c r="F428" s="6">
        <v>479</v>
      </c>
      <c r="G428" s="6" t="b">
        <v>0</v>
      </c>
      <c r="H428" s="8" t="s">
        <v>480</v>
      </c>
      <c r="I428" s="6" t="b">
        <v>0</v>
      </c>
      <c r="J428" s="6" t="b">
        <v>0</v>
      </c>
      <c r="K428" s="6" t="b">
        <v>0</v>
      </c>
      <c r="L428" s="6" t="b">
        <v>1</v>
      </c>
      <c r="M428" s="6" t="b">
        <v>0</v>
      </c>
      <c r="N428" s="6">
        <v>1</v>
      </c>
      <c r="O428" s="8" t="s">
        <v>331</v>
      </c>
      <c r="P428" s="8" t="s">
        <v>516</v>
      </c>
      <c r="Q428" s="8" t="s">
        <v>335</v>
      </c>
      <c r="R428" s="6">
        <v>0</v>
      </c>
      <c r="S428" s="8" t="s">
        <v>335</v>
      </c>
      <c r="T428" s="6">
        <v>0</v>
      </c>
      <c r="U428" s="8" t="s">
        <v>892</v>
      </c>
      <c r="V428" s="8" t="s">
        <v>524</v>
      </c>
      <c r="W428" s="8" t="s">
        <v>386</v>
      </c>
      <c r="X428" s="8" t="s">
        <v>240</v>
      </c>
      <c r="Y428" s="8" t="s">
        <v>240</v>
      </c>
      <c r="Z428" s="6" t="b">
        <v>0</v>
      </c>
      <c r="AA428" s="9"/>
      <c r="AB428" s="9"/>
    </row>
    <row r="429" spans="1:28" ht="32">
      <c r="A429" s="6">
        <v>484</v>
      </c>
      <c r="B429" s="8" t="s">
        <v>199</v>
      </c>
      <c r="C429" s="8" t="s">
        <v>111</v>
      </c>
      <c r="D429" s="8" t="s">
        <v>893</v>
      </c>
      <c r="E429" s="8" t="s">
        <v>893</v>
      </c>
      <c r="F429" s="6">
        <v>484</v>
      </c>
      <c r="G429" s="6" t="b">
        <v>0</v>
      </c>
      <c r="H429" s="8" t="s">
        <v>480</v>
      </c>
      <c r="I429" s="6" t="b">
        <v>0</v>
      </c>
      <c r="J429" s="6" t="b">
        <v>0</v>
      </c>
      <c r="K429" s="6" t="b">
        <v>0</v>
      </c>
      <c r="L429" s="6" t="b">
        <v>1</v>
      </c>
      <c r="M429" s="6" t="b">
        <v>0</v>
      </c>
      <c r="N429" s="6">
        <v>4</v>
      </c>
      <c r="O429" s="8" t="s">
        <v>331</v>
      </c>
      <c r="P429" s="8" t="s">
        <v>822</v>
      </c>
      <c r="Q429" s="8" t="s">
        <v>894</v>
      </c>
      <c r="R429" s="6">
        <v>0</v>
      </c>
      <c r="S429" s="8" t="s">
        <v>335</v>
      </c>
      <c r="T429" s="6">
        <v>0</v>
      </c>
      <c r="U429" s="8" t="s">
        <v>240</v>
      </c>
      <c r="V429" s="8" t="s">
        <v>482</v>
      </c>
      <c r="W429" s="8" t="s">
        <v>386</v>
      </c>
      <c r="X429" s="8" t="s">
        <v>240</v>
      </c>
      <c r="Y429" s="8" t="s">
        <v>895</v>
      </c>
      <c r="Z429" s="6" t="b">
        <v>0</v>
      </c>
      <c r="AA429" s="9"/>
      <c r="AB429" s="9"/>
    </row>
    <row r="430" spans="1:28" ht="16">
      <c r="A430" s="6">
        <v>485</v>
      </c>
      <c r="B430" s="8" t="s">
        <v>199</v>
      </c>
      <c r="C430" s="8" t="s">
        <v>896</v>
      </c>
      <c r="D430" s="8" t="s">
        <v>897</v>
      </c>
      <c r="E430" s="8" t="s">
        <v>897</v>
      </c>
      <c r="F430" s="6">
        <v>485</v>
      </c>
      <c r="G430" s="6" t="b">
        <v>0</v>
      </c>
      <c r="H430" s="8" t="s">
        <v>480</v>
      </c>
      <c r="I430" s="6" t="b">
        <v>0</v>
      </c>
      <c r="J430" s="6" t="b">
        <v>0</v>
      </c>
      <c r="K430" s="6" t="b">
        <v>0</v>
      </c>
      <c r="L430" s="6" t="b">
        <v>1</v>
      </c>
      <c r="M430" s="6" t="b">
        <v>0</v>
      </c>
      <c r="N430" s="6">
        <v>4</v>
      </c>
      <c r="O430" s="8" t="s">
        <v>331</v>
      </c>
      <c r="P430" s="8" t="s">
        <v>350</v>
      </c>
      <c r="Q430" s="8" t="s">
        <v>898</v>
      </c>
      <c r="R430" s="6">
        <v>2</v>
      </c>
      <c r="S430" s="8" t="s">
        <v>335</v>
      </c>
      <c r="T430" s="6">
        <v>2</v>
      </c>
      <c r="U430" s="8" t="s">
        <v>240</v>
      </c>
      <c r="V430" s="8" t="s">
        <v>496</v>
      </c>
      <c r="W430" s="8" t="s">
        <v>240</v>
      </c>
      <c r="X430" s="8" t="s">
        <v>240</v>
      </c>
      <c r="Y430" s="8" t="s">
        <v>899</v>
      </c>
      <c r="Z430" s="6" t="b">
        <v>0</v>
      </c>
      <c r="AA430" s="9"/>
      <c r="AB430" s="9"/>
    </row>
    <row r="431" spans="1:28" ht="32">
      <c r="A431" s="6">
        <v>486</v>
      </c>
      <c r="B431" s="8" t="s">
        <v>199</v>
      </c>
      <c r="C431" s="8" t="s">
        <v>151</v>
      </c>
      <c r="D431" s="8" t="s">
        <v>900</v>
      </c>
      <c r="E431" s="8" t="s">
        <v>900</v>
      </c>
      <c r="F431" s="6">
        <v>486</v>
      </c>
      <c r="G431" s="6" t="b">
        <v>0</v>
      </c>
      <c r="H431" s="8" t="s">
        <v>480</v>
      </c>
      <c r="I431" s="6" t="b">
        <v>0</v>
      </c>
      <c r="J431" s="6" t="b">
        <v>0</v>
      </c>
      <c r="K431" s="6" t="b">
        <v>0</v>
      </c>
      <c r="L431" s="6" t="b">
        <v>1</v>
      </c>
      <c r="M431" s="6" t="b">
        <v>0</v>
      </c>
      <c r="N431" s="6">
        <v>1</v>
      </c>
      <c r="O431" s="8" t="s">
        <v>331</v>
      </c>
      <c r="P431" s="8" t="s">
        <v>822</v>
      </c>
      <c r="Q431" s="8" t="s">
        <v>334</v>
      </c>
      <c r="R431" s="6">
        <v>1</v>
      </c>
      <c r="S431" s="8" t="s">
        <v>335</v>
      </c>
      <c r="T431" s="6">
        <v>1</v>
      </c>
      <c r="U431" s="8" t="s">
        <v>240</v>
      </c>
      <c r="V431" s="8" t="s">
        <v>901</v>
      </c>
      <c r="W431" s="8" t="s">
        <v>483</v>
      </c>
      <c r="X431" s="8" t="s">
        <v>240</v>
      </c>
      <c r="Y431" s="8" t="s">
        <v>899</v>
      </c>
      <c r="Z431" s="6" t="b">
        <v>0</v>
      </c>
      <c r="AA431" s="9"/>
      <c r="AB431" s="9"/>
    </row>
    <row r="432" spans="1:28" ht="32">
      <c r="A432" s="6">
        <v>487</v>
      </c>
      <c r="B432" s="8" t="s">
        <v>199</v>
      </c>
      <c r="C432" s="8" t="s">
        <v>151</v>
      </c>
      <c r="D432" s="8" t="s">
        <v>902</v>
      </c>
      <c r="E432" s="8" t="s">
        <v>900</v>
      </c>
      <c r="F432" s="6">
        <v>486</v>
      </c>
      <c r="G432" s="6" t="b">
        <v>0</v>
      </c>
      <c r="H432" s="8" t="s">
        <v>480</v>
      </c>
      <c r="I432" s="6" t="b">
        <v>0</v>
      </c>
      <c r="J432" s="6" t="b">
        <v>0</v>
      </c>
      <c r="K432" s="6" t="b">
        <v>0</v>
      </c>
      <c r="L432" s="6" t="b">
        <v>1</v>
      </c>
      <c r="M432" s="6" t="b">
        <v>0</v>
      </c>
      <c r="N432" s="6">
        <v>1</v>
      </c>
      <c r="O432" s="8" t="s">
        <v>331</v>
      </c>
      <c r="P432" s="8" t="s">
        <v>350</v>
      </c>
      <c r="Q432" s="8" t="s">
        <v>335</v>
      </c>
      <c r="R432" s="6">
        <v>0</v>
      </c>
      <c r="S432" s="8" t="s">
        <v>347</v>
      </c>
      <c r="T432" s="6">
        <v>0</v>
      </c>
      <c r="U432" s="8" t="s">
        <v>240</v>
      </c>
      <c r="V432" s="8" t="s">
        <v>901</v>
      </c>
      <c r="W432" s="8" t="s">
        <v>483</v>
      </c>
      <c r="X432" s="8" t="s">
        <v>240</v>
      </c>
      <c r="Y432" s="8" t="s">
        <v>240</v>
      </c>
      <c r="Z432" s="6" t="b">
        <v>0</v>
      </c>
      <c r="AA432" s="9"/>
      <c r="AB432" s="9"/>
    </row>
    <row r="433" spans="1:28" ht="32">
      <c r="A433" s="6">
        <v>488</v>
      </c>
      <c r="B433" s="8" t="s">
        <v>199</v>
      </c>
      <c r="C433" s="8" t="s">
        <v>151</v>
      </c>
      <c r="D433" s="8" t="s">
        <v>903</v>
      </c>
      <c r="E433" s="8" t="s">
        <v>900</v>
      </c>
      <c r="F433" s="6">
        <v>486</v>
      </c>
      <c r="G433" s="6" t="b">
        <v>0</v>
      </c>
      <c r="H433" s="8" t="s">
        <v>480</v>
      </c>
      <c r="I433" s="6" t="b">
        <v>0</v>
      </c>
      <c r="J433" s="6" t="b">
        <v>0</v>
      </c>
      <c r="K433" s="6" t="b">
        <v>0</v>
      </c>
      <c r="L433" s="6" t="b">
        <v>1</v>
      </c>
      <c r="M433" s="6" t="b">
        <v>0</v>
      </c>
      <c r="N433" s="6">
        <v>1</v>
      </c>
      <c r="O433" s="8" t="s">
        <v>331</v>
      </c>
      <c r="P433" s="8" t="s">
        <v>350</v>
      </c>
      <c r="Q433" s="8" t="s">
        <v>446</v>
      </c>
      <c r="R433" s="6">
        <v>2</v>
      </c>
      <c r="S433" s="8" t="s">
        <v>347</v>
      </c>
      <c r="T433" s="6">
        <v>2</v>
      </c>
      <c r="U433" s="8" t="s">
        <v>904</v>
      </c>
      <c r="V433" s="8" t="s">
        <v>901</v>
      </c>
      <c r="W433" s="8" t="s">
        <v>483</v>
      </c>
      <c r="X433" s="8" t="s">
        <v>240</v>
      </c>
      <c r="Y433" s="8" t="s">
        <v>240</v>
      </c>
      <c r="Z433" s="6" t="b">
        <v>0</v>
      </c>
      <c r="AA433" s="9"/>
      <c r="AB433" s="9"/>
    </row>
    <row r="434" spans="1:28" ht="32">
      <c r="A434" s="6">
        <v>489</v>
      </c>
      <c r="B434" s="8" t="s">
        <v>199</v>
      </c>
      <c r="C434" s="8" t="s">
        <v>151</v>
      </c>
      <c r="D434" s="8" t="s">
        <v>905</v>
      </c>
      <c r="E434" s="8" t="s">
        <v>900</v>
      </c>
      <c r="F434" s="6">
        <v>486</v>
      </c>
      <c r="G434" s="6" t="b">
        <v>0</v>
      </c>
      <c r="H434" s="8" t="s">
        <v>480</v>
      </c>
      <c r="I434" s="6" t="b">
        <v>0</v>
      </c>
      <c r="J434" s="6" t="b">
        <v>0</v>
      </c>
      <c r="K434" s="6" t="b">
        <v>0</v>
      </c>
      <c r="L434" s="6" t="b">
        <v>1</v>
      </c>
      <c r="M434" s="6" t="b">
        <v>0</v>
      </c>
      <c r="N434" s="6">
        <v>1</v>
      </c>
      <c r="O434" s="8" t="s">
        <v>331</v>
      </c>
      <c r="P434" s="8" t="s">
        <v>350</v>
      </c>
      <c r="Q434" s="8" t="s">
        <v>339</v>
      </c>
      <c r="R434" s="6">
        <v>1</v>
      </c>
      <c r="S434" s="8" t="s">
        <v>347</v>
      </c>
      <c r="T434" s="6">
        <v>1</v>
      </c>
      <c r="U434" s="8" t="s">
        <v>240</v>
      </c>
      <c r="V434" s="8" t="s">
        <v>901</v>
      </c>
      <c r="W434" s="8" t="s">
        <v>483</v>
      </c>
      <c r="X434" s="8" t="s">
        <v>240</v>
      </c>
      <c r="Y434" s="8" t="s">
        <v>906</v>
      </c>
      <c r="Z434" s="6" t="b">
        <v>0</v>
      </c>
      <c r="AA434" s="9"/>
      <c r="AB434" s="9"/>
    </row>
    <row r="435" spans="1:28" ht="16">
      <c r="A435" s="6">
        <v>490</v>
      </c>
      <c r="B435" s="8" t="s">
        <v>199</v>
      </c>
      <c r="C435" s="8" t="s">
        <v>151</v>
      </c>
      <c r="D435" s="8" t="s">
        <v>907</v>
      </c>
      <c r="E435" s="8" t="s">
        <v>900</v>
      </c>
      <c r="F435" s="6">
        <v>486</v>
      </c>
      <c r="G435" s="6" t="b">
        <v>0</v>
      </c>
      <c r="H435" s="8" t="s">
        <v>480</v>
      </c>
      <c r="I435" s="6" t="b">
        <v>0</v>
      </c>
      <c r="J435" s="6" t="b">
        <v>0</v>
      </c>
      <c r="K435" s="6" t="b">
        <v>0</v>
      </c>
      <c r="L435" s="6" t="b">
        <v>1</v>
      </c>
      <c r="M435" s="6" t="b">
        <v>0</v>
      </c>
      <c r="N435" s="6">
        <v>1</v>
      </c>
      <c r="O435" s="8" t="s">
        <v>331</v>
      </c>
      <c r="P435" s="8" t="s">
        <v>350</v>
      </c>
      <c r="Q435" s="8" t="s">
        <v>335</v>
      </c>
      <c r="R435" s="6">
        <v>1</v>
      </c>
      <c r="S435" s="8" t="s">
        <v>347</v>
      </c>
      <c r="T435" s="6">
        <v>1</v>
      </c>
      <c r="U435" s="8" t="s">
        <v>240</v>
      </c>
      <c r="V435" s="8" t="s">
        <v>901</v>
      </c>
      <c r="W435" s="8" t="s">
        <v>483</v>
      </c>
      <c r="X435" s="8" t="s">
        <v>240</v>
      </c>
      <c r="Y435" s="8" t="s">
        <v>908</v>
      </c>
      <c r="Z435" s="6" t="b">
        <v>0</v>
      </c>
      <c r="AA435" s="9"/>
      <c r="AB435" s="9"/>
    </row>
    <row r="436" spans="1:28" ht="16">
      <c r="A436" s="6">
        <v>491</v>
      </c>
      <c r="B436" s="8" t="s">
        <v>199</v>
      </c>
      <c r="C436" s="8" t="s">
        <v>151</v>
      </c>
      <c r="D436" s="8" t="s">
        <v>909</v>
      </c>
      <c r="E436" s="8" t="s">
        <v>900</v>
      </c>
      <c r="F436" s="6">
        <v>486</v>
      </c>
      <c r="G436" s="6" t="b">
        <v>0</v>
      </c>
      <c r="H436" s="8" t="s">
        <v>480</v>
      </c>
      <c r="I436" s="6" t="b">
        <v>0</v>
      </c>
      <c r="J436" s="6" t="b">
        <v>0</v>
      </c>
      <c r="K436" s="6" t="b">
        <v>0</v>
      </c>
      <c r="L436" s="6" t="b">
        <v>1</v>
      </c>
      <c r="M436" s="6" t="b">
        <v>0</v>
      </c>
      <c r="N436" s="6">
        <v>1</v>
      </c>
      <c r="O436" s="8" t="s">
        <v>331</v>
      </c>
      <c r="P436" s="8" t="s">
        <v>516</v>
      </c>
      <c r="Q436" s="8" t="s">
        <v>335</v>
      </c>
      <c r="R436" s="6">
        <v>0</v>
      </c>
      <c r="S436" s="8" t="s">
        <v>335</v>
      </c>
      <c r="T436" s="6">
        <v>0</v>
      </c>
      <c r="U436" s="8" t="s">
        <v>890</v>
      </c>
      <c r="V436" s="8" t="s">
        <v>901</v>
      </c>
      <c r="W436" s="8" t="s">
        <v>483</v>
      </c>
      <c r="X436" s="8" t="s">
        <v>240</v>
      </c>
      <c r="Y436" s="8" t="s">
        <v>240</v>
      </c>
      <c r="Z436" s="6" t="b">
        <v>0</v>
      </c>
      <c r="AA436" s="9"/>
      <c r="AB436" s="9"/>
    </row>
    <row r="437" spans="1:28" ht="32">
      <c r="A437" s="6">
        <v>492</v>
      </c>
      <c r="B437" s="8" t="s">
        <v>199</v>
      </c>
      <c r="C437" s="8" t="s">
        <v>151</v>
      </c>
      <c r="D437" s="8" t="s">
        <v>910</v>
      </c>
      <c r="E437" s="8" t="s">
        <v>900</v>
      </c>
      <c r="F437" s="6">
        <v>486</v>
      </c>
      <c r="G437" s="6" t="b">
        <v>0</v>
      </c>
      <c r="H437" s="8" t="s">
        <v>480</v>
      </c>
      <c r="I437" s="6" t="b">
        <v>0</v>
      </c>
      <c r="J437" s="6" t="b">
        <v>0</v>
      </c>
      <c r="K437" s="6" t="b">
        <v>0</v>
      </c>
      <c r="L437" s="6" t="b">
        <v>1</v>
      </c>
      <c r="M437" s="6" t="b">
        <v>0</v>
      </c>
      <c r="N437" s="6">
        <v>1</v>
      </c>
      <c r="O437" s="8" t="s">
        <v>331</v>
      </c>
      <c r="P437" s="8" t="s">
        <v>350</v>
      </c>
      <c r="Q437" s="8" t="s">
        <v>339</v>
      </c>
      <c r="R437" s="6">
        <v>1</v>
      </c>
      <c r="S437" s="8" t="s">
        <v>347</v>
      </c>
      <c r="T437" s="6">
        <v>1</v>
      </c>
      <c r="U437" s="8" t="s">
        <v>240</v>
      </c>
      <c r="V437" s="8" t="s">
        <v>901</v>
      </c>
      <c r="W437" s="8" t="s">
        <v>483</v>
      </c>
      <c r="X437" s="8" t="s">
        <v>240</v>
      </c>
      <c r="Y437" s="8" t="s">
        <v>240</v>
      </c>
      <c r="Z437" s="6" t="b">
        <v>0</v>
      </c>
      <c r="AA437" s="9"/>
      <c r="AB437" s="9"/>
    </row>
    <row r="438" spans="1:28" ht="32">
      <c r="A438" s="6">
        <v>493</v>
      </c>
      <c r="B438" s="8" t="s">
        <v>199</v>
      </c>
      <c r="C438" s="8" t="s">
        <v>151</v>
      </c>
      <c r="D438" s="8" t="s">
        <v>911</v>
      </c>
      <c r="E438" s="8" t="s">
        <v>900</v>
      </c>
      <c r="F438" s="6">
        <v>486</v>
      </c>
      <c r="G438" s="6" t="b">
        <v>0</v>
      </c>
      <c r="H438" s="8" t="s">
        <v>480</v>
      </c>
      <c r="I438" s="6" t="b">
        <v>0</v>
      </c>
      <c r="J438" s="6" t="b">
        <v>0</v>
      </c>
      <c r="K438" s="6" t="b">
        <v>0</v>
      </c>
      <c r="L438" s="6" t="b">
        <v>1</v>
      </c>
      <c r="M438" s="6" t="b">
        <v>0</v>
      </c>
      <c r="N438" s="6">
        <v>1</v>
      </c>
      <c r="O438" s="8" t="s">
        <v>331</v>
      </c>
      <c r="P438" s="8" t="s">
        <v>350</v>
      </c>
      <c r="Q438" s="8" t="s">
        <v>335</v>
      </c>
      <c r="R438" s="6">
        <v>1</v>
      </c>
      <c r="S438" s="8" t="s">
        <v>335</v>
      </c>
      <c r="T438" s="6">
        <v>1</v>
      </c>
      <c r="U438" s="8" t="s">
        <v>240</v>
      </c>
      <c r="V438" s="8" t="s">
        <v>901</v>
      </c>
      <c r="W438" s="8" t="s">
        <v>483</v>
      </c>
      <c r="X438" s="8" t="s">
        <v>240</v>
      </c>
      <c r="Y438" s="8" t="s">
        <v>912</v>
      </c>
      <c r="Z438" s="6" t="b">
        <v>0</v>
      </c>
      <c r="AA438" s="9"/>
      <c r="AB438" s="9"/>
    </row>
    <row r="439" spans="1:28" ht="32">
      <c r="A439" s="6">
        <v>494</v>
      </c>
      <c r="B439" s="8" t="s">
        <v>199</v>
      </c>
      <c r="C439" s="8" t="s">
        <v>151</v>
      </c>
      <c r="D439" s="8" t="s">
        <v>913</v>
      </c>
      <c r="E439" s="8" t="s">
        <v>900</v>
      </c>
      <c r="F439" s="6">
        <v>486</v>
      </c>
      <c r="G439" s="6" t="b">
        <v>0</v>
      </c>
      <c r="H439" s="8" t="s">
        <v>480</v>
      </c>
      <c r="I439" s="6" t="b">
        <v>0</v>
      </c>
      <c r="J439" s="6" t="b">
        <v>0</v>
      </c>
      <c r="K439" s="6" t="b">
        <v>0</v>
      </c>
      <c r="L439" s="6" t="b">
        <v>1</v>
      </c>
      <c r="M439" s="6" t="b">
        <v>0</v>
      </c>
      <c r="N439" s="6">
        <v>1</v>
      </c>
      <c r="O439" s="8" t="s">
        <v>331</v>
      </c>
      <c r="P439" s="8" t="s">
        <v>822</v>
      </c>
      <c r="Q439" s="8" t="s">
        <v>334</v>
      </c>
      <c r="R439" s="6">
        <v>2</v>
      </c>
      <c r="S439" s="8" t="s">
        <v>247</v>
      </c>
      <c r="T439" s="6">
        <v>1</v>
      </c>
      <c r="U439" s="8" t="s">
        <v>240</v>
      </c>
      <c r="V439" s="8" t="s">
        <v>901</v>
      </c>
      <c r="W439" s="8" t="s">
        <v>483</v>
      </c>
      <c r="X439" s="8" t="s">
        <v>240</v>
      </c>
      <c r="Y439" s="8" t="s">
        <v>240</v>
      </c>
      <c r="Z439" s="6" t="b">
        <v>0</v>
      </c>
      <c r="AA439" s="9"/>
      <c r="AB439" s="9"/>
    </row>
    <row r="440" spans="1:28" ht="16">
      <c r="A440" s="6">
        <v>495</v>
      </c>
      <c r="B440" s="8" t="s">
        <v>199</v>
      </c>
      <c r="C440" s="8" t="s">
        <v>151</v>
      </c>
      <c r="D440" s="8" t="s">
        <v>914</v>
      </c>
      <c r="E440" s="8" t="s">
        <v>900</v>
      </c>
      <c r="F440" s="6">
        <v>486</v>
      </c>
      <c r="G440" s="6" t="b">
        <v>0</v>
      </c>
      <c r="H440" s="8" t="s">
        <v>480</v>
      </c>
      <c r="I440" s="6" t="b">
        <v>0</v>
      </c>
      <c r="J440" s="6" t="b">
        <v>0</v>
      </c>
      <c r="K440" s="6" t="b">
        <v>0</v>
      </c>
      <c r="L440" s="6" t="b">
        <v>1</v>
      </c>
      <c r="M440" s="6" t="b">
        <v>0</v>
      </c>
      <c r="N440" s="6">
        <v>1</v>
      </c>
      <c r="O440" s="8" t="s">
        <v>331</v>
      </c>
      <c r="P440" s="8" t="s">
        <v>350</v>
      </c>
      <c r="Q440" s="8" t="s">
        <v>446</v>
      </c>
      <c r="R440" s="6">
        <v>2.7</v>
      </c>
      <c r="S440" s="8" t="s">
        <v>247</v>
      </c>
      <c r="T440" s="6">
        <v>2</v>
      </c>
      <c r="U440" s="8" t="s">
        <v>915</v>
      </c>
      <c r="V440" s="8" t="s">
        <v>901</v>
      </c>
      <c r="W440" s="8" t="s">
        <v>483</v>
      </c>
      <c r="X440" s="8" t="s">
        <v>240</v>
      </c>
      <c r="Y440" s="8" t="s">
        <v>240</v>
      </c>
      <c r="Z440" s="6" t="b">
        <v>0</v>
      </c>
      <c r="AA440" s="9"/>
      <c r="AB440" s="9"/>
    </row>
    <row r="441" spans="1:28" ht="32">
      <c r="A441" s="6">
        <v>496</v>
      </c>
      <c r="B441" s="8" t="s">
        <v>199</v>
      </c>
      <c r="C441" s="8" t="s">
        <v>151</v>
      </c>
      <c r="D441" s="8" t="s">
        <v>916</v>
      </c>
      <c r="E441" s="8" t="s">
        <v>900</v>
      </c>
      <c r="F441" s="6">
        <v>486</v>
      </c>
      <c r="G441" s="6" t="b">
        <v>0</v>
      </c>
      <c r="H441" s="8" t="s">
        <v>480</v>
      </c>
      <c r="I441" s="6" t="b">
        <v>0</v>
      </c>
      <c r="J441" s="6" t="b">
        <v>0</v>
      </c>
      <c r="K441" s="6" t="b">
        <v>0</v>
      </c>
      <c r="L441" s="6" t="b">
        <v>1</v>
      </c>
      <c r="M441" s="6" t="b">
        <v>0</v>
      </c>
      <c r="N441" s="6">
        <v>1</v>
      </c>
      <c r="O441" s="8" t="s">
        <v>331</v>
      </c>
      <c r="P441" s="8" t="s">
        <v>350</v>
      </c>
      <c r="Q441" s="8" t="s">
        <v>446</v>
      </c>
      <c r="R441" s="6">
        <v>1.5</v>
      </c>
      <c r="S441" s="8" t="s">
        <v>247</v>
      </c>
      <c r="T441" s="6">
        <v>2</v>
      </c>
      <c r="U441" s="8" t="s">
        <v>917</v>
      </c>
      <c r="V441" s="8" t="s">
        <v>901</v>
      </c>
      <c r="W441" s="8" t="s">
        <v>483</v>
      </c>
      <c r="X441" s="8" t="s">
        <v>240</v>
      </c>
      <c r="Y441" s="8" t="s">
        <v>240</v>
      </c>
      <c r="Z441" s="6" t="b">
        <v>0</v>
      </c>
      <c r="AA441" s="9"/>
      <c r="AB441" s="9"/>
    </row>
    <row r="442" spans="1:28" ht="32">
      <c r="A442" s="6">
        <v>497</v>
      </c>
      <c r="B442" s="8" t="s">
        <v>199</v>
      </c>
      <c r="C442" s="8" t="s">
        <v>151</v>
      </c>
      <c r="D442" s="8" t="s">
        <v>918</v>
      </c>
      <c r="E442" s="8" t="s">
        <v>900</v>
      </c>
      <c r="F442" s="6">
        <v>486</v>
      </c>
      <c r="G442" s="6" t="b">
        <v>0</v>
      </c>
      <c r="H442" s="8" t="s">
        <v>480</v>
      </c>
      <c r="I442" s="6" t="b">
        <v>0</v>
      </c>
      <c r="J442" s="6" t="b">
        <v>0</v>
      </c>
      <c r="K442" s="6" t="b">
        <v>0</v>
      </c>
      <c r="L442" s="6" t="b">
        <v>1</v>
      </c>
      <c r="M442" s="6" t="b">
        <v>0</v>
      </c>
      <c r="N442" s="6">
        <v>1</v>
      </c>
      <c r="O442" s="8" t="s">
        <v>331</v>
      </c>
      <c r="P442" s="8" t="s">
        <v>350</v>
      </c>
      <c r="Q442" s="8" t="s">
        <v>446</v>
      </c>
      <c r="R442" s="6">
        <v>2</v>
      </c>
      <c r="S442" s="8" t="s">
        <v>335</v>
      </c>
      <c r="T442" s="9"/>
      <c r="U442" s="8" t="s">
        <v>919</v>
      </c>
      <c r="V442" s="8" t="s">
        <v>901</v>
      </c>
      <c r="W442" s="8" t="s">
        <v>483</v>
      </c>
      <c r="X442" s="8" t="s">
        <v>240</v>
      </c>
      <c r="Y442" s="8" t="s">
        <v>240</v>
      </c>
      <c r="Z442" s="6" t="b">
        <v>0</v>
      </c>
      <c r="AA442" s="9"/>
      <c r="AB442" s="9"/>
    </row>
    <row r="443" spans="1:28" ht="32">
      <c r="A443" s="6">
        <v>498</v>
      </c>
      <c r="B443" s="8" t="s">
        <v>199</v>
      </c>
      <c r="C443" s="8" t="s">
        <v>151</v>
      </c>
      <c r="D443" s="8" t="s">
        <v>920</v>
      </c>
      <c r="E443" s="8" t="s">
        <v>900</v>
      </c>
      <c r="F443" s="6">
        <v>486</v>
      </c>
      <c r="G443" s="6" t="b">
        <v>0</v>
      </c>
      <c r="H443" s="8" t="s">
        <v>480</v>
      </c>
      <c r="I443" s="6" t="b">
        <v>0</v>
      </c>
      <c r="J443" s="6" t="b">
        <v>0</v>
      </c>
      <c r="K443" s="6" t="b">
        <v>0</v>
      </c>
      <c r="L443" s="6" t="b">
        <v>1</v>
      </c>
      <c r="M443" s="6" t="b">
        <v>0</v>
      </c>
      <c r="N443" s="6">
        <v>1</v>
      </c>
      <c r="O443" s="8" t="s">
        <v>331</v>
      </c>
      <c r="P443" s="8" t="s">
        <v>350</v>
      </c>
      <c r="Q443" s="8" t="s">
        <v>335</v>
      </c>
      <c r="R443" s="6">
        <v>1</v>
      </c>
      <c r="S443" s="8" t="s">
        <v>347</v>
      </c>
      <c r="T443" s="6">
        <v>1</v>
      </c>
      <c r="U443" s="8" t="s">
        <v>240</v>
      </c>
      <c r="V443" s="8" t="s">
        <v>901</v>
      </c>
      <c r="W443" s="8" t="s">
        <v>483</v>
      </c>
      <c r="X443" s="8" t="s">
        <v>240</v>
      </c>
      <c r="Y443" s="8" t="s">
        <v>921</v>
      </c>
      <c r="Z443" s="6" t="b">
        <v>0</v>
      </c>
      <c r="AA443" s="9"/>
      <c r="AB443" s="9"/>
    </row>
    <row r="444" spans="1:28" ht="16">
      <c r="A444" s="6">
        <v>499</v>
      </c>
      <c r="B444" s="8" t="s">
        <v>199</v>
      </c>
      <c r="C444" s="8" t="s">
        <v>151</v>
      </c>
      <c r="D444" s="8" t="s">
        <v>922</v>
      </c>
      <c r="E444" s="8" t="s">
        <v>900</v>
      </c>
      <c r="F444" s="6">
        <v>486</v>
      </c>
      <c r="G444" s="6" t="b">
        <v>0</v>
      </c>
      <c r="H444" s="8" t="s">
        <v>480</v>
      </c>
      <c r="I444" s="6" t="b">
        <v>0</v>
      </c>
      <c r="J444" s="6" t="b">
        <v>0</v>
      </c>
      <c r="K444" s="6" t="b">
        <v>0</v>
      </c>
      <c r="L444" s="6" t="b">
        <v>1</v>
      </c>
      <c r="M444" s="6" t="b">
        <v>0</v>
      </c>
      <c r="N444" s="6">
        <v>1</v>
      </c>
      <c r="O444" s="8" t="s">
        <v>331</v>
      </c>
      <c r="P444" s="8" t="s">
        <v>516</v>
      </c>
      <c r="Q444" s="8" t="s">
        <v>335</v>
      </c>
      <c r="R444" s="6">
        <v>0</v>
      </c>
      <c r="S444" s="8" t="s">
        <v>335</v>
      </c>
      <c r="T444" s="6">
        <v>0</v>
      </c>
      <c r="U444" s="8" t="s">
        <v>892</v>
      </c>
      <c r="V444" s="8" t="s">
        <v>901</v>
      </c>
      <c r="W444" s="8" t="s">
        <v>483</v>
      </c>
      <c r="X444" s="8" t="s">
        <v>240</v>
      </c>
      <c r="Y444" s="8" t="s">
        <v>240</v>
      </c>
      <c r="Z444" s="6" t="b">
        <v>0</v>
      </c>
      <c r="AA444" s="9"/>
      <c r="AB444" s="9"/>
    </row>
    <row r="445" spans="1:28" ht="16">
      <c r="A445" s="6">
        <v>500</v>
      </c>
      <c r="B445" s="8" t="s">
        <v>199</v>
      </c>
      <c r="C445" s="8" t="s">
        <v>151</v>
      </c>
      <c r="D445" s="8" t="s">
        <v>151</v>
      </c>
      <c r="E445" s="8" t="s">
        <v>151</v>
      </c>
      <c r="F445" s="6">
        <v>500</v>
      </c>
      <c r="G445" s="6" t="b">
        <v>0</v>
      </c>
      <c r="H445" s="8" t="s">
        <v>480</v>
      </c>
      <c r="I445" s="6" t="b">
        <v>0</v>
      </c>
      <c r="J445" s="6" t="b">
        <v>0</v>
      </c>
      <c r="K445" s="6" t="b">
        <v>0</v>
      </c>
      <c r="L445" s="6" t="b">
        <v>1</v>
      </c>
      <c r="M445" s="6" t="b">
        <v>0</v>
      </c>
      <c r="N445" s="6">
        <v>1</v>
      </c>
      <c r="O445" s="8" t="s">
        <v>331</v>
      </c>
      <c r="P445" s="8" t="s">
        <v>822</v>
      </c>
      <c r="Q445" s="8" t="s">
        <v>876</v>
      </c>
      <c r="R445" s="6">
        <v>1</v>
      </c>
      <c r="S445" s="8" t="s">
        <v>331</v>
      </c>
      <c r="T445" s="6">
        <v>2</v>
      </c>
      <c r="U445" s="8" t="s">
        <v>240</v>
      </c>
      <c r="V445" s="8" t="s">
        <v>923</v>
      </c>
      <c r="W445" s="8" t="s">
        <v>240</v>
      </c>
      <c r="X445" s="8" t="s">
        <v>240</v>
      </c>
      <c r="Y445" s="8" t="s">
        <v>924</v>
      </c>
      <c r="Z445" s="6" t="b">
        <v>0</v>
      </c>
      <c r="AA445" s="9"/>
      <c r="AB445" s="9"/>
    </row>
    <row r="446" spans="1:28" ht="16">
      <c r="A446" s="6">
        <v>501</v>
      </c>
      <c r="B446" s="8" t="s">
        <v>199</v>
      </c>
      <c r="C446" s="8" t="s">
        <v>896</v>
      </c>
      <c r="D446" s="8" t="s">
        <v>896</v>
      </c>
      <c r="E446" s="8" t="s">
        <v>896</v>
      </c>
      <c r="F446" s="6">
        <v>501</v>
      </c>
      <c r="G446" s="6" t="b">
        <v>0</v>
      </c>
      <c r="H446" s="8" t="s">
        <v>480</v>
      </c>
      <c r="I446" s="6" t="b">
        <v>0</v>
      </c>
      <c r="J446" s="6" t="b">
        <v>0</v>
      </c>
      <c r="K446" s="6" t="b">
        <v>0</v>
      </c>
      <c r="L446" s="6" t="b">
        <v>1</v>
      </c>
      <c r="M446" s="6" t="b">
        <v>0</v>
      </c>
      <c r="N446" s="6">
        <v>4</v>
      </c>
      <c r="O446" s="8" t="s">
        <v>331</v>
      </c>
      <c r="P446" s="8" t="s">
        <v>350</v>
      </c>
      <c r="Q446" s="8" t="s">
        <v>898</v>
      </c>
      <c r="R446" s="6">
        <v>4</v>
      </c>
      <c r="S446" s="8" t="s">
        <v>331</v>
      </c>
      <c r="T446" s="9"/>
      <c r="U446" s="8" t="s">
        <v>240</v>
      </c>
      <c r="V446" s="8" t="s">
        <v>240</v>
      </c>
      <c r="W446" s="8" t="s">
        <v>240</v>
      </c>
      <c r="X446" s="8" t="s">
        <v>240</v>
      </c>
      <c r="Y446" s="8" t="s">
        <v>240</v>
      </c>
      <c r="Z446" s="6" t="b">
        <v>0</v>
      </c>
      <c r="AA446" s="9"/>
      <c r="AB446" s="9"/>
    </row>
    <row r="447" spans="1:28" ht="16">
      <c r="A447" s="6">
        <v>502</v>
      </c>
      <c r="B447" s="8" t="s">
        <v>199</v>
      </c>
      <c r="C447" s="8" t="s">
        <v>925</v>
      </c>
      <c r="D447" s="8" t="s">
        <v>926</v>
      </c>
      <c r="E447" s="8" t="s">
        <v>926</v>
      </c>
      <c r="F447" s="6">
        <v>502</v>
      </c>
      <c r="G447" s="6" t="b">
        <v>0</v>
      </c>
      <c r="H447" s="8" t="s">
        <v>480</v>
      </c>
      <c r="I447" s="6" t="b">
        <v>0</v>
      </c>
      <c r="J447" s="6" t="b">
        <v>0</v>
      </c>
      <c r="K447" s="6" t="b">
        <v>0</v>
      </c>
      <c r="L447" s="6" t="b">
        <v>1</v>
      </c>
      <c r="M447" s="6" t="b">
        <v>0</v>
      </c>
      <c r="N447" s="6">
        <v>2</v>
      </c>
      <c r="O447" s="8" t="s">
        <v>331</v>
      </c>
      <c r="P447" s="8" t="s">
        <v>350</v>
      </c>
      <c r="Q447" s="8" t="s">
        <v>927</v>
      </c>
      <c r="R447" s="6">
        <v>2</v>
      </c>
      <c r="S447" s="8" t="s">
        <v>347</v>
      </c>
      <c r="T447" s="9"/>
      <c r="U447" s="8" t="s">
        <v>240</v>
      </c>
      <c r="V447" s="8" t="s">
        <v>496</v>
      </c>
      <c r="W447" s="8" t="s">
        <v>386</v>
      </c>
      <c r="X447" s="8" t="s">
        <v>240</v>
      </c>
      <c r="Y447" s="8" t="s">
        <v>240</v>
      </c>
      <c r="Z447" s="6" t="b">
        <v>0</v>
      </c>
      <c r="AA447" s="9"/>
      <c r="AB447" s="9"/>
    </row>
    <row r="448" spans="1:28" ht="16">
      <c r="A448" s="6">
        <v>503</v>
      </c>
      <c r="B448" s="8" t="s">
        <v>199</v>
      </c>
      <c r="C448" s="8" t="s">
        <v>151</v>
      </c>
      <c r="D448" s="8" t="s">
        <v>928</v>
      </c>
      <c r="E448" s="8" t="s">
        <v>928</v>
      </c>
      <c r="F448" s="6">
        <v>503</v>
      </c>
      <c r="G448" s="6" t="b">
        <v>0</v>
      </c>
      <c r="H448" s="8" t="s">
        <v>480</v>
      </c>
      <c r="I448" s="6" t="b">
        <v>0</v>
      </c>
      <c r="J448" s="6" t="b">
        <v>0</v>
      </c>
      <c r="K448" s="6" t="b">
        <v>0</v>
      </c>
      <c r="L448" s="6" t="b">
        <v>1</v>
      </c>
      <c r="M448" s="6" t="b">
        <v>0</v>
      </c>
      <c r="N448" s="6">
        <v>1</v>
      </c>
      <c r="O448" s="8" t="s">
        <v>331</v>
      </c>
      <c r="P448" s="8" t="s">
        <v>516</v>
      </c>
      <c r="Q448" s="8" t="s">
        <v>381</v>
      </c>
      <c r="R448" s="6">
        <v>4</v>
      </c>
      <c r="S448" s="8" t="s">
        <v>341</v>
      </c>
      <c r="T448" s="9"/>
      <c r="U448" s="8" t="s">
        <v>240</v>
      </c>
      <c r="V448" s="8" t="s">
        <v>524</v>
      </c>
      <c r="W448" s="8" t="s">
        <v>483</v>
      </c>
      <c r="X448" s="8" t="s">
        <v>240</v>
      </c>
      <c r="Y448" s="8" t="s">
        <v>929</v>
      </c>
      <c r="Z448" s="6" t="b">
        <v>0</v>
      </c>
      <c r="AA448" s="9"/>
      <c r="AB448" s="9"/>
    </row>
    <row r="449" spans="1:28" ht="16">
      <c r="A449" s="6">
        <v>504</v>
      </c>
      <c r="B449" s="8" t="s">
        <v>199</v>
      </c>
      <c r="C449" s="8" t="s">
        <v>151</v>
      </c>
      <c r="D449" s="8" t="s">
        <v>930</v>
      </c>
      <c r="E449" s="8" t="s">
        <v>928</v>
      </c>
      <c r="F449" s="6">
        <v>503</v>
      </c>
      <c r="G449" s="6" t="b">
        <v>0</v>
      </c>
      <c r="H449" s="8" t="s">
        <v>480</v>
      </c>
      <c r="I449" s="6" t="b">
        <v>0</v>
      </c>
      <c r="J449" s="6" t="b">
        <v>0</v>
      </c>
      <c r="K449" s="6" t="b">
        <v>0</v>
      </c>
      <c r="L449" s="6" t="b">
        <v>1</v>
      </c>
      <c r="M449" s="6" t="b">
        <v>0</v>
      </c>
      <c r="N449" s="6">
        <v>1</v>
      </c>
      <c r="O449" s="8" t="s">
        <v>331</v>
      </c>
      <c r="P449" s="8" t="s">
        <v>350</v>
      </c>
      <c r="Q449" s="8" t="s">
        <v>239</v>
      </c>
      <c r="R449" s="6">
        <v>1</v>
      </c>
      <c r="S449" s="8" t="s">
        <v>347</v>
      </c>
      <c r="T449" s="9"/>
      <c r="U449" s="8" t="s">
        <v>240</v>
      </c>
      <c r="V449" s="8" t="s">
        <v>524</v>
      </c>
      <c r="W449" s="8" t="s">
        <v>483</v>
      </c>
      <c r="X449" s="8" t="s">
        <v>240</v>
      </c>
      <c r="Y449" s="8" t="s">
        <v>931</v>
      </c>
      <c r="Z449" s="6" t="b">
        <v>0</v>
      </c>
      <c r="AA449" s="9"/>
      <c r="AB449" s="9"/>
    </row>
    <row r="450" spans="1:28" ht="32">
      <c r="A450" s="6">
        <v>505</v>
      </c>
      <c r="B450" s="8" t="s">
        <v>199</v>
      </c>
      <c r="C450" s="8" t="s">
        <v>151</v>
      </c>
      <c r="D450" s="8" t="s">
        <v>932</v>
      </c>
      <c r="E450" s="8" t="s">
        <v>928</v>
      </c>
      <c r="F450" s="6">
        <v>503</v>
      </c>
      <c r="G450" s="6" t="b">
        <v>0</v>
      </c>
      <c r="H450" s="8" t="s">
        <v>480</v>
      </c>
      <c r="I450" s="6" t="b">
        <v>0</v>
      </c>
      <c r="J450" s="6" t="b">
        <v>0</v>
      </c>
      <c r="K450" s="6" t="b">
        <v>0</v>
      </c>
      <c r="L450" s="6" t="b">
        <v>1</v>
      </c>
      <c r="M450" s="6" t="b">
        <v>0</v>
      </c>
      <c r="N450" s="6">
        <v>1</v>
      </c>
      <c r="O450" s="8" t="s">
        <v>331</v>
      </c>
      <c r="P450" s="8" t="s">
        <v>350</v>
      </c>
      <c r="Q450" s="8" t="s">
        <v>339</v>
      </c>
      <c r="R450" s="6">
        <v>0</v>
      </c>
      <c r="S450" s="8" t="s">
        <v>347</v>
      </c>
      <c r="T450" s="9"/>
      <c r="U450" s="8" t="s">
        <v>240</v>
      </c>
      <c r="V450" s="8" t="s">
        <v>524</v>
      </c>
      <c r="W450" s="8" t="s">
        <v>483</v>
      </c>
      <c r="X450" s="8" t="s">
        <v>240</v>
      </c>
      <c r="Y450" s="8" t="s">
        <v>240</v>
      </c>
      <c r="Z450" s="6" t="b">
        <v>0</v>
      </c>
      <c r="AA450" s="9"/>
      <c r="AB450" s="9"/>
    </row>
    <row r="451" spans="1:28" ht="32">
      <c r="A451" s="6">
        <v>506</v>
      </c>
      <c r="B451" s="8" t="s">
        <v>199</v>
      </c>
      <c r="C451" s="8" t="s">
        <v>151</v>
      </c>
      <c r="D451" s="8" t="s">
        <v>933</v>
      </c>
      <c r="E451" s="8" t="s">
        <v>928</v>
      </c>
      <c r="F451" s="6">
        <v>503</v>
      </c>
      <c r="G451" s="6" t="b">
        <v>0</v>
      </c>
      <c r="H451" s="8" t="s">
        <v>480</v>
      </c>
      <c r="I451" s="6" t="b">
        <v>0</v>
      </c>
      <c r="J451" s="6" t="b">
        <v>0</v>
      </c>
      <c r="K451" s="6" t="b">
        <v>0</v>
      </c>
      <c r="L451" s="6" t="b">
        <v>1</v>
      </c>
      <c r="M451" s="6" t="b">
        <v>0</v>
      </c>
      <c r="N451" s="6">
        <v>1</v>
      </c>
      <c r="O451" s="8" t="s">
        <v>331</v>
      </c>
      <c r="P451" s="8" t="s">
        <v>350</v>
      </c>
      <c r="Q451" s="8" t="s">
        <v>339</v>
      </c>
      <c r="R451" s="6">
        <v>5</v>
      </c>
      <c r="S451" s="8" t="s">
        <v>335</v>
      </c>
      <c r="T451" s="9"/>
      <c r="U451" s="8" t="s">
        <v>934</v>
      </c>
      <c r="V451" s="8" t="s">
        <v>524</v>
      </c>
      <c r="W451" s="8" t="s">
        <v>483</v>
      </c>
      <c r="X451" s="8" t="s">
        <v>240</v>
      </c>
      <c r="Y451" s="8" t="s">
        <v>935</v>
      </c>
      <c r="Z451" s="6" t="b">
        <v>0</v>
      </c>
      <c r="AA451" s="9"/>
      <c r="AB451" s="9"/>
    </row>
    <row r="452" spans="1:28" ht="16">
      <c r="A452" s="6">
        <v>507</v>
      </c>
      <c r="B452" s="8" t="s">
        <v>199</v>
      </c>
      <c r="C452" s="8" t="s">
        <v>869</v>
      </c>
      <c r="D452" s="8" t="s">
        <v>936</v>
      </c>
      <c r="E452" s="8" t="s">
        <v>936</v>
      </c>
      <c r="F452" s="6">
        <v>507</v>
      </c>
      <c r="G452" s="6" t="b">
        <v>0</v>
      </c>
      <c r="H452" s="8" t="s">
        <v>480</v>
      </c>
      <c r="I452" s="6" t="b">
        <v>0</v>
      </c>
      <c r="J452" s="6" t="b">
        <v>0</v>
      </c>
      <c r="K452" s="6" t="b">
        <v>0</v>
      </c>
      <c r="L452" s="6" t="b">
        <v>1</v>
      </c>
      <c r="M452" s="6" t="b">
        <v>0</v>
      </c>
      <c r="N452" s="6">
        <v>2</v>
      </c>
      <c r="O452" s="8" t="s">
        <v>331</v>
      </c>
      <c r="P452" s="8" t="s">
        <v>350</v>
      </c>
      <c r="Q452" s="8" t="s">
        <v>335</v>
      </c>
      <c r="R452" s="6">
        <v>2</v>
      </c>
      <c r="S452" s="8" t="s">
        <v>75</v>
      </c>
      <c r="T452" s="6">
        <v>4</v>
      </c>
      <c r="U452" s="8" t="s">
        <v>240</v>
      </c>
      <c r="V452" s="8" t="s">
        <v>830</v>
      </c>
      <c r="W452" s="8" t="s">
        <v>240</v>
      </c>
      <c r="X452" s="8" t="s">
        <v>240</v>
      </c>
      <c r="Y452" s="8" t="s">
        <v>937</v>
      </c>
      <c r="Z452" s="6" t="b">
        <v>0</v>
      </c>
      <c r="AA452" s="9"/>
      <c r="AB452" s="9"/>
    </row>
    <row r="453" spans="1:28" ht="32">
      <c r="A453" s="6">
        <v>508</v>
      </c>
      <c r="B453" s="8" t="s">
        <v>199</v>
      </c>
      <c r="C453" s="8" t="s">
        <v>869</v>
      </c>
      <c r="D453" s="8" t="s">
        <v>938</v>
      </c>
      <c r="E453" s="8" t="s">
        <v>936</v>
      </c>
      <c r="F453" s="6">
        <v>507</v>
      </c>
      <c r="G453" s="6" t="b">
        <v>0</v>
      </c>
      <c r="H453" s="8" t="s">
        <v>480</v>
      </c>
      <c r="I453" s="6" t="b">
        <v>0</v>
      </c>
      <c r="J453" s="6" t="b">
        <v>0</v>
      </c>
      <c r="K453" s="6" t="b">
        <v>0</v>
      </c>
      <c r="L453" s="6" t="b">
        <v>1</v>
      </c>
      <c r="M453" s="6" t="b">
        <v>0</v>
      </c>
      <c r="N453" s="6">
        <v>2</v>
      </c>
      <c r="O453" s="8" t="s">
        <v>331</v>
      </c>
      <c r="P453" s="8" t="s">
        <v>350</v>
      </c>
      <c r="Q453" s="8" t="s">
        <v>335</v>
      </c>
      <c r="R453" s="6">
        <v>0</v>
      </c>
      <c r="S453" s="8" t="s">
        <v>247</v>
      </c>
      <c r="T453" s="6">
        <v>4</v>
      </c>
      <c r="U453" s="8" t="s">
        <v>240</v>
      </c>
      <c r="V453" s="8" t="s">
        <v>830</v>
      </c>
      <c r="W453" s="8" t="s">
        <v>240</v>
      </c>
      <c r="X453" s="8" t="s">
        <v>240</v>
      </c>
      <c r="Y453" s="8" t="s">
        <v>240</v>
      </c>
      <c r="Z453" s="6" t="b">
        <v>0</v>
      </c>
      <c r="AA453" s="9"/>
      <c r="AB453" s="9"/>
    </row>
    <row r="454" spans="1:28" ht="32">
      <c r="A454" s="6">
        <v>509</v>
      </c>
      <c r="B454" s="8" t="s">
        <v>199</v>
      </c>
      <c r="C454" s="8" t="s">
        <v>869</v>
      </c>
      <c r="D454" s="8" t="s">
        <v>939</v>
      </c>
      <c r="E454" s="8" t="s">
        <v>939</v>
      </c>
      <c r="F454" s="6">
        <v>509</v>
      </c>
      <c r="G454" s="6" t="b">
        <v>0</v>
      </c>
      <c r="H454" s="8" t="s">
        <v>480</v>
      </c>
      <c r="I454" s="6" t="b">
        <v>0</v>
      </c>
      <c r="J454" s="6" t="b">
        <v>0</v>
      </c>
      <c r="K454" s="6" t="b">
        <v>0</v>
      </c>
      <c r="L454" s="6" t="b">
        <v>1</v>
      </c>
      <c r="M454" s="6" t="b">
        <v>0</v>
      </c>
      <c r="N454" s="6">
        <v>2</v>
      </c>
      <c r="O454" s="8" t="s">
        <v>331</v>
      </c>
      <c r="P454" s="8" t="s">
        <v>516</v>
      </c>
      <c r="Q454" s="8" t="s">
        <v>811</v>
      </c>
      <c r="R454" s="6">
        <v>6</v>
      </c>
      <c r="S454" s="8" t="s">
        <v>335</v>
      </c>
      <c r="T454" s="6">
        <v>6</v>
      </c>
      <c r="U454" s="8" t="s">
        <v>240</v>
      </c>
      <c r="V454" s="8" t="s">
        <v>940</v>
      </c>
      <c r="W454" s="8" t="s">
        <v>240</v>
      </c>
      <c r="X454" s="8" t="s">
        <v>240</v>
      </c>
      <c r="Y454" s="8" t="s">
        <v>240</v>
      </c>
      <c r="Z454" s="6" t="b">
        <v>0</v>
      </c>
      <c r="AA454" s="9"/>
      <c r="AB454" s="9"/>
    </row>
    <row r="455" spans="1:28" ht="32">
      <c r="A455" s="6">
        <v>510</v>
      </c>
      <c r="B455" s="8" t="s">
        <v>199</v>
      </c>
      <c r="C455" s="8" t="s">
        <v>869</v>
      </c>
      <c r="D455" s="8" t="s">
        <v>941</v>
      </c>
      <c r="E455" s="8" t="s">
        <v>939</v>
      </c>
      <c r="F455" s="6">
        <v>509</v>
      </c>
      <c r="G455" s="6" t="b">
        <v>0</v>
      </c>
      <c r="H455" s="8" t="s">
        <v>480</v>
      </c>
      <c r="I455" s="6" t="b">
        <v>0</v>
      </c>
      <c r="J455" s="6" t="b">
        <v>0</v>
      </c>
      <c r="K455" s="6" t="b">
        <v>0</v>
      </c>
      <c r="L455" s="6" t="b">
        <v>1</v>
      </c>
      <c r="M455" s="6" t="b">
        <v>0</v>
      </c>
      <c r="N455" s="6">
        <v>2</v>
      </c>
      <c r="O455" s="8" t="s">
        <v>331</v>
      </c>
      <c r="P455" s="8" t="s">
        <v>516</v>
      </c>
      <c r="Q455" s="8" t="s">
        <v>811</v>
      </c>
      <c r="R455" s="6">
        <v>2</v>
      </c>
      <c r="S455" s="8" t="s">
        <v>75</v>
      </c>
      <c r="T455" s="9"/>
      <c r="U455" s="8" t="s">
        <v>240</v>
      </c>
      <c r="V455" s="8" t="s">
        <v>240</v>
      </c>
      <c r="W455" s="8" t="s">
        <v>240</v>
      </c>
      <c r="X455" s="8" t="s">
        <v>240</v>
      </c>
      <c r="Y455" s="8" t="s">
        <v>240</v>
      </c>
      <c r="Z455" s="6" t="b">
        <v>0</v>
      </c>
      <c r="AA455" s="9"/>
      <c r="AB455" s="9"/>
    </row>
    <row r="456" spans="1:28" ht="32">
      <c r="A456" s="6">
        <v>511</v>
      </c>
      <c r="B456" s="8" t="s">
        <v>199</v>
      </c>
      <c r="C456" s="8" t="s">
        <v>111</v>
      </c>
      <c r="D456" s="8" t="s">
        <v>942</v>
      </c>
      <c r="E456" s="8" t="s">
        <v>942</v>
      </c>
      <c r="F456" s="6">
        <v>511</v>
      </c>
      <c r="G456" s="6" t="b">
        <v>0</v>
      </c>
      <c r="H456" s="8" t="s">
        <v>480</v>
      </c>
      <c r="I456" s="6" t="b">
        <v>0</v>
      </c>
      <c r="J456" s="6" t="b">
        <v>0</v>
      </c>
      <c r="K456" s="6" t="b">
        <v>0</v>
      </c>
      <c r="L456" s="6" t="b">
        <v>1</v>
      </c>
      <c r="M456" s="6" t="b">
        <v>0</v>
      </c>
      <c r="N456" s="6">
        <v>4</v>
      </c>
      <c r="O456" s="8" t="s">
        <v>331</v>
      </c>
      <c r="P456" s="8" t="s">
        <v>516</v>
      </c>
      <c r="Q456" s="8" t="s">
        <v>481</v>
      </c>
      <c r="R456" s="6">
        <v>3</v>
      </c>
      <c r="S456" s="8" t="s">
        <v>347</v>
      </c>
      <c r="T456" s="6">
        <v>4</v>
      </c>
      <c r="U456" s="8" t="s">
        <v>240</v>
      </c>
      <c r="V456" s="8" t="s">
        <v>901</v>
      </c>
      <c r="W456" s="8" t="s">
        <v>386</v>
      </c>
      <c r="X456" s="8" t="s">
        <v>240</v>
      </c>
      <c r="Y456" s="8" t="s">
        <v>943</v>
      </c>
      <c r="Z456" s="6" t="b">
        <v>0</v>
      </c>
      <c r="AA456" s="9"/>
      <c r="AB456" s="9"/>
    </row>
    <row r="457" spans="1:28" ht="32">
      <c r="A457" s="6">
        <v>512</v>
      </c>
      <c r="B457" s="8" t="s">
        <v>199</v>
      </c>
      <c r="C457" s="8" t="s">
        <v>111</v>
      </c>
      <c r="D457" s="8" t="s">
        <v>944</v>
      </c>
      <c r="E457" s="8" t="s">
        <v>942</v>
      </c>
      <c r="F457" s="6">
        <v>511</v>
      </c>
      <c r="G457" s="6" t="b">
        <v>0</v>
      </c>
      <c r="H457" s="8" t="s">
        <v>480</v>
      </c>
      <c r="I457" s="6" t="b">
        <v>0</v>
      </c>
      <c r="J457" s="6" t="b">
        <v>0</v>
      </c>
      <c r="K457" s="6" t="b">
        <v>0</v>
      </c>
      <c r="L457" s="6" t="b">
        <v>1</v>
      </c>
      <c r="M457" s="6" t="b">
        <v>0</v>
      </c>
      <c r="N457" s="6">
        <v>4</v>
      </c>
      <c r="O457" s="8" t="s">
        <v>331</v>
      </c>
      <c r="P457" s="8" t="s">
        <v>516</v>
      </c>
      <c r="Q457" s="8" t="s">
        <v>481</v>
      </c>
      <c r="R457" s="6">
        <v>2</v>
      </c>
      <c r="S457" s="8" t="s">
        <v>347</v>
      </c>
      <c r="T457" s="9"/>
      <c r="U457" s="8" t="s">
        <v>240</v>
      </c>
      <c r="V457" s="8" t="s">
        <v>901</v>
      </c>
      <c r="W457" s="8" t="s">
        <v>386</v>
      </c>
      <c r="X457" s="8" t="s">
        <v>240</v>
      </c>
      <c r="Y457" s="8" t="s">
        <v>240</v>
      </c>
      <c r="Z457" s="6" t="b">
        <v>0</v>
      </c>
      <c r="AA457" s="9"/>
      <c r="AB457" s="9"/>
    </row>
    <row r="458" spans="1:28" ht="16">
      <c r="A458" s="6">
        <v>513</v>
      </c>
      <c r="B458" s="8" t="s">
        <v>199</v>
      </c>
      <c r="C458" s="8" t="s">
        <v>111</v>
      </c>
      <c r="D458" s="8" t="s">
        <v>111</v>
      </c>
      <c r="E458" s="8" t="s">
        <v>111</v>
      </c>
      <c r="F458" s="6">
        <v>513</v>
      </c>
      <c r="G458" s="6" t="b">
        <v>0</v>
      </c>
      <c r="H458" s="8" t="s">
        <v>480</v>
      </c>
      <c r="I458" s="6" t="b">
        <v>0</v>
      </c>
      <c r="J458" s="6" t="b">
        <v>0</v>
      </c>
      <c r="K458" s="6" t="b">
        <v>0</v>
      </c>
      <c r="L458" s="6" t="b">
        <v>1</v>
      </c>
      <c r="M458" s="6" t="b">
        <v>0</v>
      </c>
      <c r="N458" s="6">
        <v>4</v>
      </c>
      <c r="O458" s="8" t="s">
        <v>331</v>
      </c>
      <c r="P458" s="8" t="s">
        <v>516</v>
      </c>
      <c r="Q458" s="8" t="s">
        <v>502</v>
      </c>
      <c r="R458" s="6">
        <v>4</v>
      </c>
      <c r="S458" s="8" t="s">
        <v>331</v>
      </c>
      <c r="T458" s="6">
        <v>3</v>
      </c>
      <c r="U458" s="8" t="s">
        <v>240</v>
      </c>
      <c r="V458" s="8" t="s">
        <v>482</v>
      </c>
      <c r="W458" s="8" t="s">
        <v>240</v>
      </c>
      <c r="X458" s="8" t="s">
        <v>240</v>
      </c>
      <c r="Y458" s="8" t="s">
        <v>945</v>
      </c>
      <c r="Z458" s="6" t="b">
        <v>0</v>
      </c>
      <c r="AA458" s="9"/>
      <c r="AB458" s="9"/>
    </row>
    <row r="459" spans="1:28" ht="16">
      <c r="A459" s="6">
        <v>514</v>
      </c>
      <c r="B459" s="8" t="s">
        <v>199</v>
      </c>
      <c r="C459" s="8" t="s">
        <v>96</v>
      </c>
      <c r="D459" s="8" t="s">
        <v>946</v>
      </c>
      <c r="E459" s="8" t="s">
        <v>946</v>
      </c>
      <c r="F459" s="6">
        <v>514</v>
      </c>
      <c r="G459" s="6" t="b">
        <v>0</v>
      </c>
      <c r="H459" s="8" t="s">
        <v>480</v>
      </c>
      <c r="I459" s="6" t="b">
        <v>0</v>
      </c>
      <c r="J459" s="6" t="b">
        <v>0</v>
      </c>
      <c r="K459" s="6" t="b">
        <v>0</v>
      </c>
      <c r="L459" s="6" t="b">
        <v>1</v>
      </c>
      <c r="M459" s="6" t="b">
        <v>0</v>
      </c>
      <c r="N459" s="6">
        <v>4</v>
      </c>
      <c r="O459" s="8" t="s">
        <v>331</v>
      </c>
      <c r="P459" s="8" t="s">
        <v>516</v>
      </c>
      <c r="Q459" s="8" t="s">
        <v>446</v>
      </c>
      <c r="R459" s="6">
        <v>2</v>
      </c>
      <c r="S459" s="8" t="s">
        <v>347</v>
      </c>
      <c r="T459" s="6">
        <v>2</v>
      </c>
      <c r="U459" s="8" t="s">
        <v>240</v>
      </c>
      <c r="V459" s="8" t="s">
        <v>482</v>
      </c>
      <c r="W459" s="8" t="s">
        <v>386</v>
      </c>
      <c r="X459" s="8" t="s">
        <v>240</v>
      </c>
      <c r="Y459" s="8" t="s">
        <v>947</v>
      </c>
      <c r="Z459" s="6" t="b">
        <v>0</v>
      </c>
      <c r="AA459" s="9"/>
      <c r="AB459" s="9"/>
    </row>
    <row r="460" spans="1:28" ht="32">
      <c r="A460" s="6">
        <v>515</v>
      </c>
      <c r="B460" s="8" t="s">
        <v>199</v>
      </c>
      <c r="C460" s="8" t="s">
        <v>896</v>
      </c>
      <c r="D460" s="8" t="s">
        <v>948</v>
      </c>
      <c r="E460" s="8" t="s">
        <v>948</v>
      </c>
      <c r="F460" s="6">
        <v>515</v>
      </c>
      <c r="G460" s="6" t="b">
        <v>0</v>
      </c>
      <c r="H460" s="8" t="s">
        <v>480</v>
      </c>
      <c r="I460" s="6" t="b">
        <v>0</v>
      </c>
      <c r="J460" s="6" t="b">
        <v>0</v>
      </c>
      <c r="K460" s="6" t="b">
        <v>0</v>
      </c>
      <c r="L460" s="6" t="b">
        <v>1</v>
      </c>
      <c r="M460" s="6" t="b">
        <v>0</v>
      </c>
      <c r="N460" s="6">
        <v>4</v>
      </c>
      <c r="O460" s="8" t="s">
        <v>331</v>
      </c>
      <c r="P460" s="8" t="s">
        <v>350</v>
      </c>
      <c r="Q460" s="8" t="s">
        <v>811</v>
      </c>
      <c r="R460" s="6">
        <v>6</v>
      </c>
      <c r="S460" s="8" t="s">
        <v>347</v>
      </c>
      <c r="T460" s="6">
        <v>6</v>
      </c>
      <c r="U460" s="8" t="s">
        <v>240</v>
      </c>
      <c r="V460" s="8" t="s">
        <v>496</v>
      </c>
      <c r="W460" s="8" t="s">
        <v>240</v>
      </c>
      <c r="X460" s="8" t="s">
        <v>240</v>
      </c>
      <c r="Y460" s="8" t="s">
        <v>240</v>
      </c>
      <c r="Z460" s="6" t="b">
        <v>0</v>
      </c>
      <c r="AA460" s="9"/>
      <c r="AB460" s="9"/>
    </row>
    <row r="461" spans="1:28" ht="16">
      <c r="A461" s="6">
        <v>516</v>
      </c>
      <c r="B461" s="8" t="s">
        <v>199</v>
      </c>
      <c r="C461" s="8" t="s">
        <v>949</v>
      </c>
      <c r="D461" s="8" t="s">
        <v>950</v>
      </c>
      <c r="E461" s="8" t="s">
        <v>950</v>
      </c>
      <c r="F461" s="6">
        <v>516</v>
      </c>
      <c r="G461" s="6" t="b">
        <v>0</v>
      </c>
      <c r="H461" s="8" t="s">
        <v>480</v>
      </c>
      <c r="I461" s="6" t="b">
        <v>0</v>
      </c>
      <c r="J461" s="6" t="b">
        <v>0</v>
      </c>
      <c r="K461" s="6" t="b">
        <v>0</v>
      </c>
      <c r="L461" s="6" t="b">
        <v>1</v>
      </c>
      <c r="M461" s="6" t="b">
        <v>0</v>
      </c>
      <c r="N461" s="6">
        <v>2</v>
      </c>
      <c r="O461" s="8" t="s">
        <v>237</v>
      </c>
      <c r="P461" s="8" t="s">
        <v>255</v>
      </c>
      <c r="Q461" s="8" t="s">
        <v>237</v>
      </c>
      <c r="R461" s="6">
        <v>2</v>
      </c>
      <c r="S461" s="8" t="s">
        <v>347</v>
      </c>
      <c r="T461" s="9"/>
      <c r="U461" s="8" t="s">
        <v>240</v>
      </c>
      <c r="V461" s="8" t="s">
        <v>830</v>
      </c>
      <c r="W461" s="8" t="s">
        <v>483</v>
      </c>
      <c r="X461" s="8" t="s">
        <v>240</v>
      </c>
      <c r="Y461" s="8" t="s">
        <v>951</v>
      </c>
      <c r="Z461" s="6" t="b">
        <v>0</v>
      </c>
      <c r="AA461" s="9"/>
      <c r="AB461" s="9"/>
    </row>
    <row r="462" spans="1:28" ht="16">
      <c r="A462" s="6">
        <v>517</v>
      </c>
      <c r="B462" s="8" t="s">
        <v>199</v>
      </c>
      <c r="C462" s="8" t="s">
        <v>949</v>
      </c>
      <c r="D462" s="8" t="s">
        <v>952</v>
      </c>
      <c r="E462" s="8" t="s">
        <v>950</v>
      </c>
      <c r="F462" s="6">
        <v>516</v>
      </c>
      <c r="G462" s="6" t="b">
        <v>0</v>
      </c>
      <c r="H462" s="8" t="s">
        <v>480</v>
      </c>
      <c r="I462" s="6" t="b">
        <v>0</v>
      </c>
      <c r="J462" s="6" t="b">
        <v>0</v>
      </c>
      <c r="K462" s="6" t="b">
        <v>0</v>
      </c>
      <c r="L462" s="6" t="b">
        <v>1</v>
      </c>
      <c r="M462" s="6" t="b">
        <v>0</v>
      </c>
      <c r="N462" s="6">
        <v>2</v>
      </c>
      <c r="O462" s="8" t="s">
        <v>237</v>
      </c>
      <c r="P462" s="8" t="s">
        <v>255</v>
      </c>
      <c r="Q462" s="8" t="s">
        <v>237</v>
      </c>
      <c r="R462" s="6">
        <v>2</v>
      </c>
      <c r="S462" s="8" t="s">
        <v>347</v>
      </c>
      <c r="T462" s="9"/>
      <c r="U462" s="8" t="s">
        <v>240</v>
      </c>
      <c r="V462" s="8" t="s">
        <v>830</v>
      </c>
      <c r="W462" s="8" t="s">
        <v>483</v>
      </c>
      <c r="X462" s="8" t="s">
        <v>240</v>
      </c>
      <c r="Y462" s="8" t="s">
        <v>240</v>
      </c>
      <c r="Z462" s="6" t="b">
        <v>0</v>
      </c>
      <c r="AA462" s="9"/>
      <c r="AB462" s="9"/>
    </row>
    <row r="463" spans="1:28" ht="16">
      <c r="A463" s="6">
        <v>518</v>
      </c>
      <c r="B463" s="8" t="s">
        <v>199</v>
      </c>
      <c r="C463" s="8" t="s">
        <v>949</v>
      </c>
      <c r="D463" s="8" t="s">
        <v>953</v>
      </c>
      <c r="E463" s="8" t="s">
        <v>950</v>
      </c>
      <c r="F463" s="6">
        <v>516</v>
      </c>
      <c r="G463" s="6" t="b">
        <v>0</v>
      </c>
      <c r="H463" s="8" t="s">
        <v>480</v>
      </c>
      <c r="I463" s="6" t="b">
        <v>0</v>
      </c>
      <c r="J463" s="6" t="b">
        <v>0</v>
      </c>
      <c r="K463" s="6" t="b">
        <v>0</v>
      </c>
      <c r="L463" s="6" t="b">
        <v>1</v>
      </c>
      <c r="M463" s="6" t="b">
        <v>0</v>
      </c>
      <c r="N463" s="6">
        <v>2</v>
      </c>
      <c r="O463" s="8" t="s">
        <v>237</v>
      </c>
      <c r="P463" s="8" t="s">
        <v>255</v>
      </c>
      <c r="Q463" s="8" t="s">
        <v>237</v>
      </c>
      <c r="R463" s="6">
        <v>2</v>
      </c>
      <c r="S463" s="8" t="s">
        <v>347</v>
      </c>
      <c r="T463" s="6">
        <v>2</v>
      </c>
      <c r="U463" s="8" t="s">
        <v>240</v>
      </c>
      <c r="V463" s="8" t="s">
        <v>830</v>
      </c>
      <c r="W463" s="8" t="s">
        <v>483</v>
      </c>
      <c r="X463" s="8" t="s">
        <v>240</v>
      </c>
      <c r="Y463" s="8" t="s">
        <v>240</v>
      </c>
      <c r="Z463" s="6" t="b">
        <v>0</v>
      </c>
      <c r="AA463" s="9"/>
      <c r="AB463" s="9"/>
    </row>
    <row r="464" spans="1:28" ht="16">
      <c r="A464" s="6">
        <v>519</v>
      </c>
      <c r="B464" s="8" t="s">
        <v>199</v>
      </c>
      <c r="C464" s="8" t="s">
        <v>949</v>
      </c>
      <c r="D464" s="8" t="s">
        <v>954</v>
      </c>
      <c r="E464" s="8" t="s">
        <v>950</v>
      </c>
      <c r="F464" s="6">
        <v>516</v>
      </c>
      <c r="G464" s="6" t="b">
        <v>0</v>
      </c>
      <c r="H464" s="8" t="s">
        <v>480</v>
      </c>
      <c r="I464" s="6" t="b">
        <v>0</v>
      </c>
      <c r="J464" s="6" t="b">
        <v>0</v>
      </c>
      <c r="K464" s="6" t="b">
        <v>0</v>
      </c>
      <c r="L464" s="6" t="b">
        <v>1</v>
      </c>
      <c r="M464" s="6" t="b">
        <v>0</v>
      </c>
      <c r="N464" s="6">
        <v>2</v>
      </c>
      <c r="O464" s="8" t="s">
        <v>237</v>
      </c>
      <c r="P464" s="8" t="s">
        <v>255</v>
      </c>
      <c r="Q464" s="8" t="s">
        <v>237</v>
      </c>
      <c r="R464" s="6">
        <v>2</v>
      </c>
      <c r="S464" s="8" t="s">
        <v>347</v>
      </c>
      <c r="T464" s="9"/>
      <c r="U464" s="8" t="s">
        <v>240</v>
      </c>
      <c r="V464" s="8" t="s">
        <v>830</v>
      </c>
      <c r="W464" s="8" t="s">
        <v>483</v>
      </c>
      <c r="X464" s="8" t="s">
        <v>240</v>
      </c>
      <c r="Y464" s="8" t="s">
        <v>240</v>
      </c>
      <c r="Z464" s="6" t="b">
        <v>0</v>
      </c>
      <c r="AA464" s="9"/>
      <c r="AB464" s="9"/>
    </row>
    <row r="465" spans="1:28" ht="16">
      <c r="A465" s="6">
        <v>520</v>
      </c>
      <c r="B465" s="8" t="s">
        <v>199</v>
      </c>
      <c r="C465" s="8" t="s">
        <v>869</v>
      </c>
      <c r="D465" s="8" t="s">
        <v>955</v>
      </c>
      <c r="E465" s="8" t="s">
        <v>955</v>
      </c>
      <c r="F465" s="6">
        <v>520</v>
      </c>
      <c r="G465" s="6" t="b">
        <v>0</v>
      </c>
      <c r="H465" s="8" t="s">
        <v>480</v>
      </c>
      <c r="I465" s="6" t="b">
        <v>0</v>
      </c>
      <c r="J465" s="6" t="b">
        <v>0</v>
      </c>
      <c r="K465" s="6" t="b">
        <v>0</v>
      </c>
      <c r="L465" s="6" t="b">
        <v>1</v>
      </c>
      <c r="M465" s="6" t="b">
        <v>0</v>
      </c>
      <c r="N465" s="6">
        <v>2</v>
      </c>
      <c r="O465" s="8" t="s">
        <v>331</v>
      </c>
      <c r="P465" s="8" t="s">
        <v>350</v>
      </c>
      <c r="Q465" s="8" t="s">
        <v>335</v>
      </c>
      <c r="R465" s="6">
        <v>4</v>
      </c>
      <c r="S465" s="8" t="s">
        <v>347</v>
      </c>
      <c r="T465" s="6">
        <v>4</v>
      </c>
      <c r="U465" s="8" t="s">
        <v>240</v>
      </c>
      <c r="V465" s="8" t="s">
        <v>940</v>
      </c>
      <c r="W465" s="8" t="s">
        <v>483</v>
      </c>
      <c r="X465" s="8" t="s">
        <v>240</v>
      </c>
      <c r="Y465" s="8" t="s">
        <v>956</v>
      </c>
      <c r="Z465" s="6" t="b">
        <v>0</v>
      </c>
      <c r="AA465" s="9"/>
      <c r="AB465" s="9"/>
    </row>
    <row r="466" spans="1:28" ht="16">
      <c r="A466" s="6">
        <v>521</v>
      </c>
      <c r="B466" s="8" t="s">
        <v>199</v>
      </c>
      <c r="C466" s="8" t="s">
        <v>869</v>
      </c>
      <c r="D466" s="8" t="s">
        <v>869</v>
      </c>
      <c r="E466" s="8" t="s">
        <v>869</v>
      </c>
      <c r="F466" s="6">
        <v>521</v>
      </c>
      <c r="G466" s="6" t="b">
        <v>0</v>
      </c>
      <c r="H466" s="8" t="s">
        <v>480</v>
      </c>
      <c r="I466" s="6" t="b">
        <v>0</v>
      </c>
      <c r="J466" s="6" t="b">
        <v>0</v>
      </c>
      <c r="K466" s="6" t="b">
        <v>0</v>
      </c>
      <c r="L466" s="6" t="b">
        <v>1</v>
      </c>
      <c r="M466" s="6" t="b">
        <v>0</v>
      </c>
      <c r="N466" s="6">
        <v>2</v>
      </c>
      <c r="O466" s="8" t="s">
        <v>331</v>
      </c>
      <c r="P466" s="8" t="s">
        <v>350</v>
      </c>
      <c r="Q466" s="8" t="s">
        <v>502</v>
      </c>
      <c r="R466" s="6">
        <v>2</v>
      </c>
      <c r="S466" s="8" t="s">
        <v>331</v>
      </c>
      <c r="T466" s="6">
        <v>4</v>
      </c>
      <c r="U466" s="8" t="s">
        <v>240</v>
      </c>
      <c r="V466" s="8" t="s">
        <v>830</v>
      </c>
      <c r="W466" s="8" t="s">
        <v>240</v>
      </c>
      <c r="X466" s="8" t="s">
        <v>240</v>
      </c>
      <c r="Y466" s="8" t="s">
        <v>957</v>
      </c>
      <c r="Z466" s="6" t="b">
        <v>0</v>
      </c>
      <c r="AA466" s="9"/>
      <c r="AB466" s="9"/>
    </row>
    <row r="467" spans="1:28" ht="16">
      <c r="A467" s="6">
        <v>522</v>
      </c>
      <c r="B467" s="8" t="s">
        <v>199</v>
      </c>
      <c r="C467" s="8" t="s">
        <v>958</v>
      </c>
      <c r="D467" s="8" t="s">
        <v>958</v>
      </c>
      <c r="E467" s="8" t="s">
        <v>958</v>
      </c>
      <c r="F467" s="6">
        <v>522</v>
      </c>
      <c r="G467" s="6" t="b">
        <v>0</v>
      </c>
      <c r="H467" s="8" t="s">
        <v>480</v>
      </c>
      <c r="I467" s="6" t="b">
        <v>0</v>
      </c>
      <c r="J467" s="6" t="b">
        <v>0</v>
      </c>
      <c r="K467" s="6" t="b">
        <v>0</v>
      </c>
      <c r="L467" s="6" t="b">
        <v>1</v>
      </c>
      <c r="M467" s="6" t="b">
        <v>0</v>
      </c>
      <c r="N467" s="6">
        <v>2</v>
      </c>
      <c r="O467" s="8" t="s">
        <v>331</v>
      </c>
      <c r="P467" s="8" t="s">
        <v>338</v>
      </c>
      <c r="Q467" s="8" t="s">
        <v>446</v>
      </c>
      <c r="R467" s="6">
        <v>2</v>
      </c>
      <c r="S467" s="8" t="s">
        <v>331</v>
      </c>
      <c r="T467" s="9"/>
      <c r="U467" s="8" t="s">
        <v>240</v>
      </c>
      <c r="V467" s="8" t="s">
        <v>830</v>
      </c>
      <c r="W467" s="8" t="s">
        <v>240</v>
      </c>
      <c r="X467" s="8" t="s">
        <v>240</v>
      </c>
      <c r="Y467" s="8" t="s">
        <v>959</v>
      </c>
      <c r="Z467" s="6" t="b">
        <v>0</v>
      </c>
      <c r="AA467" s="9"/>
      <c r="AB467" s="9"/>
    </row>
    <row r="468" spans="1:28" ht="16">
      <c r="A468" s="6">
        <v>523</v>
      </c>
      <c r="B468" s="8" t="s">
        <v>199</v>
      </c>
      <c r="C468" s="8" t="s">
        <v>96</v>
      </c>
      <c r="D468" s="8" t="s">
        <v>960</v>
      </c>
      <c r="E468" s="8" t="s">
        <v>960</v>
      </c>
      <c r="F468" s="6">
        <v>523</v>
      </c>
      <c r="G468" s="6" t="b">
        <v>0</v>
      </c>
      <c r="H468" s="8" t="s">
        <v>480</v>
      </c>
      <c r="I468" s="6" t="b">
        <v>0</v>
      </c>
      <c r="J468" s="6" t="b">
        <v>0</v>
      </c>
      <c r="K468" s="6" t="b">
        <v>0</v>
      </c>
      <c r="L468" s="6" t="b">
        <v>1</v>
      </c>
      <c r="M468" s="6" t="b">
        <v>0</v>
      </c>
      <c r="N468" s="6">
        <v>4</v>
      </c>
      <c r="O468" s="8" t="s">
        <v>331</v>
      </c>
      <c r="P468" s="8" t="s">
        <v>350</v>
      </c>
      <c r="Q468" s="8" t="s">
        <v>927</v>
      </c>
      <c r="R468" s="6">
        <v>4</v>
      </c>
      <c r="S468" s="8" t="s">
        <v>347</v>
      </c>
      <c r="T468" s="6">
        <v>4</v>
      </c>
      <c r="U468" s="8" t="s">
        <v>874</v>
      </c>
      <c r="V468" s="8" t="s">
        <v>830</v>
      </c>
      <c r="W468" s="8" t="s">
        <v>240</v>
      </c>
      <c r="X468" s="8" t="s">
        <v>240</v>
      </c>
      <c r="Y468" s="8" t="s">
        <v>240</v>
      </c>
      <c r="Z468" s="6" t="b">
        <v>0</v>
      </c>
      <c r="AA468" s="9"/>
      <c r="AB468" s="9"/>
    </row>
    <row r="469" spans="1:28" ht="32">
      <c r="A469" s="6">
        <v>524</v>
      </c>
      <c r="B469" s="8" t="s">
        <v>199</v>
      </c>
      <c r="C469" s="8" t="s">
        <v>111</v>
      </c>
      <c r="D469" s="8" t="s">
        <v>961</v>
      </c>
      <c r="E469" s="8" t="s">
        <v>961</v>
      </c>
      <c r="F469" s="6">
        <v>524</v>
      </c>
      <c r="G469" s="6" t="b">
        <v>0</v>
      </c>
      <c r="H469" s="8" t="s">
        <v>480</v>
      </c>
      <c r="I469" s="6" t="b">
        <v>0</v>
      </c>
      <c r="J469" s="6" t="b">
        <v>0</v>
      </c>
      <c r="K469" s="6" t="b">
        <v>0</v>
      </c>
      <c r="L469" s="6" t="b">
        <v>1</v>
      </c>
      <c r="M469" s="6" t="b">
        <v>0</v>
      </c>
      <c r="N469" s="6">
        <v>4</v>
      </c>
      <c r="O469" s="8" t="s">
        <v>331</v>
      </c>
      <c r="P469" s="8" t="s">
        <v>516</v>
      </c>
      <c r="Q469" s="8" t="s">
        <v>481</v>
      </c>
      <c r="R469" s="6">
        <v>2</v>
      </c>
      <c r="S469" s="8" t="s">
        <v>335</v>
      </c>
      <c r="T469" s="6">
        <v>2</v>
      </c>
      <c r="U469" s="8" t="s">
        <v>240</v>
      </c>
      <c r="V469" s="8" t="s">
        <v>482</v>
      </c>
      <c r="W469" s="8" t="s">
        <v>240</v>
      </c>
      <c r="X469" s="8" t="s">
        <v>240</v>
      </c>
      <c r="Y469" s="8" t="s">
        <v>240</v>
      </c>
      <c r="Z469" s="6" t="b">
        <v>0</v>
      </c>
      <c r="AA469" s="9"/>
      <c r="AB469" s="9"/>
    </row>
    <row r="470" spans="1:28" ht="32">
      <c r="A470" s="6">
        <v>525</v>
      </c>
      <c r="B470" s="8" t="s">
        <v>199</v>
      </c>
      <c r="C470" s="8" t="s">
        <v>111</v>
      </c>
      <c r="D470" s="8" t="s">
        <v>962</v>
      </c>
      <c r="E470" s="8" t="s">
        <v>961</v>
      </c>
      <c r="F470" s="6">
        <v>524</v>
      </c>
      <c r="G470" s="6" t="b">
        <v>0</v>
      </c>
      <c r="H470" s="8" t="s">
        <v>480</v>
      </c>
      <c r="I470" s="6" t="b">
        <v>0</v>
      </c>
      <c r="J470" s="6" t="b">
        <v>0</v>
      </c>
      <c r="K470" s="6" t="b">
        <v>0</v>
      </c>
      <c r="L470" s="6" t="b">
        <v>1</v>
      </c>
      <c r="M470" s="6" t="b">
        <v>0</v>
      </c>
      <c r="N470" s="6">
        <v>4</v>
      </c>
      <c r="O470" s="8" t="s">
        <v>331</v>
      </c>
      <c r="P470" s="8" t="s">
        <v>516</v>
      </c>
      <c r="Q470" s="8" t="s">
        <v>481</v>
      </c>
      <c r="R470" s="6">
        <v>2</v>
      </c>
      <c r="S470" s="8" t="s">
        <v>347</v>
      </c>
      <c r="T470" s="9"/>
      <c r="U470" s="8" t="s">
        <v>240</v>
      </c>
      <c r="V470" s="8" t="s">
        <v>482</v>
      </c>
      <c r="W470" s="8" t="s">
        <v>240</v>
      </c>
      <c r="X470" s="8" t="s">
        <v>240</v>
      </c>
      <c r="Y470" s="8" t="s">
        <v>240</v>
      </c>
      <c r="Z470" s="6" t="b">
        <v>0</v>
      </c>
      <c r="AA470" s="9"/>
      <c r="AB470" s="9"/>
    </row>
    <row r="471" spans="1:28" ht="16">
      <c r="A471" s="6">
        <v>526</v>
      </c>
      <c r="B471" s="8" t="s">
        <v>199</v>
      </c>
      <c r="C471" s="8" t="s">
        <v>963</v>
      </c>
      <c r="D471" s="8" t="s">
        <v>963</v>
      </c>
      <c r="E471" s="8" t="s">
        <v>963</v>
      </c>
      <c r="F471" s="6">
        <v>526</v>
      </c>
      <c r="G471" s="6" t="b">
        <v>0</v>
      </c>
      <c r="H471" s="8" t="s">
        <v>480</v>
      </c>
      <c r="I471" s="6" t="b">
        <v>0</v>
      </c>
      <c r="J471" s="6" t="b">
        <v>0</v>
      </c>
      <c r="K471" s="6" t="b">
        <v>0</v>
      </c>
      <c r="L471" s="6" t="b">
        <v>1</v>
      </c>
      <c r="M471" s="6" t="b">
        <v>0</v>
      </c>
      <c r="N471" s="6">
        <v>2</v>
      </c>
      <c r="O471" s="8" t="s">
        <v>331</v>
      </c>
      <c r="P471" s="8" t="s">
        <v>964</v>
      </c>
      <c r="Q471" s="8" t="s">
        <v>446</v>
      </c>
      <c r="R471" s="6">
        <v>2</v>
      </c>
      <c r="S471" s="8" t="s">
        <v>331</v>
      </c>
      <c r="T471" s="9"/>
      <c r="U471" s="8" t="s">
        <v>240</v>
      </c>
      <c r="V471" s="8" t="s">
        <v>965</v>
      </c>
      <c r="W471" s="8" t="s">
        <v>240</v>
      </c>
      <c r="X471" s="8" t="s">
        <v>240</v>
      </c>
      <c r="Y471" s="8" t="s">
        <v>240</v>
      </c>
      <c r="Z471" s="6" t="b">
        <v>0</v>
      </c>
      <c r="AA471" s="9"/>
      <c r="AB471" s="9"/>
    </row>
    <row r="472" spans="1:28" ht="16">
      <c r="A472" s="6">
        <v>527</v>
      </c>
      <c r="B472" s="8" t="s">
        <v>199</v>
      </c>
      <c r="C472" s="8" t="s">
        <v>96</v>
      </c>
      <c r="D472" s="8" t="s">
        <v>966</v>
      </c>
      <c r="E472" s="8" t="s">
        <v>966</v>
      </c>
      <c r="F472" s="6">
        <v>527</v>
      </c>
      <c r="G472" s="6" t="b">
        <v>0</v>
      </c>
      <c r="H472" s="8" t="s">
        <v>480</v>
      </c>
      <c r="I472" s="6" t="b">
        <v>0</v>
      </c>
      <c r="J472" s="6" t="b">
        <v>0</v>
      </c>
      <c r="K472" s="6" t="b">
        <v>0</v>
      </c>
      <c r="L472" s="6" t="b">
        <v>1</v>
      </c>
      <c r="M472" s="6" t="b">
        <v>0</v>
      </c>
      <c r="N472" s="6">
        <v>4</v>
      </c>
      <c r="O472" s="8" t="s">
        <v>331</v>
      </c>
      <c r="P472" s="8" t="s">
        <v>822</v>
      </c>
      <c r="Q472" s="8" t="s">
        <v>446</v>
      </c>
      <c r="R472" s="6">
        <v>8.6999999999999993</v>
      </c>
      <c r="S472" s="8" t="s">
        <v>247</v>
      </c>
      <c r="T472" s="9"/>
      <c r="U472" s="8" t="s">
        <v>240</v>
      </c>
      <c r="V472" s="8" t="s">
        <v>830</v>
      </c>
      <c r="W472" s="8" t="s">
        <v>240</v>
      </c>
      <c r="X472" s="8" t="s">
        <v>240</v>
      </c>
      <c r="Y472" s="8" t="s">
        <v>240</v>
      </c>
      <c r="Z472" s="6" t="b">
        <v>0</v>
      </c>
      <c r="AA472" s="9"/>
      <c r="AB472" s="9"/>
    </row>
    <row r="473" spans="1:28" ht="32">
      <c r="A473" s="6">
        <v>528</v>
      </c>
      <c r="B473" s="8" t="s">
        <v>199</v>
      </c>
      <c r="C473" s="8" t="s">
        <v>869</v>
      </c>
      <c r="D473" s="8" t="s">
        <v>967</v>
      </c>
      <c r="E473" s="8" t="s">
        <v>967</v>
      </c>
      <c r="F473" s="6">
        <v>528</v>
      </c>
      <c r="G473" s="6" t="b">
        <v>0</v>
      </c>
      <c r="H473" s="8" t="s">
        <v>480</v>
      </c>
      <c r="I473" s="6" t="b">
        <v>0</v>
      </c>
      <c r="J473" s="6" t="b">
        <v>0</v>
      </c>
      <c r="K473" s="6" t="b">
        <v>0</v>
      </c>
      <c r="L473" s="6" t="b">
        <v>1</v>
      </c>
      <c r="M473" s="6" t="b">
        <v>0</v>
      </c>
      <c r="N473" s="6">
        <v>2</v>
      </c>
      <c r="O473" s="8" t="s">
        <v>331</v>
      </c>
      <c r="P473" s="8" t="s">
        <v>350</v>
      </c>
      <c r="Q473" s="8" t="s">
        <v>811</v>
      </c>
      <c r="R473" s="6">
        <v>1</v>
      </c>
      <c r="S473" s="8" t="s">
        <v>347</v>
      </c>
      <c r="T473" s="6">
        <v>1</v>
      </c>
      <c r="U473" s="8" t="s">
        <v>240</v>
      </c>
      <c r="V473" s="8" t="s">
        <v>824</v>
      </c>
      <c r="W473" s="8" t="s">
        <v>386</v>
      </c>
      <c r="X473" s="8" t="s">
        <v>240</v>
      </c>
      <c r="Y473" s="8" t="s">
        <v>968</v>
      </c>
      <c r="Z473" s="6" t="b">
        <v>0</v>
      </c>
      <c r="AA473" s="9"/>
      <c r="AB473" s="9"/>
    </row>
    <row r="474" spans="1:28" ht="16">
      <c r="A474" s="6">
        <v>529</v>
      </c>
      <c r="B474" s="8" t="s">
        <v>199</v>
      </c>
      <c r="C474" s="8" t="s">
        <v>969</v>
      </c>
      <c r="D474" s="8" t="s">
        <v>970</v>
      </c>
      <c r="E474" s="8" t="s">
        <v>970</v>
      </c>
      <c r="F474" s="6">
        <v>529</v>
      </c>
      <c r="G474" s="6" t="b">
        <v>0</v>
      </c>
      <c r="H474" s="8" t="s">
        <v>480</v>
      </c>
      <c r="I474" s="6" t="b">
        <v>0</v>
      </c>
      <c r="J474" s="6" t="b">
        <v>0</v>
      </c>
      <c r="K474" s="6" t="b">
        <v>0</v>
      </c>
      <c r="L474" s="6" t="b">
        <v>1</v>
      </c>
      <c r="M474" s="6" t="b">
        <v>0</v>
      </c>
      <c r="N474" s="6">
        <v>7</v>
      </c>
      <c r="O474" s="8" t="s">
        <v>331</v>
      </c>
      <c r="P474" s="8" t="s">
        <v>350</v>
      </c>
      <c r="Q474" s="8" t="s">
        <v>381</v>
      </c>
      <c r="R474" s="6">
        <v>7</v>
      </c>
      <c r="S474" s="8" t="s">
        <v>75</v>
      </c>
      <c r="T474" s="9"/>
      <c r="U474" s="8" t="s">
        <v>240</v>
      </c>
      <c r="V474" s="8" t="s">
        <v>866</v>
      </c>
      <c r="W474" s="8" t="s">
        <v>386</v>
      </c>
      <c r="X474" s="8" t="s">
        <v>240</v>
      </c>
      <c r="Y474" s="8" t="s">
        <v>240</v>
      </c>
      <c r="Z474" s="6" t="b">
        <v>0</v>
      </c>
      <c r="AA474" s="9"/>
      <c r="AB474" s="9"/>
    </row>
    <row r="475" spans="1:28" ht="16">
      <c r="A475" s="6">
        <v>530</v>
      </c>
      <c r="B475" s="8" t="s">
        <v>199</v>
      </c>
      <c r="C475" s="8" t="s">
        <v>925</v>
      </c>
      <c r="D475" s="8" t="s">
        <v>925</v>
      </c>
      <c r="E475" s="8" t="s">
        <v>925</v>
      </c>
      <c r="F475" s="6">
        <v>530</v>
      </c>
      <c r="G475" s="6" t="b">
        <v>0</v>
      </c>
      <c r="H475" s="8" t="s">
        <v>480</v>
      </c>
      <c r="I475" s="6" t="b">
        <v>0</v>
      </c>
      <c r="J475" s="6" t="b">
        <v>0</v>
      </c>
      <c r="K475" s="6" t="b">
        <v>0</v>
      </c>
      <c r="L475" s="6" t="b">
        <v>1</v>
      </c>
      <c r="M475" s="6" t="b">
        <v>0</v>
      </c>
      <c r="N475" s="6">
        <v>2</v>
      </c>
      <c r="O475" s="8" t="s">
        <v>331</v>
      </c>
      <c r="P475" s="8" t="s">
        <v>350</v>
      </c>
      <c r="Q475" s="8" t="s">
        <v>446</v>
      </c>
      <c r="R475" s="6">
        <v>2</v>
      </c>
      <c r="S475" s="8" t="s">
        <v>331</v>
      </c>
      <c r="T475" s="9"/>
      <c r="U475" s="8" t="s">
        <v>240</v>
      </c>
      <c r="V475" s="8" t="s">
        <v>240</v>
      </c>
      <c r="W475" s="8" t="s">
        <v>240</v>
      </c>
      <c r="X475" s="8" t="s">
        <v>240</v>
      </c>
      <c r="Y475" s="8" t="s">
        <v>240</v>
      </c>
      <c r="Z475" s="6" t="b">
        <v>0</v>
      </c>
      <c r="AA475" s="9"/>
      <c r="AB475" s="9"/>
    </row>
    <row r="476" spans="1:28" ht="16">
      <c r="A476" s="6">
        <v>531</v>
      </c>
      <c r="B476" s="8" t="s">
        <v>199</v>
      </c>
      <c r="C476" s="8" t="s">
        <v>832</v>
      </c>
      <c r="D476" s="8" t="s">
        <v>832</v>
      </c>
      <c r="E476" s="8" t="s">
        <v>832</v>
      </c>
      <c r="F476" s="6">
        <v>531</v>
      </c>
      <c r="G476" s="6" t="b">
        <v>0</v>
      </c>
      <c r="H476" s="8" t="s">
        <v>480</v>
      </c>
      <c r="I476" s="6" t="b">
        <v>0</v>
      </c>
      <c r="J476" s="6" t="b">
        <v>0</v>
      </c>
      <c r="K476" s="6" t="b">
        <v>0</v>
      </c>
      <c r="L476" s="6" t="b">
        <v>1</v>
      </c>
      <c r="M476" s="6" t="b">
        <v>0</v>
      </c>
      <c r="N476" s="6">
        <v>4</v>
      </c>
      <c r="O476" s="8" t="s">
        <v>331</v>
      </c>
      <c r="P476" s="8" t="s">
        <v>350</v>
      </c>
      <c r="Q476" s="8" t="s">
        <v>446</v>
      </c>
      <c r="R476" s="6">
        <v>4</v>
      </c>
      <c r="S476" s="8" t="s">
        <v>331</v>
      </c>
      <c r="T476" s="9"/>
      <c r="U476" s="8" t="s">
        <v>240</v>
      </c>
      <c r="V476" s="8" t="s">
        <v>240</v>
      </c>
      <c r="W476" s="8" t="s">
        <v>240</v>
      </c>
      <c r="X476" s="8" t="s">
        <v>240</v>
      </c>
      <c r="Y476" s="8" t="s">
        <v>971</v>
      </c>
      <c r="Z476" s="6" t="b">
        <v>0</v>
      </c>
      <c r="AA476" s="9"/>
      <c r="AB476" s="9"/>
    </row>
    <row r="477" spans="1:28" ht="32">
      <c r="A477" s="6">
        <v>532</v>
      </c>
      <c r="B477" s="8" t="s">
        <v>199</v>
      </c>
      <c r="C477" s="8" t="s">
        <v>832</v>
      </c>
      <c r="D477" s="8" t="s">
        <v>972</v>
      </c>
      <c r="E477" s="8" t="s">
        <v>972</v>
      </c>
      <c r="F477" s="6">
        <v>532</v>
      </c>
      <c r="G477" s="6" t="b">
        <v>0</v>
      </c>
      <c r="H477" s="8" t="s">
        <v>480</v>
      </c>
      <c r="I477" s="6" t="b">
        <v>0</v>
      </c>
      <c r="J477" s="6" t="b">
        <v>0</v>
      </c>
      <c r="K477" s="6" t="b">
        <v>0</v>
      </c>
      <c r="L477" s="6" t="b">
        <v>1</v>
      </c>
      <c r="M477" s="6" t="b">
        <v>0</v>
      </c>
      <c r="N477" s="6">
        <v>4</v>
      </c>
      <c r="O477" s="8" t="s">
        <v>331</v>
      </c>
      <c r="P477" s="8" t="s">
        <v>350</v>
      </c>
      <c r="Q477" s="8" t="s">
        <v>811</v>
      </c>
      <c r="R477" s="6">
        <v>4</v>
      </c>
      <c r="S477" s="8" t="s">
        <v>347</v>
      </c>
      <c r="T477" s="6">
        <v>4</v>
      </c>
      <c r="U477" s="8" t="s">
        <v>482</v>
      </c>
      <c r="V477" s="8" t="s">
        <v>510</v>
      </c>
      <c r="W477" s="8" t="s">
        <v>386</v>
      </c>
      <c r="X477" s="8" t="s">
        <v>240</v>
      </c>
      <c r="Y477" s="8" t="s">
        <v>240</v>
      </c>
      <c r="Z477" s="6" t="b">
        <v>0</v>
      </c>
      <c r="AA477" s="9"/>
      <c r="AB477" s="9"/>
    </row>
    <row r="478" spans="1:28" ht="32">
      <c r="A478" s="6">
        <v>533</v>
      </c>
      <c r="B478" s="8" t="s">
        <v>199</v>
      </c>
      <c r="C478" s="8" t="s">
        <v>96</v>
      </c>
      <c r="D478" s="8" t="s">
        <v>973</v>
      </c>
      <c r="E478" s="8" t="s">
        <v>973</v>
      </c>
      <c r="F478" s="6">
        <v>533</v>
      </c>
      <c r="G478" s="6" t="b">
        <v>0</v>
      </c>
      <c r="H478" s="8" t="s">
        <v>480</v>
      </c>
      <c r="I478" s="6" t="b">
        <v>0</v>
      </c>
      <c r="J478" s="6" t="b">
        <v>0</v>
      </c>
      <c r="K478" s="6" t="b">
        <v>0</v>
      </c>
      <c r="L478" s="6" t="b">
        <v>1</v>
      </c>
      <c r="M478" s="6" t="b">
        <v>0</v>
      </c>
      <c r="N478" s="6">
        <v>4</v>
      </c>
      <c r="O478" s="8" t="s">
        <v>331</v>
      </c>
      <c r="P478" s="8" t="s">
        <v>822</v>
      </c>
      <c r="Q478" s="8" t="s">
        <v>823</v>
      </c>
      <c r="R478" s="6">
        <v>4</v>
      </c>
      <c r="S478" s="8" t="s">
        <v>523</v>
      </c>
      <c r="T478" s="9"/>
      <c r="U478" s="8" t="s">
        <v>240</v>
      </c>
      <c r="V478" s="8" t="s">
        <v>830</v>
      </c>
      <c r="W478" s="8" t="s">
        <v>386</v>
      </c>
      <c r="X478" s="8" t="s">
        <v>240</v>
      </c>
      <c r="Y478" s="8" t="s">
        <v>240</v>
      </c>
      <c r="Z478" s="6" t="b">
        <v>0</v>
      </c>
      <c r="AA478" s="9"/>
      <c r="AB478" s="9"/>
    </row>
    <row r="479" spans="1:28" ht="32">
      <c r="A479" s="6">
        <v>534</v>
      </c>
      <c r="B479" s="8" t="s">
        <v>199</v>
      </c>
      <c r="C479" s="8" t="s">
        <v>96</v>
      </c>
      <c r="D479" s="8" t="s">
        <v>974</v>
      </c>
      <c r="E479" s="8" t="s">
        <v>973</v>
      </c>
      <c r="F479" s="6">
        <v>533</v>
      </c>
      <c r="G479" s="6" t="b">
        <v>0</v>
      </c>
      <c r="H479" s="8" t="s">
        <v>480</v>
      </c>
      <c r="I479" s="6" t="b">
        <v>0</v>
      </c>
      <c r="J479" s="6" t="b">
        <v>0</v>
      </c>
      <c r="K479" s="6" t="b">
        <v>0</v>
      </c>
      <c r="L479" s="6" t="b">
        <v>1</v>
      </c>
      <c r="M479" s="6" t="b">
        <v>0</v>
      </c>
      <c r="N479" s="6">
        <v>4</v>
      </c>
      <c r="O479" s="8" t="s">
        <v>331</v>
      </c>
      <c r="P479" s="8" t="s">
        <v>822</v>
      </c>
      <c r="Q479" s="8" t="s">
        <v>823</v>
      </c>
      <c r="R479" s="6">
        <v>2</v>
      </c>
      <c r="S479" s="8" t="s">
        <v>347</v>
      </c>
      <c r="T479" s="9"/>
      <c r="U479" s="8" t="s">
        <v>827</v>
      </c>
      <c r="V479" s="8" t="s">
        <v>830</v>
      </c>
      <c r="W479" s="8" t="s">
        <v>386</v>
      </c>
      <c r="X479" s="8" t="s">
        <v>240</v>
      </c>
      <c r="Y479" s="8" t="s">
        <v>240</v>
      </c>
      <c r="Z479" s="6" t="b">
        <v>0</v>
      </c>
      <c r="AA479" s="9"/>
      <c r="AB479" s="9"/>
    </row>
    <row r="480" spans="1:28" ht="32">
      <c r="A480" s="6">
        <v>535</v>
      </c>
      <c r="B480" s="8" t="s">
        <v>199</v>
      </c>
      <c r="C480" s="8" t="s">
        <v>96</v>
      </c>
      <c r="D480" s="8" t="s">
        <v>975</v>
      </c>
      <c r="E480" s="8" t="s">
        <v>973</v>
      </c>
      <c r="F480" s="6">
        <v>533</v>
      </c>
      <c r="G480" s="6" t="b">
        <v>0</v>
      </c>
      <c r="H480" s="8" t="s">
        <v>480</v>
      </c>
      <c r="I480" s="6" t="b">
        <v>0</v>
      </c>
      <c r="J480" s="6" t="b">
        <v>0</v>
      </c>
      <c r="K480" s="6" t="b">
        <v>0</v>
      </c>
      <c r="L480" s="6" t="b">
        <v>1</v>
      </c>
      <c r="M480" s="6" t="b">
        <v>0</v>
      </c>
      <c r="N480" s="6">
        <v>4</v>
      </c>
      <c r="O480" s="8" t="s">
        <v>331</v>
      </c>
      <c r="P480" s="8" t="s">
        <v>822</v>
      </c>
      <c r="Q480" s="8" t="s">
        <v>823</v>
      </c>
      <c r="R480" s="6">
        <v>4</v>
      </c>
      <c r="S480" s="8" t="s">
        <v>523</v>
      </c>
      <c r="T480" s="9"/>
      <c r="U480" s="8" t="s">
        <v>846</v>
      </c>
      <c r="V480" s="8" t="s">
        <v>830</v>
      </c>
      <c r="W480" s="8" t="s">
        <v>386</v>
      </c>
      <c r="X480" s="8" t="s">
        <v>240</v>
      </c>
      <c r="Y480" s="8" t="s">
        <v>240</v>
      </c>
      <c r="Z480" s="6" t="b">
        <v>0</v>
      </c>
      <c r="AA480" s="9"/>
      <c r="AB480" s="9"/>
    </row>
    <row r="481" spans="1:28" ht="32">
      <c r="A481" s="6">
        <v>536</v>
      </c>
      <c r="B481" s="8" t="s">
        <v>199</v>
      </c>
      <c r="C481" s="8" t="s">
        <v>96</v>
      </c>
      <c r="D481" s="8" t="s">
        <v>976</v>
      </c>
      <c r="E481" s="8" t="s">
        <v>973</v>
      </c>
      <c r="F481" s="6">
        <v>533</v>
      </c>
      <c r="G481" s="6" t="b">
        <v>0</v>
      </c>
      <c r="H481" s="8" t="s">
        <v>480</v>
      </c>
      <c r="I481" s="6" t="b">
        <v>0</v>
      </c>
      <c r="J481" s="6" t="b">
        <v>0</v>
      </c>
      <c r="K481" s="6" t="b">
        <v>0</v>
      </c>
      <c r="L481" s="6" t="b">
        <v>1</v>
      </c>
      <c r="M481" s="6" t="b">
        <v>0</v>
      </c>
      <c r="N481" s="6">
        <v>4</v>
      </c>
      <c r="O481" s="8" t="s">
        <v>331</v>
      </c>
      <c r="P481" s="8" t="s">
        <v>516</v>
      </c>
      <c r="Q481" s="8" t="s">
        <v>239</v>
      </c>
      <c r="R481" s="6">
        <v>4</v>
      </c>
      <c r="S481" s="8" t="s">
        <v>347</v>
      </c>
      <c r="T481" s="9"/>
      <c r="U481" s="8" t="s">
        <v>848</v>
      </c>
      <c r="V481" s="8" t="s">
        <v>830</v>
      </c>
      <c r="W481" s="8" t="s">
        <v>386</v>
      </c>
      <c r="X481" s="8" t="s">
        <v>240</v>
      </c>
      <c r="Y481" s="8" t="s">
        <v>240</v>
      </c>
      <c r="Z481" s="6" t="b">
        <v>0</v>
      </c>
      <c r="AA481" s="9"/>
      <c r="AB481" s="9"/>
    </row>
    <row r="482" spans="1:28" ht="32">
      <c r="A482" s="6">
        <v>537</v>
      </c>
      <c r="B482" s="8" t="s">
        <v>199</v>
      </c>
      <c r="C482" s="8" t="s">
        <v>96</v>
      </c>
      <c r="D482" s="8" t="s">
        <v>977</v>
      </c>
      <c r="E482" s="8" t="s">
        <v>973</v>
      </c>
      <c r="F482" s="6">
        <v>533</v>
      </c>
      <c r="G482" s="6" t="b">
        <v>0</v>
      </c>
      <c r="H482" s="8" t="s">
        <v>480</v>
      </c>
      <c r="I482" s="6" t="b">
        <v>0</v>
      </c>
      <c r="J482" s="6" t="b">
        <v>0</v>
      </c>
      <c r="K482" s="6" t="b">
        <v>0</v>
      </c>
      <c r="L482" s="6" t="b">
        <v>1</v>
      </c>
      <c r="M482" s="6" t="b">
        <v>0</v>
      </c>
      <c r="N482" s="6">
        <v>4</v>
      </c>
      <c r="O482" s="8" t="s">
        <v>331</v>
      </c>
      <c r="P482" s="8" t="s">
        <v>822</v>
      </c>
      <c r="Q482" s="8" t="s">
        <v>823</v>
      </c>
      <c r="R482" s="6">
        <v>4</v>
      </c>
      <c r="S482" s="8" t="s">
        <v>347</v>
      </c>
      <c r="T482" s="9"/>
      <c r="U482" s="8" t="s">
        <v>240</v>
      </c>
      <c r="V482" s="8" t="s">
        <v>830</v>
      </c>
      <c r="W482" s="8" t="s">
        <v>386</v>
      </c>
      <c r="X482" s="8" t="s">
        <v>240</v>
      </c>
      <c r="Y482" s="8" t="s">
        <v>240</v>
      </c>
      <c r="Z482" s="6" t="b">
        <v>0</v>
      </c>
      <c r="AA482" s="9"/>
      <c r="AB482" s="9"/>
    </row>
    <row r="483" spans="1:28" ht="32">
      <c r="A483" s="6">
        <v>538</v>
      </c>
      <c r="B483" s="8" t="s">
        <v>199</v>
      </c>
      <c r="C483" s="8" t="s">
        <v>96</v>
      </c>
      <c r="D483" s="8" t="s">
        <v>978</v>
      </c>
      <c r="E483" s="8" t="s">
        <v>973</v>
      </c>
      <c r="F483" s="6">
        <v>533</v>
      </c>
      <c r="G483" s="6" t="b">
        <v>0</v>
      </c>
      <c r="H483" s="8" t="s">
        <v>480</v>
      </c>
      <c r="I483" s="6" t="b">
        <v>0</v>
      </c>
      <c r="J483" s="6" t="b">
        <v>0</v>
      </c>
      <c r="K483" s="6" t="b">
        <v>0</v>
      </c>
      <c r="L483" s="6" t="b">
        <v>1</v>
      </c>
      <c r="M483" s="6" t="b">
        <v>0</v>
      </c>
      <c r="N483" s="6">
        <v>4</v>
      </c>
      <c r="O483" s="8" t="s">
        <v>331</v>
      </c>
      <c r="P483" s="8" t="s">
        <v>516</v>
      </c>
      <c r="Q483" s="8" t="s">
        <v>239</v>
      </c>
      <c r="R483" s="6">
        <v>5</v>
      </c>
      <c r="S483" s="8" t="s">
        <v>347</v>
      </c>
      <c r="T483" s="9"/>
      <c r="U483" s="8" t="s">
        <v>240</v>
      </c>
      <c r="V483" s="8" t="s">
        <v>830</v>
      </c>
      <c r="W483" s="8" t="s">
        <v>386</v>
      </c>
      <c r="X483" s="8" t="s">
        <v>240</v>
      </c>
      <c r="Y483" s="8" t="s">
        <v>240</v>
      </c>
      <c r="Z483" s="6" t="b">
        <v>0</v>
      </c>
      <c r="AA483" s="9"/>
      <c r="AB483" s="9"/>
    </row>
    <row r="484" spans="1:28" ht="16">
      <c r="A484" s="6">
        <v>539</v>
      </c>
      <c r="B484" s="8" t="s">
        <v>199</v>
      </c>
      <c r="C484" s="8" t="s">
        <v>151</v>
      </c>
      <c r="D484" s="8" t="s">
        <v>979</v>
      </c>
      <c r="E484" s="8" t="s">
        <v>979</v>
      </c>
      <c r="F484" s="6">
        <v>539</v>
      </c>
      <c r="G484" s="6" t="b">
        <v>0</v>
      </c>
      <c r="H484" s="8" t="s">
        <v>480</v>
      </c>
      <c r="I484" s="6" t="b">
        <v>0</v>
      </c>
      <c r="J484" s="6" t="b">
        <v>0</v>
      </c>
      <c r="K484" s="6" t="b">
        <v>0</v>
      </c>
      <c r="L484" s="6" t="b">
        <v>1</v>
      </c>
      <c r="M484" s="6" t="b">
        <v>0</v>
      </c>
      <c r="N484" s="6">
        <v>1</v>
      </c>
      <c r="O484" s="8" t="s">
        <v>331</v>
      </c>
      <c r="P484" s="8" t="s">
        <v>350</v>
      </c>
      <c r="Q484" s="8" t="s">
        <v>446</v>
      </c>
      <c r="R484" s="6">
        <v>2</v>
      </c>
      <c r="S484" s="8" t="s">
        <v>335</v>
      </c>
      <c r="T484" s="6">
        <v>2</v>
      </c>
      <c r="U484" s="8" t="s">
        <v>240</v>
      </c>
      <c r="V484" s="8" t="s">
        <v>482</v>
      </c>
      <c r="W484" s="8" t="s">
        <v>483</v>
      </c>
      <c r="X484" s="8" t="s">
        <v>240</v>
      </c>
      <c r="Y484" s="8" t="s">
        <v>980</v>
      </c>
      <c r="Z484" s="6" t="b">
        <v>0</v>
      </c>
      <c r="AA484" s="9"/>
      <c r="AB484" s="9"/>
    </row>
    <row r="485" spans="1:28" ht="16">
      <c r="A485" s="6">
        <v>540</v>
      </c>
      <c r="B485" s="8" t="s">
        <v>199</v>
      </c>
      <c r="C485" s="8" t="s">
        <v>151</v>
      </c>
      <c r="D485" s="8" t="s">
        <v>981</v>
      </c>
      <c r="E485" s="8" t="s">
        <v>979</v>
      </c>
      <c r="F485" s="6">
        <v>539</v>
      </c>
      <c r="G485" s="6" t="b">
        <v>0</v>
      </c>
      <c r="H485" s="8" t="s">
        <v>480</v>
      </c>
      <c r="I485" s="6" t="b">
        <v>0</v>
      </c>
      <c r="J485" s="6" t="b">
        <v>0</v>
      </c>
      <c r="K485" s="6" t="b">
        <v>0</v>
      </c>
      <c r="L485" s="6" t="b">
        <v>1</v>
      </c>
      <c r="M485" s="6" t="b">
        <v>0</v>
      </c>
      <c r="N485" s="6">
        <v>1</v>
      </c>
      <c r="O485" s="8" t="s">
        <v>331</v>
      </c>
      <c r="P485" s="8" t="s">
        <v>350</v>
      </c>
      <c r="Q485" s="8" t="s">
        <v>446</v>
      </c>
      <c r="R485" s="6">
        <v>2</v>
      </c>
      <c r="S485" s="8" t="s">
        <v>347</v>
      </c>
      <c r="T485" s="6">
        <v>2</v>
      </c>
      <c r="U485" s="8" t="s">
        <v>904</v>
      </c>
      <c r="V485" s="8" t="s">
        <v>482</v>
      </c>
      <c r="W485" s="8" t="s">
        <v>483</v>
      </c>
      <c r="X485" s="8" t="s">
        <v>240</v>
      </c>
      <c r="Y485" s="8" t="s">
        <v>982</v>
      </c>
      <c r="Z485" s="6" t="b">
        <v>0</v>
      </c>
      <c r="AA485" s="9"/>
      <c r="AB485" s="9"/>
    </row>
    <row r="486" spans="1:28" ht="16">
      <c r="A486" s="6">
        <v>541</v>
      </c>
      <c r="B486" s="8" t="s">
        <v>199</v>
      </c>
      <c r="C486" s="8" t="s">
        <v>151</v>
      </c>
      <c r="D486" s="8" t="s">
        <v>983</v>
      </c>
      <c r="E486" s="8" t="s">
        <v>979</v>
      </c>
      <c r="F486" s="6">
        <v>539</v>
      </c>
      <c r="G486" s="6" t="b">
        <v>0</v>
      </c>
      <c r="H486" s="8" t="s">
        <v>480</v>
      </c>
      <c r="I486" s="6" t="b">
        <v>0</v>
      </c>
      <c r="J486" s="6" t="b">
        <v>0</v>
      </c>
      <c r="K486" s="6" t="b">
        <v>0</v>
      </c>
      <c r="L486" s="6" t="b">
        <v>1</v>
      </c>
      <c r="M486" s="6" t="b">
        <v>0</v>
      </c>
      <c r="N486" s="6">
        <v>1</v>
      </c>
      <c r="O486" s="8" t="s">
        <v>331</v>
      </c>
      <c r="P486" s="8" t="s">
        <v>350</v>
      </c>
      <c r="Q486" s="8" t="s">
        <v>446</v>
      </c>
      <c r="R486" s="6">
        <v>2.7</v>
      </c>
      <c r="S486" s="8" t="s">
        <v>247</v>
      </c>
      <c r="T486" s="6">
        <v>2</v>
      </c>
      <c r="U486" s="8" t="s">
        <v>915</v>
      </c>
      <c r="V486" s="8" t="s">
        <v>482</v>
      </c>
      <c r="W486" s="8" t="s">
        <v>483</v>
      </c>
      <c r="X486" s="8" t="s">
        <v>240</v>
      </c>
      <c r="Y486" s="8" t="s">
        <v>240</v>
      </c>
      <c r="Z486" s="6" t="b">
        <v>0</v>
      </c>
      <c r="AA486" s="9"/>
      <c r="AB486" s="9"/>
    </row>
    <row r="487" spans="1:28" ht="32">
      <c r="A487" s="6">
        <v>542</v>
      </c>
      <c r="B487" s="8" t="s">
        <v>199</v>
      </c>
      <c r="C487" s="8" t="s">
        <v>151</v>
      </c>
      <c r="D487" s="8" t="s">
        <v>984</v>
      </c>
      <c r="E487" s="8" t="s">
        <v>979</v>
      </c>
      <c r="F487" s="6">
        <v>539</v>
      </c>
      <c r="G487" s="6" t="b">
        <v>0</v>
      </c>
      <c r="H487" s="8" t="s">
        <v>480</v>
      </c>
      <c r="I487" s="6" t="b">
        <v>0</v>
      </c>
      <c r="J487" s="6" t="b">
        <v>0</v>
      </c>
      <c r="K487" s="6" t="b">
        <v>0</v>
      </c>
      <c r="L487" s="6" t="b">
        <v>1</v>
      </c>
      <c r="M487" s="6" t="b">
        <v>0</v>
      </c>
      <c r="N487" s="6">
        <v>1</v>
      </c>
      <c r="O487" s="8" t="s">
        <v>331</v>
      </c>
      <c r="P487" s="8" t="s">
        <v>350</v>
      </c>
      <c r="Q487" s="8" t="s">
        <v>446</v>
      </c>
      <c r="R487" s="6">
        <v>1.5</v>
      </c>
      <c r="S487" s="8" t="s">
        <v>247</v>
      </c>
      <c r="T487" s="6">
        <v>2</v>
      </c>
      <c r="U487" s="8" t="s">
        <v>917</v>
      </c>
      <c r="V487" s="8" t="s">
        <v>482</v>
      </c>
      <c r="W487" s="8" t="s">
        <v>483</v>
      </c>
      <c r="X487" s="8" t="s">
        <v>240</v>
      </c>
      <c r="Y487" s="8" t="s">
        <v>240</v>
      </c>
      <c r="Z487" s="6" t="b">
        <v>0</v>
      </c>
      <c r="AA487" s="9"/>
      <c r="AB487" s="9"/>
    </row>
    <row r="488" spans="1:28" ht="16">
      <c r="A488" s="6">
        <v>543</v>
      </c>
      <c r="B488" s="8" t="s">
        <v>199</v>
      </c>
      <c r="C488" s="8" t="s">
        <v>151</v>
      </c>
      <c r="D488" s="8" t="s">
        <v>985</v>
      </c>
      <c r="E488" s="8" t="s">
        <v>979</v>
      </c>
      <c r="F488" s="6">
        <v>539</v>
      </c>
      <c r="G488" s="6" t="b">
        <v>0</v>
      </c>
      <c r="H488" s="8" t="s">
        <v>480</v>
      </c>
      <c r="I488" s="6" t="b">
        <v>0</v>
      </c>
      <c r="J488" s="6" t="b">
        <v>0</v>
      </c>
      <c r="K488" s="6" t="b">
        <v>0</v>
      </c>
      <c r="L488" s="6" t="b">
        <v>1</v>
      </c>
      <c r="M488" s="6" t="b">
        <v>0</v>
      </c>
      <c r="N488" s="6">
        <v>1</v>
      </c>
      <c r="O488" s="8" t="s">
        <v>331</v>
      </c>
      <c r="P488" s="8" t="s">
        <v>350</v>
      </c>
      <c r="Q488" s="8" t="s">
        <v>446</v>
      </c>
      <c r="R488" s="6">
        <v>2</v>
      </c>
      <c r="S488" s="8" t="s">
        <v>335</v>
      </c>
      <c r="T488" s="9"/>
      <c r="U488" s="8" t="s">
        <v>919</v>
      </c>
      <c r="V488" s="8" t="s">
        <v>482</v>
      </c>
      <c r="W488" s="8" t="s">
        <v>483</v>
      </c>
      <c r="X488" s="8" t="s">
        <v>240</v>
      </c>
      <c r="Y488" s="8" t="s">
        <v>240</v>
      </c>
      <c r="Z488" s="6" t="b">
        <v>0</v>
      </c>
      <c r="AA488" s="9"/>
      <c r="AB488" s="9"/>
    </row>
    <row r="489" spans="1:28" ht="16">
      <c r="A489" s="6">
        <v>545</v>
      </c>
      <c r="B489" s="8" t="s">
        <v>199</v>
      </c>
      <c r="C489" s="8" t="s">
        <v>969</v>
      </c>
      <c r="D489" s="8" t="s">
        <v>969</v>
      </c>
      <c r="E489" s="8" t="s">
        <v>969</v>
      </c>
      <c r="F489" s="6">
        <v>545</v>
      </c>
      <c r="G489" s="6" t="b">
        <v>0</v>
      </c>
      <c r="H489" s="8" t="s">
        <v>480</v>
      </c>
      <c r="I489" s="6" t="b">
        <v>0</v>
      </c>
      <c r="J489" s="6" t="b">
        <v>0</v>
      </c>
      <c r="K489" s="6" t="b">
        <v>0</v>
      </c>
      <c r="L489" s="6" t="b">
        <v>1</v>
      </c>
      <c r="M489" s="6" t="b">
        <v>0</v>
      </c>
      <c r="N489" s="6">
        <v>7</v>
      </c>
      <c r="O489" s="8" t="s">
        <v>331</v>
      </c>
      <c r="P489" s="8" t="s">
        <v>350</v>
      </c>
      <c r="Q489" s="8" t="s">
        <v>381</v>
      </c>
      <c r="R489" s="6">
        <v>7</v>
      </c>
      <c r="S489" s="8" t="s">
        <v>331</v>
      </c>
      <c r="T489" s="9"/>
      <c r="U489" s="8" t="s">
        <v>240</v>
      </c>
      <c r="V489" s="8" t="s">
        <v>830</v>
      </c>
      <c r="W489" s="8" t="s">
        <v>240</v>
      </c>
      <c r="X489" s="8" t="s">
        <v>240</v>
      </c>
      <c r="Y489" s="8" t="s">
        <v>240</v>
      </c>
      <c r="Z489" s="6" t="b">
        <v>0</v>
      </c>
      <c r="AA489" s="9"/>
      <c r="AB489" s="9"/>
    </row>
    <row r="490" spans="1:28" ht="32">
      <c r="A490" s="6">
        <v>546</v>
      </c>
      <c r="B490" s="8" t="s">
        <v>199</v>
      </c>
      <c r="C490" s="8" t="s">
        <v>969</v>
      </c>
      <c r="D490" s="8" t="s">
        <v>986</v>
      </c>
      <c r="E490" s="8" t="s">
        <v>986</v>
      </c>
      <c r="F490" s="6">
        <v>546</v>
      </c>
      <c r="G490" s="6" t="b">
        <v>0</v>
      </c>
      <c r="H490" s="8" t="s">
        <v>480</v>
      </c>
      <c r="I490" s="6" t="b">
        <v>0</v>
      </c>
      <c r="J490" s="6" t="b">
        <v>0</v>
      </c>
      <c r="K490" s="6" t="b">
        <v>0</v>
      </c>
      <c r="L490" s="6" t="b">
        <v>1</v>
      </c>
      <c r="M490" s="6" t="b">
        <v>0</v>
      </c>
      <c r="N490" s="6">
        <v>7</v>
      </c>
      <c r="O490" s="8" t="s">
        <v>331</v>
      </c>
      <c r="P490" s="8" t="s">
        <v>350</v>
      </c>
      <c r="Q490" s="8" t="s">
        <v>481</v>
      </c>
      <c r="R490" s="6">
        <v>7</v>
      </c>
      <c r="S490" s="8" t="s">
        <v>347</v>
      </c>
      <c r="T490" s="6">
        <v>7</v>
      </c>
      <c r="U490" s="8" t="s">
        <v>240</v>
      </c>
      <c r="V490" s="8" t="s">
        <v>866</v>
      </c>
      <c r="W490" s="8" t="s">
        <v>386</v>
      </c>
      <c r="X490" s="8" t="s">
        <v>240</v>
      </c>
      <c r="Y490" s="8" t="s">
        <v>987</v>
      </c>
      <c r="Z490" s="6" t="b">
        <v>0</v>
      </c>
      <c r="AA490" s="9"/>
      <c r="AB490" s="9"/>
    </row>
    <row r="491" spans="1:28" ht="16">
      <c r="A491" s="6">
        <v>547</v>
      </c>
      <c r="B491" s="8" t="s">
        <v>199</v>
      </c>
      <c r="C491" s="8" t="s">
        <v>958</v>
      </c>
      <c r="D491" s="8" t="s">
        <v>988</v>
      </c>
      <c r="E491" s="8" t="s">
        <v>988</v>
      </c>
      <c r="F491" s="6">
        <v>547</v>
      </c>
      <c r="G491" s="6" t="b">
        <v>0</v>
      </c>
      <c r="H491" s="8" t="s">
        <v>480</v>
      </c>
      <c r="I491" s="6" t="b">
        <v>0</v>
      </c>
      <c r="J491" s="6" t="b">
        <v>0</v>
      </c>
      <c r="K491" s="6" t="b">
        <v>0</v>
      </c>
      <c r="L491" s="6" t="b">
        <v>1</v>
      </c>
      <c r="M491" s="6" t="b">
        <v>0</v>
      </c>
      <c r="N491" s="6">
        <v>2</v>
      </c>
      <c r="O491" s="8" t="s">
        <v>331</v>
      </c>
      <c r="P491" s="8" t="s">
        <v>350</v>
      </c>
      <c r="Q491" s="8" t="s">
        <v>446</v>
      </c>
      <c r="R491" s="6">
        <v>2</v>
      </c>
      <c r="S491" s="8" t="s">
        <v>347</v>
      </c>
      <c r="T491" s="9"/>
      <c r="U491" s="8" t="s">
        <v>240</v>
      </c>
      <c r="V491" s="8" t="s">
        <v>824</v>
      </c>
      <c r="W491" s="8" t="s">
        <v>386</v>
      </c>
      <c r="X491" s="8" t="s">
        <v>240</v>
      </c>
      <c r="Y491" s="8" t="s">
        <v>240</v>
      </c>
      <c r="Z491" s="6" t="b">
        <v>0</v>
      </c>
      <c r="AA491" s="9"/>
      <c r="AB491" s="9"/>
    </row>
    <row r="492" spans="1:28" ht="16">
      <c r="A492" s="6">
        <v>548</v>
      </c>
      <c r="B492" s="8" t="s">
        <v>199</v>
      </c>
      <c r="C492" s="8" t="s">
        <v>111</v>
      </c>
      <c r="D492" s="8" t="s">
        <v>989</v>
      </c>
      <c r="E492" s="8" t="s">
        <v>989</v>
      </c>
      <c r="F492" s="6">
        <v>548</v>
      </c>
      <c r="G492" s="6" t="b">
        <v>0</v>
      </c>
      <c r="H492" s="8" t="s">
        <v>480</v>
      </c>
      <c r="I492" s="6" t="b">
        <v>0</v>
      </c>
      <c r="J492" s="6" t="b">
        <v>0</v>
      </c>
      <c r="K492" s="6" t="b">
        <v>0</v>
      </c>
      <c r="L492" s="6" t="b">
        <v>1</v>
      </c>
      <c r="M492" s="6" t="b">
        <v>0</v>
      </c>
      <c r="N492" s="6">
        <v>4</v>
      </c>
      <c r="O492" s="8" t="s">
        <v>331</v>
      </c>
      <c r="P492" s="8" t="s">
        <v>516</v>
      </c>
      <c r="Q492" s="8" t="s">
        <v>381</v>
      </c>
      <c r="R492" s="6">
        <v>4</v>
      </c>
      <c r="S492" s="8" t="s">
        <v>341</v>
      </c>
      <c r="T492" s="9"/>
      <c r="U492" s="8" t="s">
        <v>240</v>
      </c>
      <c r="V492" s="8" t="s">
        <v>482</v>
      </c>
      <c r="W492" s="8" t="s">
        <v>240</v>
      </c>
      <c r="X492" s="8" t="s">
        <v>240</v>
      </c>
      <c r="Y492" s="8" t="s">
        <v>990</v>
      </c>
      <c r="Z492" s="6" t="b">
        <v>0</v>
      </c>
      <c r="AA492" s="9"/>
      <c r="AB492" s="9"/>
    </row>
    <row r="493" spans="1:28" ht="32">
      <c r="A493" s="6">
        <v>549</v>
      </c>
      <c r="B493" s="8" t="s">
        <v>199</v>
      </c>
      <c r="C493" s="8" t="s">
        <v>111</v>
      </c>
      <c r="D493" s="8" t="s">
        <v>991</v>
      </c>
      <c r="E493" s="8" t="s">
        <v>989</v>
      </c>
      <c r="F493" s="6">
        <v>548</v>
      </c>
      <c r="G493" s="6" t="b">
        <v>0</v>
      </c>
      <c r="H493" s="8" t="s">
        <v>480</v>
      </c>
      <c r="I493" s="6" t="b">
        <v>0</v>
      </c>
      <c r="J493" s="6" t="b">
        <v>0</v>
      </c>
      <c r="K493" s="6" t="b">
        <v>0</v>
      </c>
      <c r="L493" s="6" t="b">
        <v>1</v>
      </c>
      <c r="M493" s="6" t="b">
        <v>0</v>
      </c>
      <c r="N493" s="6">
        <v>4</v>
      </c>
      <c r="O493" s="8" t="s">
        <v>331</v>
      </c>
      <c r="P493" s="8" t="s">
        <v>516</v>
      </c>
      <c r="Q493" s="8" t="s">
        <v>381</v>
      </c>
      <c r="R493" s="6">
        <v>4</v>
      </c>
      <c r="S493" s="8" t="s">
        <v>341</v>
      </c>
      <c r="T493" s="9"/>
      <c r="U493" s="8" t="s">
        <v>240</v>
      </c>
      <c r="V493" s="8" t="s">
        <v>482</v>
      </c>
      <c r="W493" s="8" t="s">
        <v>240</v>
      </c>
      <c r="X493" s="8" t="s">
        <v>240</v>
      </c>
      <c r="Y493" s="8" t="s">
        <v>992</v>
      </c>
      <c r="Z493" s="6" t="b">
        <v>0</v>
      </c>
      <c r="AA493" s="9"/>
      <c r="AB493" s="9"/>
    </row>
    <row r="494" spans="1:28" ht="16">
      <c r="A494" s="6">
        <v>550</v>
      </c>
      <c r="B494" s="8" t="s">
        <v>199</v>
      </c>
      <c r="C494" s="8" t="s">
        <v>111</v>
      </c>
      <c r="D494" s="8" t="s">
        <v>993</v>
      </c>
      <c r="E494" s="8" t="s">
        <v>989</v>
      </c>
      <c r="F494" s="6">
        <v>548</v>
      </c>
      <c r="G494" s="6" t="b">
        <v>0</v>
      </c>
      <c r="H494" s="8" t="s">
        <v>480</v>
      </c>
      <c r="I494" s="6" t="b">
        <v>0</v>
      </c>
      <c r="J494" s="6" t="b">
        <v>0</v>
      </c>
      <c r="K494" s="6" t="b">
        <v>0</v>
      </c>
      <c r="L494" s="6" t="b">
        <v>1</v>
      </c>
      <c r="M494" s="6" t="b">
        <v>0</v>
      </c>
      <c r="N494" s="6">
        <v>4</v>
      </c>
      <c r="O494" s="8" t="s">
        <v>331</v>
      </c>
      <c r="P494" s="8" t="s">
        <v>516</v>
      </c>
      <c r="Q494" s="8" t="s">
        <v>381</v>
      </c>
      <c r="R494" s="6">
        <v>4</v>
      </c>
      <c r="S494" s="8" t="s">
        <v>75</v>
      </c>
      <c r="T494" s="9"/>
      <c r="U494" s="8" t="s">
        <v>240</v>
      </c>
      <c r="V494" s="8" t="s">
        <v>240</v>
      </c>
      <c r="W494" s="8" t="s">
        <v>240</v>
      </c>
      <c r="X494" s="8" t="s">
        <v>240</v>
      </c>
      <c r="Y494" s="8" t="s">
        <v>240</v>
      </c>
      <c r="Z494" s="6" t="b">
        <v>0</v>
      </c>
      <c r="AA494" s="9"/>
      <c r="AB494" s="9"/>
    </row>
    <row r="495" spans="1:28" ht="32">
      <c r="A495" s="6">
        <v>551</v>
      </c>
      <c r="B495" s="8" t="s">
        <v>199</v>
      </c>
      <c r="C495" s="8" t="s">
        <v>111</v>
      </c>
      <c r="D495" s="8" t="s">
        <v>994</v>
      </c>
      <c r="E495" s="8" t="s">
        <v>989</v>
      </c>
      <c r="F495" s="6">
        <v>548</v>
      </c>
      <c r="G495" s="6" t="b">
        <v>0</v>
      </c>
      <c r="H495" s="8" t="s">
        <v>480</v>
      </c>
      <c r="I495" s="6" t="b">
        <v>0</v>
      </c>
      <c r="J495" s="6" t="b">
        <v>0</v>
      </c>
      <c r="K495" s="6" t="b">
        <v>0</v>
      </c>
      <c r="L495" s="6" t="b">
        <v>1</v>
      </c>
      <c r="M495" s="6" t="b">
        <v>0</v>
      </c>
      <c r="N495" s="6">
        <v>4</v>
      </c>
      <c r="O495" s="8" t="s">
        <v>331</v>
      </c>
      <c r="P495" s="8" t="s">
        <v>516</v>
      </c>
      <c r="Q495" s="8" t="s">
        <v>339</v>
      </c>
      <c r="R495" s="6">
        <v>4</v>
      </c>
      <c r="S495" s="8" t="s">
        <v>341</v>
      </c>
      <c r="T495" s="6">
        <v>7</v>
      </c>
      <c r="U495" s="8" t="s">
        <v>240</v>
      </c>
      <c r="V495" s="8" t="s">
        <v>482</v>
      </c>
      <c r="W495" s="8" t="s">
        <v>240</v>
      </c>
      <c r="X495" s="8" t="s">
        <v>240</v>
      </c>
      <c r="Y495" s="8" t="s">
        <v>240</v>
      </c>
      <c r="Z495" s="6" t="b">
        <v>0</v>
      </c>
      <c r="AA495" s="9"/>
      <c r="AB495" s="9"/>
    </row>
    <row r="496" spans="1:28" ht="32">
      <c r="A496" s="6">
        <v>553</v>
      </c>
      <c r="B496" s="8" t="s">
        <v>199</v>
      </c>
      <c r="C496" s="8" t="s">
        <v>111</v>
      </c>
      <c r="D496" s="8" t="s">
        <v>995</v>
      </c>
      <c r="E496" s="8" t="s">
        <v>989</v>
      </c>
      <c r="F496" s="6">
        <v>548</v>
      </c>
      <c r="G496" s="6" t="b">
        <v>0</v>
      </c>
      <c r="H496" s="8" t="s">
        <v>480</v>
      </c>
      <c r="I496" s="6" t="b">
        <v>0</v>
      </c>
      <c r="J496" s="6" t="b">
        <v>0</v>
      </c>
      <c r="K496" s="6" t="b">
        <v>0</v>
      </c>
      <c r="L496" s="6" t="b">
        <v>1</v>
      </c>
      <c r="M496" s="6" t="b">
        <v>0</v>
      </c>
      <c r="N496" s="6">
        <v>4</v>
      </c>
      <c r="O496" s="8" t="s">
        <v>331</v>
      </c>
      <c r="P496" s="8" t="s">
        <v>516</v>
      </c>
      <c r="Q496" s="8" t="s">
        <v>381</v>
      </c>
      <c r="R496" s="6">
        <v>4</v>
      </c>
      <c r="S496" s="8" t="s">
        <v>341</v>
      </c>
      <c r="T496" s="9"/>
      <c r="U496" s="8" t="s">
        <v>240</v>
      </c>
      <c r="V496" s="8" t="s">
        <v>482</v>
      </c>
      <c r="W496" s="8" t="s">
        <v>240</v>
      </c>
      <c r="X496" s="8" t="s">
        <v>240</v>
      </c>
      <c r="Y496" s="8" t="s">
        <v>240</v>
      </c>
      <c r="Z496" s="6" t="b">
        <v>0</v>
      </c>
      <c r="AA496" s="9"/>
      <c r="AB496" s="9"/>
    </row>
    <row r="497" spans="1:28" ht="16">
      <c r="A497" s="6">
        <v>554</v>
      </c>
      <c r="B497" s="8" t="s">
        <v>199</v>
      </c>
      <c r="C497" s="8" t="s">
        <v>111</v>
      </c>
      <c r="D497" s="8" t="s">
        <v>996</v>
      </c>
      <c r="E497" s="8" t="s">
        <v>989</v>
      </c>
      <c r="F497" s="6">
        <v>548</v>
      </c>
      <c r="G497" s="6" t="b">
        <v>0</v>
      </c>
      <c r="H497" s="8" t="s">
        <v>480</v>
      </c>
      <c r="I497" s="6" t="b">
        <v>0</v>
      </c>
      <c r="J497" s="6" t="b">
        <v>0</v>
      </c>
      <c r="K497" s="6" t="b">
        <v>0</v>
      </c>
      <c r="L497" s="6" t="b">
        <v>1</v>
      </c>
      <c r="M497" s="6" t="b">
        <v>0</v>
      </c>
      <c r="N497" s="6">
        <v>4</v>
      </c>
      <c r="O497" s="8" t="s">
        <v>331</v>
      </c>
      <c r="P497" s="8" t="s">
        <v>516</v>
      </c>
      <c r="Q497" s="8" t="s">
        <v>381</v>
      </c>
      <c r="R497" s="6">
        <v>2.9</v>
      </c>
      <c r="S497" s="8" t="s">
        <v>247</v>
      </c>
      <c r="T497" s="9"/>
      <c r="U497" s="8" t="s">
        <v>240</v>
      </c>
      <c r="V497" s="8" t="s">
        <v>482</v>
      </c>
      <c r="W497" s="8" t="s">
        <v>240</v>
      </c>
      <c r="X497" s="8" t="s">
        <v>240</v>
      </c>
      <c r="Y497" s="8" t="s">
        <v>240</v>
      </c>
      <c r="Z497" s="6" t="b">
        <v>0</v>
      </c>
      <c r="AA497" s="9"/>
      <c r="AB497" s="9"/>
    </row>
    <row r="498" spans="1:28" ht="32">
      <c r="A498" s="6">
        <v>558</v>
      </c>
      <c r="B498" s="8" t="s">
        <v>199</v>
      </c>
      <c r="C498" s="8" t="s">
        <v>111</v>
      </c>
      <c r="D498" s="8" t="s">
        <v>997</v>
      </c>
      <c r="E498" s="8" t="s">
        <v>998</v>
      </c>
      <c r="F498" s="6">
        <v>1653</v>
      </c>
      <c r="G498" s="6" t="b">
        <v>0</v>
      </c>
      <c r="H498" s="8" t="s">
        <v>480</v>
      </c>
      <c r="I498" s="6" t="b">
        <v>0</v>
      </c>
      <c r="J498" s="6" t="b">
        <v>0</v>
      </c>
      <c r="K498" s="6" t="b">
        <v>0</v>
      </c>
      <c r="L498" s="6" t="b">
        <v>1</v>
      </c>
      <c r="M498" s="6" t="b">
        <v>0</v>
      </c>
      <c r="N498" s="6">
        <v>7</v>
      </c>
      <c r="O498" s="8" t="s">
        <v>331</v>
      </c>
      <c r="P498" s="8" t="s">
        <v>516</v>
      </c>
      <c r="Q498" s="8" t="s">
        <v>481</v>
      </c>
      <c r="R498" s="6">
        <v>5</v>
      </c>
      <c r="S498" s="8" t="s">
        <v>347</v>
      </c>
      <c r="T498" s="6">
        <v>7</v>
      </c>
      <c r="U498" s="8" t="s">
        <v>240</v>
      </c>
      <c r="V498" s="8" t="s">
        <v>482</v>
      </c>
      <c r="W498" s="8" t="s">
        <v>483</v>
      </c>
      <c r="X498" s="8" t="s">
        <v>240</v>
      </c>
      <c r="Y498" s="8" t="s">
        <v>240</v>
      </c>
      <c r="Z498" s="6" t="b">
        <v>0</v>
      </c>
      <c r="AA498" s="9"/>
      <c r="AB498" s="9"/>
    </row>
    <row r="499" spans="1:28" ht="16">
      <c r="A499" s="6">
        <v>574</v>
      </c>
      <c r="B499" s="8" t="s">
        <v>199</v>
      </c>
      <c r="C499" s="8" t="s">
        <v>151</v>
      </c>
      <c r="D499" s="8" t="s">
        <v>999</v>
      </c>
      <c r="E499" s="8" t="s">
        <v>999</v>
      </c>
      <c r="F499" s="6">
        <v>574</v>
      </c>
      <c r="G499" s="6" t="b">
        <v>0</v>
      </c>
      <c r="H499" s="8" t="s">
        <v>480</v>
      </c>
      <c r="I499" s="6" t="b">
        <v>0</v>
      </c>
      <c r="J499" s="6" t="b">
        <v>0</v>
      </c>
      <c r="K499" s="6" t="b">
        <v>0</v>
      </c>
      <c r="L499" s="6" t="b">
        <v>1</v>
      </c>
      <c r="M499" s="6" t="b">
        <v>0</v>
      </c>
      <c r="N499" s="6">
        <v>1</v>
      </c>
      <c r="O499" s="8" t="s">
        <v>331</v>
      </c>
      <c r="P499" s="8" t="s">
        <v>822</v>
      </c>
      <c r="Q499" s="8" t="s">
        <v>876</v>
      </c>
      <c r="R499" s="6">
        <v>2</v>
      </c>
      <c r="S499" s="8" t="s">
        <v>523</v>
      </c>
      <c r="T499" s="9"/>
      <c r="U499" s="8" t="s">
        <v>240</v>
      </c>
      <c r="V499" s="8" t="s">
        <v>240</v>
      </c>
      <c r="W499" s="8" t="s">
        <v>240</v>
      </c>
      <c r="X499" s="8" t="s">
        <v>240</v>
      </c>
      <c r="Y499" s="8" t="s">
        <v>240</v>
      </c>
      <c r="Z499" s="6" t="b">
        <v>0</v>
      </c>
      <c r="AA499" s="9"/>
      <c r="AB499" s="9"/>
    </row>
    <row r="500" spans="1:28" ht="16">
      <c r="A500" s="6">
        <v>575</v>
      </c>
      <c r="B500" s="8" t="s">
        <v>199</v>
      </c>
      <c r="C500" s="8" t="s">
        <v>151</v>
      </c>
      <c r="D500" s="8" t="s">
        <v>1000</v>
      </c>
      <c r="E500" s="8" t="s">
        <v>999</v>
      </c>
      <c r="F500" s="6">
        <v>574</v>
      </c>
      <c r="G500" s="6" t="b">
        <v>0</v>
      </c>
      <c r="H500" s="8" t="s">
        <v>480</v>
      </c>
      <c r="I500" s="6" t="b">
        <v>0</v>
      </c>
      <c r="J500" s="6" t="b">
        <v>0</v>
      </c>
      <c r="K500" s="6" t="b">
        <v>0</v>
      </c>
      <c r="L500" s="6" t="b">
        <v>1</v>
      </c>
      <c r="M500" s="6" t="b">
        <v>0</v>
      </c>
      <c r="N500" s="6">
        <v>1</v>
      </c>
      <c r="O500" s="8" t="s">
        <v>331</v>
      </c>
      <c r="P500" s="8" t="s">
        <v>350</v>
      </c>
      <c r="Q500" s="8" t="s">
        <v>335</v>
      </c>
      <c r="R500" s="6">
        <v>4</v>
      </c>
      <c r="S500" s="8" t="s">
        <v>347</v>
      </c>
      <c r="T500" s="9"/>
      <c r="U500" s="8" t="s">
        <v>878</v>
      </c>
      <c r="V500" s="8" t="s">
        <v>482</v>
      </c>
      <c r="W500" s="8" t="s">
        <v>240</v>
      </c>
      <c r="X500" s="8" t="s">
        <v>240</v>
      </c>
      <c r="Y500" s="8" t="s">
        <v>1001</v>
      </c>
      <c r="Z500" s="6" t="b">
        <v>0</v>
      </c>
      <c r="AA500" s="9"/>
      <c r="AB500" s="9"/>
    </row>
    <row r="501" spans="1:28" ht="16">
      <c r="A501" s="6">
        <v>576</v>
      </c>
      <c r="B501" s="8" t="s">
        <v>199</v>
      </c>
      <c r="C501" s="8" t="s">
        <v>151</v>
      </c>
      <c r="D501" s="8" t="s">
        <v>1002</v>
      </c>
      <c r="E501" s="8" t="s">
        <v>999</v>
      </c>
      <c r="F501" s="6">
        <v>574</v>
      </c>
      <c r="G501" s="6" t="b">
        <v>0</v>
      </c>
      <c r="H501" s="8" t="s">
        <v>480</v>
      </c>
      <c r="I501" s="6" t="b">
        <v>0</v>
      </c>
      <c r="J501" s="6" t="b">
        <v>0</v>
      </c>
      <c r="K501" s="6" t="b">
        <v>0</v>
      </c>
      <c r="L501" s="6" t="b">
        <v>1</v>
      </c>
      <c r="M501" s="6" t="b">
        <v>0</v>
      </c>
      <c r="N501" s="6">
        <v>1</v>
      </c>
      <c r="O501" s="8" t="s">
        <v>331</v>
      </c>
      <c r="P501" s="8" t="s">
        <v>350</v>
      </c>
      <c r="Q501" s="8" t="s">
        <v>239</v>
      </c>
      <c r="R501" s="6">
        <v>2</v>
      </c>
      <c r="S501" s="8" t="s">
        <v>880</v>
      </c>
      <c r="T501" s="6">
        <v>2</v>
      </c>
      <c r="U501" s="8" t="s">
        <v>881</v>
      </c>
      <c r="V501" s="8" t="s">
        <v>482</v>
      </c>
      <c r="W501" s="8" t="s">
        <v>240</v>
      </c>
      <c r="X501" s="8" t="s">
        <v>240</v>
      </c>
      <c r="Y501" s="8" t="s">
        <v>240</v>
      </c>
      <c r="Z501" s="6" t="b">
        <v>0</v>
      </c>
      <c r="AA501" s="9"/>
      <c r="AB501" s="9"/>
    </row>
    <row r="502" spans="1:28" ht="16">
      <c r="A502" s="6">
        <v>577</v>
      </c>
      <c r="B502" s="8" t="s">
        <v>199</v>
      </c>
      <c r="C502" s="8" t="s">
        <v>925</v>
      </c>
      <c r="D502" s="8" t="s">
        <v>1003</v>
      </c>
      <c r="E502" s="8" t="s">
        <v>1003</v>
      </c>
      <c r="F502" s="6">
        <v>577</v>
      </c>
      <c r="G502" s="6" t="b">
        <v>0</v>
      </c>
      <c r="H502" s="8" t="s">
        <v>480</v>
      </c>
      <c r="I502" s="6" t="b">
        <v>0</v>
      </c>
      <c r="J502" s="6" t="b">
        <v>0</v>
      </c>
      <c r="K502" s="6" t="b">
        <v>0</v>
      </c>
      <c r="L502" s="6" t="b">
        <v>1</v>
      </c>
      <c r="M502" s="6" t="b">
        <v>0</v>
      </c>
      <c r="N502" s="6">
        <v>2</v>
      </c>
      <c r="O502" s="8" t="s">
        <v>331</v>
      </c>
      <c r="P502" s="8" t="s">
        <v>350</v>
      </c>
      <c r="Q502" s="8" t="s">
        <v>446</v>
      </c>
      <c r="R502" s="6">
        <v>4</v>
      </c>
      <c r="S502" s="8" t="s">
        <v>341</v>
      </c>
      <c r="T502" s="9"/>
      <c r="U502" s="8" t="s">
        <v>240</v>
      </c>
      <c r="V502" s="8" t="s">
        <v>496</v>
      </c>
      <c r="W502" s="8" t="s">
        <v>240</v>
      </c>
      <c r="X502" s="8" t="s">
        <v>240</v>
      </c>
      <c r="Y502" s="8" t="s">
        <v>240</v>
      </c>
      <c r="Z502" s="6" t="b">
        <v>0</v>
      </c>
      <c r="AA502" s="9"/>
      <c r="AB502" s="9"/>
    </row>
    <row r="503" spans="1:28" ht="16">
      <c r="A503" s="6">
        <v>578</v>
      </c>
      <c r="B503" s="8" t="s">
        <v>199</v>
      </c>
      <c r="C503" s="8" t="s">
        <v>1004</v>
      </c>
      <c r="D503" s="8" t="s">
        <v>1004</v>
      </c>
      <c r="E503" s="8" t="s">
        <v>1004</v>
      </c>
      <c r="F503" s="6">
        <v>578</v>
      </c>
      <c r="G503" s="6" t="b">
        <v>0</v>
      </c>
      <c r="H503" s="8" t="s">
        <v>480</v>
      </c>
      <c r="I503" s="6" t="b">
        <v>0</v>
      </c>
      <c r="J503" s="6" t="b">
        <v>0</v>
      </c>
      <c r="K503" s="6" t="b">
        <v>0</v>
      </c>
      <c r="L503" s="6" t="b">
        <v>1</v>
      </c>
      <c r="M503" s="6" t="b">
        <v>0</v>
      </c>
      <c r="N503" s="6">
        <v>4</v>
      </c>
      <c r="O503" s="8" t="s">
        <v>331</v>
      </c>
      <c r="P503" s="8" t="s">
        <v>350</v>
      </c>
      <c r="Q503" s="8" t="s">
        <v>446</v>
      </c>
      <c r="R503" s="6">
        <v>4</v>
      </c>
      <c r="S503" s="8" t="s">
        <v>331</v>
      </c>
      <c r="T503" s="9"/>
      <c r="U503" s="8" t="s">
        <v>240</v>
      </c>
      <c r="V503" s="8" t="s">
        <v>524</v>
      </c>
      <c r="W503" s="8" t="s">
        <v>240</v>
      </c>
      <c r="X503" s="8" t="s">
        <v>240</v>
      </c>
      <c r="Y503" s="8" t="s">
        <v>240</v>
      </c>
      <c r="Z503" s="6" t="b">
        <v>0</v>
      </c>
      <c r="AA503" s="9"/>
      <c r="AB503" s="9"/>
    </row>
    <row r="504" spans="1:28" ht="32">
      <c r="A504" s="6">
        <v>579</v>
      </c>
      <c r="B504" s="8" t="s">
        <v>199</v>
      </c>
      <c r="C504" s="8" t="s">
        <v>1005</v>
      </c>
      <c r="D504" s="8" t="s">
        <v>1006</v>
      </c>
      <c r="E504" s="8" t="s">
        <v>1006</v>
      </c>
      <c r="F504" s="6">
        <v>579</v>
      </c>
      <c r="G504" s="6" t="b">
        <v>0</v>
      </c>
      <c r="H504" s="8" t="s">
        <v>480</v>
      </c>
      <c r="I504" s="6" t="b">
        <v>0</v>
      </c>
      <c r="J504" s="6" t="b">
        <v>0</v>
      </c>
      <c r="K504" s="6" t="b">
        <v>0</v>
      </c>
      <c r="L504" s="6" t="b">
        <v>1</v>
      </c>
      <c r="M504" s="6" t="b">
        <v>0</v>
      </c>
      <c r="N504" s="6">
        <v>4</v>
      </c>
      <c r="O504" s="8" t="s">
        <v>331</v>
      </c>
      <c r="P504" s="8" t="s">
        <v>350</v>
      </c>
      <c r="Q504" s="8" t="s">
        <v>811</v>
      </c>
      <c r="R504" s="6">
        <v>4</v>
      </c>
      <c r="S504" s="8" t="s">
        <v>347</v>
      </c>
      <c r="T504" s="6">
        <v>4</v>
      </c>
      <c r="U504" s="8" t="s">
        <v>240</v>
      </c>
      <c r="V504" s="8" t="s">
        <v>510</v>
      </c>
      <c r="W504" s="8" t="s">
        <v>240</v>
      </c>
      <c r="X504" s="8" t="s">
        <v>240</v>
      </c>
      <c r="Y504" s="8" t="s">
        <v>1007</v>
      </c>
      <c r="Z504" s="6" t="b">
        <v>0</v>
      </c>
      <c r="AA504" s="9"/>
      <c r="AB504" s="9"/>
    </row>
    <row r="505" spans="1:28" ht="32">
      <c r="A505" s="6">
        <v>580</v>
      </c>
      <c r="B505" s="8" t="s">
        <v>199</v>
      </c>
      <c r="C505" s="8" t="s">
        <v>1005</v>
      </c>
      <c r="D505" s="8" t="s">
        <v>1008</v>
      </c>
      <c r="E505" s="8" t="s">
        <v>1006</v>
      </c>
      <c r="F505" s="6">
        <v>579</v>
      </c>
      <c r="G505" s="6" t="b">
        <v>0</v>
      </c>
      <c r="H505" s="8" t="s">
        <v>480</v>
      </c>
      <c r="I505" s="6" t="b">
        <v>0</v>
      </c>
      <c r="J505" s="6" t="b">
        <v>0</v>
      </c>
      <c r="K505" s="6" t="b">
        <v>0</v>
      </c>
      <c r="L505" s="6" t="b">
        <v>1</v>
      </c>
      <c r="M505" s="6" t="b">
        <v>0</v>
      </c>
      <c r="N505" s="6">
        <v>4</v>
      </c>
      <c r="O505" s="8" t="s">
        <v>331</v>
      </c>
      <c r="P505" s="8" t="s">
        <v>350</v>
      </c>
      <c r="Q505" s="8" t="s">
        <v>811</v>
      </c>
      <c r="R505" s="6">
        <v>4</v>
      </c>
      <c r="S505" s="8" t="s">
        <v>75</v>
      </c>
      <c r="T505" s="9"/>
      <c r="U505" s="8" t="s">
        <v>240</v>
      </c>
      <c r="V505" s="8" t="s">
        <v>240</v>
      </c>
      <c r="W505" s="8" t="s">
        <v>240</v>
      </c>
      <c r="X505" s="8" t="s">
        <v>240</v>
      </c>
      <c r="Y505" s="8" t="s">
        <v>1009</v>
      </c>
      <c r="Z505" s="6" t="b">
        <v>0</v>
      </c>
      <c r="AA505" s="9"/>
      <c r="AB505" s="9"/>
    </row>
    <row r="506" spans="1:28" ht="32">
      <c r="A506" s="6">
        <v>582</v>
      </c>
      <c r="B506" s="8" t="s">
        <v>195</v>
      </c>
      <c r="C506" s="8" t="s">
        <v>162</v>
      </c>
      <c r="D506" s="8" t="s">
        <v>1010</v>
      </c>
      <c r="E506" s="8" t="s">
        <v>1011</v>
      </c>
      <c r="F506" s="6">
        <v>1105</v>
      </c>
      <c r="G506" s="6" t="b">
        <v>0</v>
      </c>
      <c r="H506" s="8" t="s">
        <v>240</v>
      </c>
      <c r="I506" s="6" t="b">
        <v>0</v>
      </c>
      <c r="J506" s="6" t="b">
        <v>0</v>
      </c>
      <c r="K506" s="6" t="b">
        <v>0</v>
      </c>
      <c r="L506" s="6" t="b">
        <v>1</v>
      </c>
      <c r="M506" s="6" t="b">
        <v>0</v>
      </c>
      <c r="N506" s="6">
        <v>3</v>
      </c>
      <c r="O506" s="8" t="s">
        <v>331</v>
      </c>
      <c r="P506" s="8" t="s">
        <v>238</v>
      </c>
      <c r="Q506" s="8" t="s">
        <v>446</v>
      </c>
      <c r="R506" s="6">
        <v>5</v>
      </c>
      <c r="S506" s="8" t="s">
        <v>347</v>
      </c>
      <c r="T506" s="9"/>
      <c r="U506" s="8" t="s">
        <v>240</v>
      </c>
      <c r="V506" s="8" t="s">
        <v>1012</v>
      </c>
      <c r="W506" s="8" t="s">
        <v>240</v>
      </c>
      <c r="X506" s="8" t="s">
        <v>1013</v>
      </c>
      <c r="Y506" s="8" t="s">
        <v>240</v>
      </c>
      <c r="Z506" s="6" t="b">
        <v>0</v>
      </c>
      <c r="AA506" s="9"/>
      <c r="AB506" s="9"/>
    </row>
    <row r="507" spans="1:28" ht="16">
      <c r="A507" s="6">
        <v>583</v>
      </c>
      <c r="B507" s="8" t="s">
        <v>195</v>
      </c>
      <c r="C507" s="8" t="s">
        <v>162</v>
      </c>
      <c r="D507" s="8" t="s">
        <v>162</v>
      </c>
      <c r="E507" s="8" t="s">
        <v>162</v>
      </c>
      <c r="F507" s="6">
        <v>583</v>
      </c>
      <c r="G507" s="6" t="b">
        <v>0</v>
      </c>
      <c r="H507" s="8" t="s">
        <v>240</v>
      </c>
      <c r="I507" s="6" t="b">
        <v>0</v>
      </c>
      <c r="J507" s="6" t="b">
        <v>0</v>
      </c>
      <c r="K507" s="6" t="b">
        <v>0</v>
      </c>
      <c r="L507" s="6" t="b">
        <v>1</v>
      </c>
      <c r="M507" s="6" t="b">
        <v>0</v>
      </c>
      <c r="N507" s="6">
        <v>3</v>
      </c>
      <c r="O507" s="8" t="s">
        <v>331</v>
      </c>
      <c r="P507" s="8" t="s">
        <v>238</v>
      </c>
      <c r="Q507" s="8" t="s">
        <v>446</v>
      </c>
      <c r="R507" s="6">
        <v>3</v>
      </c>
      <c r="S507" s="8" t="s">
        <v>331</v>
      </c>
      <c r="T507" s="6">
        <v>5</v>
      </c>
      <c r="U507" s="8" t="s">
        <v>240</v>
      </c>
      <c r="V507" s="8" t="s">
        <v>1012</v>
      </c>
      <c r="W507" s="8" t="s">
        <v>240</v>
      </c>
      <c r="X507" s="8" t="s">
        <v>1014</v>
      </c>
      <c r="Y507" s="8" t="s">
        <v>240</v>
      </c>
      <c r="Z507" s="6" t="b">
        <v>0</v>
      </c>
      <c r="AA507" s="9"/>
      <c r="AB507" s="9"/>
    </row>
    <row r="508" spans="1:28" ht="32">
      <c r="A508" s="6">
        <v>584</v>
      </c>
      <c r="B508" s="8" t="s">
        <v>195</v>
      </c>
      <c r="C508" s="8" t="s">
        <v>112</v>
      </c>
      <c r="D508" s="8" t="s">
        <v>1015</v>
      </c>
      <c r="E508" s="8" t="s">
        <v>1015</v>
      </c>
      <c r="F508" s="6">
        <v>584</v>
      </c>
      <c r="G508" s="6" t="b">
        <v>0</v>
      </c>
      <c r="H508" s="8" t="s">
        <v>240</v>
      </c>
      <c r="I508" s="6" t="b">
        <v>0</v>
      </c>
      <c r="J508" s="6" t="b">
        <v>0</v>
      </c>
      <c r="K508" s="6" t="b">
        <v>0</v>
      </c>
      <c r="L508" s="6" t="b">
        <v>1</v>
      </c>
      <c r="M508" s="6" t="b">
        <v>0</v>
      </c>
      <c r="N508" s="6">
        <v>5</v>
      </c>
      <c r="O508" s="8" t="s">
        <v>331</v>
      </c>
      <c r="P508" s="8" t="s">
        <v>238</v>
      </c>
      <c r="Q508" s="8" t="s">
        <v>446</v>
      </c>
      <c r="R508" s="6">
        <v>6</v>
      </c>
      <c r="S508" s="8" t="s">
        <v>372</v>
      </c>
      <c r="T508" s="6">
        <v>6</v>
      </c>
      <c r="U508" s="8" t="s">
        <v>1016</v>
      </c>
      <c r="V508" s="8" t="s">
        <v>1012</v>
      </c>
      <c r="W508" s="8" t="s">
        <v>240</v>
      </c>
      <c r="X508" s="8" t="s">
        <v>1017</v>
      </c>
      <c r="Y508" s="8" t="s">
        <v>240</v>
      </c>
      <c r="Z508" s="6" t="b">
        <v>0</v>
      </c>
      <c r="AA508" s="9"/>
      <c r="AB508" s="9"/>
    </row>
    <row r="509" spans="1:28" ht="16">
      <c r="A509" s="6">
        <v>585</v>
      </c>
      <c r="B509" s="8" t="s">
        <v>195</v>
      </c>
      <c r="C509" s="8" t="s">
        <v>97</v>
      </c>
      <c r="D509" s="8" t="s">
        <v>1018</v>
      </c>
      <c r="E509" s="8" t="s">
        <v>1018</v>
      </c>
      <c r="F509" s="6">
        <v>585</v>
      </c>
      <c r="G509" s="6" t="b">
        <v>0</v>
      </c>
      <c r="H509" s="8" t="s">
        <v>240</v>
      </c>
      <c r="I509" s="6" t="b">
        <v>0</v>
      </c>
      <c r="J509" s="6" t="b">
        <v>0</v>
      </c>
      <c r="K509" s="6" t="b">
        <v>0</v>
      </c>
      <c r="L509" s="6" t="b">
        <v>1</v>
      </c>
      <c r="M509" s="6" t="b">
        <v>0</v>
      </c>
      <c r="N509" s="6">
        <v>9</v>
      </c>
      <c r="O509" s="8" t="s">
        <v>347</v>
      </c>
      <c r="P509" s="8" t="s">
        <v>238</v>
      </c>
      <c r="Q509" s="8" t="s">
        <v>446</v>
      </c>
      <c r="R509" s="6">
        <v>5</v>
      </c>
      <c r="S509" s="8" t="s">
        <v>341</v>
      </c>
      <c r="T509" s="9"/>
      <c r="U509" s="8" t="s">
        <v>240</v>
      </c>
      <c r="V509" s="8" t="s">
        <v>1012</v>
      </c>
      <c r="W509" s="8" t="s">
        <v>240</v>
      </c>
      <c r="X509" s="8" t="s">
        <v>1019</v>
      </c>
      <c r="Y509" s="8" t="s">
        <v>240</v>
      </c>
      <c r="Z509" s="6" t="b">
        <v>0</v>
      </c>
      <c r="AA509" s="9"/>
      <c r="AB509" s="9"/>
    </row>
    <row r="510" spans="1:28" ht="16">
      <c r="A510" s="6">
        <v>586</v>
      </c>
      <c r="B510" s="8" t="s">
        <v>195</v>
      </c>
      <c r="C510" s="8" t="s">
        <v>162</v>
      </c>
      <c r="D510" s="8" t="s">
        <v>1020</v>
      </c>
      <c r="E510" s="8" t="s">
        <v>1020</v>
      </c>
      <c r="F510" s="6">
        <v>586</v>
      </c>
      <c r="G510" s="6" t="b">
        <v>0</v>
      </c>
      <c r="H510" s="8" t="s">
        <v>240</v>
      </c>
      <c r="I510" s="6" t="b">
        <v>0</v>
      </c>
      <c r="J510" s="6" t="b">
        <v>0</v>
      </c>
      <c r="K510" s="6" t="b">
        <v>0</v>
      </c>
      <c r="L510" s="6" t="b">
        <v>1</v>
      </c>
      <c r="M510" s="6" t="b">
        <v>0</v>
      </c>
      <c r="N510" s="6">
        <v>3</v>
      </c>
      <c r="O510" s="8" t="s">
        <v>331</v>
      </c>
      <c r="P510" s="8" t="s">
        <v>238</v>
      </c>
      <c r="Q510" s="8" t="s">
        <v>446</v>
      </c>
      <c r="R510" s="6">
        <v>5</v>
      </c>
      <c r="S510" s="8" t="s">
        <v>341</v>
      </c>
      <c r="T510" s="9"/>
      <c r="U510" s="8" t="s">
        <v>240</v>
      </c>
      <c r="V510" s="8" t="s">
        <v>1012</v>
      </c>
      <c r="W510" s="8" t="s">
        <v>240</v>
      </c>
      <c r="X510" s="8" t="s">
        <v>1014</v>
      </c>
      <c r="Y510" s="8" t="s">
        <v>240</v>
      </c>
      <c r="Z510" s="6" t="b">
        <v>0</v>
      </c>
      <c r="AA510" s="9"/>
      <c r="AB510" s="9"/>
    </row>
    <row r="511" spans="1:28" ht="32">
      <c r="A511" s="6">
        <v>587</v>
      </c>
      <c r="B511" s="8" t="s">
        <v>195</v>
      </c>
      <c r="C511" s="8" t="s">
        <v>162</v>
      </c>
      <c r="D511" s="8" t="s">
        <v>1021</v>
      </c>
      <c r="E511" s="8" t="s">
        <v>1020</v>
      </c>
      <c r="F511" s="6">
        <v>586</v>
      </c>
      <c r="G511" s="6" t="b">
        <v>0</v>
      </c>
      <c r="H511" s="8" t="s">
        <v>240</v>
      </c>
      <c r="I511" s="6" t="b">
        <v>0</v>
      </c>
      <c r="J511" s="6" t="b">
        <v>0</v>
      </c>
      <c r="K511" s="6" t="b">
        <v>0</v>
      </c>
      <c r="L511" s="6" t="b">
        <v>1</v>
      </c>
      <c r="M511" s="6" t="b">
        <v>0</v>
      </c>
      <c r="N511" s="6">
        <v>3</v>
      </c>
      <c r="O511" s="8" t="s">
        <v>331</v>
      </c>
      <c r="P511" s="8" t="s">
        <v>238</v>
      </c>
      <c r="Q511" s="8" t="s">
        <v>446</v>
      </c>
      <c r="R511" s="6">
        <v>3</v>
      </c>
      <c r="S511" s="8" t="s">
        <v>75</v>
      </c>
      <c r="T511" s="9"/>
      <c r="U511" s="8" t="s">
        <v>240</v>
      </c>
      <c r="V511" s="8" t="s">
        <v>240</v>
      </c>
      <c r="W511" s="8" t="s">
        <v>240</v>
      </c>
      <c r="X511" s="8" t="s">
        <v>1022</v>
      </c>
      <c r="Y511" s="8" t="s">
        <v>240</v>
      </c>
      <c r="Z511" s="6" t="b">
        <v>0</v>
      </c>
      <c r="AA511" s="9"/>
      <c r="AB511" s="9"/>
    </row>
    <row r="512" spans="1:28" ht="16">
      <c r="A512" s="6">
        <v>588</v>
      </c>
      <c r="B512" s="8" t="s">
        <v>195</v>
      </c>
      <c r="C512" s="8" t="s">
        <v>97</v>
      </c>
      <c r="D512" s="8" t="s">
        <v>1023</v>
      </c>
      <c r="E512" s="8" t="s">
        <v>1023</v>
      </c>
      <c r="F512" s="6">
        <v>588</v>
      </c>
      <c r="G512" s="6" t="b">
        <v>0</v>
      </c>
      <c r="H512" s="8" t="s">
        <v>240</v>
      </c>
      <c r="I512" s="6" t="b">
        <v>0</v>
      </c>
      <c r="J512" s="6" t="b">
        <v>0</v>
      </c>
      <c r="K512" s="6" t="b">
        <v>0</v>
      </c>
      <c r="L512" s="6" t="b">
        <v>1</v>
      </c>
      <c r="M512" s="6" t="b">
        <v>0</v>
      </c>
      <c r="N512" s="6">
        <v>9</v>
      </c>
      <c r="O512" s="8" t="s">
        <v>347</v>
      </c>
      <c r="P512" s="8" t="s">
        <v>238</v>
      </c>
      <c r="Q512" s="8" t="s">
        <v>446</v>
      </c>
      <c r="R512" s="6">
        <v>9</v>
      </c>
      <c r="S512" s="8" t="s">
        <v>75</v>
      </c>
      <c r="T512" s="9"/>
      <c r="U512" s="8" t="s">
        <v>240</v>
      </c>
      <c r="V512" s="8" t="s">
        <v>1012</v>
      </c>
      <c r="W512" s="8" t="s">
        <v>240</v>
      </c>
      <c r="X512" s="8" t="s">
        <v>1019</v>
      </c>
      <c r="Y512" s="8" t="s">
        <v>240</v>
      </c>
      <c r="Z512" s="6" t="b">
        <v>0</v>
      </c>
      <c r="AA512" s="9"/>
      <c r="AB512" s="9"/>
    </row>
    <row r="513" spans="1:28" ht="48">
      <c r="A513" s="6">
        <v>589</v>
      </c>
      <c r="B513" s="8" t="s">
        <v>195</v>
      </c>
      <c r="C513" s="8" t="s">
        <v>97</v>
      </c>
      <c r="D513" s="8" t="s">
        <v>1024</v>
      </c>
      <c r="E513" s="8" t="s">
        <v>1024</v>
      </c>
      <c r="F513" s="6">
        <v>589</v>
      </c>
      <c r="G513" s="6" t="b">
        <v>0</v>
      </c>
      <c r="H513" s="8" t="s">
        <v>240</v>
      </c>
      <c r="I513" s="6" t="b">
        <v>0</v>
      </c>
      <c r="J513" s="6" t="b">
        <v>0</v>
      </c>
      <c r="K513" s="6" t="b">
        <v>0</v>
      </c>
      <c r="L513" s="6" t="b">
        <v>1</v>
      </c>
      <c r="M513" s="6" t="b">
        <v>0</v>
      </c>
      <c r="N513" s="6">
        <v>9</v>
      </c>
      <c r="O513" s="8" t="s">
        <v>347</v>
      </c>
      <c r="P513" s="8" t="s">
        <v>238</v>
      </c>
      <c r="Q513" s="8" t="s">
        <v>446</v>
      </c>
      <c r="R513" s="6">
        <v>6</v>
      </c>
      <c r="S513" s="8" t="s">
        <v>335</v>
      </c>
      <c r="T513" s="6">
        <v>6</v>
      </c>
      <c r="U513" s="8" t="s">
        <v>240</v>
      </c>
      <c r="V513" s="8" t="s">
        <v>482</v>
      </c>
      <c r="W513" s="8" t="s">
        <v>240</v>
      </c>
      <c r="X513" s="8" t="s">
        <v>1025</v>
      </c>
      <c r="Y513" s="8" t="s">
        <v>1026</v>
      </c>
      <c r="Z513" s="6" t="b">
        <v>0</v>
      </c>
      <c r="AA513" s="9"/>
      <c r="AB513" s="9"/>
    </row>
    <row r="514" spans="1:28" ht="32">
      <c r="A514" s="6">
        <v>590</v>
      </c>
      <c r="B514" s="8" t="s">
        <v>195</v>
      </c>
      <c r="C514" s="8" t="s">
        <v>97</v>
      </c>
      <c r="D514" s="8" t="s">
        <v>1027</v>
      </c>
      <c r="E514" s="8" t="s">
        <v>1024</v>
      </c>
      <c r="F514" s="6">
        <v>589</v>
      </c>
      <c r="G514" s="6" t="b">
        <v>0</v>
      </c>
      <c r="H514" s="8" t="s">
        <v>240</v>
      </c>
      <c r="I514" s="6" t="b">
        <v>0</v>
      </c>
      <c r="J514" s="6" t="b">
        <v>0</v>
      </c>
      <c r="K514" s="6" t="b">
        <v>0</v>
      </c>
      <c r="L514" s="6" t="b">
        <v>1</v>
      </c>
      <c r="M514" s="6" t="b">
        <v>0</v>
      </c>
      <c r="N514" s="6">
        <v>9</v>
      </c>
      <c r="O514" s="8" t="s">
        <v>347</v>
      </c>
      <c r="P514" s="8" t="s">
        <v>238</v>
      </c>
      <c r="Q514" s="8" t="s">
        <v>446</v>
      </c>
      <c r="R514" s="6">
        <v>8</v>
      </c>
      <c r="S514" s="8" t="s">
        <v>347</v>
      </c>
      <c r="T514" s="9"/>
      <c r="U514" s="8" t="s">
        <v>240</v>
      </c>
      <c r="V514" s="8" t="s">
        <v>482</v>
      </c>
      <c r="W514" s="8" t="s">
        <v>240</v>
      </c>
      <c r="X514" s="8" t="s">
        <v>1028</v>
      </c>
      <c r="Y514" s="8" t="s">
        <v>240</v>
      </c>
      <c r="Z514" s="6" t="b">
        <v>0</v>
      </c>
      <c r="AA514" s="9"/>
      <c r="AB514" s="9"/>
    </row>
    <row r="515" spans="1:28" ht="32">
      <c r="A515" s="6">
        <v>591</v>
      </c>
      <c r="B515" s="8" t="s">
        <v>195</v>
      </c>
      <c r="C515" s="8" t="s">
        <v>97</v>
      </c>
      <c r="D515" s="8" t="s">
        <v>1029</v>
      </c>
      <c r="E515" s="8" t="s">
        <v>1024</v>
      </c>
      <c r="F515" s="6">
        <v>589</v>
      </c>
      <c r="G515" s="6" t="b">
        <v>0</v>
      </c>
      <c r="H515" s="8" t="s">
        <v>240</v>
      </c>
      <c r="I515" s="6" t="b">
        <v>0</v>
      </c>
      <c r="J515" s="6" t="b">
        <v>0</v>
      </c>
      <c r="K515" s="6" t="b">
        <v>0</v>
      </c>
      <c r="L515" s="6" t="b">
        <v>1</v>
      </c>
      <c r="M515" s="6" t="b">
        <v>0</v>
      </c>
      <c r="N515" s="6">
        <v>9</v>
      </c>
      <c r="O515" s="8" t="s">
        <v>347</v>
      </c>
      <c r="P515" s="8" t="s">
        <v>238</v>
      </c>
      <c r="Q515" s="8" t="s">
        <v>446</v>
      </c>
      <c r="R515" s="6">
        <v>6</v>
      </c>
      <c r="S515" s="8" t="s">
        <v>335</v>
      </c>
      <c r="T515" s="9"/>
      <c r="U515" s="8" t="s">
        <v>240</v>
      </c>
      <c r="V515" s="8" t="s">
        <v>482</v>
      </c>
      <c r="W515" s="8" t="s">
        <v>240</v>
      </c>
      <c r="X515" s="8" t="s">
        <v>1030</v>
      </c>
      <c r="Y515" s="8" t="s">
        <v>240</v>
      </c>
      <c r="Z515" s="6" t="b">
        <v>0</v>
      </c>
      <c r="AA515" s="9"/>
      <c r="AB515" s="9"/>
    </row>
    <row r="516" spans="1:28" ht="32">
      <c r="A516" s="6">
        <v>592</v>
      </c>
      <c r="B516" s="8" t="s">
        <v>195</v>
      </c>
      <c r="C516" s="8" t="s">
        <v>97</v>
      </c>
      <c r="D516" s="8" t="s">
        <v>1031</v>
      </c>
      <c r="E516" s="8" t="s">
        <v>1024</v>
      </c>
      <c r="F516" s="6">
        <v>589</v>
      </c>
      <c r="G516" s="6" t="b">
        <v>0</v>
      </c>
      <c r="H516" s="8" t="s">
        <v>240</v>
      </c>
      <c r="I516" s="6" t="b">
        <v>0</v>
      </c>
      <c r="J516" s="6" t="b">
        <v>0</v>
      </c>
      <c r="K516" s="6" t="b">
        <v>0</v>
      </c>
      <c r="L516" s="6" t="b">
        <v>1</v>
      </c>
      <c r="M516" s="6" t="b">
        <v>0</v>
      </c>
      <c r="N516" s="6">
        <v>9</v>
      </c>
      <c r="O516" s="8" t="s">
        <v>347</v>
      </c>
      <c r="P516" s="8" t="s">
        <v>238</v>
      </c>
      <c r="Q516" s="8" t="s">
        <v>446</v>
      </c>
      <c r="R516" s="6">
        <v>6</v>
      </c>
      <c r="S516" s="8" t="s">
        <v>347</v>
      </c>
      <c r="T516" s="9"/>
      <c r="U516" s="8" t="s">
        <v>240</v>
      </c>
      <c r="V516" s="8" t="s">
        <v>482</v>
      </c>
      <c r="W516" s="8" t="s">
        <v>240</v>
      </c>
      <c r="X516" s="8" t="s">
        <v>1032</v>
      </c>
      <c r="Y516" s="8" t="s">
        <v>240</v>
      </c>
      <c r="Z516" s="6" t="b">
        <v>0</v>
      </c>
      <c r="AA516" s="9"/>
      <c r="AB516" s="9"/>
    </row>
    <row r="517" spans="1:28" ht="16">
      <c r="A517" s="6">
        <v>593</v>
      </c>
      <c r="B517" s="8" t="s">
        <v>195</v>
      </c>
      <c r="C517" s="8" t="s">
        <v>97</v>
      </c>
      <c r="D517" s="8" t="s">
        <v>1033</v>
      </c>
      <c r="E517" s="8" t="s">
        <v>1024</v>
      </c>
      <c r="F517" s="6">
        <v>589</v>
      </c>
      <c r="G517" s="6" t="b">
        <v>0</v>
      </c>
      <c r="H517" s="8" t="s">
        <v>240</v>
      </c>
      <c r="I517" s="6" t="b">
        <v>0</v>
      </c>
      <c r="J517" s="6" t="b">
        <v>0</v>
      </c>
      <c r="K517" s="6" t="b">
        <v>0</v>
      </c>
      <c r="L517" s="6" t="b">
        <v>1</v>
      </c>
      <c r="M517" s="6" t="b">
        <v>0</v>
      </c>
      <c r="N517" s="6">
        <v>9</v>
      </c>
      <c r="O517" s="8" t="s">
        <v>347</v>
      </c>
      <c r="P517" s="8" t="s">
        <v>238</v>
      </c>
      <c r="Q517" s="8" t="s">
        <v>446</v>
      </c>
      <c r="R517" s="6">
        <v>6</v>
      </c>
      <c r="S517" s="8" t="s">
        <v>335</v>
      </c>
      <c r="T517" s="9"/>
      <c r="U517" s="8" t="s">
        <v>240</v>
      </c>
      <c r="V517" s="8" t="s">
        <v>482</v>
      </c>
      <c r="W517" s="8" t="s">
        <v>240</v>
      </c>
      <c r="X517" s="8" t="s">
        <v>240</v>
      </c>
      <c r="Y517" s="8" t="s">
        <v>240</v>
      </c>
      <c r="Z517" s="6" t="b">
        <v>0</v>
      </c>
      <c r="AA517" s="9"/>
      <c r="AB517" s="9"/>
    </row>
    <row r="518" spans="1:28" ht="16">
      <c r="A518" s="6">
        <v>594</v>
      </c>
      <c r="B518" s="8" t="s">
        <v>195</v>
      </c>
      <c r="C518" s="8" t="s">
        <v>162</v>
      </c>
      <c r="D518" s="8" t="s">
        <v>1034</v>
      </c>
      <c r="E518" s="8" t="s">
        <v>1034</v>
      </c>
      <c r="F518" s="6">
        <v>594</v>
      </c>
      <c r="G518" s="6" t="b">
        <v>0</v>
      </c>
      <c r="H518" s="8" t="s">
        <v>240</v>
      </c>
      <c r="I518" s="6" t="b">
        <v>0</v>
      </c>
      <c r="J518" s="6" t="b">
        <v>0</v>
      </c>
      <c r="K518" s="6" t="b">
        <v>0</v>
      </c>
      <c r="L518" s="6" t="b">
        <v>1</v>
      </c>
      <c r="M518" s="6" t="b">
        <v>0</v>
      </c>
      <c r="N518" s="6">
        <v>3</v>
      </c>
      <c r="O518" s="8" t="s">
        <v>331</v>
      </c>
      <c r="P518" s="8" t="s">
        <v>238</v>
      </c>
      <c r="Q518" s="8" t="s">
        <v>446</v>
      </c>
      <c r="R518" s="6">
        <v>2</v>
      </c>
      <c r="S518" s="8" t="s">
        <v>341</v>
      </c>
      <c r="T518" s="6">
        <v>6</v>
      </c>
      <c r="U518" s="8" t="s">
        <v>240</v>
      </c>
      <c r="V518" s="8" t="s">
        <v>1012</v>
      </c>
      <c r="W518" s="8" t="s">
        <v>240</v>
      </c>
      <c r="X518" s="8" t="s">
        <v>1014</v>
      </c>
      <c r="Y518" s="8" t="s">
        <v>240</v>
      </c>
      <c r="Z518" s="6" t="b">
        <v>0</v>
      </c>
      <c r="AA518" s="9"/>
      <c r="AB518" s="9"/>
    </row>
    <row r="519" spans="1:28" ht="32">
      <c r="A519" s="6">
        <v>595</v>
      </c>
      <c r="B519" s="8" t="s">
        <v>195</v>
      </c>
      <c r="C519" s="8" t="s">
        <v>162</v>
      </c>
      <c r="D519" s="8" t="s">
        <v>1035</v>
      </c>
      <c r="E519" s="8" t="s">
        <v>1034</v>
      </c>
      <c r="F519" s="6">
        <v>594</v>
      </c>
      <c r="G519" s="6" t="b">
        <v>0</v>
      </c>
      <c r="H519" s="8" t="s">
        <v>240</v>
      </c>
      <c r="I519" s="6" t="b">
        <v>0</v>
      </c>
      <c r="J519" s="6" t="b">
        <v>0</v>
      </c>
      <c r="K519" s="6" t="b">
        <v>0</v>
      </c>
      <c r="L519" s="6" t="b">
        <v>1</v>
      </c>
      <c r="M519" s="6" t="b">
        <v>0</v>
      </c>
      <c r="N519" s="6">
        <v>3</v>
      </c>
      <c r="O519" s="8" t="s">
        <v>331</v>
      </c>
      <c r="P519" s="8" t="s">
        <v>238</v>
      </c>
      <c r="Q519" s="8" t="s">
        <v>446</v>
      </c>
      <c r="R519" s="6">
        <v>6</v>
      </c>
      <c r="S519" s="8" t="s">
        <v>347</v>
      </c>
      <c r="T519" s="9"/>
      <c r="U519" s="8" t="s">
        <v>240</v>
      </c>
      <c r="V519" s="8" t="s">
        <v>1012</v>
      </c>
      <c r="W519" s="8" t="s">
        <v>240</v>
      </c>
      <c r="X519" s="8" t="s">
        <v>1036</v>
      </c>
      <c r="Y519" s="8" t="s">
        <v>240</v>
      </c>
      <c r="Z519" s="6" t="b">
        <v>0</v>
      </c>
      <c r="AA519" s="9"/>
      <c r="AB519" s="9"/>
    </row>
    <row r="520" spans="1:28" ht="16">
      <c r="A520" s="6">
        <v>596</v>
      </c>
      <c r="B520" s="8" t="s">
        <v>195</v>
      </c>
      <c r="C520" s="8" t="s">
        <v>162</v>
      </c>
      <c r="D520" s="8" t="s">
        <v>1037</v>
      </c>
      <c r="E520" s="8" t="s">
        <v>1037</v>
      </c>
      <c r="F520" s="6">
        <v>596</v>
      </c>
      <c r="G520" s="6" t="b">
        <v>0</v>
      </c>
      <c r="H520" s="8" t="s">
        <v>240</v>
      </c>
      <c r="I520" s="6" t="b">
        <v>0</v>
      </c>
      <c r="J520" s="6" t="b">
        <v>0</v>
      </c>
      <c r="K520" s="6" t="b">
        <v>0</v>
      </c>
      <c r="L520" s="6" t="b">
        <v>1</v>
      </c>
      <c r="M520" s="6" t="b">
        <v>0</v>
      </c>
      <c r="N520" s="6">
        <v>3</v>
      </c>
      <c r="O520" s="8" t="s">
        <v>331</v>
      </c>
      <c r="P520" s="8" t="s">
        <v>238</v>
      </c>
      <c r="Q520" s="8" t="s">
        <v>446</v>
      </c>
      <c r="R520" s="6">
        <v>2</v>
      </c>
      <c r="S520" s="8" t="s">
        <v>335</v>
      </c>
      <c r="T520" s="6">
        <v>2</v>
      </c>
      <c r="U520" s="8" t="s">
        <v>240</v>
      </c>
      <c r="V520" s="8" t="s">
        <v>1012</v>
      </c>
      <c r="W520" s="8" t="s">
        <v>483</v>
      </c>
      <c r="X520" s="8" t="s">
        <v>1014</v>
      </c>
      <c r="Y520" s="8" t="s">
        <v>1038</v>
      </c>
      <c r="Z520" s="6" t="b">
        <v>0</v>
      </c>
      <c r="AA520" s="9"/>
      <c r="AB520" s="9"/>
    </row>
    <row r="521" spans="1:28" ht="16">
      <c r="A521" s="6">
        <v>597</v>
      </c>
      <c r="B521" s="8" t="s">
        <v>195</v>
      </c>
      <c r="C521" s="8" t="s">
        <v>162</v>
      </c>
      <c r="D521" s="8" t="s">
        <v>1039</v>
      </c>
      <c r="E521" s="8" t="s">
        <v>1037</v>
      </c>
      <c r="F521" s="6">
        <v>596</v>
      </c>
      <c r="G521" s="6" t="b">
        <v>0</v>
      </c>
      <c r="H521" s="8" t="s">
        <v>240</v>
      </c>
      <c r="I521" s="6" t="b">
        <v>0</v>
      </c>
      <c r="J521" s="6" t="b">
        <v>0</v>
      </c>
      <c r="K521" s="6" t="b">
        <v>0</v>
      </c>
      <c r="L521" s="6" t="b">
        <v>1</v>
      </c>
      <c r="M521" s="6" t="b">
        <v>0</v>
      </c>
      <c r="N521" s="6">
        <v>3</v>
      </c>
      <c r="O521" s="8" t="s">
        <v>331</v>
      </c>
      <c r="P521" s="8" t="s">
        <v>238</v>
      </c>
      <c r="Q521" s="8" t="s">
        <v>446</v>
      </c>
      <c r="R521" s="6">
        <v>2</v>
      </c>
      <c r="S521" s="8" t="s">
        <v>347</v>
      </c>
      <c r="T521" s="9"/>
      <c r="U521" s="8" t="s">
        <v>240</v>
      </c>
      <c r="V521" s="8" t="s">
        <v>1012</v>
      </c>
      <c r="W521" s="8" t="s">
        <v>483</v>
      </c>
      <c r="X521" s="8" t="s">
        <v>1040</v>
      </c>
      <c r="Y521" s="8" t="s">
        <v>1041</v>
      </c>
      <c r="Z521" s="6" t="b">
        <v>0</v>
      </c>
      <c r="AA521" s="9"/>
      <c r="AB521" s="9"/>
    </row>
    <row r="522" spans="1:28" ht="32">
      <c r="A522" s="6">
        <v>598</v>
      </c>
      <c r="B522" s="8" t="s">
        <v>195</v>
      </c>
      <c r="C522" s="8" t="s">
        <v>112</v>
      </c>
      <c r="D522" s="8" t="s">
        <v>112</v>
      </c>
      <c r="E522" s="8" t="s">
        <v>112</v>
      </c>
      <c r="F522" s="6">
        <v>598</v>
      </c>
      <c r="G522" s="6" t="b">
        <v>0</v>
      </c>
      <c r="H522" s="8" t="s">
        <v>240</v>
      </c>
      <c r="I522" s="6" t="b">
        <v>0</v>
      </c>
      <c r="J522" s="6" t="b">
        <v>0</v>
      </c>
      <c r="K522" s="6" t="b">
        <v>0</v>
      </c>
      <c r="L522" s="6" t="b">
        <v>1</v>
      </c>
      <c r="M522" s="6" t="b">
        <v>0</v>
      </c>
      <c r="N522" s="6">
        <v>5</v>
      </c>
      <c r="O522" s="8" t="s">
        <v>331</v>
      </c>
      <c r="P522" s="8" t="s">
        <v>238</v>
      </c>
      <c r="Q522" s="8" t="s">
        <v>446</v>
      </c>
      <c r="R522" s="6">
        <v>5</v>
      </c>
      <c r="S522" s="8" t="s">
        <v>75</v>
      </c>
      <c r="T522" s="6">
        <v>6</v>
      </c>
      <c r="U522" s="8" t="s">
        <v>240</v>
      </c>
      <c r="V522" s="8" t="s">
        <v>1012</v>
      </c>
      <c r="W522" s="8" t="s">
        <v>240</v>
      </c>
      <c r="X522" s="8" t="s">
        <v>1017</v>
      </c>
      <c r="Y522" s="8" t="s">
        <v>240</v>
      </c>
      <c r="Z522" s="6" t="b">
        <v>0</v>
      </c>
      <c r="AA522" s="9"/>
      <c r="AB522" s="9"/>
    </row>
    <row r="523" spans="1:28" ht="32">
      <c r="A523" s="6">
        <v>599</v>
      </c>
      <c r="B523" s="8" t="s">
        <v>195</v>
      </c>
      <c r="C523" s="8" t="s">
        <v>112</v>
      </c>
      <c r="D523" s="8" t="s">
        <v>1042</v>
      </c>
      <c r="E523" s="8" t="s">
        <v>1042</v>
      </c>
      <c r="F523" s="6">
        <v>599</v>
      </c>
      <c r="G523" s="6" t="b">
        <v>0</v>
      </c>
      <c r="H523" s="8" t="s">
        <v>240</v>
      </c>
      <c r="I523" s="6" t="b">
        <v>0</v>
      </c>
      <c r="J523" s="6" t="b">
        <v>0</v>
      </c>
      <c r="K523" s="6" t="b">
        <v>0</v>
      </c>
      <c r="L523" s="6" t="b">
        <v>1</v>
      </c>
      <c r="M523" s="6" t="b">
        <v>0</v>
      </c>
      <c r="N523" s="6">
        <v>5</v>
      </c>
      <c r="O523" s="8" t="s">
        <v>331</v>
      </c>
      <c r="P523" s="8" t="s">
        <v>238</v>
      </c>
      <c r="Q523" s="8" t="s">
        <v>446</v>
      </c>
      <c r="R523" s="6">
        <v>6</v>
      </c>
      <c r="S523" s="8" t="s">
        <v>372</v>
      </c>
      <c r="T523" s="6">
        <v>6</v>
      </c>
      <c r="U523" s="8" t="s">
        <v>1016</v>
      </c>
      <c r="V523" s="8" t="s">
        <v>1012</v>
      </c>
      <c r="W523" s="8" t="s">
        <v>240</v>
      </c>
      <c r="X523" s="8" t="s">
        <v>1017</v>
      </c>
      <c r="Y523" s="8" t="s">
        <v>1043</v>
      </c>
      <c r="Z523" s="6" t="b">
        <v>0</v>
      </c>
      <c r="AA523" s="9"/>
      <c r="AB523" s="9"/>
    </row>
    <row r="524" spans="1:28" ht="16">
      <c r="A524" s="6">
        <v>600</v>
      </c>
      <c r="B524" s="8" t="s">
        <v>195</v>
      </c>
      <c r="C524" s="8" t="s">
        <v>97</v>
      </c>
      <c r="D524" s="8" t="s">
        <v>1044</v>
      </c>
      <c r="E524" s="8" t="s">
        <v>1044</v>
      </c>
      <c r="F524" s="6">
        <v>600</v>
      </c>
      <c r="G524" s="6" t="b">
        <v>0</v>
      </c>
      <c r="H524" s="8" t="s">
        <v>240</v>
      </c>
      <c r="I524" s="6" t="b">
        <v>0</v>
      </c>
      <c r="J524" s="6" t="b">
        <v>0</v>
      </c>
      <c r="K524" s="6" t="b">
        <v>0</v>
      </c>
      <c r="L524" s="6" t="b">
        <v>1</v>
      </c>
      <c r="M524" s="6" t="b">
        <v>0</v>
      </c>
      <c r="N524" s="6">
        <v>9</v>
      </c>
      <c r="O524" s="8" t="s">
        <v>347</v>
      </c>
      <c r="P524" s="8" t="s">
        <v>238</v>
      </c>
      <c r="Q524" s="8" t="s">
        <v>446</v>
      </c>
      <c r="R524" s="6">
        <v>9</v>
      </c>
      <c r="S524" s="8" t="s">
        <v>75</v>
      </c>
      <c r="T524" s="9"/>
      <c r="U524" s="8" t="s">
        <v>240</v>
      </c>
      <c r="V524" s="8" t="s">
        <v>1012</v>
      </c>
      <c r="W524" s="8" t="s">
        <v>240</v>
      </c>
      <c r="X524" s="8" t="s">
        <v>1019</v>
      </c>
      <c r="Y524" s="8" t="s">
        <v>240</v>
      </c>
      <c r="Z524" s="6" t="b">
        <v>0</v>
      </c>
      <c r="AA524" s="9"/>
      <c r="AB524" s="9"/>
    </row>
    <row r="525" spans="1:28" ht="32">
      <c r="A525" s="6">
        <v>601</v>
      </c>
      <c r="B525" s="8" t="s">
        <v>195</v>
      </c>
      <c r="C525" s="8" t="s">
        <v>97</v>
      </c>
      <c r="D525" s="8" t="s">
        <v>1045</v>
      </c>
      <c r="E525" s="8" t="s">
        <v>1044</v>
      </c>
      <c r="F525" s="6">
        <v>600</v>
      </c>
      <c r="G525" s="6" t="b">
        <v>0</v>
      </c>
      <c r="H525" s="8" t="s">
        <v>240</v>
      </c>
      <c r="I525" s="6" t="b">
        <v>0</v>
      </c>
      <c r="J525" s="6" t="b">
        <v>0</v>
      </c>
      <c r="K525" s="6" t="b">
        <v>0</v>
      </c>
      <c r="L525" s="6" t="b">
        <v>1</v>
      </c>
      <c r="M525" s="6" t="b">
        <v>0</v>
      </c>
      <c r="N525" s="6">
        <v>9</v>
      </c>
      <c r="O525" s="8" t="s">
        <v>347</v>
      </c>
      <c r="P525" s="8" t="s">
        <v>238</v>
      </c>
      <c r="Q525" s="8" t="s">
        <v>446</v>
      </c>
      <c r="R525" s="6">
        <v>4</v>
      </c>
      <c r="S525" s="8" t="s">
        <v>347</v>
      </c>
      <c r="T525" s="9"/>
      <c r="U525" s="8" t="s">
        <v>240</v>
      </c>
      <c r="V525" s="8" t="s">
        <v>1012</v>
      </c>
      <c r="W525" s="8" t="s">
        <v>240</v>
      </c>
      <c r="X525" s="8" t="s">
        <v>1046</v>
      </c>
      <c r="Y525" s="8" t="s">
        <v>240</v>
      </c>
      <c r="Z525" s="6" t="b">
        <v>0</v>
      </c>
      <c r="AA525" s="9"/>
      <c r="AB525" s="9"/>
    </row>
    <row r="526" spans="1:28" ht="16">
      <c r="A526" s="6">
        <v>602</v>
      </c>
      <c r="B526" s="8" t="s">
        <v>195</v>
      </c>
      <c r="C526" s="8" t="s">
        <v>97</v>
      </c>
      <c r="D526" s="8" t="s">
        <v>97</v>
      </c>
      <c r="E526" s="8" t="s">
        <v>97</v>
      </c>
      <c r="F526" s="6">
        <v>602</v>
      </c>
      <c r="G526" s="6" t="b">
        <v>0</v>
      </c>
      <c r="H526" s="8" t="s">
        <v>240</v>
      </c>
      <c r="I526" s="6" t="b">
        <v>0</v>
      </c>
      <c r="J526" s="6" t="b">
        <v>0</v>
      </c>
      <c r="K526" s="6" t="b">
        <v>0</v>
      </c>
      <c r="L526" s="6" t="b">
        <v>1</v>
      </c>
      <c r="M526" s="6" t="b">
        <v>0</v>
      </c>
      <c r="N526" s="6">
        <v>9</v>
      </c>
      <c r="O526" s="8" t="s">
        <v>347</v>
      </c>
      <c r="P526" s="8" t="s">
        <v>238</v>
      </c>
      <c r="Q526" s="8" t="s">
        <v>446</v>
      </c>
      <c r="R526" s="6">
        <v>9</v>
      </c>
      <c r="S526" s="8" t="s">
        <v>347</v>
      </c>
      <c r="T526" s="6">
        <v>8</v>
      </c>
      <c r="U526" s="8" t="s">
        <v>240</v>
      </c>
      <c r="V526" s="8" t="s">
        <v>1012</v>
      </c>
      <c r="W526" s="8" t="s">
        <v>240</v>
      </c>
      <c r="X526" s="8" t="s">
        <v>1019</v>
      </c>
      <c r="Y526" s="8" t="s">
        <v>1047</v>
      </c>
      <c r="Z526" s="6" t="b">
        <v>0</v>
      </c>
      <c r="AA526" s="9"/>
      <c r="AB526" s="9"/>
    </row>
    <row r="527" spans="1:28" ht="16">
      <c r="A527" s="6">
        <v>603</v>
      </c>
      <c r="B527" s="8" t="s">
        <v>195</v>
      </c>
      <c r="C527" s="8" t="s">
        <v>1048</v>
      </c>
      <c r="D527" s="8" t="s">
        <v>1049</v>
      </c>
      <c r="E527" s="8" t="s">
        <v>1049</v>
      </c>
      <c r="F527" s="6">
        <v>603</v>
      </c>
      <c r="G527" s="6" t="b">
        <v>0</v>
      </c>
      <c r="H527" s="8" t="s">
        <v>240</v>
      </c>
      <c r="I527" s="6" t="b">
        <v>0</v>
      </c>
      <c r="J527" s="6" t="b">
        <v>0</v>
      </c>
      <c r="K527" s="6" t="b">
        <v>0</v>
      </c>
      <c r="L527" s="6" t="b">
        <v>1</v>
      </c>
      <c r="M527" s="6" t="b">
        <v>0</v>
      </c>
      <c r="N527" s="6">
        <v>3</v>
      </c>
      <c r="O527" s="8" t="s">
        <v>331</v>
      </c>
      <c r="P527" s="8" t="s">
        <v>238</v>
      </c>
      <c r="Q527" s="8" t="s">
        <v>446</v>
      </c>
      <c r="R527" s="6">
        <v>3</v>
      </c>
      <c r="S527" s="8" t="s">
        <v>335</v>
      </c>
      <c r="T527" s="6">
        <v>3</v>
      </c>
      <c r="U527" s="8" t="s">
        <v>240</v>
      </c>
      <c r="V527" s="8" t="s">
        <v>496</v>
      </c>
      <c r="W527" s="8" t="s">
        <v>483</v>
      </c>
      <c r="X527" s="8" t="s">
        <v>1050</v>
      </c>
      <c r="Y527" s="8" t="s">
        <v>240</v>
      </c>
      <c r="Z527" s="6" t="b">
        <v>0</v>
      </c>
      <c r="AA527" s="9"/>
      <c r="AB527" s="9"/>
    </row>
    <row r="528" spans="1:28" ht="32">
      <c r="A528" s="6">
        <v>604</v>
      </c>
      <c r="B528" s="8" t="s">
        <v>195</v>
      </c>
      <c r="C528" s="8" t="s">
        <v>1048</v>
      </c>
      <c r="D528" s="8" t="s">
        <v>1051</v>
      </c>
      <c r="E528" s="8" t="s">
        <v>1049</v>
      </c>
      <c r="F528" s="6">
        <v>603</v>
      </c>
      <c r="G528" s="6" t="b">
        <v>0</v>
      </c>
      <c r="H528" s="8" t="s">
        <v>240</v>
      </c>
      <c r="I528" s="6" t="b">
        <v>0</v>
      </c>
      <c r="J528" s="6" t="b">
        <v>0</v>
      </c>
      <c r="K528" s="6" t="b">
        <v>0</v>
      </c>
      <c r="L528" s="6" t="b">
        <v>1</v>
      </c>
      <c r="M528" s="6" t="b">
        <v>0</v>
      </c>
      <c r="N528" s="6">
        <v>3</v>
      </c>
      <c r="O528" s="8" t="s">
        <v>331</v>
      </c>
      <c r="P528" s="8" t="s">
        <v>238</v>
      </c>
      <c r="Q528" s="8" t="s">
        <v>446</v>
      </c>
      <c r="R528" s="6">
        <v>3</v>
      </c>
      <c r="S528" s="8" t="s">
        <v>335</v>
      </c>
      <c r="T528" s="9"/>
      <c r="U528" s="8" t="s">
        <v>240</v>
      </c>
      <c r="V528" s="8" t="s">
        <v>496</v>
      </c>
      <c r="W528" s="8" t="s">
        <v>483</v>
      </c>
      <c r="X528" s="8" t="s">
        <v>1052</v>
      </c>
      <c r="Y528" s="8" t="s">
        <v>1053</v>
      </c>
      <c r="Z528" s="6" t="b">
        <v>0</v>
      </c>
      <c r="AA528" s="9"/>
      <c r="AB528" s="9"/>
    </row>
    <row r="529" spans="1:28" ht="32">
      <c r="A529" s="6">
        <v>605</v>
      </c>
      <c r="B529" s="8" t="s">
        <v>195</v>
      </c>
      <c r="C529" s="8" t="s">
        <v>1048</v>
      </c>
      <c r="D529" s="8" t="s">
        <v>1054</v>
      </c>
      <c r="E529" s="8" t="s">
        <v>1049</v>
      </c>
      <c r="F529" s="6">
        <v>603</v>
      </c>
      <c r="G529" s="6" t="b">
        <v>0</v>
      </c>
      <c r="H529" s="8" t="s">
        <v>240</v>
      </c>
      <c r="I529" s="6" t="b">
        <v>0</v>
      </c>
      <c r="J529" s="6" t="b">
        <v>0</v>
      </c>
      <c r="K529" s="6" t="b">
        <v>0</v>
      </c>
      <c r="L529" s="6" t="b">
        <v>1</v>
      </c>
      <c r="M529" s="6" t="b">
        <v>0</v>
      </c>
      <c r="N529" s="6">
        <v>3</v>
      </c>
      <c r="O529" s="8" t="s">
        <v>331</v>
      </c>
      <c r="P529" s="8" t="s">
        <v>238</v>
      </c>
      <c r="Q529" s="8" t="s">
        <v>446</v>
      </c>
      <c r="R529" s="6">
        <v>3</v>
      </c>
      <c r="S529" s="8" t="s">
        <v>347</v>
      </c>
      <c r="T529" s="9"/>
      <c r="U529" s="8" t="s">
        <v>240</v>
      </c>
      <c r="V529" s="8" t="s">
        <v>496</v>
      </c>
      <c r="W529" s="8" t="s">
        <v>483</v>
      </c>
      <c r="X529" s="8" t="s">
        <v>1055</v>
      </c>
      <c r="Y529" s="8" t="s">
        <v>240</v>
      </c>
      <c r="Z529" s="6" t="b">
        <v>0</v>
      </c>
      <c r="AA529" s="9"/>
      <c r="AB529" s="9"/>
    </row>
    <row r="530" spans="1:28" ht="16">
      <c r="A530" s="6">
        <v>606</v>
      </c>
      <c r="B530" s="8" t="s">
        <v>195</v>
      </c>
      <c r="C530" s="8" t="s">
        <v>1048</v>
      </c>
      <c r="D530" s="8" t="s">
        <v>1048</v>
      </c>
      <c r="E530" s="8" t="s">
        <v>1048</v>
      </c>
      <c r="F530" s="6">
        <v>606</v>
      </c>
      <c r="G530" s="6" t="b">
        <v>0</v>
      </c>
      <c r="H530" s="8" t="s">
        <v>240</v>
      </c>
      <c r="I530" s="6" t="b">
        <v>0</v>
      </c>
      <c r="J530" s="6" t="b">
        <v>0</v>
      </c>
      <c r="K530" s="6" t="b">
        <v>0</v>
      </c>
      <c r="L530" s="6" t="b">
        <v>1</v>
      </c>
      <c r="M530" s="6" t="b">
        <v>0</v>
      </c>
      <c r="N530" s="6">
        <v>3</v>
      </c>
      <c r="O530" s="8" t="s">
        <v>331</v>
      </c>
      <c r="P530" s="8" t="s">
        <v>238</v>
      </c>
      <c r="Q530" s="8" t="s">
        <v>446</v>
      </c>
      <c r="R530" s="6">
        <v>3</v>
      </c>
      <c r="S530" s="8" t="s">
        <v>75</v>
      </c>
      <c r="T530" s="9"/>
      <c r="U530" s="8" t="s">
        <v>240</v>
      </c>
      <c r="V530" s="8" t="s">
        <v>496</v>
      </c>
      <c r="W530" s="8" t="s">
        <v>240</v>
      </c>
      <c r="X530" s="8" t="s">
        <v>1050</v>
      </c>
      <c r="Y530" s="8" t="s">
        <v>240</v>
      </c>
      <c r="Z530" s="6" t="b">
        <v>0</v>
      </c>
      <c r="AA530" s="9"/>
      <c r="AB530" s="9"/>
    </row>
    <row r="531" spans="1:28" ht="16">
      <c r="A531" s="6">
        <v>607</v>
      </c>
      <c r="B531" s="8" t="s">
        <v>195</v>
      </c>
      <c r="C531" s="8" t="s">
        <v>1056</v>
      </c>
      <c r="D531" s="8" t="s">
        <v>1056</v>
      </c>
      <c r="E531" s="8" t="s">
        <v>1056</v>
      </c>
      <c r="F531" s="6">
        <v>607</v>
      </c>
      <c r="G531" s="6" t="b">
        <v>0</v>
      </c>
      <c r="H531" s="8" t="s">
        <v>240</v>
      </c>
      <c r="I531" s="6" t="b">
        <v>0</v>
      </c>
      <c r="J531" s="6" t="b">
        <v>0</v>
      </c>
      <c r="K531" s="6" t="b">
        <v>0</v>
      </c>
      <c r="L531" s="6" t="b">
        <v>1</v>
      </c>
      <c r="M531" s="6" t="b">
        <v>0</v>
      </c>
      <c r="N531" s="6">
        <v>5</v>
      </c>
      <c r="O531" s="8" t="s">
        <v>331</v>
      </c>
      <c r="P531" s="8" t="s">
        <v>238</v>
      </c>
      <c r="Q531" s="8" t="s">
        <v>927</v>
      </c>
      <c r="R531" s="6">
        <v>5</v>
      </c>
      <c r="S531" s="8" t="s">
        <v>75</v>
      </c>
      <c r="T531" s="9"/>
      <c r="U531" s="8" t="s">
        <v>240</v>
      </c>
      <c r="V531" s="8" t="s">
        <v>1057</v>
      </c>
      <c r="W531" s="8" t="s">
        <v>240</v>
      </c>
      <c r="X531" s="8" t="s">
        <v>1058</v>
      </c>
      <c r="Y531" s="8" t="s">
        <v>240</v>
      </c>
      <c r="Z531" s="6" t="b">
        <v>0</v>
      </c>
      <c r="AA531" s="9"/>
      <c r="AB531" s="9"/>
    </row>
    <row r="532" spans="1:28" ht="16">
      <c r="A532" s="6">
        <v>608</v>
      </c>
      <c r="B532" s="8" t="s">
        <v>195</v>
      </c>
      <c r="C532" s="8" t="s">
        <v>1059</v>
      </c>
      <c r="D532" s="8" t="s">
        <v>1060</v>
      </c>
      <c r="E532" s="8" t="s">
        <v>1060</v>
      </c>
      <c r="F532" s="6">
        <v>608</v>
      </c>
      <c r="G532" s="6" t="b">
        <v>0</v>
      </c>
      <c r="H532" s="8" t="s">
        <v>240</v>
      </c>
      <c r="I532" s="6" t="b">
        <v>0</v>
      </c>
      <c r="J532" s="6" t="b">
        <v>0</v>
      </c>
      <c r="K532" s="6" t="b">
        <v>0</v>
      </c>
      <c r="L532" s="6" t="b">
        <v>1</v>
      </c>
      <c r="M532" s="6" t="b">
        <v>0</v>
      </c>
      <c r="N532" s="6">
        <v>3</v>
      </c>
      <c r="O532" s="8" t="s">
        <v>331</v>
      </c>
      <c r="P532" s="8" t="s">
        <v>238</v>
      </c>
      <c r="Q532" s="8" t="s">
        <v>446</v>
      </c>
      <c r="R532" s="6">
        <v>4</v>
      </c>
      <c r="S532" s="8" t="s">
        <v>341</v>
      </c>
      <c r="T532" s="9"/>
      <c r="U532" s="8" t="s">
        <v>240</v>
      </c>
      <c r="V532" s="8" t="s">
        <v>450</v>
      </c>
      <c r="W532" s="8" t="s">
        <v>240</v>
      </c>
      <c r="X532" s="8" t="s">
        <v>1061</v>
      </c>
      <c r="Y532" s="8" t="s">
        <v>240</v>
      </c>
      <c r="Z532" s="6" t="b">
        <v>0</v>
      </c>
      <c r="AA532" s="9"/>
      <c r="AB532" s="9"/>
    </row>
    <row r="533" spans="1:28" ht="32">
      <c r="A533" s="6">
        <v>609</v>
      </c>
      <c r="B533" s="8" t="s">
        <v>195</v>
      </c>
      <c r="C533" s="8" t="s">
        <v>1059</v>
      </c>
      <c r="D533" s="8" t="s">
        <v>1062</v>
      </c>
      <c r="E533" s="8" t="s">
        <v>1060</v>
      </c>
      <c r="F533" s="6">
        <v>608</v>
      </c>
      <c r="G533" s="6" t="b">
        <v>0</v>
      </c>
      <c r="H533" s="8" t="s">
        <v>240</v>
      </c>
      <c r="I533" s="6" t="b">
        <v>0</v>
      </c>
      <c r="J533" s="6" t="b">
        <v>0</v>
      </c>
      <c r="K533" s="6" t="b">
        <v>0</v>
      </c>
      <c r="L533" s="6" t="b">
        <v>1</v>
      </c>
      <c r="M533" s="6" t="b">
        <v>0</v>
      </c>
      <c r="N533" s="6">
        <v>3</v>
      </c>
      <c r="O533" s="8" t="s">
        <v>331</v>
      </c>
      <c r="P533" s="8" t="s">
        <v>238</v>
      </c>
      <c r="Q533" s="8" t="s">
        <v>239</v>
      </c>
      <c r="R533" s="6">
        <v>4</v>
      </c>
      <c r="S533" s="8" t="s">
        <v>347</v>
      </c>
      <c r="T533" s="9"/>
      <c r="U533" s="8" t="s">
        <v>240</v>
      </c>
      <c r="V533" s="8" t="s">
        <v>450</v>
      </c>
      <c r="W533" s="8" t="s">
        <v>240</v>
      </c>
      <c r="X533" s="8" t="s">
        <v>1063</v>
      </c>
      <c r="Y533" s="8" t="s">
        <v>240</v>
      </c>
      <c r="Z533" s="6" t="b">
        <v>0</v>
      </c>
      <c r="AA533" s="9"/>
      <c r="AB533" s="9"/>
    </row>
    <row r="534" spans="1:28" ht="16">
      <c r="A534" s="6">
        <v>610</v>
      </c>
      <c r="B534" s="8" t="s">
        <v>195</v>
      </c>
      <c r="C534" s="8" t="s">
        <v>1056</v>
      </c>
      <c r="D534" s="8" t="s">
        <v>1064</v>
      </c>
      <c r="E534" s="8" t="s">
        <v>1064</v>
      </c>
      <c r="F534" s="6">
        <v>610</v>
      </c>
      <c r="G534" s="6" t="b">
        <v>0</v>
      </c>
      <c r="H534" s="8" t="s">
        <v>240</v>
      </c>
      <c r="I534" s="6" t="b">
        <v>0</v>
      </c>
      <c r="J534" s="6" t="b">
        <v>0</v>
      </c>
      <c r="K534" s="6" t="b">
        <v>0</v>
      </c>
      <c r="L534" s="6" t="b">
        <v>1</v>
      </c>
      <c r="M534" s="6" t="b">
        <v>0</v>
      </c>
      <c r="N534" s="6">
        <v>5</v>
      </c>
      <c r="O534" s="8" t="s">
        <v>331</v>
      </c>
      <c r="P534" s="8" t="s">
        <v>238</v>
      </c>
      <c r="Q534" s="8" t="s">
        <v>927</v>
      </c>
      <c r="R534" s="6">
        <v>5</v>
      </c>
      <c r="S534" s="8" t="s">
        <v>75</v>
      </c>
      <c r="T534" s="9"/>
      <c r="U534" s="8" t="s">
        <v>240</v>
      </c>
      <c r="V534" s="8" t="s">
        <v>1057</v>
      </c>
      <c r="W534" s="8" t="s">
        <v>240</v>
      </c>
      <c r="X534" s="8" t="s">
        <v>1058</v>
      </c>
      <c r="Y534" s="8" t="s">
        <v>240</v>
      </c>
      <c r="Z534" s="6" t="b">
        <v>0</v>
      </c>
      <c r="AA534" s="9"/>
      <c r="AB534" s="9"/>
    </row>
    <row r="535" spans="1:28" ht="16">
      <c r="A535" s="6">
        <v>611</v>
      </c>
      <c r="B535" s="8" t="s">
        <v>195</v>
      </c>
      <c r="C535" s="8" t="s">
        <v>113</v>
      </c>
      <c r="D535" s="8" t="s">
        <v>1065</v>
      </c>
      <c r="E535" s="8" t="s">
        <v>1065</v>
      </c>
      <c r="F535" s="6">
        <v>611</v>
      </c>
      <c r="G535" s="6" t="b">
        <v>0</v>
      </c>
      <c r="H535" s="8" t="s">
        <v>240</v>
      </c>
      <c r="I535" s="6" t="b">
        <v>0</v>
      </c>
      <c r="J535" s="6" t="b">
        <v>0</v>
      </c>
      <c r="K535" s="6" t="b">
        <v>0</v>
      </c>
      <c r="L535" s="6" t="b">
        <v>1</v>
      </c>
      <c r="M535" s="6" t="b">
        <v>0</v>
      </c>
      <c r="N535" s="6">
        <v>1</v>
      </c>
      <c r="O535" s="8" t="s">
        <v>331</v>
      </c>
      <c r="P535" s="8" t="s">
        <v>238</v>
      </c>
      <c r="Q535" s="8" t="s">
        <v>446</v>
      </c>
      <c r="R535" s="6">
        <v>4</v>
      </c>
      <c r="S535" s="8" t="s">
        <v>341</v>
      </c>
      <c r="T535" s="9"/>
      <c r="U535" s="8" t="s">
        <v>240</v>
      </c>
      <c r="V535" s="8" t="s">
        <v>496</v>
      </c>
      <c r="W535" s="8" t="s">
        <v>483</v>
      </c>
      <c r="X535" s="8" t="s">
        <v>1066</v>
      </c>
      <c r="Y535" s="8" t="s">
        <v>1067</v>
      </c>
      <c r="Z535" s="6" t="b">
        <v>0</v>
      </c>
      <c r="AA535" s="9"/>
      <c r="AB535" s="9"/>
    </row>
    <row r="536" spans="1:28" ht="48">
      <c r="A536" s="6">
        <v>612</v>
      </c>
      <c r="B536" s="8" t="s">
        <v>195</v>
      </c>
      <c r="C536" s="8" t="s">
        <v>113</v>
      </c>
      <c r="D536" s="8" t="s">
        <v>1068</v>
      </c>
      <c r="E536" s="8" t="s">
        <v>1065</v>
      </c>
      <c r="F536" s="6">
        <v>611</v>
      </c>
      <c r="G536" s="6" t="b">
        <v>0</v>
      </c>
      <c r="H536" s="8" t="s">
        <v>240</v>
      </c>
      <c r="I536" s="6" t="b">
        <v>0</v>
      </c>
      <c r="J536" s="6" t="b">
        <v>0</v>
      </c>
      <c r="K536" s="6" t="b">
        <v>0</v>
      </c>
      <c r="L536" s="6" t="b">
        <v>1</v>
      </c>
      <c r="M536" s="6" t="b">
        <v>0</v>
      </c>
      <c r="N536" s="6">
        <v>1</v>
      </c>
      <c r="O536" s="8" t="s">
        <v>331</v>
      </c>
      <c r="P536" s="8" t="s">
        <v>238</v>
      </c>
      <c r="Q536" s="8" t="s">
        <v>446</v>
      </c>
      <c r="R536" s="6">
        <v>4</v>
      </c>
      <c r="S536" s="8" t="s">
        <v>341</v>
      </c>
      <c r="T536" s="9"/>
      <c r="U536" s="8" t="s">
        <v>240</v>
      </c>
      <c r="V536" s="8" t="s">
        <v>496</v>
      </c>
      <c r="W536" s="8" t="s">
        <v>483</v>
      </c>
      <c r="X536" s="8" t="s">
        <v>1069</v>
      </c>
      <c r="Y536" s="8" t="s">
        <v>240</v>
      </c>
      <c r="Z536" s="6" t="b">
        <v>0</v>
      </c>
      <c r="AA536" s="9"/>
      <c r="AB536" s="9"/>
    </row>
    <row r="537" spans="1:28" ht="16">
      <c r="A537" s="6">
        <v>613</v>
      </c>
      <c r="B537" s="8" t="s">
        <v>195</v>
      </c>
      <c r="C537" s="8" t="s">
        <v>97</v>
      </c>
      <c r="D537" s="8" t="s">
        <v>1070</v>
      </c>
      <c r="E537" s="8" t="s">
        <v>1070</v>
      </c>
      <c r="F537" s="6">
        <v>613</v>
      </c>
      <c r="G537" s="6" t="b">
        <v>0</v>
      </c>
      <c r="H537" s="8" t="s">
        <v>240</v>
      </c>
      <c r="I537" s="6" t="b">
        <v>0</v>
      </c>
      <c r="J537" s="6" t="b">
        <v>0</v>
      </c>
      <c r="K537" s="6" t="b">
        <v>0</v>
      </c>
      <c r="L537" s="6" t="b">
        <v>1</v>
      </c>
      <c r="M537" s="6" t="b">
        <v>0</v>
      </c>
      <c r="N537" s="6">
        <v>9</v>
      </c>
      <c r="O537" s="8" t="s">
        <v>347</v>
      </c>
      <c r="P537" s="8" t="s">
        <v>238</v>
      </c>
      <c r="Q537" s="8" t="s">
        <v>446</v>
      </c>
      <c r="R537" s="6">
        <v>9</v>
      </c>
      <c r="S537" s="8" t="s">
        <v>347</v>
      </c>
      <c r="T537" s="6">
        <v>8</v>
      </c>
      <c r="U537" s="8" t="s">
        <v>240</v>
      </c>
      <c r="V537" s="8" t="s">
        <v>1012</v>
      </c>
      <c r="W537" s="8" t="s">
        <v>240</v>
      </c>
      <c r="X537" s="8" t="s">
        <v>1019</v>
      </c>
      <c r="Y537" s="8" t="s">
        <v>1071</v>
      </c>
      <c r="Z537" s="6" t="b">
        <v>0</v>
      </c>
      <c r="AA537" s="9"/>
      <c r="AB537" s="9"/>
    </row>
    <row r="538" spans="1:28" ht="16">
      <c r="A538" s="6">
        <v>614</v>
      </c>
      <c r="B538" s="8" t="s">
        <v>195</v>
      </c>
      <c r="C538" s="8" t="s">
        <v>97</v>
      </c>
      <c r="D538" s="8" t="s">
        <v>1072</v>
      </c>
      <c r="E538" s="8" t="s">
        <v>1070</v>
      </c>
      <c r="F538" s="6">
        <v>613</v>
      </c>
      <c r="G538" s="6" t="b">
        <v>0</v>
      </c>
      <c r="H538" s="8" t="s">
        <v>240</v>
      </c>
      <c r="I538" s="6" t="b">
        <v>0</v>
      </c>
      <c r="J538" s="6" t="b">
        <v>0</v>
      </c>
      <c r="K538" s="6" t="b">
        <v>0</v>
      </c>
      <c r="L538" s="6" t="b">
        <v>1</v>
      </c>
      <c r="M538" s="6" t="b">
        <v>0</v>
      </c>
      <c r="N538" s="6">
        <v>9</v>
      </c>
      <c r="O538" s="8" t="s">
        <v>347</v>
      </c>
      <c r="P538" s="8" t="s">
        <v>238</v>
      </c>
      <c r="Q538" s="8" t="s">
        <v>446</v>
      </c>
      <c r="R538" s="6">
        <v>9</v>
      </c>
      <c r="S538" s="8" t="s">
        <v>347</v>
      </c>
      <c r="T538" s="9"/>
      <c r="U538" s="8" t="s">
        <v>240</v>
      </c>
      <c r="V538" s="8" t="s">
        <v>1012</v>
      </c>
      <c r="W538" s="8" t="s">
        <v>240</v>
      </c>
      <c r="X538" s="8" t="s">
        <v>1073</v>
      </c>
      <c r="Y538" s="8" t="s">
        <v>240</v>
      </c>
      <c r="Z538" s="6" t="b">
        <v>0</v>
      </c>
      <c r="AA538" s="9"/>
      <c r="AB538" s="9"/>
    </row>
    <row r="539" spans="1:28" ht="16">
      <c r="A539" s="6">
        <v>615</v>
      </c>
      <c r="B539" s="8" t="s">
        <v>195</v>
      </c>
      <c r="C539" s="8" t="s">
        <v>97</v>
      </c>
      <c r="D539" s="8" t="s">
        <v>1074</v>
      </c>
      <c r="E539" s="8" t="s">
        <v>1070</v>
      </c>
      <c r="F539" s="6">
        <v>613</v>
      </c>
      <c r="G539" s="6" t="b">
        <v>0</v>
      </c>
      <c r="H539" s="8" t="s">
        <v>240</v>
      </c>
      <c r="I539" s="6" t="b">
        <v>0</v>
      </c>
      <c r="J539" s="6" t="b">
        <v>0</v>
      </c>
      <c r="K539" s="6" t="b">
        <v>0</v>
      </c>
      <c r="L539" s="6" t="b">
        <v>1</v>
      </c>
      <c r="M539" s="6" t="b">
        <v>0</v>
      </c>
      <c r="N539" s="6">
        <v>9</v>
      </c>
      <c r="O539" s="8" t="s">
        <v>347</v>
      </c>
      <c r="P539" s="8" t="s">
        <v>238</v>
      </c>
      <c r="Q539" s="8" t="s">
        <v>446</v>
      </c>
      <c r="R539" s="6">
        <v>9</v>
      </c>
      <c r="S539" s="8" t="s">
        <v>75</v>
      </c>
      <c r="T539" s="9"/>
      <c r="U539" s="8" t="s">
        <v>240</v>
      </c>
      <c r="V539" s="8" t="s">
        <v>240</v>
      </c>
      <c r="W539" s="8" t="s">
        <v>240</v>
      </c>
      <c r="X539" s="8" t="s">
        <v>1075</v>
      </c>
      <c r="Y539" s="8" t="s">
        <v>240</v>
      </c>
      <c r="Z539" s="6" t="b">
        <v>0</v>
      </c>
      <c r="AA539" s="9"/>
      <c r="AB539" s="9"/>
    </row>
    <row r="540" spans="1:28" ht="16">
      <c r="A540" s="6">
        <v>616</v>
      </c>
      <c r="B540" s="8" t="s">
        <v>195</v>
      </c>
      <c r="C540" s="8" t="s">
        <v>1056</v>
      </c>
      <c r="D540" s="8" t="s">
        <v>1076</v>
      </c>
      <c r="E540" s="8" t="s">
        <v>1076</v>
      </c>
      <c r="F540" s="6">
        <v>616</v>
      </c>
      <c r="G540" s="6" t="b">
        <v>0</v>
      </c>
      <c r="H540" s="8" t="s">
        <v>240</v>
      </c>
      <c r="I540" s="6" t="b">
        <v>0</v>
      </c>
      <c r="J540" s="6" t="b">
        <v>0</v>
      </c>
      <c r="K540" s="6" t="b">
        <v>0</v>
      </c>
      <c r="L540" s="6" t="b">
        <v>1</v>
      </c>
      <c r="M540" s="6" t="b">
        <v>0</v>
      </c>
      <c r="N540" s="6">
        <v>5</v>
      </c>
      <c r="O540" s="8" t="s">
        <v>331</v>
      </c>
      <c r="P540" s="8" t="s">
        <v>238</v>
      </c>
      <c r="Q540" s="8" t="s">
        <v>446</v>
      </c>
      <c r="R540" s="6">
        <v>5.6</v>
      </c>
      <c r="S540" s="8" t="s">
        <v>247</v>
      </c>
      <c r="T540" s="9"/>
      <c r="U540" s="8" t="s">
        <v>240</v>
      </c>
      <c r="V540" s="8" t="s">
        <v>1012</v>
      </c>
      <c r="W540" s="8" t="s">
        <v>240</v>
      </c>
      <c r="X540" s="8" t="s">
        <v>1058</v>
      </c>
      <c r="Y540" s="8" t="s">
        <v>240</v>
      </c>
      <c r="Z540" s="6" t="b">
        <v>0</v>
      </c>
      <c r="AA540" s="9"/>
      <c r="AB540" s="9"/>
    </row>
    <row r="541" spans="1:28" ht="16">
      <c r="A541" s="6">
        <v>617</v>
      </c>
      <c r="B541" s="8" t="s">
        <v>195</v>
      </c>
      <c r="C541" s="8" t="s">
        <v>196</v>
      </c>
      <c r="D541" s="8" t="s">
        <v>1077</v>
      </c>
      <c r="E541" s="8" t="s">
        <v>1077</v>
      </c>
      <c r="F541" s="6">
        <v>617</v>
      </c>
      <c r="G541" s="6" t="b">
        <v>0</v>
      </c>
      <c r="H541" s="8" t="s">
        <v>240</v>
      </c>
      <c r="I541" s="6" t="b">
        <v>0</v>
      </c>
      <c r="J541" s="6" t="b">
        <v>0</v>
      </c>
      <c r="K541" s="6" t="b">
        <v>0</v>
      </c>
      <c r="L541" s="6" t="b">
        <v>1</v>
      </c>
      <c r="M541" s="6" t="b">
        <v>0</v>
      </c>
      <c r="N541" s="6">
        <v>9</v>
      </c>
      <c r="O541" s="8" t="s">
        <v>331</v>
      </c>
      <c r="P541" s="8" t="s">
        <v>238</v>
      </c>
      <c r="Q541" s="8" t="s">
        <v>446</v>
      </c>
      <c r="R541" s="6">
        <v>10</v>
      </c>
      <c r="S541" s="8" t="s">
        <v>372</v>
      </c>
      <c r="T541" s="9"/>
      <c r="U541" s="8" t="s">
        <v>240</v>
      </c>
      <c r="V541" s="8" t="s">
        <v>450</v>
      </c>
      <c r="W541" s="8" t="s">
        <v>240</v>
      </c>
      <c r="X541" s="8" t="s">
        <v>1078</v>
      </c>
      <c r="Y541" s="8" t="s">
        <v>240</v>
      </c>
      <c r="Z541" s="6" t="b">
        <v>0</v>
      </c>
      <c r="AA541" s="9"/>
      <c r="AB541" s="9"/>
    </row>
    <row r="542" spans="1:28" ht="32">
      <c r="A542" s="6">
        <v>618</v>
      </c>
      <c r="B542" s="8" t="s">
        <v>195</v>
      </c>
      <c r="C542" s="8" t="s">
        <v>196</v>
      </c>
      <c r="D542" s="8" t="s">
        <v>1079</v>
      </c>
      <c r="E542" s="8" t="s">
        <v>1077</v>
      </c>
      <c r="F542" s="6">
        <v>617</v>
      </c>
      <c r="G542" s="6" t="b">
        <v>0</v>
      </c>
      <c r="H542" s="8" t="s">
        <v>240</v>
      </c>
      <c r="I542" s="6" t="b">
        <v>0</v>
      </c>
      <c r="J542" s="6" t="b">
        <v>0</v>
      </c>
      <c r="K542" s="6" t="b">
        <v>0</v>
      </c>
      <c r="L542" s="6" t="b">
        <v>1</v>
      </c>
      <c r="M542" s="6" t="b">
        <v>0</v>
      </c>
      <c r="N542" s="6">
        <v>9</v>
      </c>
      <c r="O542" s="8" t="s">
        <v>331</v>
      </c>
      <c r="P542" s="8" t="s">
        <v>238</v>
      </c>
      <c r="Q542" s="8" t="s">
        <v>446</v>
      </c>
      <c r="R542" s="6">
        <v>7.7</v>
      </c>
      <c r="S542" s="8" t="s">
        <v>247</v>
      </c>
      <c r="T542" s="9"/>
      <c r="U542" s="8" t="s">
        <v>240</v>
      </c>
      <c r="V542" s="8" t="s">
        <v>450</v>
      </c>
      <c r="W542" s="8" t="s">
        <v>240</v>
      </c>
      <c r="X542" s="8" t="s">
        <v>1080</v>
      </c>
      <c r="Y542" s="8" t="s">
        <v>240</v>
      </c>
      <c r="Z542" s="6" t="b">
        <v>0</v>
      </c>
      <c r="AA542" s="9"/>
      <c r="AB542" s="9"/>
    </row>
    <row r="543" spans="1:28" ht="16">
      <c r="A543" s="6">
        <v>619</v>
      </c>
      <c r="B543" s="8" t="s">
        <v>195</v>
      </c>
      <c r="C543" s="8" t="s">
        <v>196</v>
      </c>
      <c r="D543" s="8" t="s">
        <v>1081</v>
      </c>
      <c r="E543" s="8" t="s">
        <v>1081</v>
      </c>
      <c r="F543" s="6">
        <v>619</v>
      </c>
      <c r="G543" s="6" t="b">
        <v>0</v>
      </c>
      <c r="H543" s="8" t="s">
        <v>240</v>
      </c>
      <c r="I543" s="6" t="b">
        <v>0</v>
      </c>
      <c r="J543" s="6" t="b">
        <v>0</v>
      </c>
      <c r="K543" s="6" t="b">
        <v>0</v>
      </c>
      <c r="L543" s="6" t="b">
        <v>1</v>
      </c>
      <c r="M543" s="6" t="b">
        <v>0</v>
      </c>
      <c r="N543" s="6">
        <v>9</v>
      </c>
      <c r="O543" s="8" t="s">
        <v>331</v>
      </c>
      <c r="P543" s="8" t="s">
        <v>238</v>
      </c>
      <c r="Q543" s="8" t="s">
        <v>446</v>
      </c>
      <c r="R543" s="6">
        <v>5</v>
      </c>
      <c r="S543" s="8" t="s">
        <v>341</v>
      </c>
      <c r="T543" s="9"/>
      <c r="U543" s="8" t="s">
        <v>240</v>
      </c>
      <c r="V543" s="8" t="s">
        <v>1012</v>
      </c>
      <c r="W543" s="8" t="s">
        <v>240</v>
      </c>
      <c r="X543" s="8" t="s">
        <v>1078</v>
      </c>
      <c r="Y543" s="8" t="s">
        <v>240</v>
      </c>
      <c r="Z543" s="6" t="b">
        <v>0</v>
      </c>
      <c r="AA543" s="9"/>
      <c r="AB543" s="9"/>
    </row>
    <row r="544" spans="1:28" ht="16">
      <c r="A544" s="6">
        <v>620</v>
      </c>
      <c r="B544" s="8" t="s">
        <v>195</v>
      </c>
      <c r="C544" s="8" t="s">
        <v>113</v>
      </c>
      <c r="D544" s="8" t="s">
        <v>113</v>
      </c>
      <c r="E544" s="8" t="s">
        <v>113</v>
      </c>
      <c r="F544" s="6">
        <v>620</v>
      </c>
      <c r="G544" s="6" t="b">
        <v>0</v>
      </c>
      <c r="H544" s="8" t="s">
        <v>240</v>
      </c>
      <c r="I544" s="6" t="b">
        <v>0</v>
      </c>
      <c r="J544" s="6" t="b">
        <v>0</v>
      </c>
      <c r="K544" s="6" t="b">
        <v>0</v>
      </c>
      <c r="L544" s="6" t="b">
        <v>1</v>
      </c>
      <c r="M544" s="6" t="b">
        <v>0</v>
      </c>
      <c r="N544" s="6">
        <v>1</v>
      </c>
      <c r="O544" s="8" t="s">
        <v>331</v>
      </c>
      <c r="P544" s="8" t="s">
        <v>238</v>
      </c>
      <c r="Q544" s="8" t="s">
        <v>446</v>
      </c>
      <c r="R544" s="6">
        <v>1</v>
      </c>
      <c r="S544" s="8" t="s">
        <v>75</v>
      </c>
      <c r="T544" s="6">
        <v>4</v>
      </c>
      <c r="U544" s="8" t="s">
        <v>240</v>
      </c>
      <c r="V544" s="8" t="s">
        <v>496</v>
      </c>
      <c r="W544" s="8" t="s">
        <v>483</v>
      </c>
      <c r="X544" s="8" t="s">
        <v>1066</v>
      </c>
      <c r="Y544" s="8" t="s">
        <v>1082</v>
      </c>
      <c r="Z544" s="6" t="b">
        <v>0</v>
      </c>
      <c r="AA544" s="9"/>
      <c r="AB544" s="9"/>
    </row>
    <row r="545" spans="1:28" ht="16">
      <c r="A545" s="6">
        <v>621</v>
      </c>
      <c r="B545" s="8" t="s">
        <v>195</v>
      </c>
      <c r="C545" s="8" t="s">
        <v>113</v>
      </c>
      <c r="D545" s="8" t="s">
        <v>1083</v>
      </c>
      <c r="E545" s="8" t="s">
        <v>1083</v>
      </c>
      <c r="F545" s="6">
        <v>621</v>
      </c>
      <c r="G545" s="6" t="b">
        <v>0</v>
      </c>
      <c r="H545" s="8" t="s">
        <v>240</v>
      </c>
      <c r="I545" s="6" t="b">
        <v>0</v>
      </c>
      <c r="J545" s="6" t="b">
        <v>0</v>
      </c>
      <c r="K545" s="6" t="b">
        <v>0</v>
      </c>
      <c r="L545" s="6" t="b">
        <v>1</v>
      </c>
      <c r="M545" s="6" t="b">
        <v>0</v>
      </c>
      <c r="N545" s="6">
        <v>1</v>
      </c>
      <c r="O545" s="8" t="s">
        <v>331</v>
      </c>
      <c r="P545" s="8" t="s">
        <v>238</v>
      </c>
      <c r="Q545" s="8" t="s">
        <v>446</v>
      </c>
      <c r="R545" s="6">
        <v>5</v>
      </c>
      <c r="S545" s="8" t="s">
        <v>347</v>
      </c>
      <c r="T545" s="6">
        <v>5</v>
      </c>
      <c r="U545" s="8" t="s">
        <v>1084</v>
      </c>
      <c r="V545" s="8" t="s">
        <v>496</v>
      </c>
      <c r="W545" s="8" t="s">
        <v>483</v>
      </c>
      <c r="X545" s="8" t="s">
        <v>1066</v>
      </c>
      <c r="Y545" s="8" t="s">
        <v>1085</v>
      </c>
      <c r="Z545" s="6" t="b">
        <v>0</v>
      </c>
      <c r="AA545" s="9"/>
      <c r="AB545" s="9"/>
    </row>
    <row r="546" spans="1:28" ht="32">
      <c r="A546" s="6">
        <v>622</v>
      </c>
      <c r="B546" s="8" t="s">
        <v>195</v>
      </c>
      <c r="C546" s="8" t="s">
        <v>113</v>
      </c>
      <c r="D546" s="8" t="s">
        <v>1086</v>
      </c>
      <c r="E546" s="8" t="s">
        <v>1083</v>
      </c>
      <c r="F546" s="6">
        <v>621</v>
      </c>
      <c r="G546" s="6" t="b">
        <v>0</v>
      </c>
      <c r="H546" s="8" t="s">
        <v>240</v>
      </c>
      <c r="I546" s="6" t="b">
        <v>0</v>
      </c>
      <c r="J546" s="6" t="b">
        <v>0</v>
      </c>
      <c r="K546" s="6" t="b">
        <v>0</v>
      </c>
      <c r="L546" s="6" t="b">
        <v>1</v>
      </c>
      <c r="M546" s="6" t="b">
        <v>0</v>
      </c>
      <c r="N546" s="6">
        <v>1</v>
      </c>
      <c r="O546" s="8" t="s">
        <v>331</v>
      </c>
      <c r="P546" s="8" t="s">
        <v>238</v>
      </c>
      <c r="Q546" s="8" t="s">
        <v>446</v>
      </c>
      <c r="R546" s="6">
        <v>5</v>
      </c>
      <c r="S546" s="8" t="s">
        <v>347</v>
      </c>
      <c r="T546" s="9"/>
      <c r="U546" s="8" t="s">
        <v>1087</v>
      </c>
      <c r="V546" s="8" t="s">
        <v>496</v>
      </c>
      <c r="W546" s="8" t="s">
        <v>483</v>
      </c>
      <c r="X546" s="8" t="s">
        <v>1088</v>
      </c>
      <c r="Y546" s="8" t="s">
        <v>240</v>
      </c>
      <c r="Z546" s="6" t="b">
        <v>0</v>
      </c>
      <c r="AA546" s="9"/>
      <c r="AB546" s="9"/>
    </row>
    <row r="547" spans="1:28" ht="16">
      <c r="A547" s="6">
        <v>623</v>
      </c>
      <c r="B547" s="8" t="s">
        <v>195</v>
      </c>
      <c r="C547" s="8" t="s">
        <v>113</v>
      </c>
      <c r="D547" s="8" t="s">
        <v>1089</v>
      </c>
      <c r="E547" s="8" t="s">
        <v>1083</v>
      </c>
      <c r="F547" s="6">
        <v>621</v>
      </c>
      <c r="G547" s="6" t="b">
        <v>0</v>
      </c>
      <c r="H547" s="8" t="s">
        <v>240</v>
      </c>
      <c r="I547" s="6" t="b">
        <v>0</v>
      </c>
      <c r="J547" s="6" t="b">
        <v>0</v>
      </c>
      <c r="K547" s="6" t="b">
        <v>0</v>
      </c>
      <c r="L547" s="6" t="b">
        <v>1</v>
      </c>
      <c r="M547" s="6" t="b">
        <v>0</v>
      </c>
      <c r="N547" s="6">
        <v>1</v>
      </c>
      <c r="O547" s="8" t="s">
        <v>331</v>
      </c>
      <c r="P547" s="8" t="s">
        <v>238</v>
      </c>
      <c r="Q547" s="8" t="s">
        <v>446</v>
      </c>
      <c r="R547" s="6">
        <v>5</v>
      </c>
      <c r="S547" s="8" t="s">
        <v>347</v>
      </c>
      <c r="T547" s="9"/>
      <c r="U547" s="8" t="s">
        <v>1090</v>
      </c>
      <c r="V547" s="8" t="s">
        <v>496</v>
      </c>
      <c r="W547" s="8" t="s">
        <v>483</v>
      </c>
      <c r="X547" s="8" t="s">
        <v>1091</v>
      </c>
      <c r="Y547" s="8" t="s">
        <v>240</v>
      </c>
      <c r="Z547" s="6" t="b">
        <v>0</v>
      </c>
      <c r="AA547" s="9"/>
      <c r="AB547" s="9"/>
    </row>
    <row r="548" spans="1:28" ht="16">
      <c r="A548" s="6">
        <v>624</v>
      </c>
      <c r="B548" s="8" t="s">
        <v>195</v>
      </c>
      <c r="C548" s="8" t="s">
        <v>162</v>
      </c>
      <c r="D548" s="8" t="s">
        <v>1092</v>
      </c>
      <c r="E548" s="8" t="s">
        <v>1092</v>
      </c>
      <c r="F548" s="6">
        <v>624</v>
      </c>
      <c r="G548" s="6" t="b">
        <v>0</v>
      </c>
      <c r="H548" s="8" t="s">
        <v>240</v>
      </c>
      <c r="I548" s="6" t="b">
        <v>0</v>
      </c>
      <c r="J548" s="6" t="b">
        <v>0</v>
      </c>
      <c r="K548" s="6" t="b">
        <v>0</v>
      </c>
      <c r="L548" s="6" t="b">
        <v>1</v>
      </c>
      <c r="M548" s="6" t="b">
        <v>0</v>
      </c>
      <c r="N548" s="6">
        <v>3</v>
      </c>
      <c r="O548" s="8" t="s">
        <v>331</v>
      </c>
      <c r="P548" s="8" t="s">
        <v>238</v>
      </c>
      <c r="Q548" s="8" t="s">
        <v>446</v>
      </c>
      <c r="R548" s="6">
        <v>3</v>
      </c>
      <c r="S548" s="8" t="s">
        <v>75</v>
      </c>
      <c r="T548" s="9"/>
      <c r="U548" s="8" t="s">
        <v>240</v>
      </c>
      <c r="V548" s="8" t="s">
        <v>1093</v>
      </c>
      <c r="W548" s="8" t="s">
        <v>240</v>
      </c>
      <c r="X548" s="8" t="s">
        <v>1014</v>
      </c>
      <c r="Y548" s="8" t="s">
        <v>240</v>
      </c>
      <c r="Z548" s="6" t="b">
        <v>0</v>
      </c>
      <c r="AA548" s="9"/>
      <c r="AB548" s="9"/>
    </row>
    <row r="549" spans="1:28" ht="32">
      <c r="A549" s="6">
        <v>625</v>
      </c>
      <c r="B549" s="8" t="s">
        <v>195</v>
      </c>
      <c r="C549" s="8" t="s">
        <v>162</v>
      </c>
      <c r="D549" s="8" t="s">
        <v>1094</v>
      </c>
      <c r="E549" s="8" t="s">
        <v>1092</v>
      </c>
      <c r="F549" s="6">
        <v>625</v>
      </c>
      <c r="G549" s="6" t="b">
        <v>0</v>
      </c>
      <c r="H549" s="8" t="s">
        <v>240</v>
      </c>
      <c r="I549" s="6" t="b">
        <v>0</v>
      </c>
      <c r="J549" s="6" t="b">
        <v>0</v>
      </c>
      <c r="K549" s="6" t="b">
        <v>0</v>
      </c>
      <c r="L549" s="6" t="b">
        <v>1</v>
      </c>
      <c r="M549" s="6" t="b">
        <v>0</v>
      </c>
      <c r="N549" s="6">
        <v>3</v>
      </c>
      <c r="O549" s="8" t="s">
        <v>331</v>
      </c>
      <c r="P549" s="8" t="s">
        <v>238</v>
      </c>
      <c r="Q549" s="8" t="s">
        <v>446</v>
      </c>
      <c r="R549" s="6">
        <v>3</v>
      </c>
      <c r="S549" s="8" t="s">
        <v>75</v>
      </c>
      <c r="T549" s="9"/>
      <c r="U549" s="8" t="s">
        <v>240</v>
      </c>
      <c r="V549" s="8" t="s">
        <v>1093</v>
      </c>
      <c r="W549" s="8" t="s">
        <v>240</v>
      </c>
      <c r="X549" s="8" t="s">
        <v>1095</v>
      </c>
      <c r="Y549" s="8" t="s">
        <v>1096</v>
      </c>
      <c r="Z549" s="6" t="b">
        <v>0</v>
      </c>
      <c r="AA549" s="9"/>
      <c r="AB549" s="9"/>
    </row>
    <row r="550" spans="1:28" ht="16">
      <c r="A550" s="6">
        <v>626</v>
      </c>
      <c r="B550" s="8" t="s">
        <v>195</v>
      </c>
      <c r="C550" s="8" t="s">
        <v>113</v>
      </c>
      <c r="D550" s="8" t="s">
        <v>1097</v>
      </c>
      <c r="E550" s="8" t="s">
        <v>1097</v>
      </c>
      <c r="F550" s="6">
        <v>626</v>
      </c>
      <c r="G550" s="6" t="b">
        <v>0</v>
      </c>
      <c r="H550" s="8" t="s">
        <v>240</v>
      </c>
      <c r="I550" s="6" t="b">
        <v>0</v>
      </c>
      <c r="J550" s="6" t="b">
        <v>0</v>
      </c>
      <c r="K550" s="6" t="b">
        <v>0</v>
      </c>
      <c r="L550" s="6" t="b">
        <v>1</v>
      </c>
      <c r="M550" s="6" t="b">
        <v>0</v>
      </c>
      <c r="N550" s="6">
        <v>1</v>
      </c>
      <c r="O550" s="8" t="s">
        <v>331</v>
      </c>
      <c r="P550" s="8" t="s">
        <v>238</v>
      </c>
      <c r="Q550" s="8" t="s">
        <v>446</v>
      </c>
      <c r="R550" s="6">
        <v>3</v>
      </c>
      <c r="S550" s="8" t="s">
        <v>341</v>
      </c>
      <c r="T550" s="9"/>
      <c r="U550" s="8" t="s">
        <v>240</v>
      </c>
      <c r="V550" s="8" t="s">
        <v>450</v>
      </c>
      <c r="W550" s="8" t="s">
        <v>483</v>
      </c>
      <c r="X550" s="8" t="s">
        <v>1066</v>
      </c>
      <c r="Y550" s="8" t="s">
        <v>240</v>
      </c>
      <c r="Z550" s="6" t="b">
        <v>0</v>
      </c>
      <c r="AA550" s="9"/>
      <c r="AB550" s="9"/>
    </row>
    <row r="551" spans="1:28" ht="16">
      <c r="A551" s="6">
        <v>627</v>
      </c>
      <c r="B551" s="8" t="s">
        <v>195</v>
      </c>
      <c r="C551" s="8" t="s">
        <v>113</v>
      </c>
      <c r="D551" s="8" t="s">
        <v>1098</v>
      </c>
      <c r="E551" s="8" t="s">
        <v>1097</v>
      </c>
      <c r="F551" s="6">
        <v>626</v>
      </c>
      <c r="G551" s="6" t="b">
        <v>0</v>
      </c>
      <c r="H551" s="8" t="s">
        <v>240</v>
      </c>
      <c r="I551" s="6" t="b">
        <v>0</v>
      </c>
      <c r="J551" s="6" t="b">
        <v>0</v>
      </c>
      <c r="K551" s="6" t="b">
        <v>0</v>
      </c>
      <c r="L551" s="6" t="b">
        <v>1</v>
      </c>
      <c r="M551" s="6" t="b">
        <v>0</v>
      </c>
      <c r="N551" s="6">
        <v>1</v>
      </c>
      <c r="O551" s="8" t="s">
        <v>331</v>
      </c>
      <c r="P551" s="8" t="s">
        <v>238</v>
      </c>
      <c r="Q551" s="8" t="s">
        <v>446</v>
      </c>
      <c r="R551" s="6">
        <v>1</v>
      </c>
      <c r="S551" s="8" t="s">
        <v>347</v>
      </c>
      <c r="T551" s="9"/>
      <c r="U551" s="8" t="s">
        <v>240</v>
      </c>
      <c r="V551" s="8" t="s">
        <v>450</v>
      </c>
      <c r="W551" s="8" t="s">
        <v>483</v>
      </c>
      <c r="X551" s="8" t="s">
        <v>1099</v>
      </c>
      <c r="Y551" s="8" t="s">
        <v>240</v>
      </c>
      <c r="Z551" s="6" t="b">
        <v>0</v>
      </c>
      <c r="AA551" s="9"/>
      <c r="AB551" s="9"/>
    </row>
    <row r="552" spans="1:28" ht="16">
      <c r="A552" s="6">
        <v>628</v>
      </c>
      <c r="B552" s="8" t="s">
        <v>195</v>
      </c>
      <c r="C552" s="8" t="s">
        <v>1056</v>
      </c>
      <c r="D552" s="8" t="s">
        <v>1100</v>
      </c>
      <c r="E552" s="8" t="s">
        <v>1100</v>
      </c>
      <c r="F552" s="6">
        <v>628</v>
      </c>
      <c r="G552" s="6" t="b">
        <v>0</v>
      </c>
      <c r="H552" s="8" t="s">
        <v>240</v>
      </c>
      <c r="I552" s="6" t="b">
        <v>0</v>
      </c>
      <c r="J552" s="6" t="b">
        <v>0</v>
      </c>
      <c r="K552" s="6" t="b">
        <v>0</v>
      </c>
      <c r="L552" s="6" t="b">
        <v>1</v>
      </c>
      <c r="M552" s="6" t="b">
        <v>0</v>
      </c>
      <c r="N552" s="6">
        <v>5</v>
      </c>
      <c r="O552" s="8" t="s">
        <v>331</v>
      </c>
      <c r="P552" s="8" t="s">
        <v>238</v>
      </c>
      <c r="Q552" s="8" t="s">
        <v>927</v>
      </c>
      <c r="R552" s="6">
        <v>2</v>
      </c>
      <c r="S552" s="8" t="s">
        <v>341</v>
      </c>
      <c r="T552" s="9"/>
      <c r="U552" s="8" t="s">
        <v>240</v>
      </c>
      <c r="V552" s="8" t="s">
        <v>450</v>
      </c>
      <c r="W552" s="8" t="s">
        <v>240</v>
      </c>
      <c r="X552" s="8" t="s">
        <v>1058</v>
      </c>
      <c r="Y552" s="8" t="s">
        <v>240</v>
      </c>
      <c r="Z552" s="6" t="b">
        <v>0</v>
      </c>
      <c r="AA552" s="9"/>
      <c r="AB552" s="9"/>
    </row>
    <row r="553" spans="1:28" ht="32">
      <c r="A553" s="6">
        <v>629</v>
      </c>
      <c r="B553" s="8" t="s">
        <v>195</v>
      </c>
      <c r="C553" s="8" t="s">
        <v>1056</v>
      </c>
      <c r="D553" s="8" t="s">
        <v>1101</v>
      </c>
      <c r="E553" s="8" t="s">
        <v>1100</v>
      </c>
      <c r="F553" s="6">
        <v>628</v>
      </c>
      <c r="G553" s="6" t="b">
        <v>0</v>
      </c>
      <c r="H553" s="8" t="s">
        <v>240</v>
      </c>
      <c r="I553" s="6" t="b">
        <v>0</v>
      </c>
      <c r="J553" s="6" t="b">
        <v>0</v>
      </c>
      <c r="K553" s="6" t="b">
        <v>0</v>
      </c>
      <c r="L553" s="6" t="b">
        <v>1</v>
      </c>
      <c r="M553" s="6" t="b">
        <v>0</v>
      </c>
      <c r="N553" s="6">
        <v>5</v>
      </c>
      <c r="O553" s="8" t="s">
        <v>331</v>
      </c>
      <c r="P553" s="8" t="s">
        <v>238</v>
      </c>
      <c r="Q553" s="8" t="s">
        <v>927</v>
      </c>
      <c r="R553" s="6">
        <v>2</v>
      </c>
      <c r="S553" s="8" t="s">
        <v>341</v>
      </c>
      <c r="T553" s="9"/>
      <c r="U553" s="8" t="s">
        <v>240</v>
      </c>
      <c r="V553" s="8" t="s">
        <v>450</v>
      </c>
      <c r="W553" s="8" t="s">
        <v>240</v>
      </c>
      <c r="X553" s="8" t="s">
        <v>1102</v>
      </c>
      <c r="Y553" s="8" t="s">
        <v>240</v>
      </c>
      <c r="Z553" s="6" t="b">
        <v>0</v>
      </c>
      <c r="AA553" s="9"/>
      <c r="AB553" s="9"/>
    </row>
    <row r="554" spans="1:28" ht="32">
      <c r="A554" s="6">
        <v>630</v>
      </c>
      <c r="B554" s="8" t="s">
        <v>195</v>
      </c>
      <c r="C554" s="8" t="s">
        <v>112</v>
      </c>
      <c r="D554" s="8" t="s">
        <v>1103</v>
      </c>
      <c r="E554" s="8" t="s">
        <v>1103</v>
      </c>
      <c r="F554" s="6">
        <v>630</v>
      </c>
      <c r="G554" s="6" t="b">
        <v>0</v>
      </c>
      <c r="H554" s="8" t="s">
        <v>240</v>
      </c>
      <c r="I554" s="6" t="b">
        <v>0</v>
      </c>
      <c r="J554" s="6" t="b">
        <v>0</v>
      </c>
      <c r="K554" s="6" t="b">
        <v>0</v>
      </c>
      <c r="L554" s="6" t="b">
        <v>1</v>
      </c>
      <c r="M554" s="6" t="b">
        <v>0</v>
      </c>
      <c r="N554" s="6">
        <v>5</v>
      </c>
      <c r="O554" s="8" t="s">
        <v>331</v>
      </c>
      <c r="P554" s="8" t="s">
        <v>238</v>
      </c>
      <c r="Q554" s="8" t="s">
        <v>446</v>
      </c>
      <c r="R554" s="6">
        <v>6</v>
      </c>
      <c r="S554" s="8" t="s">
        <v>335</v>
      </c>
      <c r="T554" s="6">
        <v>6</v>
      </c>
      <c r="U554" s="8" t="s">
        <v>240</v>
      </c>
      <c r="V554" s="8" t="s">
        <v>1093</v>
      </c>
      <c r="W554" s="8" t="s">
        <v>240</v>
      </c>
      <c r="X554" s="8" t="s">
        <v>1017</v>
      </c>
      <c r="Y554" s="8" t="s">
        <v>1104</v>
      </c>
      <c r="Z554" s="6" t="b">
        <v>0</v>
      </c>
      <c r="AA554" s="9"/>
      <c r="AB554" s="9"/>
    </row>
    <row r="555" spans="1:28" ht="32">
      <c r="A555" s="6">
        <v>631</v>
      </c>
      <c r="B555" s="8" t="s">
        <v>195</v>
      </c>
      <c r="C555" s="8" t="s">
        <v>112</v>
      </c>
      <c r="D555" s="8" t="s">
        <v>1105</v>
      </c>
      <c r="E555" s="8" t="s">
        <v>1103</v>
      </c>
      <c r="F555" s="6">
        <v>630</v>
      </c>
      <c r="G555" s="6" t="b">
        <v>0</v>
      </c>
      <c r="H555" s="8" t="s">
        <v>240</v>
      </c>
      <c r="I555" s="6" t="b">
        <v>0</v>
      </c>
      <c r="J555" s="6" t="b">
        <v>0</v>
      </c>
      <c r="K555" s="6" t="b">
        <v>0</v>
      </c>
      <c r="L555" s="6" t="b">
        <v>1</v>
      </c>
      <c r="M555" s="6" t="b">
        <v>0</v>
      </c>
      <c r="N555" s="6">
        <v>5</v>
      </c>
      <c r="O555" s="8" t="s">
        <v>331</v>
      </c>
      <c r="P555" s="8" t="s">
        <v>238</v>
      </c>
      <c r="Q555" s="8" t="s">
        <v>446</v>
      </c>
      <c r="R555" s="6">
        <v>6</v>
      </c>
      <c r="S555" s="8" t="s">
        <v>347</v>
      </c>
      <c r="T555" s="9"/>
      <c r="U555" s="8" t="s">
        <v>240</v>
      </c>
      <c r="V555" s="8" t="s">
        <v>1093</v>
      </c>
      <c r="W555" s="8" t="s">
        <v>240</v>
      </c>
      <c r="X555" s="8" t="s">
        <v>1106</v>
      </c>
      <c r="Y555" s="8" t="s">
        <v>240</v>
      </c>
      <c r="Z555" s="6" t="b">
        <v>0</v>
      </c>
      <c r="AA555" s="9"/>
      <c r="AB555" s="9"/>
    </row>
    <row r="556" spans="1:28" ht="16">
      <c r="A556" s="6">
        <v>632</v>
      </c>
      <c r="B556" s="8" t="s">
        <v>195</v>
      </c>
      <c r="C556" s="8" t="s">
        <v>97</v>
      </c>
      <c r="D556" s="8" t="s">
        <v>1107</v>
      </c>
      <c r="E556" s="8" t="s">
        <v>1107</v>
      </c>
      <c r="F556" s="6">
        <v>632</v>
      </c>
      <c r="G556" s="6" t="b">
        <v>0</v>
      </c>
      <c r="H556" s="8" t="s">
        <v>240</v>
      </c>
      <c r="I556" s="6" t="b">
        <v>0</v>
      </c>
      <c r="J556" s="6" t="b">
        <v>0</v>
      </c>
      <c r="K556" s="6" t="b">
        <v>0</v>
      </c>
      <c r="L556" s="6" t="b">
        <v>1</v>
      </c>
      <c r="M556" s="6" t="b">
        <v>0</v>
      </c>
      <c r="N556" s="6">
        <v>9</v>
      </c>
      <c r="O556" s="8" t="s">
        <v>347</v>
      </c>
      <c r="P556" s="8" t="s">
        <v>238</v>
      </c>
      <c r="Q556" s="8" t="s">
        <v>446</v>
      </c>
      <c r="R556" s="6">
        <v>9</v>
      </c>
      <c r="S556" s="8" t="s">
        <v>335</v>
      </c>
      <c r="T556" s="6">
        <v>9</v>
      </c>
      <c r="U556" s="8" t="s">
        <v>240</v>
      </c>
      <c r="V556" s="8" t="s">
        <v>1012</v>
      </c>
      <c r="W556" s="8" t="s">
        <v>240</v>
      </c>
      <c r="X556" s="8" t="s">
        <v>1019</v>
      </c>
      <c r="Y556" s="8" t="s">
        <v>1108</v>
      </c>
      <c r="Z556" s="6" t="b">
        <v>0</v>
      </c>
      <c r="AA556" s="9"/>
      <c r="AB556" s="9"/>
    </row>
    <row r="557" spans="1:28" ht="16">
      <c r="A557" s="6">
        <v>633</v>
      </c>
      <c r="B557" s="8" t="s">
        <v>195</v>
      </c>
      <c r="C557" s="8" t="s">
        <v>97</v>
      </c>
      <c r="D557" s="8" t="s">
        <v>1109</v>
      </c>
      <c r="E557" s="8" t="s">
        <v>1107</v>
      </c>
      <c r="F557" s="6">
        <v>632</v>
      </c>
      <c r="G557" s="6" t="b">
        <v>0</v>
      </c>
      <c r="H557" s="8" t="s">
        <v>240</v>
      </c>
      <c r="I557" s="6" t="b">
        <v>0</v>
      </c>
      <c r="J557" s="6" t="b">
        <v>0</v>
      </c>
      <c r="K557" s="6" t="b">
        <v>0</v>
      </c>
      <c r="L557" s="6" t="b">
        <v>1</v>
      </c>
      <c r="M557" s="6" t="b">
        <v>0</v>
      </c>
      <c r="N557" s="6">
        <v>9</v>
      </c>
      <c r="O557" s="8" t="s">
        <v>347</v>
      </c>
      <c r="P557" s="8" t="s">
        <v>238</v>
      </c>
      <c r="Q557" s="8" t="s">
        <v>446</v>
      </c>
      <c r="R557" s="6">
        <v>9</v>
      </c>
      <c r="S557" s="8" t="s">
        <v>335</v>
      </c>
      <c r="T557" s="9"/>
      <c r="U557" s="8" t="s">
        <v>240</v>
      </c>
      <c r="V557" s="8" t="s">
        <v>1012</v>
      </c>
      <c r="W557" s="8" t="s">
        <v>240</v>
      </c>
      <c r="X557" s="8" t="s">
        <v>1110</v>
      </c>
      <c r="Y557" s="8" t="s">
        <v>240</v>
      </c>
      <c r="Z557" s="6" t="b">
        <v>0</v>
      </c>
      <c r="AA557" s="9"/>
      <c r="AB557" s="9"/>
    </row>
    <row r="558" spans="1:28" ht="32">
      <c r="A558" s="6">
        <v>634</v>
      </c>
      <c r="B558" s="8" t="s">
        <v>195</v>
      </c>
      <c r="C558" s="8" t="s">
        <v>97</v>
      </c>
      <c r="D558" s="8" t="s">
        <v>1111</v>
      </c>
      <c r="E558" s="8" t="s">
        <v>1107</v>
      </c>
      <c r="F558" s="6">
        <v>632</v>
      </c>
      <c r="G558" s="6" t="b">
        <v>0</v>
      </c>
      <c r="H558" s="8" t="s">
        <v>240</v>
      </c>
      <c r="I558" s="6" t="b">
        <v>0</v>
      </c>
      <c r="J558" s="6" t="b">
        <v>0</v>
      </c>
      <c r="K558" s="6" t="b">
        <v>0</v>
      </c>
      <c r="L558" s="6" t="b">
        <v>1</v>
      </c>
      <c r="M558" s="6" t="b">
        <v>0</v>
      </c>
      <c r="N558" s="6">
        <v>9</v>
      </c>
      <c r="O558" s="8" t="s">
        <v>347</v>
      </c>
      <c r="P558" s="8" t="s">
        <v>238</v>
      </c>
      <c r="Q558" s="8" t="s">
        <v>446</v>
      </c>
      <c r="R558" s="6">
        <v>9</v>
      </c>
      <c r="S558" s="8" t="s">
        <v>347</v>
      </c>
      <c r="T558" s="9"/>
      <c r="U558" s="8" t="s">
        <v>240</v>
      </c>
      <c r="V558" s="8" t="s">
        <v>1012</v>
      </c>
      <c r="W558" s="8" t="s">
        <v>240</v>
      </c>
      <c r="X558" s="8" t="s">
        <v>1112</v>
      </c>
      <c r="Y558" s="8" t="s">
        <v>240</v>
      </c>
      <c r="Z558" s="6" t="b">
        <v>0</v>
      </c>
      <c r="AA558" s="9"/>
      <c r="AB558" s="9"/>
    </row>
    <row r="559" spans="1:28" ht="16">
      <c r="A559" s="6">
        <v>635</v>
      </c>
      <c r="B559" s="8" t="s">
        <v>195</v>
      </c>
      <c r="C559" s="8" t="s">
        <v>113</v>
      </c>
      <c r="D559" s="8" t="s">
        <v>1113</v>
      </c>
      <c r="E559" s="8" t="s">
        <v>1113</v>
      </c>
      <c r="F559" s="6">
        <v>635</v>
      </c>
      <c r="G559" s="6" t="b">
        <v>0</v>
      </c>
      <c r="H559" s="8" t="s">
        <v>240</v>
      </c>
      <c r="I559" s="6" t="b">
        <v>0</v>
      </c>
      <c r="J559" s="6" t="b">
        <v>0</v>
      </c>
      <c r="K559" s="6" t="b">
        <v>0</v>
      </c>
      <c r="L559" s="6" t="b">
        <v>1</v>
      </c>
      <c r="M559" s="6" t="b">
        <v>0</v>
      </c>
      <c r="N559" s="6">
        <v>1</v>
      </c>
      <c r="O559" s="8" t="s">
        <v>331</v>
      </c>
      <c r="P559" s="8" t="s">
        <v>238</v>
      </c>
      <c r="Q559" s="8" t="s">
        <v>446</v>
      </c>
      <c r="R559" s="6">
        <v>5</v>
      </c>
      <c r="S559" s="8" t="s">
        <v>335</v>
      </c>
      <c r="T559" s="6">
        <v>5</v>
      </c>
      <c r="U559" s="8" t="s">
        <v>240</v>
      </c>
      <c r="V559" s="8" t="s">
        <v>496</v>
      </c>
      <c r="W559" s="8" t="s">
        <v>483</v>
      </c>
      <c r="X559" s="8" t="s">
        <v>1066</v>
      </c>
      <c r="Y559" s="8" t="s">
        <v>1114</v>
      </c>
      <c r="Z559" s="6" t="b">
        <v>0</v>
      </c>
      <c r="AA559" s="9"/>
      <c r="AB559" s="9"/>
    </row>
    <row r="560" spans="1:28" ht="16">
      <c r="A560" s="6">
        <v>636</v>
      </c>
      <c r="B560" s="8" t="s">
        <v>195</v>
      </c>
      <c r="C560" s="8" t="s">
        <v>113</v>
      </c>
      <c r="D560" s="8" t="s">
        <v>1115</v>
      </c>
      <c r="E560" s="8" t="s">
        <v>1113</v>
      </c>
      <c r="F560" s="6">
        <v>635</v>
      </c>
      <c r="G560" s="6" t="b">
        <v>0</v>
      </c>
      <c r="H560" s="8" t="s">
        <v>240</v>
      </c>
      <c r="I560" s="6" t="b">
        <v>0</v>
      </c>
      <c r="J560" s="6" t="b">
        <v>0</v>
      </c>
      <c r="K560" s="6" t="b">
        <v>0</v>
      </c>
      <c r="L560" s="6" t="b">
        <v>1</v>
      </c>
      <c r="M560" s="6" t="b">
        <v>0</v>
      </c>
      <c r="N560" s="6">
        <v>1</v>
      </c>
      <c r="O560" s="8" t="s">
        <v>331</v>
      </c>
      <c r="P560" s="8" t="s">
        <v>238</v>
      </c>
      <c r="Q560" s="8" t="s">
        <v>446</v>
      </c>
      <c r="R560" s="6">
        <v>1</v>
      </c>
      <c r="S560" s="8" t="s">
        <v>75</v>
      </c>
      <c r="T560" s="9"/>
      <c r="U560" s="8" t="s">
        <v>240</v>
      </c>
      <c r="V560" s="8" t="s">
        <v>240</v>
      </c>
      <c r="W560" s="8" t="s">
        <v>483</v>
      </c>
      <c r="X560" s="8" t="s">
        <v>240</v>
      </c>
      <c r="Y560" s="8" t="s">
        <v>240</v>
      </c>
      <c r="Z560" s="6" t="b">
        <v>0</v>
      </c>
      <c r="AA560" s="9"/>
      <c r="AB560" s="9"/>
    </row>
    <row r="561" spans="1:28" ht="16">
      <c r="A561" s="6">
        <v>637</v>
      </c>
      <c r="B561" s="8" t="s">
        <v>195</v>
      </c>
      <c r="C561" s="8" t="s">
        <v>113</v>
      </c>
      <c r="D561" s="8" t="s">
        <v>1116</v>
      </c>
      <c r="E561" s="8" t="s">
        <v>1113</v>
      </c>
      <c r="F561" s="6">
        <v>635</v>
      </c>
      <c r="G561" s="6" t="b">
        <v>0</v>
      </c>
      <c r="H561" s="8" t="s">
        <v>240</v>
      </c>
      <c r="I561" s="6" t="b">
        <v>0</v>
      </c>
      <c r="J561" s="6" t="b">
        <v>0</v>
      </c>
      <c r="K561" s="6" t="b">
        <v>0</v>
      </c>
      <c r="L561" s="6" t="b">
        <v>1</v>
      </c>
      <c r="M561" s="6" t="b">
        <v>0</v>
      </c>
      <c r="N561" s="6">
        <v>1</v>
      </c>
      <c r="O561" s="8" t="s">
        <v>331</v>
      </c>
      <c r="P561" s="8" t="s">
        <v>238</v>
      </c>
      <c r="Q561" s="8" t="s">
        <v>446</v>
      </c>
      <c r="R561" s="6">
        <v>1</v>
      </c>
      <c r="S561" s="8" t="s">
        <v>75</v>
      </c>
      <c r="T561" s="9"/>
      <c r="U561" s="8" t="s">
        <v>240</v>
      </c>
      <c r="V561" s="8" t="s">
        <v>496</v>
      </c>
      <c r="W561" s="8" t="s">
        <v>483</v>
      </c>
      <c r="X561" s="8" t="s">
        <v>240</v>
      </c>
      <c r="Y561" s="8" t="s">
        <v>240</v>
      </c>
      <c r="Z561" s="6" t="b">
        <v>0</v>
      </c>
      <c r="AA561" s="9"/>
      <c r="AB561" s="9"/>
    </row>
    <row r="562" spans="1:28" ht="16">
      <c r="A562" s="6">
        <v>638</v>
      </c>
      <c r="B562" s="8" t="s">
        <v>195</v>
      </c>
      <c r="C562" s="8" t="s">
        <v>1117</v>
      </c>
      <c r="D562" s="8" t="s">
        <v>1118</v>
      </c>
      <c r="E562" s="8" t="s">
        <v>1118</v>
      </c>
      <c r="F562" s="6">
        <v>638</v>
      </c>
      <c r="G562" s="6" t="b">
        <v>0</v>
      </c>
      <c r="H562" s="8" t="s">
        <v>240</v>
      </c>
      <c r="I562" s="6" t="b">
        <v>0</v>
      </c>
      <c r="J562" s="6" t="b">
        <v>0</v>
      </c>
      <c r="K562" s="6" t="b">
        <v>0</v>
      </c>
      <c r="L562" s="6" t="b">
        <v>1</v>
      </c>
      <c r="M562" s="6" t="b">
        <v>0</v>
      </c>
      <c r="N562" s="6">
        <v>9</v>
      </c>
      <c r="O562" s="8" t="s">
        <v>347</v>
      </c>
      <c r="P562" s="8" t="s">
        <v>238</v>
      </c>
      <c r="Q562" s="8" t="s">
        <v>1119</v>
      </c>
      <c r="R562" s="6">
        <v>9</v>
      </c>
      <c r="S562" s="8" t="s">
        <v>347</v>
      </c>
      <c r="T562" s="9"/>
      <c r="U562" s="8" t="s">
        <v>240</v>
      </c>
      <c r="V562" s="8" t="s">
        <v>1120</v>
      </c>
      <c r="W562" s="8" t="s">
        <v>240</v>
      </c>
      <c r="X562" s="8" t="s">
        <v>1121</v>
      </c>
      <c r="Y562" s="8" t="s">
        <v>240</v>
      </c>
      <c r="Z562" s="6" t="b">
        <v>0</v>
      </c>
      <c r="AA562" s="9"/>
      <c r="AB562" s="9"/>
    </row>
    <row r="563" spans="1:28" ht="32">
      <c r="A563" s="6">
        <v>639</v>
      </c>
      <c r="B563" s="8" t="s">
        <v>195</v>
      </c>
      <c r="C563" s="8" t="s">
        <v>1117</v>
      </c>
      <c r="D563" s="8" t="s">
        <v>1122</v>
      </c>
      <c r="E563" s="8" t="s">
        <v>1118</v>
      </c>
      <c r="F563" s="6">
        <v>638</v>
      </c>
      <c r="G563" s="6" t="b">
        <v>0</v>
      </c>
      <c r="H563" s="8" t="s">
        <v>240</v>
      </c>
      <c r="I563" s="6" t="b">
        <v>0</v>
      </c>
      <c r="J563" s="6" t="b">
        <v>0</v>
      </c>
      <c r="K563" s="6" t="b">
        <v>0</v>
      </c>
      <c r="L563" s="6" t="b">
        <v>1</v>
      </c>
      <c r="M563" s="6" t="b">
        <v>0</v>
      </c>
      <c r="N563" s="6">
        <v>9</v>
      </c>
      <c r="O563" s="8" t="s">
        <v>347</v>
      </c>
      <c r="P563" s="8" t="s">
        <v>238</v>
      </c>
      <c r="Q563" s="8" t="s">
        <v>1119</v>
      </c>
      <c r="R563" s="6">
        <v>9</v>
      </c>
      <c r="S563" s="8" t="s">
        <v>347</v>
      </c>
      <c r="T563" s="9"/>
      <c r="U563" s="8" t="s">
        <v>240</v>
      </c>
      <c r="V563" s="8" t="s">
        <v>1120</v>
      </c>
      <c r="W563" s="8" t="s">
        <v>240</v>
      </c>
      <c r="X563" s="8" t="s">
        <v>1123</v>
      </c>
      <c r="Y563" s="8" t="s">
        <v>240</v>
      </c>
      <c r="Z563" s="6" t="b">
        <v>0</v>
      </c>
      <c r="AA563" s="9"/>
      <c r="AB563" s="9"/>
    </row>
    <row r="564" spans="1:28" ht="16">
      <c r="A564" s="6">
        <v>640</v>
      </c>
      <c r="B564" s="8" t="s">
        <v>195</v>
      </c>
      <c r="C564" s="8" t="s">
        <v>1117</v>
      </c>
      <c r="D564" s="8" t="s">
        <v>1117</v>
      </c>
      <c r="E564" s="8" t="s">
        <v>1117</v>
      </c>
      <c r="F564" s="6">
        <v>640</v>
      </c>
      <c r="G564" s="6" t="b">
        <v>0</v>
      </c>
      <c r="H564" s="8" t="s">
        <v>240</v>
      </c>
      <c r="I564" s="6" t="b">
        <v>0</v>
      </c>
      <c r="J564" s="6" t="b">
        <v>0</v>
      </c>
      <c r="K564" s="6" t="b">
        <v>0</v>
      </c>
      <c r="L564" s="6" t="b">
        <v>1</v>
      </c>
      <c r="M564" s="6" t="b">
        <v>0</v>
      </c>
      <c r="N564" s="6">
        <v>9</v>
      </c>
      <c r="O564" s="8" t="s">
        <v>347</v>
      </c>
      <c r="P564" s="8" t="s">
        <v>238</v>
      </c>
      <c r="Q564" s="8" t="s">
        <v>446</v>
      </c>
      <c r="R564" s="6">
        <v>9</v>
      </c>
      <c r="S564" s="8" t="s">
        <v>347</v>
      </c>
      <c r="T564" s="9"/>
      <c r="U564" s="8" t="s">
        <v>240</v>
      </c>
      <c r="V564" s="8" t="s">
        <v>1012</v>
      </c>
      <c r="W564" s="8" t="s">
        <v>240</v>
      </c>
      <c r="X564" s="8" t="s">
        <v>1121</v>
      </c>
      <c r="Y564" s="8" t="s">
        <v>240</v>
      </c>
      <c r="Z564" s="6" t="b">
        <v>0</v>
      </c>
      <c r="AA564" s="9"/>
      <c r="AB564" s="9"/>
    </row>
    <row r="565" spans="1:28" ht="16">
      <c r="A565" s="6">
        <v>641</v>
      </c>
      <c r="B565" s="8" t="s">
        <v>195</v>
      </c>
      <c r="C565" s="8" t="s">
        <v>196</v>
      </c>
      <c r="D565" s="8" t="s">
        <v>1124</v>
      </c>
      <c r="E565" s="8" t="s">
        <v>1124</v>
      </c>
      <c r="F565" s="6">
        <v>641</v>
      </c>
      <c r="G565" s="6" t="b">
        <v>0</v>
      </c>
      <c r="H565" s="8" t="s">
        <v>240</v>
      </c>
      <c r="I565" s="6" t="b">
        <v>0</v>
      </c>
      <c r="J565" s="6" t="b">
        <v>0</v>
      </c>
      <c r="K565" s="6" t="b">
        <v>0</v>
      </c>
      <c r="L565" s="6" t="b">
        <v>1</v>
      </c>
      <c r="M565" s="6" t="b">
        <v>0</v>
      </c>
      <c r="N565" s="6">
        <v>9</v>
      </c>
      <c r="O565" s="8" t="s">
        <v>331</v>
      </c>
      <c r="P565" s="8" t="s">
        <v>238</v>
      </c>
      <c r="Q565" s="8" t="s">
        <v>446</v>
      </c>
      <c r="R565" s="6">
        <v>9</v>
      </c>
      <c r="S565" s="8" t="s">
        <v>347</v>
      </c>
      <c r="T565" s="9"/>
      <c r="U565" s="8" t="s">
        <v>240</v>
      </c>
      <c r="V565" s="8" t="s">
        <v>450</v>
      </c>
      <c r="W565" s="8" t="s">
        <v>240</v>
      </c>
      <c r="X565" s="8" t="s">
        <v>1078</v>
      </c>
      <c r="Y565" s="8" t="s">
        <v>1125</v>
      </c>
      <c r="Z565" s="6" t="b">
        <v>0</v>
      </c>
      <c r="AA565" s="9"/>
      <c r="AB565" s="9"/>
    </row>
    <row r="566" spans="1:28" ht="16">
      <c r="A566" s="6">
        <v>642</v>
      </c>
      <c r="B566" s="8" t="s">
        <v>195</v>
      </c>
      <c r="C566" s="8" t="s">
        <v>196</v>
      </c>
      <c r="D566" s="8" t="s">
        <v>1126</v>
      </c>
      <c r="E566" s="8" t="s">
        <v>1124</v>
      </c>
      <c r="F566" s="6">
        <v>641</v>
      </c>
      <c r="G566" s="6" t="b">
        <v>0</v>
      </c>
      <c r="H566" s="8" t="s">
        <v>240</v>
      </c>
      <c r="I566" s="6" t="b">
        <v>0</v>
      </c>
      <c r="J566" s="6" t="b">
        <v>0</v>
      </c>
      <c r="K566" s="6" t="b">
        <v>0</v>
      </c>
      <c r="L566" s="6" t="b">
        <v>1</v>
      </c>
      <c r="M566" s="6" t="b">
        <v>0</v>
      </c>
      <c r="N566" s="6">
        <v>9</v>
      </c>
      <c r="O566" s="8" t="s">
        <v>331</v>
      </c>
      <c r="P566" s="8" t="s">
        <v>238</v>
      </c>
      <c r="Q566" s="8" t="s">
        <v>446</v>
      </c>
      <c r="R566" s="6">
        <v>9</v>
      </c>
      <c r="S566" s="8" t="s">
        <v>347</v>
      </c>
      <c r="T566" s="9"/>
      <c r="U566" s="8" t="s">
        <v>240</v>
      </c>
      <c r="V566" s="8" t="s">
        <v>450</v>
      </c>
      <c r="W566" s="8" t="s">
        <v>240</v>
      </c>
      <c r="X566" s="8" t="s">
        <v>240</v>
      </c>
      <c r="Y566" s="8" t="s">
        <v>240</v>
      </c>
      <c r="Z566" s="6" t="b">
        <v>0</v>
      </c>
      <c r="AA566" s="9"/>
      <c r="AB566" s="9"/>
    </row>
    <row r="567" spans="1:28" ht="32">
      <c r="A567" s="6">
        <v>643</v>
      </c>
      <c r="B567" s="8" t="s">
        <v>195</v>
      </c>
      <c r="C567" s="8" t="s">
        <v>196</v>
      </c>
      <c r="D567" s="8" t="s">
        <v>1127</v>
      </c>
      <c r="E567" s="8" t="s">
        <v>1124</v>
      </c>
      <c r="F567" s="6">
        <v>641</v>
      </c>
      <c r="G567" s="6" t="b">
        <v>0</v>
      </c>
      <c r="H567" s="8" t="s">
        <v>240</v>
      </c>
      <c r="I567" s="6" t="b">
        <v>0</v>
      </c>
      <c r="J567" s="6" t="b">
        <v>0</v>
      </c>
      <c r="K567" s="6" t="b">
        <v>0</v>
      </c>
      <c r="L567" s="6" t="b">
        <v>1</v>
      </c>
      <c r="M567" s="6" t="b">
        <v>0</v>
      </c>
      <c r="N567" s="6">
        <v>9</v>
      </c>
      <c r="O567" s="8" t="s">
        <v>331</v>
      </c>
      <c r="P567" s="8" t="s">
        <v>238</v>
      </c>
      <c r="Q567" s="8" t="s">
        <v>927</v>
      </c>
      <c r="R567" s="6">
        <v>9</v>
      </c>
      <c r="S567" s="8" t="s">
        <v>347</v>
      </c>
      <c r="T567" s="9"/>
      <c r="U567" s="8" t="s">
        <v>240</v>
      </c>
      <c r="V567" s="8" t="s">
        <v>450</v>
      </c>
      <c r="W567" s="8" t="s">
        <v>240</v>
      </c>
      <c r="X567" s="8" t="s">
        <v>1128</v>
      </c>
      <c r="Y567" s="8" t="s">
        <v>240</v>
      </c>
      <c r="Z567" s="6" t="b">
        <v>0</v>
      </c>
      <c r="AA567" s="9"/>
      <c r="AB567" s="9"/>
    </row>
    <row r="568" spans="1:28" ht="16">
      <c r="A568" s="6">
        <v>644</v>
      </c>
      <c r="B568" s="8" t="s">
        <v>195</v>
      </c>
      <c r="C568" s="8" t="s">
        <v>196</v>
      </c>
      <c r="D568" s="8" t="s">
        <v>196</v>
      </c>
      <c r="E568" s="8" t="s">
        <v>196</v>
      </c>
      <c r="F568" s="6">
        <v>644</v>
      </c>
      <c r="G568" s="6" t="b">
        <v>0</v>
      </c>
      <c r="H568" s="8" t="s">
        <v>240</v>
      </c>
      <c r="I568" s="6" t="b">
        <v>0</v>
      </c>
      <c r="J568" s="6" t="b">
        <v>0</v>
      </c>
      <c r="K568" s="6" t="b">
        <v>0</v>
      </c>
      <c r="L568" s="6" t="b">
        <v>1</v>
      </c>
      <c r="M568" s="6" t="b">
        <v>0</v>
      </c>
      <c r="N568" s="6">
        <v>9</v>
      </c>
      <c r="O568" s="8" t="s">
        <v>331</v>
      </c>
      <c r="P568" s="8" t="s">
        <v>238</v>
      </c>
      <c r="Q568" s="8" t="s">
        <v>927</v>
      </c>
      <c r="R568" s="6">
        <v>9</v>
      </c>
      <c r="S568" s="8" t="s">
        <v>75</v>
      </c>
      <c r="T568" s="6">
        <v>2</v>
      </c>
      <c r="U568" s="8" t="s">
        <v>240</v>
      </c>
      <c r="V568" s="8" t="s">
        <v>240</v>
      </c>
      <c r="W568" s="8" t="s">
        <v>240</v>
      </c>
      <c r="X568" s="8" t="s">
        <v>1078</v>
      </c>
      <c r="Y568" s="8" t="s">
        <v>240</v>
      </c>
      <c r="Z568" s="6" t="b">
        <v>0</v>
      </c>
      <c r="AA568" s="9"/>
      <c r="AB568" s="9"/>
    </row>
    <row r="569" spans="1:28" ht="16">
      <c r="A569" s="6">
        <v>645</v>
      </c>
      <c r="B569" s="8" t="s">
        <v>195</v>
      </c>
      <c r="C569" s="8" t="s">
        <v>1059</v>
      </c>
      <c r="D569" s="8" t="s">
        <v>1129</v>
      </c>
      <c r="E569" s="8" t="s">
        <v>1129</v>
      </c>
      <c r="F569" s="6">
        <v>645</v>
      </c>
      <c r="G569" s="6" t="b">
        <v>0</v>
      </c>
      <c r="H569" s="8" t="s">
        <v>240</v>
      </c>
      <c r="I569" s="6" t="b">
        <v>0</v>
      </c>
      <c r="J569" s="6" t="b">
        <v>0</v>
      </c>
      <c r="K569" s="6" t="b">
        <v>0</v>
      </c>
      <c r="L569" s="6" t="b">
        <v>1</v>
      </c>
      <c r="M569" s="6" t="b">
        <v>0</v>
      </c>
      <c r="N569" s="6">
        <v>3</v>
      </c>
      <c r="O569" s="8" t="s">
        <v>331</v>
      </c>
      <c r="P569" s="8" t="s">
        <v>238</v>
      </c>
      <c r="Q569" s="8" t="s">
        <v>446</v>
      </c>
      <c r="R569" s="6">
        <v>2</v>
      </c>
      <c r="S569" s="8" t="s">
        <v>335</v>
      </c>
      <c r="T569" s="6">
        <v>2</v>
      </c>
      <c r="U569" s="8" t="s">
        <v>240</v>
      </c>
      <c r="V569" s="8" t="s">
        <v>450</v>
      </c>
      <c r="W569" s="8" t="s">
        <v>240</v>
      </c>
      <c r="X569" s="8" t="s">
        <v>1061</v>
      </c>
      <c r="Y569" s="8" t="s">
        <v>240</v>
      </c>
      <c r="Z569" s="6" t="b">
        <v>0</v>
      </c>
      <c r="AA569" s="9"/>
      <c r="AB569" s="9"/>
    </row>
    <row r="570" spans="1:28" ht="32">
      <c r="A570" s="6">
        <v>646</v>
      </c>
      <c r="B570" s="8" t="s">
        <v>195</v>
      </c>
      <c r="C570" s="8" t="s">
        <v>1059</v>
      </c>
      <c r="D570" s="8" t="s">
        <v>1130</v>
      </c>
      <c r="E570" s="8" t="s">
        <v>1129</v>
      </c>
      <c r="F570" s="6">
        <v>645</v>
      </c>
      <c r="G570" s="6" t="b">
        <v>0</v>
      </c>
      <c r="H570" s="8" t="s">
        <v>240</v>
      </c>
      <c r="I570" s="6" t="b">
        <v>0</v>
      </c>
      <c r="J570" s="6" t="b">
        <v>0</v>
      </c>
      <c r="K570" s="6" t="b">
        <v>0</v>
      </c>
      <c r="L570" s="6" t="b">
        <v>1</v>
      </c>
      <c r="M570" s="6" t="b">
        <v>0</v>
      </c>
      <c r="N570" s="6">
        <v>3</v>
      </c>
      <c r="O570" s="8" t="s">
        <v>331</v>
      </c>
      <c r="P570" s="8" t="s">
        <v>238</v>
      </c>
      <c r="Q570" s="8" t="s">
        <v>446</v>
      </c>
      <c r="R570" s="6">
        <v>2</v>
      </c>
      <c r="S570" s="8" t="s">
        <v>347</v>
      </c>
      <c r="T570" s="9"/>
      <c r="U570" s="8" t="s">
        <v>240</v>
      </c>
      <c r="V570" s="8" t="s">
        <v>450</v>
      </c>
      <c r="W570" s="8" t="s">
        <v>240</v>
      </c>
      <c r="X570" s="8" t="s">
        <v>1131</v>
      </c>
      <c r="Y570" s="8" t="s">
        <v>240</v>
      </c>
      <c r="Z570" s="6" t="b">
        <v>0</v>
      </c>
      <c r="AA570" s="9"/>
      <c r="AB570" s="9"/>
    </row>
    <row r="571" spans="1:28" ht="16">
      <c r="A571" s="6">
        <v>647</v>
      </c>
      <c r="B571" s="8" t="s">
        <v>195</v>
      </c>
      <c r="C571" s="8" t="s">
        <v>1059</v>
      </c>
      <c r="D571" s="8" t="s">
        <v>1059</v>
      </c>
      <c r="E571" s="8" t="s">
        <v>1059</v>
      </c>
      <c r="F571" s="6">
        <v>647</v>
      </c>
      <c r="G571" s="6" t="b">
        <v>0</v>
      </c>
      <c r="H571" s="8" t="s">
        <v>240</v>
      </c>
      <c r="I571" s="6" t="b">
        <v>0</v>
      </c>
      <c r="J571" s="6" t="b">
        <v>0</v>
      </c>
      <c r="K571" s="6" t="b">
        <v>0</v>
      </c>
      <c r="L571" s="6" t="b">
        <v>1</v>
      </c>
      <c r="M571" s="6" t="b">
        <v>0</v>
      </c>
      <c r="N571" s="6">
        <v>3</v>
      </c>
      <c r="O571" s="8" t="s">
        <v>331</v>
      </c>
      <c r="P571" s="8" t="s">
        <v>238</v>
      </c>
      <c r="Q571" s="8" t="s">
        <v>446</v>
      </c>
      <c r="R571" s="6">
        <v>3</v>
      </c>
      <c r="S571" s="8" t="s">
        <v>75</v>
      </c>
      <c r="T571" s="9"/>
      <c r="U571" s="8" t="s">
        <v>240</v>
      </c>
      <c r="V571" s="8" t="s">
        <v>450</v>
      </c>
      <c r="W571" s="8" t="s">
        <v>240</v>
      </c>
      <c r="X571" s="8" t="s">
        <v>1061</v>
      </c>
      <c r="Y571" s="8" t="s">
        <v>240</v>
      </c>
      <c r="Z571" s="6" t="b">
        <v>0</v>
      </c>
      <c r="AA571" s="9"/>
      <c r="AB571" s="9"/>
    </row>
    <row r="572" spans="1:28" ht="16">
      <c r="A572" s="6">
        <v>648</v>
      </c>
      <c r="B572" s="8" t="s">
        <v>195</v>
      </c>
      <c r="C572" s="8" t="s">
        <v>97</v>
      </c>
      <c r="D572" s="8" t="s">
        <v>1132</v>
      </c>
      <c r="E572" s="8" t="s">
        <v>1132</v>
      </c>
      <c r="F572" s="6">
        <v>648</v>
      </c>
      <c r="G572" s="6" t="b">
        <v>0</v>
      </c>
      <c r="H572" s="8" t="s">
        <v>240</v>
      </c>
      <c r="I572" s="6" t="b">
        <v>0</v>
      </c>
      <c r="J572" s="6" t="b">
        <v>0</v>
      </c>
      <c r="K572" s="6" t="b">
        <v>0</v>
      </c>
      <c r="L572" s="6" t="b">
        <v>1</v>
      </c>
      <c r="M572" s="6" t="b">
        <v>0</v>
      </c>
      <c r="N572" s="6">
        <v>9</v>
      </c>
      <c r="O572" s="8" t="s">
        <v>347</v>
      </c>
      <c r="P572" s="8" t="s">
        <v>238</v>
      </c>
      <c r="Q572" s="8" t="s">
        <v>446</v>
      </c>
      <c r="R572" s="6">
        <v>7</v>
      </c>
      <c r="S572" s="8" t="s">
        <v>341</v>
      </c>
      <c r="T572" s="9"/>
      <c r="U572" s="8" t="s">
        <v>240</v>
      </c>
      <c r="V572" s="8" t="s">
        <v>1012</v>
      </c>
      <c r="W572" s="8" t="s">
        <v>240</v>
      </c>
      <c r="X572" s="8" t="s">
        <v>1133</v>
      </c>
      <c r="Y572" s="8" t="s">
        <v>240</v>
      </c>
      <c r="Z572" s="6" t="b">
        <v>0</v>
      </c>
      <c r="AA572" s="9"/>
      <c r="AB572" s="9"/>
    </row>
    <row r="573" spans="1:28" ht="16">
      <c r="A573" s="6">
        <v>649</v>
      </c>
      <c r="B573" s="8" t="s">
        <v>195</v>
      </c>
      <c r="C573" s="8" t="s">
        <v>1056</v>
      </c>
      <c r="D573" s="8" t="s">
        <v>1134</v>
      </c>
      <c r="E573" s="8" t="s">
        <v>1134</v>
      </c>
      <c r="F573" s="6">
        <v>649</v>
      </c>
      <c r="G573" s="6" t="b">
        <v>0</v>
      </c>
      <c r="H573" s="8" t="s">
        <v>240</v>
      </c>
      <c r="I573" s="6" t="b">
        <v>0</v>
      </c>
      <c r="J573" s="6" t="b">
        <v>0</v>
      </c>
      <c r="K573" s="6" t="b">
        <v>0</v>
      </c>
      <c r="L573" s="6" t="b">
        <v>1</v>
      </c>
      <c r="M573" s="6" t="b">
        <v>0</v>
      </c>
      <c r="N573" s="6">
        <v>5</v>
      </c>
      <c r="O573" s="8" t="s">
        <v>331</v>
      </c>
      <c r="P573" s="8" t="s">
        <v>238</v>
      </c>
      <c r="Q573" s="8" t="s">
        <v>446</v>
      </c>
      <c r="R573" s="6">
        <v>2</v>
      </c>
      <c r="S573" s="8" t="s">
        <v>335</v>
      </c>
      <c r="T573" s="6">
        <v>2</v>
      </c>
      <c r="U573" s="8" t="s">
        <v>240</v>
      </c>
      <c r="V573" s="8" t="s">
        <v>1093</v>
      </c>
      <c r="W573" s="8" t="s">
        <v>240</v>
      </c>
      <c r="X573" s="8" t="s">
        <v>1058</v>
      </c>
      <c r="Y573" s="8" t="s">
        <v>240</v>
      </c>
      <c r="Z573" s="6" t="b">
        <v>0</v>
      </c>
      <c r="AA573" s="9"/>
      <c r="AB573" s="9"/>
    </row>
    <row r="574" spans="1:28" ht="48">
      <c r="A574" s="6">
        <v>650</v>
      </c>
      <c r="B574" s="8" t="s">
        <v>195</v>
      </c>
      <c r="C574" s="8" t="s">
        <v>1056</v>
      </c>
      <c r="D574" s="8" t="s">
        <v>1135</v>
      </c>
      <c r="E574" s="8" t="s">
        <v>1134</v>
      </c>
      <c r="F574" s="6">
        <v>649</v>
      </c>
      <c r="G574" s="6" t="b">
        <v>0</v>
      </c>
      <c r="H574" s="8" t="s">
        <v>240</v>
      </c>
      <c r="I574" s="6" t="b">
        <v>0</v>
      </c>
      <c r="J574" s="6" t="b">
        <v>0</v>
      </c>
      <c r="K574" s="6" t="b">
        <v>0</v>
      </c>
      <c r="L574" s="6" t="b">
        <v>1</v>
      </c>
      <c r="M574" s="6" t="b">
        <v>0</v>
      </c>
      <c r="N574" s="6">
        <v>5</v>
      </c>
      <c r="O574" s="8" t="s">
        <v>331</v>
      </c>
      <c r="P574" s="8" t="s">
        <v>238</v>
      </c>
      <c r="Q574" s="8" t="s">
        <v>811</v>
      </c>
      <c r="R574" s="6">
        <v>0</v>
      </c>
      <c r="S574" s="8" t="s">
        <v>347</v>
      </c>
      <c r="T574" s="9"/>
      <c r="U574" s="8" t="s">
        <v>240</v>
      </c>
      <c r="V574" s="8" t="s">
        <v>1093</v>
      </c>
      <c r="W574" s="8" t="s">
        <v>240</v>
      </c>
      <c r="X574" s="8" t="s">
        <v>1136</v>
      </c>
      <c r="Y574" s="8" t="s">
        <v>240</v>
      </c>
      <c r="Z574" s="6" t="b">
        <v>0</v>
      </c>
      <c r="AA574" s="9"/>
      <c r="AB574" s="9"/>
    </row>
    <row r="575" spans="1:28" ht="16">
      <c r="A575" s="6">
        <v>651</v>
      </c>
      <c r="B575" s="8" t="s">
        <v>195</v>
      </c>
      <c r="C575" s="8" t="s">
        <v>113</v>
      </c>
      <c r="D575" s="8" t="s">
        <v>1137</v>
      </c>
      <c r="E575" s="8" t="s">
        <v>1137</v>
      </c>
      <c r="F575" s="6">
        <v>651</v>
      </c>
      <c r="G575" s="6" t="b">
        <v>0</v>
      </c>
      <c r="H575" s="8" t="s">
        <v>240</v>
      </c>
      <c r="I575" s="6" t="b">
        <v>0</v>
      </c>
      <c r="J575" s="6" t="b">
        <v>0</v>
      </c>
      <c r="K575" s="6" t="b">
        <v>0</v>
      </c>
      <c r="L575" s="6" t="b">
        <v>1</v>
      </c>
      <c r="M575" s="6" t="b">
        <v>0</v>
      </c>
      <c r="N575" s="6">
        <v>1</v>
      </c>
      <c r="O575" s="8" t="s">
        <v>331</v>
      </c>
      <c r="P575" s="8" t="s">
        <v>238</v>
      </c>
      <c r="Q575" s="8" t="s">
        <v>446</v>
      </c>
      <c r="R575" s="6">
        <v>1</v>
      </c>
      <c r="S575" s="8" t="s">
        <v>75</v>
      </c>
      <c r="T575" s="9"/>
      <c r="U575" s="8" t="s">
        <v>240</v>
      </c>
      <c r="V575" s="8" t="s">
        <v>496</v>
      </c>
      <c r="W575" s="8" t="s">
        <v>483</v>
      </c>
      <c r="X575" s="8" t="s">
        <v>1066</v>
      </c>
      <c r="Y575" s="8" t="s">
        <v>240</v>
      </c>
      <c r="Z575" s="6" t="b">
        <v>0</v>
      </c>
      <c r="AA575" s="9"/>
      <c r="AB575" s="9"/>
    </row>
    <row r="576" spans="1:28" ht="32">
      <c r="A576" s="6">
        <v>652</v>
      </c>
      <c r="B576" s="8" t="s">
        <v>195</v>
      </c>
      <c r="C576" s="8" t="s">
        <v>113</v>
      </c>
      <c r="D576" s="8" t="s">
        <v>1138</v>
      </c>
      <c r="E576" s="8" t="s">
        <v>1138</v>
      </c>
      <c r="F576" s="6">
        <v>652</v>
      </c>
      <c r="G576" s="6" t="b">
        <v>0</v>
      </c>
      <c r="H576" s="8" t="s">
        <v>240</v>
      </c>
      <c r="I576" s="6" t="b">
        <v>0</v>
      </c>
      <c r="J576" s="6" t="b">
        <v>0</v>
      </c>
      <c r="K576" s="6" t="b">
        <v>0</v>
      </c>
      <c r="L576" s="6" t="b">
        <v>1</v>
      </c>
      <c r="M576" s="6" t="b">
        <v>0</v>
      </c>
      <c r="N576" s="6">
        <v>1</v>
      </c>
      <c r="O576" s="8" t="s">
        <v>331</v>
      </c>
      <c r="P576" s="8" t="s">
        <v>238</v>
      </c>
      <c r="Q576" s="8" t="s">
        <v>446</v>
      </c>
      <c r="R576" s="6">
        <v>1</v>
      </c>
      <c r="S576" s="8" t="s">
        <v>347</v>
      </c>
      <c r="T576" s="6">
        <v>1</v>
      </c>
      <c r="U576" s="8" t="s">
        <v>240</v>
      </c>
      <c r="V576" s="8" t="s">
        <v>496</v>
      </c>
      <c r="W576" s="8" t="s">
        <v>240</v>
      </c>
      <c r="X576" s="8" t="s">
        <v>1139</v>
      </c>
      <c r="Y576" s="8" t="s">
        <v>1140</v>
      </c>
      <c r="Z576" s="6" t="b">
        <v>0</v>
      </c>
      <c r="AA576" s="9"/>
      <c r="AB576" s="9"/>
    </row>
    <row r="577" spans="1:28" ht="16">
      <c r="A577" s="6">
        <v>653</v>
      </c>
      <c r="B577" s="8" t="s">
        <v>195</v>
      </c>
      <c r="C577" s="8" t="s">
        <v>196</v>
      </c>
      <c r="D577" s="8" t="s">
        <v>1141</v>
      </c>
      <c r="E577" s="8" t="s">
        <v>1141</v>
      </c>
      <c r="F577" s="6">
        <v>653</v>
      </c>
      <c r="G577" s="6" t="b">
        <v>0</v>
      </c>
      <c r="H577" s="8" t="s">
        <v>240</v>
      </c>
      <c r="I577" s="6" t="b">
        <v>0</v>
      </c>
      <c r="J577" s="6" t="b">
        <v>0</v>
      </c>
      <c r="K577" s="6" t="b">
        <v>0</v>
      </c>
      <c r="L577" s="6" t="b">
        <v>1</v>
      </c>
      <c r="M577" s="6" t="b">
        <v>0</v>
      </c>
      <c r="N577" s="6">
        <v>9</v>
      </c>
      <c r="O577" s="8" t="s">
        <v>331</v>
      </c>
      <c r="P577" s="8" t="s">
        <v>238</v>
      </c>
      <c r="Q577" s="8" t="s">
        <v>446</v>
      </c>
      <c r="R577" s="6">
        <v>10</v>
      </c>
      <c r="S577" s="8" t="s">
        <v>372</v>
      </c>
      <c r="T577" s="9"/>
      <c r="U577" s="8" t="s">
        <v>240</v>
      </c>
      <c r="V577" s="8" t="s">
        <v>450</v>
      </c>
      <c r="W577" s="8" t="s">
        <v>240</v>
      </c>
      <c r="X577" s="8" t="s">
        <v>1078</v>
      </c>
      <c r="Y577" s="8" t="s">
        <v>240</v>
      </c>
      <c r="Z577" s="6" t="b">
        <v>0</v>
      </c>
      <c r="AA577" s="9"/>
      <c r="AB577" s="9"/>
    </row>
    <row r="578" spans="1:28" ht="32">
      <c r="A578" s="6">
        <v>654</v>
      </c>
      <c r="B578" s="8" t="s">
        <v>195</v>
      </c>
      <c r="C578" s="8" t="s">
        <v>196</v>
      </c>
      <c r="D578" s="8" t="s">
        <v>1142</v>
      </c>
      <c r="E578" s="8" t="s">
        <v>1141</v>
      </c>
      <c r="F578" s="6">
        <v>653</v>
      </c>
      <c r="G578" s="6" t="b">
        <v>0</v>
      </c>
      <c r="H578" s="8" t="s">
        <v>240</v>
      </c>
      <c r="I578" s="6" t="b">
        <v>0</v>
      </c>
      <c r="J578" s="6" t="b">
        <v>0</v>
      </c>
      <c r="K578" s="6" t="b">
        <v>0</v>
      </c>
      <c r="L578" s="6" t="b">
        <v>1</v>
      </c>
      <c r="M578" s="6" t="b">
        <v>0</v>
      </c>
      <c r="N578" s="6">
        <v>9</v>
      </c>
      <c r="O578" s="8" t="s">
        <v>331</v>
      </c>
      <c r="P578" s="8" t="s">
        <v>238</v>
      </c>
      <c r="Q578" s="8" t="s">
        <v>446</v>
      </c>
      <c r="R578" s="6">
        <v>9.6</v>
      </c>
      <c r="S578" s="8" t="s">
        <v>247</v>
      </c>
      <c r="T578" s="9"/>
      <c r="U578" s="8" t="s">
        <v>240</v>
      </c>
      <c r="V578" s="8" t="s">
        <v>450</v>
      </c>
      <c r="W578" s="8" t="s">
        <v>240</v>
      </c>
      <c r="X578" s="8" t="s">
        <v>1143</v>
      </c>
      <c r="Y578" s="8" t="s">
        <v>240</v>
      </c>
      <c r="Z578" s="6" t="b">
        <v>0</v>
      </c>
      <c r="AA578" s="9"/>
      <c r="AB578" s="9"/>
    </row>
    <row r="579" spans="1:28" ht="16">
      <c r="A579" s="6">
        <v>655</v>
      </c>
      <c r="B579" s="8" t="s">
        <v>195</v>
      </c>
      <c r="C579" s="8" t="s">
        <v>196</v>
      </c>
      <c r="D579" s="8" t="s">
        <v>1144</v>
      </c>
      <c r="E579" s="8" t="s">
        <v>1144</v>
      </c>
      <c r="F579" s="6">
        <v>655</v>
      </c>
      <c r="G579" s="6" t="b">
        <v>0</v>
      </c>
      <c r="H579" s="8" t="s">
        <v>240</v>
      </c>
      <c r="I579" s="6" t="b">
        <v>0</v>
      </c>
      <c r="J579" s="6" t="b">
        <v>0</v>
      </c>
      <c r="K579" s="6" t="b">
        <v>0</v>
      </c>
      <c r="L579" s="6" t="b">
        <v>1</v>
      </c>
      <c r="M579" s="6" t="b">
        <v>0</v>
      </c>
      <c r="N579" s="6">
        <v>9</v>
      </c>
      <c r="O579" s="8" t="s">
        <v>331</v>
      </c>
      <c r="P579" s="8" t="s">
        <v>238</v>
      </c>
      <c r="Q579" s="8" t="s">
        <v>446</v>
      </c>
      <c r="R579" s="6">
        <v>4</v>
      </c>
      <c r="S579" s="8" t="s">
        <v>341</v>
      </c>
      <c r="T579" s="9"/>
      <c r="U579" s="8" t="s">
        <v>240</v>
      </c>
      <c r="V579" s="8" t="s">
        <v>450</v>
      </c>
      <c r="W579" s="8" t="s">
        <v>240</v>
      </c>
      <c r="X579" s="8" t="s">
        <v>1078</v>
      </c>
      <c r="Y579" s="8" t="s">
        <v>240</v>
      </c>
      <c r="Z579" s="6" t="b">
        <v>0</v>
      </c>
      <c r="AA579" s="9"/>
      <c r="AB579" s="9"/>
    </row>
    <row r="580" spans="1:28" ht="16">
      <c r="A580" s="6">
        <v>656</v>
      </c>
      <c r="B580" s="8" t="s">
        <v>195</v>
      </c>
      <c r="C580" s="8" t="s">
        <v>196</v>
      </c>
      <c r="D580" s="8" t="s">
        <v>1145</v>
      </c>
      <c r="E580" s="8" t="s">
        <v>1144</v>
      </c>
      <c r="F580" s="6">
        <v>656</v>
      </c>
      <c r="G580" s="6" t="b">
        <v>0</v>
      </c>
      <c r="H580" s="8" t="s">
        <v>240</v>
      </c>
      <c r="I580" s="6" t="b">
        <v>0</v>
      </c>
      <c r="J580" s="6" t="b">
        <v>0</v>
      </c>
      <c r="K580" s="6" t="b">
        <v>0</v>
      </c>
      <c r="L580" s="6" t="b">
        <v>1</v>
      </c>
      <c r="M580" s="6" t="b">
        <v>0</v>
      </c>
      <c r="N580" s="6">
        <v>9</v>
      </c>
      <c r="O580" s="8" t="s">
        <v>331</v>
      </c>
      <c r="P580" s="8" t="s">
        <v>238</v>
      </c>
      <c r="Q580" s="8" t="s">
        <v>446</v>
      </c>
      <c r="R580" s="6">
        <v>4</v>
      </c>
      <c r="S580" s="8" t="s">
        <v>341</v>
      </c>
      <c r="T580" s="9"/>
      <c r="U580" s="8" t="s">
        <v>240</v>
      </c>
      <c r="V580" s="8" t="s">
        <v>450</v>
      </c>
      <c r="W580" s="8" t="s">
        <v>240</v>
      </c>
      <c r="X580" s="8" t="s">
        <v>240</v>
      </c>
      <c r="Y580" s="8" t="s">
        <v>1146</v>
      </c>
      <c r="Z580" s="6" t="b">
        <v>0</v>
      </c>
      <c r="AA580" s="9"/>
      <c r="AB580" s="9"/>
    </row>
    <row r="581" spans="1:28" ht="16">
      <c r="A581" s="6">
        <v>660</v>
      </c>
      <c r="B581" s="8" t="s">
        <v>195</v>
      </c>
      <c r="C581" s="8" t="s">
        <v>196</v>
      </c>
      <c r="D581" s="8" t="s">
        <v>1147</v>
      </c>
      <c r="E581" s="8" t="s">
        <v>1147</v>
      </c>
      <c r="F581" s="6">
        <v>660</v>
      </c>
      <c r="G581" s="6" t="b">
        <v>0</v>
      </c>
      <c r="H581" s="8" t="s">
        <v>240</v>
      </c>
      <c r="I581" s="6" t="b">
        <v>0</v>
      </c>
      <c r="J581" s="6" t="b">
        <v>0</v>
      </c>
      <c r="K581" s="6" t="b">
        <v>0</v>
      </c>
      <c r="L581" s="6" t="b">
        <v>1</v>
      </c>
      <c r="M581" s="6" t="b">
        <v>0</v>
      </c>
      <c r="N581" s="6">
        <v>9</v>
      </c>
      <c r="O581" s="8" t="s">
        <v>331</v>
      </c>
      <c r="P581" s="8" t="s">
        <v>238</v>
      </c>
      <c r="Q581" s="8" t="s">
        <v>446</v>
      </c>
      <c r="R581" s="6">
        <v>3</v>
      </c>
      <c r="S581" s="8" t="s">
        <v>341</v>
      </c>
      <c r="T581" s="9"/>
      <c r="U581" s="8" t="s">
        <v>240</v>
      </c>
      <c r="V581" s="8" t="s">
        <v>450</v>
      </c>
      <c r="W581" s="8" t="s">
        <v>240</v>
      </c>
      <c r="X581" s="8" t="s">
        <v>1078</v>
      </c>
      <c r="Y581" s="8" t="s">
        <v>240</v>
      </c>
      <c r="Z581" s="6" t="b">
        <v>0</v>
      </c>
      <c r="AA581" s="9"/>
      <c r="AB581" s="9"/>
    </row>
    <row r="582" spans="1:28" ht="16">
      <c r="A582" s="6">
        <v>661</v>
      </c>
      <c r="B582" s="8" t="s">
        <v>195</v>
      </c>
      <c r="C582" s="8" t="s">
        <v>196</v>
      </c>
      <c r="D582" s="8" t="s">
        <v>1148</v>
      </c>
      <c r="E582" s="8" t="s">
        <v>1147</v>
      </c>
      <c r="F582" s="6">
        <v>661</v>
      </c>
      <c r="G582" s="6" t="b">
        <v>0</v>
      </c>
      <c r="H582" s="8" t="s">
        <v>240</v>
      </c>
      <c r="I582" s="6" t="b">
        <v>0</v>
      </c>
      <c r="J582" s="6" t="b">
        <v>0</v>
      </c>
      <c r="K582" s="6" t="b">
        <v>0</v>
      </c>
      <c r="L582" s="6" t="b">
        <v>1</v>
      </c>
      <c r="M582" s="6" t="b">
        <v>0</v>
      </c>
      <c r="N582" s="6">
        <v>9</v>
      </c>
      <c r="O582" s="8" t="s">
        <v>331</v>
      </c>
      <c r="P582" s="8" t="s">
        <v>238</v>
      </c>
      <c r="Q582" s="8" t="s">
        <v>446</v>
      </c>
      <c r="R582" s="6">
        <v>9</v>
      </c>
      <c r="S582" s="8" t="s">
        <v>75</v>
      </c>
      <c r="T582" s="9"/>
      <c r="U582" s="8" t="s">
        <v>240</v>
      </c>
      <c r="V582" s="8" t="s">
        <v>450</v>
      </c>
      <c r="W582" s="8" t="s">
        <v>240</v>
      </c>
      <c r="X582" s="8" t="s">
        <v>240</v>
      </c>
      <c r="Y582" s="8" t="s">
        <v>240</v>
      </c>
      <c r="Z582" s="6" t="b">
        <v>0</v>
      </c>
      <c r="AA582" s="9"/>
      <c r="AB582" s="9"/>
    </row>
    <row r="583" spans="1:28" ht="16">
      <c r="A583" s="6">
        <v>662</v>
      </c>
      <c r="B583" s="8" t="s">
        <v>195</v>
      </c>
      <c r="C583" s="8" t="s">
        <v>113</v>
      </c>
      <c r="D583" s="8" t="s">
        <v>1149</v>
      </c>
      <c r="E583" s="8" t="s">
        <v>1149</v>
      </c>
      <c r="F583" s="6">
        <v>662</v>
      </c>
      <c r="G583" s="6" t="b">
        <v>0</v>
      </c>
      <c r="H583" s="8" t="s">
        <v>240</v>
      </c>
      <c r="I583" s="6" t="b">
        <v>0</v>
      </c>
      <c r="J583" s="6" t="b">
        <v>0</v>
      </c>
      <c r="K583" s="6" t="b">
        <v>0</v>
      </c>
      <c r="L583" s="6" t="b">
        <v>1</v>
      </c>
      <c r="M583" s="6" t="b">
        <v>0</v>
      </c>
      <c r="N583" s="6">
        <v>1</v>
      </c>
      <c r="O583" s="8" t="s">
        <v>331</v>
      </c>
      <c r="P583" s="8" t="s">
        <v>238</v>
      </c>
      <c r="Q583" s="8" t="s">
        <v>446</v>
      </c>
      <c r="R583" s="6">
        <v>5</v>
      </c>
      <c r="S583" s="8" t="s">
        <v>341</v>
      </c>
      <c r="T583" s="9"/>
      <c r="U583" s="8" t="s">
        <v>240</v>
      </c>
      <c r="V583" s="8" t="s">
        <v>496</v>
      </c>
      <c r="W583" s="8" t="s">
        <v>483</v>
      </c>
      <c r="X583" s="8" t="s">
        <v>1066</v>
      </c>
      <c r="Y583" s="8" t="s">
        <v>240</v>
      </c>
      <c r="Z583" s="6" t="b">
        <v>0</v>
      </c>
      <c r="AA583" s="9"/>
      <c r="AB583" s="9"/>
    </row>
    <row r="584" spans="1:28" ht="32">
      <c r="A584" s="6">
        <v>663</v>
      </c>
      <c r="B584" s="8" t="s">
        <v>195</v>
      </c>
      <c r="C584" s="8" t="s">
        <v>113</v>
      </c>
      <c r="D584" s="8" t="s">
        <v>1150</v>
      </c>
      <c r="E584" s="8" t="s">
        <v>1149</v>
      </c>
      <c r="F584" s="6">
        <v>662</v>
      </c>
      <c r="G584" s="6" t="b">
        <v>0</v>
      </c>
      <c r="H584" s="8" t="s">
        <v>240</v>
      </c>
      <c r="I584" s="6" t="b">
        <v>0</v>
      </c>
      <c r="J584" s="6" t="b">
        <v>0</v>
      </c>
      <c r="K584" s="6" t="b">
        <v>0</v>
      </c>
      <c r="L584" s="6" t="b">
        <v>1</v>
      </c>
      <c r="M584" s="6" t="b">
        <v>0</v>
      </c>
      <c r="N584" s="6">
        <v>1</v>
      </c>
      <c r="O584" s="8" t="s">
        <v>331</v>
      </c>
      <c r="P584" s="8" t="s">
        <v>238</v>
      </c>
      <c r="Q584" s="8" t="s">
        <v>927</v>
      </c>
      <c r="R584" s="6">
        <v>8.6999999999999993</v>
      </c>
      <c r="S584" s="8" t="s">
        <v>247</v>
      </c>
      <c r="T584" s="9"/>
      <c r="U584" s="8" t="s">
        <v>240</v>
      </c>
      <c r="V584" s="8" t="s">
        <v>496</v>
      </c>
      <c r="W584" s="8" t="s">
        <v>483</v>
      </c>
      <c r="X584" s="8" t="s">
        <v>1151</v>
      </c>
      <c r="Y584" s="8" t="s">
        <v>240</v>
      </c>
      <c r="Z584" s="6" t="b">
        <v>0</v>
      </c>
      <c r="AA584" s="9"/>
      <c r="AB584" s="9"/>
    </row>
    <row r="585" spans="1:28" ht="16">
      <c r="A585" s="6">
        <v>664</v>
      </c>
      <c r="B585" s="8" t="s">
        <v>195</v>
      </c>
      <c r="C585" s="8" t="s">
        <v>1056</v>
      </c>
      <c r="D585" s="8" t="s">
        <v>1152</v>
      </c>
      <c r="E585" s="8" t="s">
        <v>1152</v>
      </c>
      <c r="F585" s="6">
        <v>664</v>
      </c>
      <c r="G585" s="6" t="b">
        <v>0</v>
      </c>
      <c r="H585" s="8" t="s">
        <v>240</v>
      </c>
      <c r="I585" s="6" t="b">
        <v>0</v>
      </c>
      <c r="J585" s="6" t="b">
        <v>0</v>
      </c>
      <c r="K585" s="6" t="b">
        <v>0</v>
      </c>
      <c r="L585" s="6" t="b">
        <v>1</v>
      </c>
      <c r="M585" s="6" t="b">
        <v>0</v>
      </c>
      <c r="N585" s="6">
        <v>5</v>
      </c>
      <c r="O585" s="8" t="s">
        <v>331</v>
      </c>
      <c r="P585" s="8" t="s">
        <v>238</v>
      </c>
      <c r="Q585" s="8" t="s">
        <v>446</v>
      </c>
      <c r="R585" s="6">
        <v>1</v>
      </c>
      <c r="S585" s="8" t="s">
        <v>347</v>
      </c>
      <c r="T585" s="9"/>
      <c r="U585" s="8" t="s">
        <v>240</v>
      </c>
      <c r="V585" s="8" t="s">
        <v>450</v>
      </c>
      <c r="W585" s="8" t="s">
        <v>386</v>
      </c>
      <c r="X585" s="8" t="s">
        <v>1058</v>
      </c>
      <c r="Y585" s="8" t="s">
        <v>1153</v>
      </c>
      <c r="Z585" s="6" t="b">
        <v>0</v>
      </c>
      <c r="AA585" s="9"/>
      <c r="AB585" s="9"/>
    </row>
    <row r="586" spans="1:28" ht="32">
      <c r="A586" s="6">
        <v>665</v>
      </c>
      <c r="B586" s="8" t="s">
        <v>195</v>
      </c>
      <c r="C586" s="8" t="s">
        <v>1056</v>
      </c>
      <c r="D586" s="8" t="s">
        <v>1154</v>
      </c>
      <c r="E586" s="8" t="s">
        <v>1152</v>
      </c>
      <c r="F586" s="6">
        <v>664</v>
      </c>
      <c r="G586" s="6" t="b">
        <v>0</v>
      </c>
      <c r="H586" s="8" t="s">
        <v>240</v>
      </c>
      <c r="I586" s="6" t="b">
        <v>0</v>
      </c>
      <c r="J586" s="6" t="b">
        <v>0</v>
      </c>
      <c r="K586" s="6" t="b">
        <v>0</v>
      </c>
      <c r="L586" s="6" t="b">
        <v>1</v>
      </c>
      <c r="M586" s="6" t="b">
        <v>0</v>
      </c>
      <c r="N586" s="6">
        <v>5</v>
      </c>
      <c r="O586" s="8" t="s">
        <v>331</v>
      </c>
      <c r="P586" s="8" t="s">
        <v>238</v>
      </c>
      <c r="Q586" s="8" t="s">
        <v>446</v>
      </c>
      <c r="R586" s="6">
        <v>1</v>
      </c>
      <c r="S586" s="8" t="s">
        <v>347</v>
      </c>
      <c r="T586" s="9"/>
      <c r="U586" s="8" t="s">
        <v>240</v>
      </c>
      <c r="V586" s="8" t="s">
        <v>450</v>
      </c>
      <c r="W586" s="8" t="s">
        <v>386</v>
      </c>
      <c r="X586" s="8" t="s">
        <v>1155</v>
      </c>
      <c r="Y586" s="8" t="s">
        <v>1156</v>
      </c>
      <c r="Z586" s="6" t="b">
        <v>0</v>
      </c>
      <c r="AA586" s="9"/>
      <c r="AB586" s="9"/>
    </row>
    <row r="587" spans="1:28" ht="32">
      <c r="A587" s="6">
        <v>666</v>
      </c>
      <c r="B587" s="8" t="s">
        <v>195</v>
      </c>
      <c r="C587" s="8" t="s">
        <v>1056</v>
      </c>
      <c r="D587" s="8" t="s">
        <v>1157</v>
      </c>
      <c r="E587" s="8" t="s">
        <v>1152</v>
      </c>
      <c r="F587" s="6">
        <v>664</v>
      </c>
      <c r="G587" s="6" t="b">
        <v>0</v>
      </c>
      <c r="H587" s="8" t="s">
        <v>240</v>
      </c>
      <c r="I587" s="6" t="b">
        <v>0</v>
      </c>
      <c r="J587" s="6" t="b">
        <v>0</v>
      </c>
      <c r="K587" s="6" t="b">
        <v>0</v>
      </c>
      <c r="L587" s="6" t="b">
        <v>1</v>
      </c>
      <c r="M587" s="6" t="b">
        <v>0</v>
      </c>
      <c r="N587" s="6">
        <v>5</v>
      </c>
      <c r="O587" s="8" t="s">
        <v>331</v>
      </c>
      <c r="P587" s="8" t="s">
        <v>238</v>
      </c>
      <c r="Q587" s="8" t="s">
        <v>446</v>
      </c>
      <c r="R587" s="6">
        <v>1</v>
      </c>
      <c r="S587" s="8" t="s">
        <v>347</v>
      </c>
      <c r="T587" s="9"/>
      <c r="U587" s="8" t="s">
        <v>240</v>
      </c>
      <c r="V587" s="8" t="s">
        <v>450</v>
      </c>
      <c r="W587" s="8" t="s">
        <v>386</v>
      </c>
      <c r="X587" s="8" t="s">
        <v>1158</v>
      </c>
      <c r="Y587" s="8" t="s">
        <v>240</v>
      </c>
      <c r="Z587" s="6" t="b">
        <v>0</v>
      </c>
      <c r="AA587" s="9"/>
      <c r="AB587" s="9"/>
    </row>
    <row r="588" spans="1:28" ht="32">
      <c r="A588" s="6">
        <v>667</v>
      </c>
      <c r="B588" s="8" t="s">
        <v>195</v>
      </c>
      <c r="C588" s="8" t="s">
        <v>1056</v>
      </c>
      <c r="D588" s="8" t="s">
        <v>1159</v>
      </c>
      <c r="E588" s="8" t="s">
        <v>1152</v>
      </c>
      <c r="F588" s="6">
        <v>664</v>
      </c>
      <c r="G588" s="6" t="b">
        <v>0</v>
      </c>
      <c r="H588" s="8" t="s">
        <v>240</v>
      </c>
      <c r="I588" s="6" t="b">
        <v>0</v>
      </c>
      <c r="J588" s="6" t="b">
        <v>0</v>
      </c>
      <c r="K588" s="6" t="b">
        <v>0</v>
      </c>
      <c r="L588" s="6" t="b">
        <v>1</v>
      </c>
      <c r="M588" s="6" t="b">
        <v>0</v>
      </c>
      <c r="N588" s="6">
        <v>5</v>
      </c>
      <c r="O588" s="8" t="s">
        <v>331</v>
      </c>
      <c r="P588" s="8" t="s">
        <v>238</v>
      </c>
      <c r="Q588" s="8" t="s">
        <v>446</v>
      </c>
      <c r="R588" s="6">
        <v>1</v>
      </c>
      <c r="S588" s="8" t="s">
        <v>347</v>
      </c>
      <c r="T588" s="9"/>
      <c r="U588" s="8" t="s">
        <v>240</v>
      </c>
      <c r="V588" s="8" t="s">
        <v>450</v>
      </c>
      <c r="W588" s="8" t="s">
        <v>386</v>
      </c>
      <c r="X588" s="8" t="s">
        <v>1160</v>
      </c>
      <c r="Y588" s="8" t="s">
        <v>240</v>
      </c>
      <c r="Z588" s="6" t="b">
        <v>0</v>
      </c>
      <c r="AA588" s="9"/>
      <c r="AB588" s="9"/>
    </row>
    <row r="589" spans="1:28" ht="32">
      <c r="A589" s="6">
        <v>668</v>
      </c>
      <c r="B589" s="8" t="s">
        <v>195</v>
      </c>
      <c r="C589" s="8" t="s">
        <v>196</v>
      </c>
      <c r="D589" s="8" t="s">
        <v>1161</v>
      </c>
      <c r="E589" s="8" t="s">
        <v>1161</v>
      </c>
      <c r="F589" s="6">
        <v>668</v>
      </c>
      <c r="G589" s="6" t="b">
        <v>0</v>
      </c>
      <c r="H589" s="8" t="s">
        <v>240</v>
      </c>
      <c r="I589" s="6" t="b">
        <v>0</v>
      </c>
      <c r="J589" s="6" t="b">
        <v>0</v>
      </c>
      <c r="K589" s="6" t="b">
        <v>0</v>
      </c>
      <c r="L589" s="6" t="b">
        <v>1</v>
      </c>
      <c r="M589" s="6" t="b">
        <v>0</v>
      </c>
      <c r="N589" s="6">
        <v>9</v>
      </c>
      <c r="O589" s="8" t="s">
        <v>331</v>
      </c>
      <c r="P589" s="8" t="s">
        <v>238</v>
      </c>
      <c r="Q589" s="8" t="s">
        <v>446</v>
      </c>
      <c r="R589" s="6">
        <v>4</v>
      </c>
      <c r="S589" s="8" t="s">
        <v>341</v>
      </c>
      <c r="T589" s="9"/>
      <c r="U589" s="8" t="s">
        <v>240</v>
      </c>
      <c r="V589" s="8" t="s">
        <v>450</v>
      </c>
      <c r="W589" s="8" t="s">
        <v>240</v>
      </c>
      <c r="X589" s="8" t="s">
        <v>1162</v>
      </c>
      <c r="Y589" s="8" t="s">
        <v>240</v>
      </c>
      <c r="Z589" s="6" t="b">
        <v>0</v>
      </c>
      <c r="AA589" s="9"/>
      <c r="AB589" s="9"/>
    </row>
    <row r="590" spans="1:28" ht="16">
      <c r="A590" s="6">
        <v>669</v>
      </c>
      <c r="B590" s="8" t="s">
        <v>195</v>
      </c>
      <c r="C590" s="8" t="s">
        <v>1056</v>
      </c>
      <c r="D590" s="8" t="s">
        <v>1163</v>
      </c>
      <c r="E590" s="8" t="s">
        <v>1163</v>
      </c>
      <c r="F590" s="6">
        <v>669</v>
      </c>
      <c r="G590" s="6" t="b">
        <v>0</v>
      </c>
      <c r="H590" s="8" t="s">
        <v>240</v>
      </c>
      <c r="I590" s="6" t="b">
        <v>0</v>
      </c>
      <c r="J590" s="6" t="b">
        <v>0</v>
      </c>
      <c r="K590" s="6" t="b">
        <v>0</v>
      </c>
      <c r="L590" s="6" t="b">
        <v>1</v>
      </c>
      <c r="M590" s="6" t="b">
        <v>0</v>
      </c>
      <c r="N590" s="6">
        <v>5</v>
      </c>
      <c r="O590" s="8" t="s">
        <v>331</v>
      </c>
      <c r="P590" s="8" t="s">
        <v>238</v>
      </c>
      <c r="Q590" s="8" t="s">
        <v>446</v>
      </c>
      <c r="R590" s="6">
        <v>8.5</v>
      </c>
      <c r="S590" s="8" t="s">
        <v>247</v>
      </c>
      <c r="T590" s="9"/>
      <c r="U590" s="8" t="s">
        <v>240</v>
      </c>
      <c r="V590" s="8" t="s">
        <v>1164</v>
      </c>
      <c r="W590" s="8" t="s">
        <v>240</v>
      </c>
      <c r="X590" s="8" t="s">
        <v>1058</v>
      </c>
      <c r="Y590" s="8" t="s">
        <v>1165</v>
      </c>
      <c r="Z590" s="6" t="b">
        <v>0</v>
      </c>
      <c r="AA590" s="9"/>
      <c r="AB590" s="9"/>
    </row>
    <row r="591" spans="1:28" ht="32">
      <c r="A591" s="6">
        <v>670</v>
      </c>
      <c r="B591" s="8" t="s">
        <v>195</v>
      </c>
      <c r="C591" s="8" t="s">
        <v>196</v>
      </c>
      <c r="D591" s="8" t="s">
        <v>1166</v>
      </c>
      <c r="E591" s="8" t="s">
        <v>1166</v>
      </c>
      <c r="F591" s="6">
        <v>670</v>
      </c>
      <c r="G591" s="6" t="b">
        <v>0</v>
      </c>
      <c r="H591" s="8" t="s">
        <v>240</v>
      </c>
      <c r="I591" s="6" t="b">
        <v>0</v>
      </c>
      <c r="J591" s="6" t="b">
        <v>0</v>
      </c>
      <c r="K591" s="6" t="b">
        <v>0</v>
      </c>
      <c r="L591" s="6" t="b">
        <v>1</v>
      </c>
      <c r="M591" s="6" t="b">
        <v>0</v>
      </c>
      <c r="N591" s="6">
        <v>9</v>
      </c>
      <c r="O591" s="8" t="s">
        <v>331</v>
      </c>
      <c r="P591" s="8" t="s">
        <v>238</v>
      </c>
      <c r="Q591" s="8" t="s">
        <v>446</v>
      </c>
      <c r="R591" s="6">
        <v>9</v>
      </c>
      <c r="S591" s="8" t="s">
        <v>75</v>
      </c>
      <c r="T591" s="9"/>
      <c r="U591" s="8" t="s">
        <v>240</v>
      </c>
      <c r="V591" s="8" t="s">
        <v>450</v>
      </c>
      <c r="W591" s="8" t="s">
        <v>240</v>
      </c>
      <c r="X591" s="8" t="s">
        <v>1167</v>
      </c>
      <c r="Y591" s="8" t="s">
        <v>240</v>
      </c>
      <c r="Z591" s="6" t="b">
        <v>0</v>
      </c>
      <c r="AA591" s="9"/>
      <c r="AB591" s="9"/>
    </row>
    <row r="592" spans="1:28" ht="32">
      <c r="A592" s="6">
        <v>671</v>
      </c>
      <c r="B592" s="8" t="s">
        <v>195</v>
      </c>
      <c r="C592" s="8" t="s">
        <v>196</v>
      </c>
      <c r="D592" s="8" t="s">
        <v>1168</v>
      </c>
      <c r="E592" s="8" t="s">
        <v>1166</v>
      </c>
      <c r="F592" s="6">
        <v>670</v>
      </c>
      <c r="G592" s="6" t="b">
        <v>0</v>
      </c>
      <c r="H592" s="8" t="s">
        <v>240</v>
      </c>
      <c r="I592" s="6" t="b">
        <v>0</v>
      </c>
      <c r="J592" s="6" t="b">
        <v>0</v>
      </c>
      <c r="K592" s="6" t="b">
        <v>0</v>
      </c>
      <c r="L592" s="6" t="b">
        <v>1</v>
      </c>
      <c r="M592" s="6" t="b">
        <v>0</v>
      </c>
      <c r="N592" s="6">
        <v>9</v>
      </c>
      <c r="O592" s="8" t="s">
        <v>331</v>
      </c>
      <c r="P592" s="8" t="s">
        <v>238</v>
      </c>
      <c r="Q592" s="8" t="s">
        <v>446</v>
      </c>
      <c r="R592" s="6">
        <v>4</v>
      </c>
      <c r="S592" s="8" t="s">
        <v>341</v>
      </c>
      <c r="T592" s="9"/>
      <c r="U592" s="8" t="s">
        <v>240</v>
      </c>
      <c r="V592" s="8" t="s">
        <v>450</v>
      </c>
      <c r="W592" s="8" t="s">
        <v>240</v>
      </c>
      <c r="X592" s="8" t="s">
        <v>1169</v>
      </c>
      <c r="Y592" s="8" t="s">
        <v>1170</v>
      </c>
      <c r="Z592" s="6" t="b">
        <v>0</v>
      </c>
      <c r="AA592" s="9"/>
      <c r="AB592" s="9"/>
    </row>
    <row r="593" spans="1:28" ht="32">
      <c r="A593" s="6">
        <v>672</v>
      </c>
      <c r="B593" s="8" t="s">
        <v>212</v>
      </c>
      <c r="C593" s="8" t="s">
        <v>1171</v>
      </c>
      <c r="D593" s="8" t="s">
        <v>1172</v>
      </c>
      <c r="E593" s="8" t="s">
        <v>1172</v>
      </c>
      <c r="F593" s="6">
        <v>672</v>
      </c>
      <c r="G593" s="6" t="b">
        <v>0</v>
      </c>
      <c r="H593" s="8" t="s">
        <v>240</v>
      </c>
      <c r="I593" s="6" t="b">
        <v>0</v>
      </c>
      <c r="J593" s="6" t="b">
        <v>0</v>
      </c>
      <c r="K593" s="6" t="b">
        <v>0</v>
      </c>
      <c r="L593" s="6" t="b">
        <v>1</v>
      </c>
      <c r="M593" s="6" t="b">
        <v>0</v>
      </c>
      <c r="N593" s="6">
        <v>9</v>
      </c>
      <c r="O593" s="8" t="s">
        <v>237</v>
      </c>
      <c r="P593" s="8" t="s">
        <v>238</v>
      </c>
      <c r="Q593" s="8" t="s">
        <v>446</v>
      </c>
      <c r="R593" s="6">
        <v>9.8000000000000007</v>
      </c>
      <c r="S593" s="8" t="s">
        <v>247</v>
      </c>
      <c r="T593" s="9"/>
      <c r="U593" s="8" t="s">
        <v>240</v>
      </c>
      <c r="V593" s="8" t="s">
        <v>1012</v>
      </c>
      <c r="W593" s="8" t="s">
        <v>240</v>
      </c>
      <c r="X593" s="8" t="s">
        <v>1173</v>
      </c>
      <c r="Y593" s="8" t="s">
        <v>240</v>
      </c>
      <c r="Z593" s="6" t="b">
        <v>0</v>
      </c>
      <c r="AA593" s="9"/>
      <c r="AB593" s="9"/>
    </row>
    <row r="594" spans="1:28" ht="32">
      <c r="A594" s="6">
        <v>673</v>
      </c>
      <c r="B594" s="8" t="s">
        <v>212</v>
      </c>
      <c r="C594" s="8" t="s">
        <v>1171</v>
      </c>
      <c r="D594" s="8" t="s">
        <v>1171</v>
      </c>
      <c r="E594" s="8" t="s">
        <v>1171</v>
      </c>
      <c r="F594" s="6">
        <v>673</v>
      </c>
      <c r="G594" s="6" t="b">
        <v>0</v>
      </c>
      <c r="H594" s="8" t="s">
        <v>240</v>
      </c>
      <c r="I594" s="6" t="b">
        <v>0</v>
      </c>
      <c r="J594" s="6" t="b">
        <v>0</v>
      </c>
      <c r="K594" s="6" t="b">
        <v>0</v>
      </c>
      <c r="L594" s="6" t="b">
        <v>1</v>
      </c>
      <c r="M594" s="6" t="b">
        <v>0</v>
      </c>
      <c r="N594" s="6">
        <v>9</v>
      </c>
      <c r="O594" s="8" t="s">
        <v>237</v>
      </c>
      <c r="P594" s="8" t="s">
        <v>238</v>
      </c>
      <c r="Q594" s="8" t="s">
        <v>446</v>
      </c>
      <c r="R594" s="6">
        <v>9</v>
      </c>
      <c r="S594" s="8" t="s">
        <v>75</v>
      </c>
      <c r="T594" s="9"/>
      <c r="U594" s="8" t="s">
        <v>240</v>
      </c>
      <c r="V594" s="8" t="s">
        <v>1120</v>
      </c>
      <c r="W594" s="8" t="s">
        <v>240</v>
      </c>
      <c r="X594" s="8" t="s">
        <v>1173</v>
      </c>
      <c r="Y594" s="8" t="s">
        <v>240</v>
      </c>
      <c r="Z594" s="6" t="b">
        <v>0</v>
      </c>
      <c r="AA594" s="9"/>
      <c r="AB594" s="9"/>
    </row>
    <row r="595" spans="1:28" ht="16">
      <c r="A595" s="6">
        <v>674</v>
      </c>
      <c r="B595" s="8" t="s">
        <v>212</v>
      </c>
      <c r="C595" s="8" t="s">
        <v>1174</v>
      </c>
      <c r="D595" s="8" t="s">
        <v>1175</v>
      </c>
      <c r="E595" s="8" t="s">
        <v>1175</v>
      </c>
      <c r="F595" s="6">
        <v>674</v>
      </c>
      <c r="G595" s="6" t="b">
        <v>0</v>
      </c>
      <c r="H595" s="8" t="s">
        <v>240</v>
      </c>
      <c r="I595" s="6" t="b">
        <v>0</v>
      </c>
      <c r="J595" s="6" t="b">
        <v>0</v>
      </c>
      <c r="K595" s="6" t="b">
        <v>0</v>
      </c>
      <c r="L595" s="6" t="b">
        <v>1</v>
      </c>
      <c r="M595" s="6" t="b">
        <v>0</v>
      </c>
      <c r="N595" s="6">
        <v>9</v>
      </c>
      <c r="O595" s="8" t="s">
        <v>247</v>
      </c>
      <c r="P595" s="8" t="s">
        <v>1176</v>
      </c>
      <c r="Q595" s="8" t="s">
        <v>446</v>
      </c>
      <c r="R595" s="6">
        <v>9</v>
      </c>
      <c r="S595" s="8" t="s">
        <v>75</v>
      </c>
      <c r="T595" s="9"/>
      <c r="U595" s="8" t="s">
        <v>240</v>
      </c>
      <c r="V595" s="8" t="s">
        <v>824</v>
      </c>
      <c r="W595" s="8" t="s">
        <v>240</v>
      </c>
      <c r="X595" s="8" t="s">
        <v>240</v>
      </c>
      <c r="Y595" s="8" t="s">
        <v>240</v>
      </c>
      <c r="Z595" s="6" t="b">
        <v>0</v>
      </c>
      <c r="AA595" s="9"/>
      <c r="AB595" s="9"/>
    </row>
    <row r="596" spans="1:28" ht="16">
      <c r="A596" s="6">
        <v>675</v>
      </c>
      <c r="B596" s="8" t="s">
        <v>212</v>
      </c>
      <c r="C596" s="8" t="s">
        <v>1174</v>
      </c>
      <c r="D596" s="8" t="s">
        <v>1174</v>
      </c>
      <c r="E596" s="8" t="s">
        <v>1174</v>
      </c>
      <c r="F596" s="6">
        <v>675</v>
      </c>
      <c r="G596" s="6" t="b">
        <v>0</v>
      </c>
      <c r="H596" s="8" t="s">
        <v>240</v>
      </c>
      <c r="I596" s="6" t="b">
        <v>0</v>
      </c>
      <c r="J596" s="6" t="b">
        <v>0</v>
      </c>
      <c r="K596" s="6" t="b">
        <v>0</v>
      </c>
      <c r="L596" s="6" t="b">
        <v>1</v>
      </c>
      <c r="M596" s="6" t="b">
        <v>0</v>
      </c>
      <c r="N596" s="6">
        <v>9</v>
      </c>
      <c r="O596" s="8" t="s">
        <v>247</v>
      </c>
      <c r="P596" s="8" t="s">
        <v>1177</v>
      </c>
      <c r="Q596" s="8" t="s">
        <v>898</v>
      </c>
      <c r="R596" s="6">
        <v>9</v>
      </c>
      <c r="S596" s="8" t="s">
        <v>75</v>
      </c>
      <c r="T596" s="6">
        <v>5</v>
      </c>
      <c r="U596" s="8" t="s">
        <v>240</v>
      </c>
      <c r="V596" s="8" t="s">
        <v>824</v>
      </c>
      <c r="W596" s="8" t="s">
        <v>240</v>
      </c>
      <c r="X596" s="8" t="s">
        <v>240</v>
      </c>
      <c r="Y596" s="8" t="s">
        <v>1178</v>
      </c>
      <c r="Z596" s="6" t="b">
        <v>0</v>
      </c>
      <c r="AA596" s="9"/>
      <c r="AB596" s="9"/>
    </row>
    <row r="597" spans="1:28" ht="16">
      <c r="A597" s="6">
        <v>676</v>
      </c>
      <c r="B597" s="8" t="s">
        <v>212</v>
      </c>
      <c r="C597" s="8" t="s">
        <v>1179</v>
      </c>
      <c r="D597" s="8" t="s">
        <v>1179</v>
      </c>
      <c r="E597" s="8" t="s">
        <v>1179</v>
      </c>
      <c r="F597" s="6">
        <v>676</v>
      </c>
      <c r="G597" s="6" t="b">
        <v>0</v>
      </c>
      <c r="H597" s="8" t="s">
        <v>240</v>
      </c>
      <c r="I597" s="6" t="b">
        <v>0</v>
      </c>
      <c r="J597" s="6" t="b">
        <v>0</v>
      </c>
      <c r="K597" s="6" t="b">
        <v>0</v>
      </c>
      <c r="L597" s="6" t="b">
        <v>1</v>
      </c>
      <c r="M597" s="6" t="b">
        <v>0</v>
      </c>
      <c r="N597" s="6">
        <v>8</v>
      </c>
      <c r="O597" s="8" t="s">
        <v>237</v>
      </c>
      <c r="P597" s="8" t="s">
        <v>238</v>
      </c>
      <c r="Q597" s="8" t="s">
        <v>381</v>
      </c>
      <c r="R597" s="6">
        <v>8</v>
      </c>
      <c r="S597" s="8" t="s">
        <v>237</v>
      </c>
      <c r="T597" s="9"/>
      <c r="U597" s="8" t="s">
        <v>240</v>
      </c>
      <c r="V597" s="8" t="s">
        <v>447</v>
      </c>
      <c r="W597" s="8" t="s">
        <v>240</v>
      </c>
      <c r="X597" s="8" t="s">
        <v>240</v>
      </c>
      <c r="Y597" s="8" t="s">
        <v>240</v>
      </c>
      <c r="Z597" s="6" t="b">
        <v>0</v>
      </c>
      <c r="AA597" s="9"/>
      <c r="AB597" s="9"/>
    </row>
    <row r="598" spans="1:28" ht="16">
      <c r="A598" s="6">
        <v>677</v>
      </c>
      <c r="B598" s="8" t="s">
        <v>212</v>
      </c>
      <c r="C598" s="8" t="s">
        <v>1179</v>
      </c>
      <c r="D598" s="8" t="s">
        <v>1180</v>
      </c>
      <c r="E598" s="8" t="s">
        <v>1180</v>
      </c>
      <c r="F598" s="6">
        <v>677</v>
      </c>
      <c r="G598" s="6" t="b">
        <v>0</v>
      </c>
      <c r="H598" s="8" t="s">
        <v>240</v>
      </c>
      <c r="I598" s="6" t="b">
        <v>0</v>
      </c>
      <c r="J598" s="6" t="b">
        <v>0</v>
      </c>
      <c r="K598" s="6" t="b">
        <v>0</v>
      </c>
      <c r="L598" s="6" t="b">
        <v>1</v>
      </c>
      <c r="M598" s="6" t="b">
        <v>0</v>
      </c>
      <c r="N598" s="6">
        <v>8</v>
      </c>
      <c r="O598" s="8" t="s">
        <v>237</v>
      </c>
      <c r="P598" s="8" t="s">
        <v>1176</v>
      </c>
      <c r="Q598" s="8" t="s">
        <v>446</v>
      </c>
      <c r="R598" s="6">
        <v>8</v>
      </c>
      <c r="S598" s="8" t="s">
        <v>75</v>
      </c>
      <c r="T598" s="9"/>
      <c r="U598" s="8" t="s">
        <v>240</v>
      </c>
      <c r="V598" s="8" t="s">
        <v>447</v>
      </c>
      <c r="W598" s="8" t="s">
        <v>240</v>
      </c>
      <c r="X598" s="8" t="s">
        <v>240</v>
      </c>
      <c r="Y598" s="8" t="s">
        <v>240</v>
      </c>
      <c r="Z598" s="6" t="b">
        <v>0</v>
      </c>
      <c r="AA598" s="9"/>
      <c r="AB598" s="9"/>
    </row>
    <row r="599" spans="1:28" ht="16">
      <c r="A599" s="6">
        <v>678</v>
      </c>
      <c r="B599" s="8" t="s">
        <v>212</v>
      </c>
      <c r="C599" s="8" t="s">
        <v>1179</v>
      </c>
      <c r="D599" s="8" t="s">
        <v>1181</v>
      </c>
      <c r="E599" s="8" t="s">
        <v>1180</v>
      </c>
      <c r="F599" s="6">
        <v>677</v>
      </c>
      <c r="G599" s="6" t="b">
        <v>0</v>
      </c>
      <c r="H599" s="8" t="s">
        <v>240</v>
      </c>
      <c r="I599" s="6" t="b">
        <v>0</v>
      </c>
      <c r="J599" s="6" t="b">
        <v>0</v>
      </c>
      <c r="K599" s="6" t="b">
        <v>0</v>
      </c>
      <c r="L599" s="6" t="b">
        <v>1</v>
      </c>
      <c r="M599" s="6" t="b">
        <v>0</v>
      </c>
      <c r="N599" s="6">
        <v>8</v>
      </c>
      <c r="O599" s="8" t="s">
        <v>237</v>
      </c>
      <c r="P599" s="8" t="s">
        <v>1176</v>
      </c>
      <c r="Q599" s="8" t="s">
        <v>446</v>
      </c>
      <c r="R599" s="6">
        <v>8</v>
      </c>
      <c r="S599" s="8" t="s">
        <v>75</v>
      </c>
      <c r="T599" s="9"/>
      <c r="U599" s="8" t="s">
        <v>240</v>
      </c>
      <c r="V599" s="8" t="s">
        <v>447</v>
      </c>
      <c r="W599" s="8" t="s">
        <v>240</v>
      </c>
      <c r="X599" s="8" t="s">
        <v>240</v>
      </c>
      <c r="Y599" s="8" t="s">
        <v>240</v>
      </c>
      <c r="Z599" s="6" t="b">
        <v>0</v>
      </c>
      <c r="AA599" s="9"/>
      <c r="AB599" s="9"/>
    </row>
    <row r="600" spans="1:28" ht="16">
      <c r="A600" s="6">
        <v>679</v>
      </c>
      <c r="B600" s="8" t="s">
        <v>212</v>
      </c>
      <c r="C600" s="8" t="s">
        <v>1179</v>
      </c>
      <c r="D600" s="8" t="s">
        <v>1182</v>
      </c>
      <c r="E600" s="8" t="s">
        <v>1180</v>
      </c>
      <c r="F600" s="6">
        <v>677</v>
      </c>
      <c r="G600" s="6" t="b">
        <v>0</v>
      </c>
      <c r="H600" s="8" t="s">
        <v>240</v>
      </c>
      <c r="I600" s="6" t="b">
        <v>0</v>
      </c>
      <c r="J600" s="6" t="b">
        <v>0</v>
      </c>
      <c r="K600" s="6" t="b">
        <v>0</v>
      </c>
      <c r="L600" s="6" t="b">
        <v>1</v>
      </c>
      <c r="M600" s="6" t="b">
        <v>0</v>
      </c>
      <c r="N600" s="6">
        <v>8</v>
      </c>
      <c r="O600" s="8" t="s">
        <v>237</v>
      </c>
      <c r="P600" s="8" t="s">
        <v>1176</v>
      </c>
      <c r="Q600" s="8" t="s">
        <v>446</v>
      </c>
      <c r="R600" s="6">
        <v>8</v>
      </c>
      <c r="S600" s="8" t="s">
        <v>75</v>
      </c>
      <c r="T600" s="9"/>
      <c r="U600" s="8" t="s">
        <v>240</v>
      </c>
      <c r="V600" s="8" t="s">
        <v>447</v>
      </c>
      <c r="W600" s="8" t="s">
        <v>240</v>
      </c>
      <c r="X600" s="8" t="s">
        <v>240</v>
      </c>
      <c r="Y600" s="8" t="s">
        <v>240</v>
      </c>
      <c r="Z600" s="6" t="b">
        <v>0</v>
      </c>
      <c r="AA600" s="9"/>
      <c r="AB600" s="9"/>
    </row>
    <row r="601" spans="1:28" ht="32">
      <c r="A601" s="6">
        <v>680</v>
      </c>
      <c r="B601" s="8" t="s">
        <v>212</v>
      </c>
      <c r="C601" s="8" t="s">
        <v>1174</v>
      </c>
      <c r="D601" s="8" t="s">
        <v>1183</v>
      </c>
      <c r="E601" s="8" t="s">
        <v>1183</v>
      </c>
      <c r="F601" s="6">
        <v>680</v>
      </c>
      <c r="G601" s="6" t="b">
        <v>0</v>
      </c>
      <c r="H601" s="8" t="s">
        <v>240</v>
      </c>
      <c r="I601" s="6" t="b">
        <v>0</v>
      </c>
      <c r="J601" s="6" t="b">
        <v>0</v>
      </c>
      <c r="K601" s="6" t="b">
        <v>0</v>
      </c>
      <c r="L601" s="6" t="b">
        <v>1</v>
      </c>
      <c r="M601" s="6" t="b">
        <v>0</v>
      </c>
      <c r="N601" s="6">
        <v>9</v>
      </c>
      <c r="O601" s="8" t="s">
        <v>247</v>
      </c>
      <c r="P601" s="8" t="s">
        <v>1177</v>
      </c>
      <c r="Q601" s="8" t="s">
        <v>1184</v>
      </c>
      <c r="R601" s="6">
        <v>5</v>
      </c>
      <c r="S601" s="8" t="s">
        <v>335</v>
      </c>
      <c r="T601" s="6">
        <v>5</v>
      </c>
      <c r="U601" s="8" t="s">
        <v>240</v>
      </c>
      <c r="V601" s="8" t="s">
        <v>1120</v>
      </c>
      <c r="W601" s="8" t="s">
        <v>240</v>
      </c>
      <c r="X601" s="8" t="s">
        <v>240</v>
      </c>
      <c r="Y601" s="8" t="s">
        <v>240</v>
      </c>
      <c r="Z601" s="6" t="b">
        <v>0</v>
      </c>
      <c r="AA601" s="9"/>
      <c r="AB601" s="9"/>
    </row>
    <row r="602" spans="1:28" ht="32">
      <c r="A602" s="6">
        <v>681</v>
      </c>
      <c r="B602" s="8" t="s">
        <v>212</v>
      </c>
      <c r="C602" s="8" t="s">
        <v>1171</v>
      </c>
      <c r="D602" s="8" t="s">
        <v>1185</v>
      </c>
      <c r="E602" s="8" t="s">
        <v>1185</v>
      </c>
      <c r="F602" s="6">
        <v>681</v>
      </c>
      <c r="G602" s="6" t="b">
        <v>0</v>
      </c>
      <c r="H602" s="8" t="s">
        <v>240</v>
      </c>
      <c r="I602" s="6" t="b">
        <v>0</v>
      </c>
      <c r="J602" s="6" t="b">
        <v>0</v>
      </c>
      <c r="K602" s="6" t="b">
        <v>0</v>
      </c>
      <c r="L602" s="6" t="b">
        <v>1</v>
      </c>
      <c r="M602" s="6" t="b">
        <v>0</v>
      </c>
      <c r="N602" s="6">
        <v>9</v>
      </c>
      <c r="O602" s="8" t="s">
        <v>237</v>
      </c>
      <c r="P602" s="8" t="s">
        <v>1176</v>
      </c>
      <c r="Q602" s="8" t="s">
        <v>446</v>
      </c>
      <c r="R602" s="6">
        <v>9</v>
      </c>
      <c r="S602" s="8" t="s">
        <v>75</v>
      </c>
      <c r="T602" s="9"/>
      <c r="U602" s="8" t="s">
        <v>240</v>
      </c>
      <c r="V602" s="8" t="s">
        <v>1120</v>
      </c>
      <c r="W602" s="8" t="s">
        <v>240</v>
      </c>
      <c r="X602" s="8" t="s">
        <v>1173</v>
      </c>
      <c r="Y602" s="8" t="s">
        <v>240</v>
      </c>
      <c r="Z602" s="6" t="b">
        <v>0</v>
      </c>
      <c r="AA602" s="9"/>
      <c r="AB602" s="9"/>
    </row>
    <row r="603" spans="1:28" ht="32">
      <c r="A603" s="6">
        <v>682</v>
      </c>
      <c r="B603" s="8" t="s">
        <v>212</v>
      </c>
      <c r="C603" s="8" t="s">
        <v>1171</v>
      </c>
      <c r="D603" s="8" t="s">
        <v>1186</v>
      </c>
      <c r="E603" s="8" t="s">
        <v>1185</v>
      </c>
      <c r="F603" s="6">
        <v>681</v>
      </c>
      <c r="G603" s="6" t="b">
        <v>0</v>
      </c>
      <c r="H603" s="8" t="s">
        <v>240</v>
      </c>
      <c r="I603" s="6" t="b">
        <v>0</v>
      </c>
      <c r="J603" s="6" t="b">
        <v>0</v>
      </c>
      <c r="K603" s="6" t="b">
        <v>0</v>
      </c>
      <c r="L603" s="6" t="b">
        <v>1</v>
      </c>
      <c r="M603" s="6" t="b">
        <v>0</v>
      </c>
      <c r="N603" s="6">
        <v>9</v>
      </c>
      <c r="O603" s="8" t="s">
        <v>237</v>
      </c>
      <c r="P603" s="8" t="s">
        <v>1176</v>
      </c>
      <c r="Q603" s="8" t="s">
        <v>446</v>
      </c>
      <c r="R603" s="6">
        <v>9</v>
      </c>
      <c r="S603" s="8" t="s">
        <v>75</v>
      </c>
      <c r="T603" s="9"/>
      <c r="U603" s="8" t="s">
        <v>240</v>
      </c>
      <c r="V603" s="8" t="s">
        <v>1120</v>
      </c>
      <c r="W603" s="8" t="s">
        <v>240</v>
      </c>
      <c r="X603" s="8" t="s">
        <v>1173</v>
      </c>
      <c r="Y603" s="8" t="s">
        <v>240</v>
      </c>
      <c r="Z603" s="6" t="b">
        <v>0</v>
      </c>
      <c r="AA603" s="9"/>
      <c r="AB603" s="9"/>
    </row>
    <row r="604" spans="1:28" ht="16">
      <c r="A604" s="6">
        <v>683</v>
      </c>
      <c r="B604" s="8" t="s">
        <v>212</v>
      </c>
      <c r="C604" s="8" t="s">
        <v>1187</v>
      </c>
      <c r="D604" s="8" t="s">
        <v>1188</v>
      </c>
      <c r="E604" s="8" t="s">
        <v>1188</v>
      </c>
      <c r="F604" s="6">
        <v>683</v>
      </c>
      <c r="G604" s="6" t="b">
        <v>0</v>
      </c>
      <c r="H604" s="8" t="s">
        <v>240</v>
      </c>
      <c r="I604" s="6" t="b">
        <v>0</v>
      </c>
      <c r="J604" s="6" t="b">
        <v>0</v>
      </c>
      <c r="K604" s="6" t="b">
        <v>0</v>
      </c>
      <c r="L604" s="6" t="b">
        <v>1</v>
      </c>
      <c r="M604" s="6" t="b">
        <v>0</v>
      </c>
      <c r="N604" s="6">
        <v>9</v>
      </c>
      <c r="O604" s="8" t="s">
        <v>237</v>
      </c>
      <c r="P604" s="8" t="s">
        <v>238</v>
      </c>
      <c r="Q604" s="8" t="s">
        <v>1119</v>
      </c>
      <c r="R604" s="6">
        <v>9</v>
      </c>
      <c r="S604" s="8" t="s">
        <v>75</v>
      </c>
      <c r="T604" s="9"/>
      <c r="U604" s="8" t="s">
        <v>240</v>
      </c>
      <c r="V604" s="8" t="s">
        <v>447</v>
      </c>
      <c r="W604" s="8" t="s">
        <v>240</v>
      </c>
      <c r="X604" s="8" t="s">
        <v>240</v>
      </c>
      <c r="Y604" s="8" t="s">
        <v>240</v>
      </c>
      <c r="Z604" s="6" t="b">
        <v>0</v>
      </c>
      <c r="AA604" s="9"/>
      <c r="AB604" s="9"/>
    </row>
    <row r="605" spans="1:28" ht="16">
      <c r="A605" s="6">
        <v>684</v>
      </c>
      <c r="B605" s="8" t="s">
        <v>212</v>
      </c>
      <c r="C605" s="8" t="s">
        <v>1187</v>
      </c>
      <c r="D605" s="8" t="s">
        <v>1189</v>
      </c>
      <c r="E605" s="8" t="s">
        <v>1188</v>
      </c>
      <c r="F605" s="6">
        <v>683</v>
      </c>
      <c r="G605" s="6" t="b">
        <v>0</v>
      </c>
      <c r="H605" s="8" t="s">
        <v>240</v>
      </c>
      <c r="I605" s="6" t="b">
        <v>0</v>
      </c>
      <c r="J605" s="6" t="b">
        <v>0</v>
      </c>
      <c r="K605" s="6" t="b">
        <v>0</v>
      </c>
      <c r="L605" s="6" t="b">
        <v>1</v>
      </c>
      <c r="M605" s="6" t="b">
        <v>0</v>
      </c>
      <c r="N605" s="6">
        <v>9</v>
      </c>
      <c r="O605" s="8" t="s">
        <v>237</v>
      </c>
      <c r="P605" s="8" t="s">
        <v>238</v>
      </c>
      <c r="Q605" s="8" t="s">
        <v>239</v>
      </c>
      <c r="R605" s="6">
        <v>9</v>
      </c>
      <c r="S605" s="8" t="s">
        <v>75</v>
      </c>
      <c r="T605" s="9"/>
      <c r="U605" s="8" t="s">
        <v>240</v>
      </c>
      <c r="V605" s="8" t="s">
        <v>447</v>
      </c>
      <c r="W605" s="8" t="s">
        <v>240</v>
      </c>
      <c r="X605" s="8" t="s">
        <v>240</v>
      </c>
      <c r="Y605" s="8" t="s">
        <v>240</v>
      </c>
      <c r="Z605" s="6" t="b">
        <v>0</v>
      </c>
      <c r="AA605" s="9"/>
      <c r="AB605" s="9"/>
    </row>
    <row r="606" spans="1:28" ht="16">
      <c r="A606" s="6">
        <v>685</v>
      </c>
      <c r="B606" s="8" t="s">
        <v>212</v>
      </c>
      <c r="C606" s="8" t="s">
        <v>1187</v>
      </c>
      <c r="D606" s="8" t="s">
        <v>1187</v>
      </c>
      <c r="E606" s="8" t="s">
        <v>1187</v>
      </c>
      <c r="F606" s="6">
        <v>685</v>
      </c>
      <c r="G606" s="6" t="b">
        <v>0</v>
      </c>
      <c r="H606" s="8" t="s">
        <v>240</v>
      </c>
      <c r="I606" s="6" t="b">
        <v>0</v>
      </c>
      <c r="J606" s="6" t="b">
        <v>0</v>
      </c>
      <c r="K606" s="6" t="b">
        <v>0</v>
      </c>
      <c r="L606" s="6" t="b">
        <v>1</v>
      </c>
      <c r="M606" s="6" t="b">
        <v>0</v>
      </c>
      <c r="N606" s="6">
        <v>9</v>
      </c>
      <c r="O606" s="8" t="s">
        <v>237</v>
      </c>
      <c r="P606" s="8" t="s">
        <v>1176</v>
      </c>
      <c r="Q606" s="8" t="s">
        <v>446</v>
      </c>
      <c r="R606" s="6">
        <v>9</v>
      </c>
      <c r="S606" s="8" t="s">
        <v>237</v>
      </c>
      <c r="T606" s="9"/>
      <c r="U606" s="8" t="s">
        <v>240</v>
      </c>
      <c r="V606" s="8" t="s">
        <v>240</v>
      </c>
      <c r="W606" s="8" t="s">
        <v>240</v>
      </c>
      <c r="X606" s="8" t="s">
        <v>240</v>
      </c>
      <c r="Y606" s="8" t="s">
        <v>240</v>
      </c>
      <c r="Z606" s="6" t="b">
        <v>0</v>
      </c>
      <c r="AA606" s="9"/>
      <c r="AB606" s="9"/>
    </row>
    <row r="607" spans="1:28" ht="16">
      <c r="A607" s="6">
        <v>686</v>
      </c>
      <c r="B607" s="8" t="s">
        <v>212</v>
      </c>
      <c r="C607" s="8" t="s">
        <v>1179</v>
      </c>
      <c r="D607" s="8" t="s">
        <v>1190</v>
      </c>
      <c r="E607" s="8" t="s">
        <v>1190</v>
      </c>
      <c r="F607" s="6">
        <v>686</v>
      </c>
      <c r="G607" s="6" t="b">
        <v>0</v>
      </c>
      <c r="H607" s="8" t="s">
        <v>240</v>
      </c>
      <c r="I607" s="6" t="b">
        <v>0</v>
      </c>
      <c r="J607" s="6" t="b">
        <v>0</v>
      </c>
      <c r="K607" s="6" t="b">
        <v>0</v>
      </c>
      <c r="L607" s="6" t="b">
        <v>1</v>
      </c>
      <c r="M607" s="6" t="b">
        <v>0</v>
      </c>
      <c r="N607" s="6">
        <v>8</v>
      </c>
      <c r="O607" s="8" t="s">
        <v>237</v>
      </c>
      <c r="P607" s="8" t="s">
        <v>238</v>
      </c>
      <c r="Q607" s="8" t="s">
        <v>1119</v>
      </c>
      <c r="R607" s="6">
        <v>8</v>
      </c>
      <c r="S607" s="8" t="s">
        <v>75</v>
      </c>
      <c r="T607" s="9"/>
      <c r="U607" s="8" t="s">
        <v>240</v>
      </c>
      <c r="V607" s="8" t="s">
        <v>447</v>
      </c>
      <c r="W607" s="8" t="s">
        <v>240</v>
      </c>
      <c r="X607" s="8" t="s">
        <v>240</v>
      </c>
      <c r="Y607" s="8" t="s">
        <v>240</v>
      </c>
      <c r="Z607" s="6" t="b">
        <v>0</v>
      </c>
      <c r="AA607" s="9"/>
      <c r="AB607" s="9"/>
    </row>
    <row r="608" spans="1:28" ht="32">
      <c r="A608" s="6">
        <v>687</v>
      </c>
      <c r="B608" s="8" t="s">
        <v>212</v>
      </c>
      <c r="C608" s="8" t="s">
        <v>1179</v>
      </c>
      <c r="D608" s="8" t="s">
        <v>1191</v>
      </c>
      <c r="E608" s="8" t="s">
        <v>1190</v>
      </c>
      <c r="F608" s="6">
        <v>686</v>
      </c>
      <c r="G608" s="6" t="b">
        <v>0</v>
      </c>
      <c r="H608" s="8" t="s">
        <v>240</v>
      </c>
      <c r="I608" s="6" t="b">
        <v>0</v>
      </c>
      <c r="J608" s="6" t="b">
        <v>0</v>
      </c>
      <c r="K608" s="6" t="b">
        <v>0</v>
      </c>
      <c r="L608" s="6" t="b">
        <v>1</v>
      </c>
      <c r="M608" s="6" t="b">
        <v>0</v>
      </c>
      <c r="N608" s="6">
        <v>8</v>
      </c>
      <c r="O608" s="8" t="s">
        <v>237</v>
      </c>
      <c r="P608" s="8" t="s">
        <v>238</v>
      </c>
      <c r="Q608" s="8" t="s">
        <v>1119</v>
      </c>
      <c r="R608" s="6">
        <v>8</v>
      </c>
      <c r="S608" s="8" t="s">
        <v>75</v>
      </c>
      <c r="T608" s="9"/>
      <c r="U608" s="8" t="s">
        <v>240</v>
      </c>
      <c r="V608" s="8" t="s">
        <v>447</v>
      </c>
      <c r="W608" s="8" t="s">
        <v>240</v>
      </c>
      <c r="X608" s="8" t="s">
        <v>240</v>
      </c>
      <c r="Y608" s="8" t="s">
        <v>240</v>
      </c>
      <c r="Z608" s="6" t="b">
        <v>0</v>
      </c>
      <c r="AA608" s="9"/>
      <c r="AB608" s="9"/>
    </row>
    <row r="609" spans="1:28" ht="16">
      <c r="A609" s="6">
        <v>688</v>
      </c>
      <c r="B609" s="8" t="s">
        <v>212</v>
      </c>
      <c r="C609" s="8" t="s">
        <v>159</v>
      </c>
      <c r="D609" s="8" t="s">
        <v>1192</v>
      </c>
      <c r="E609" s="8" t="s">
        <v>1192</v>
      </c>
      <c r="F609" s="6">
        <v>688</v>
      </c>
      <c r="G609" s="6" t="b">
        <v>0</v>
      </c>
      <c r="H609" s="8" t="s">
        <v>240</v>
      </c>
      <c r="I609" s="6" t="b">
        <v>0</v>
      </c>
      <c r="J609" s="6" t="b">
        <v>0</v>
      </c>
      <c r="K609" s="6" t="b">
        <v>0</v>
      </c>
      <c r="L609" s="6" t="b">
        <v>1</v>
      </c>
      <c r="M609" s="6" t="b">
        <v>0</v>
      </c>
      <c r="N609" s="6">
        <v>9</v>
      </c>
      <c r="O609" s="8" t="s">
        <v>237</v>
      </c>
      <c r="P609" s="8" t="s">
        <v>1176</v>
      </c>
      <c r="Q609" s="8" t="s">
        <v>446</v>
      </c>
      <c r="R609" s="6">
        <v>6</v>
      </c>
      <c r="S609" s="8" t="s">
        <v>372</v>
      </c>
      <c r="T609" s="9"/>
      <c r="U609" s="8" t="s">
        <v>240</v>
      </c>
      <c r="V609" s="8" t="s">
        <v>447</v>
      </c>
      <c r="W609" s="8" t="s">
        <v>483</v>
      </c>
      <c r="X609" s="8" t="s">
        <v>240</v>
      </c>
      <c r="Y609" s="8" t="s">
        <v>1193</v>
      </c>
      <c r="Z609" s="6" t="b">
        <v>0</v>
      </c>
      <c r="AA609" s="9"/>
      <c r="AB609" s="9"/>
    </row>
    <row r="610" spans="1:28" ht="16">
      <c r="A610" s="6">
        <v>690</v>
      </c>
      <c r="B610" s="8" t="s">
        <v>212</v>
      </c>
      <c r="C610" s="8" t="s">
        <v>159</v>
      </c>
      <c r="D610" s="8" t="s">
        <v>1194</v>
      </c>
      <c r="E610" s="8" t="s">
        <v>1192</v>
      </c>
      <c r="F610" s="6">
        <v>688</v>
      </c>
      <c r="G610" s="6" t="b">
        <v>0</v>
      </c>
      <c r="H610" s="8" t="s">
        <v>240</v>
      </c>
      <c r="I610" s="6" t="b">
        <v>0</v>
      </c>
      <c r="J610" s="6" t="b">
        <v>0</v>
      </c>
      <c r="K610" s="6" t="b">
        <v>0</v>
      </c>
      <c r="L610" s="6" t="b">
        <v>1</v>
      </c>
      <c r="M610" s="6" t="b">
        <v>0</v>
      </c>
      <c r="N610" s="6">
        <v>9</v>
      </c>
      <c r="O610" s="8" t="s">
        <v>237</v>
      </c>
      <c r="P610" s="8" t="s">
        <v>1176</v>
      </c>
      <c r="Q610" s="8" t="s">
        <v>446</v>
      </c>
      <c r="R610" s="6">
        <v>9</v>
      </c>
      <c r="S610" s="8" t="s">
        <v>75</v>
      </c>
      <c r="T610" s="9"/>
      <c r="U610" s="8" t="s">
        <v>1195</v>
      </c>
      <c r="V610" s="8" t="s">
        <v>447</v>
      </c>
      <c r="W610" s="8" t="s">
        <v>483</v>
      </c>
      <c r="X610" s="8" t="s">
        <v>240</v>
      </c>
      <c r="Y610" s="8" t="s">
        <v>240</v>
      </c>
      <c r="Z610" s="6" t="b">
        <v>0</v>
      </c>
      <c r="AA610" s="9"/>
      <c r="AB610" s="9"/>
    </row>
    <row r="611" spans="1:28" ht="16">
      <c r="A611" s="6">
        <v>691</v>
      </c>
      <c r="B611" s="8" t="s">
        <v>212</v>
      </c>
      <c r="C611" s="8" t="s">
        <v>1196</v>
      </c>
      <c r="D611" s="8" t="s">
        <v>1197</v>
      </c>
      <c r="E611" s="8" t="s">
        <v>1197</v>
      </c>
      <c r="F611" s="6">
        <v>691</v>
      </c>
      <c r="G611" s="6" t="b">
        <v>0</v>
      </c>
      <c r="H611" s="8" t="s">
        <v>240</v>
      </c>
      <c r="I611" s="6" t="b">
        <v>0</v>
      </c>
      <c r="J611" s="6" t="b">
        <v>0</v>
      </c>
      <c r="K611" s="6" t="b">
        <v>0</v>
      </c>
      <c r="L611" s="6" t="b">
        <v>1</v>
      </c>
      <c r="M611" s="6" t="b">
        <v>0</v>
      </c>
      <c r="N611" s="6">
        <v>9</v>
      </c>
      <c r="O611" s="8" t="s">
        <v>237</v>
      </c>
      <c r="P611" s="8" t="s">
        <v>238</v>
      </c>
      <c r="Q611" s="8" t="s">
        <v>446</v>
      </c>
      <c r="R611" s="6">
        <v>9</v>
      </c>
      <c r="S611" s="8" t="s">
        <v>75</v>
      </c>
      <c r="T611" s="9"/>
      <c r="U611" s="8" t="s">
        <v>240</v>
      </c>
      <c r="V611" s="8" t="s">
        <v>240</v>
      </c>
      <c r="W611" s="8" t="s">
        <v>386</v>
      </c>
      <c r="X611" s="8" t="s">
        <v>240</v>
      </c>
      <c r="Y611" s="8" t="s">
        <v>240</v>
      </c>
      <c r="Z611" s="6" t="b">
        <v>0</v>
      </c>
      <c r="AA611" s="9"/>
      <c r="AB611" s="9"/>
    </row>
    <row r="612" spans="1:28" ht="16">
      <c r="A612" s="6">
        <v>692</v>
      </c>
      <c r="B612" s="8" t="s">
        <v>212</v>
      </c>
      <c r="C612" s="8" t="s">
        <v>1196</v>
      </c>
      <c r="D612" s="8" t="s">
        <v>1198</v>
      </c>
      <c r="E612" s="8" t="s">
        <v>1197</v>
      </c>
      <c r="F612" s="6">
        <v>691</v>
      </c>
      <c r="G612" s="6" t="b">
        <v>0</v>
      </c>
      <c r="H612" s="8" t="s">
        <v>240</v>
      </c>
      <c r="I612" s="6" t="b">
        <v>0</v>
      </c>
      <c r="J612" s="6" t="b">
        <v>0</v>
      </c>
      <c r="K612" s="6" t="b">
        <v>0</v>
      </c>
      <c r="L612" s="6" t="b">
        <v>1</v>
      </c>
      <c r="M612" s="6" t="b">
        <v>0</v>
      </c>
      <c r="N612" s="6">
        <v>9</v>
      </c>
      <c r="O612" s="8" t="s">
        <v>237</v>
      </c>
      <c r="P612" s="8" t="s">
        <v>238</v>
      </c>
      <c r="Q612" s="8" t="s">
        <v>237</v>
      </c>
      <c r="R612" s="6">
        <v>9</v>
      </c>
      <c r="S612" s="8" t="s">
        <v>75</v>
      </c>
      <c r="T612" s="9"/>
      <c r="U612" s="8" t="s">
        <v>240</v>
      </c>
      <c r="V612" s="8" t="s">
        <v>240</v>
      </c>
      <c r="W612" s="8" t="s">
        <v>386</v>
      </c>
      <c r="X612" s="8" t="s">
        <v>240</v>
      </c>
      <c r="Y612" s="8" t="s">
        <v>240</v>
      </c>
      <c r="Z612" s="6" t="b">
        <v>0</v>
      </c>
      <c r="AA612" s="9"/>
      <c r="AB612" s="9"/>
    </row>
    <row r="613" spans="1:28" ht="16">
      <c r="A613" s="6">
        <v>693</v>
      </c>
      <c r="B613" s="8" t="s">
        <v>212</v>
      </c>
      <c r="C613" s="8" t="s">
        <v>1199</v>
      </c>
      <c r="D613" s="8" t="s">
        <v>1200</v>
      </c>
      <c r="E613" s="8" t="s">
        <v>1200</v>
      </c>
      <c r="F613" s="6">
        <v>693</v>
      </c>
      <c r="G613" s="6" t="b">
        <v>0</v>
      </c>
      <c r="H613" s="8" t="s">
        <v>240</v>
      </c>
      <c r="I613" s="6" t="b">
        <v>0</v>
      </c>
      <c r="J613" s="6" t="b">
        <v>0</v>
      </c>
      <c r="K613" s="6" t="b">
        <v>0</v>
      </c>
      <c r="L613" s="6" t="b">
        <v>1</v>
      </c>
      <c r="M613" s="6" t="b">
        <v>0</v>
      </c>
      <c r="N613" s="6">
        <v>8</v>
      </c>
      <c r="O613" s="8" t="s">
        <v>237</v>
      </c>
      <c r="P613" s="8" t="s">
        <v>238</v>
      </c>
      <c r="Q613" s="8" t="s">
        <v>1119</v>
      </c>
      <c r="R613" s="6">
        <v>8</v>
      </c>
      <c r="S613" s="8" t="s">
        <v>75</v>
      </c>
      <c r="T613" s="9"/>
      <c r="U613" s="8" t="s">
        <v>240</v>
      </c>
      <c r="V613" s="8" t="s">
        <v>1012</v>
      </c>
      <c r="W613" s="8" t="s">
        <v>240</v>
      </c>
      <c r="X613" s="8" t="s">
        <v>240</v>
      </c>
      <c r="Y613" s="8" t="s">
        <v>240</v>
      </c>
      <c r="Z613" s="6" t="b">
        <v>0</v>
      </c>
      <c r="AA613" s="9"/>
      <c r="AB613" s="9"/>
    </row>
    <row r="614" spans="1:28" ht="16">
      <c r="A614" s="6">
        <v>694</v>
      </c>
      <c r="B614" s="8" t="s">
        <v>212</v>
      </c>
      <c r="C614" s="8" t="s">
        <v>1199</v>
      </c>
      <c r="D614" s="8" t="s">
        <v>1201</v>
      </c>
      <c r="E614" s="8" t="s">
        <v>1200</v>
      </c>
      <c r="F614" s="6">
        <v>694</v>
      </c>
      <c r="G614" s="6" t="b">
        <v>0</v>
      </c>
      <c r="H614" s="8" t="s">
        <v>240</v>
      </c>
      <c r="I614" s="6" t="b">
        <v>0</v>
      </c>
      <c r="J614" s="6" t="b">
        <v>0</v>
      </c>
      <c r="K614" s="6" t="b">
        <v>0</v>
      </c>
      <c r="L614" s="6" t="b">
        <v>1</v>
      </c>
      <c r="M614" s="6" t="b">
        <v>0</v>
      </c>
      <c r="N614" s="6">
        <v>8</v>
      </c>
      <c r="O614" s="8" t="s">
        <v>237</v>
      </c>
      <c r="P614" s="8" t="s">
        <v>238</v>
      </c>
      <c r="Q614" s="8" t="s">
        <v>1119</v>
      </c>
      <c r="R614" s="6">
        <v>8</v>
      </c>
      <c r="S614" s="8" t="s">
        <v>75</v>
      </c>
      <c r="T614" s="9"/>
      <c r="U614" s="8" t="s">
        <v>240</v>
      </c>
      <c r="V614" s="8" t="s">
        <v>1012</v>
      </c>
      <c r="W614" s="8" t="s">
        <v>240</v>
      </c>
      <c r="X614" s="8" t="s">
        <v>240</v>
      </c>
      <c r="Y614" s="8" t="s">
        <v>240</v>
      </c>
      <c r="Z614" s="6" t="b">
        <v>0</v>
      </c>
      <c r="AA614" s="9"/>
      <c r="AB614" s="9"/>
    </row>
    <row r="615" spans="1:28" ht="16">
      <c r="A615" s="6">
        <v>695</v>
      </c>
      <c r="B615" s="8" t="s">
        <v>212</v>
      </c>
      <c r="C615" s="8" t="s">
        <v>1199</v>
      </c>
      <c r="D615" s="8" t="s">
        <v>1199</v>
      </c>
      <c r="E615" s="8" t="s">
        <v>1199</v>
      </c>
      <c r="F615" s="6">
        <v>695</v>
      </c>
      <c r="G615" s="6" t="b">
        <v>0</v>
      </c>
      <c r="H615" s="8" t="s">
        <v>240</v>
      </c>
      <c r="I615" s="6" t="b">
        <v>0</v>
      </c>
      <c r="J615" s="6" t="b">
        <v>0</v>
      </c>
      <c r="K615" s="6" t="b">
        <v>0</v>
      </c>
      <c r="L615" s="6" t="b">
        <v>1</v>
      </c>
      <c r="M615" s="6" t="b">
        <v>0</v>
      </c>
      <c r="N615" s="6">
        <v>8</v>
      </c>
      <c r="O615" s="8" t="s">
        <v>237</v>
      </c>
      <c r="P615" s="8" t="s">
        <v>1176</v>
      </c>
      <c r="Q615" s="8" t="s">
        <v>446</v>
      </c>
      <c r="R615" s="6">
        <v>8</v>
      </c>
      <c r="S615" s="8" t="s">
        <v>237</v>
      </c>
      <c r="T615" s="9"/>
      <c r="U615" s="8" t="s">
        <v>240</v>
      </c>
      <c r="V615" s="8" t="s">
        <v>1012</v>
      </c>
      <c r="W615" s="8" t="s">
        <v>240</v>
      </c>
      <c r="X615" s="8" t="s">
        <v>240</v>
      </c>
      <c r="Y615" s="8" t="s">
        <v>240</v>
      </c>
      <c r="Z615" s="6" t="b">
        <v>0</v>
      </c>
      <c r="AA615" s="9"/>
      <c r="AB615" s="9"/>
    </row>
    <row r="616" spans="1:28" ht="16">
      <c r="A616" s="6">
        <v>696</v>
      </c>
      <c r="B616" s="8" t="s">
        <v>212</v>
      </c>
      <c r="C616" s="8" t="s">
        <v>1202</v>
      </c>
      <c r="D616" s="8" t="s">
        <v>1203</v>
      </c>
      <c r="E616" s="8" t="s">
        <v>1203</v>
      </c>
      <c r="F616" s="6">
        <v>696</v>
      </c>
      <c r="G616" s="6" t="b">
        <v>0</v>
      </c>
      <c r="H616" s="8" t="s">
        <v>240</v>
      </c>
      <c r="I616" s="6" t="b">
        <v>0</v>
      </c>
      <c r="J616" s="6" t="b">
        <v>0</v>
      </c>
      <c r="K616" s="6" t="b">
        <v>0</v>
      </c>
      <c r="L616" s="6" t="b">
        <v>1</v>
      </c>
      <c r="M616" s="6" t="b">
        <v>0</v>
      </c>
      <c r="N616" s="6">
        <v>9</v>
      </c>
      <c r="O616" s="8" t="s">
        <v>237</v>
      </c>
      <c r="P616" s="8" t="s">
        <v>238</v>
      </c>
      <c r="Q616" s="8" t="s">
        <v>1119</v>
      </c>
      <c r="R616" s="6">
        <v>5</v>
      </c>
      <c r="S616" s="8" t="s">
        <v>372</v>
      </c>
      <c r="T616" s="9"/>
      <c r="U616" s="8" t="s">
        <v>240</v>
      </c>
      <c r="V616" s="8" t="s">
        <v>824</v>
      </c>
      <c r="W616" s="8" t="s">
        <v>240</v>
      </c>
      <c r="X616" s="8" t="s">
        <v>240</v>
      </c>
      <c r="Y616" s="8" t="s">
        <v>240</v>
      </c>
      <c r="Z616" s="6" t="b">
        <v>0</v>
      </c>
      <c r="AA616" s="9"/>
      <c r="AB616" s="9"/>
    </row>
    <row r="617" spans="1:28" ht="16">
      <c r="A617" s="6">
        <v>697</v>
      </c>
      <c r="B617" s="8" t="s">
        <v>212</v>
      </c>
      <c r="C617" s="8" t="s">
        <v>1202</v>
      </c>
      <c r="D617" s="8" t="s">
        <v>1204</v>
      </c>
      <c r="E617" s="8" t="s">
        <v>1203</v>
      </c>
      <c r="F617" s="6">
        <v>696</v>
      </c>
      <c r="G617" s="6" t="b">
        <v>0</v>
      </c>
      <c r="H617" s="8" t="s">
        <v>240</v>
      </c>
      <c r="I617" s="6" t="b">
        <v>0</v>
      </c>
      <c r="J617" s="6" t="b">
        <v>0</v>
      </c>
      <c r="K617" s="6" t="b">
        <v>0</v>
      </c>
      <c r="L617" s="6" t="b">
        <v>1</v>
      </c>
      <c r="M617" s="6" t="b">
        <v>0</v>
      </c>
      <c r="N617" s="6">
        <v>9</v>
      </c>
      <c r="O617" s="8" t="s">
        <v>237</v>
      </c>
      <c r="P617" s="8" t="s">
        <v>238</v>
      </c>
      <c r="Q617" s="8" t="s">
        <v>1119</v>
      </c>
      <c r="R617" s="6">
        <v>9</v>
      </c>
      <c r="S617" s="8" t="s">
        <v>75</v>
      </c>
      <c r="T617" s="9"/>
      <c r="U617" s="8" t="s">
        <v>240</v>
      </c>
      <c r="V617" s="8" t="s">
        <v>824</v>
      </c>
      <c r="W617" s="8" t="s">
        <v>240</v>
      </c>
      <c r="X617" s="8" t="s">
        <v>240</v>
      </c>
      <c r="Y617" s="8" t="s">
        <v>240</v>
      </c>
      <c r="Z617" s="6" t="b">
        <v>0</v>
      </c>
      <c r="AA617" s="9"/>
      <c r="AB617" s="9"/>
    </row>
    <row r="618" spans="1:28" ht="16">
      <c r="A618" s="6">
        <v>698</v>
      </c>
      <c r="B618" s="8" t="s">
        <v>212</v>
      </c>
      <c r="C618" s="8" t="s">
        <v>1202</v>
      </c>
      <c r="D618" s="8" t="s">
        <v>1205</v>
      </c>
      <c r="E618" s="8" t="s">
        <v>1203</v>
      </c>
      <c r="F618" s="6">
        <v>696</v>
      </c>
      <c r="G618" s="6" t="b">
        <v>0</v>
      </c>
      <c r="H618" s="8" t="s">
        <v>240</v>
      </c>
      <c r="I618" s="6" t="b">
        <v>0</v>
      </c>
      <c r="J618" s="6" t="b">
        <v>0</v>
      </c>
      <c r="K618" s="6" t="b">
        <v>0</v>
      </c>
      <c r="L618" s="6" t="b">
        <v>1</v>
      </c>
      <c r="M618" s="6" t="b">
        <v>0</v>
      </c>
      <c r="N618" s="6">
        <v>9</v>
      </c>
      <c r="O618" s="8" t="s">
        <v>237</v>
      </c>
      <c r="P618" s="8" t="s">
        <v>238</v>
      </c>
      <c r="Q618" s="8" t="s">
        <v>1119</v>
      </c>
      <c r="R618" s="6">
        <v>9</v>
      </c>
      <c r="S618" s="8" t="s">
        <v>75</v>
      </c>
      <c r="T618" s="9"/>
      <c r="U618" s="8" t="s">
        <v>240</v>
      </c>
      <c r="V618" s="8" t="s">
        <v>824</v>
      </c>
      <c r="W618" s="8" t="s">
        <v>240</v>
      </c>
      <c r="X618" s="8" t="s">
        <v>240</v>
      </c>
      <c r="Y618" s="8" t="s">
        <v>240</v>
      </c>
      <c r="Z618" s="6" t="b">
        <v>0</v>
      </c>
      <c r="AA618" s="9"/>
      <c r="AB618" s="9"/>
    </row>
    <row r="619" spans="1:28" ht="16">
      <c r="A619" s="6">
        <v>699</v>
      </c>
      <c r="B619" s="8" t="s">
        <v>212</v>
      </c>
      <c r="C619" s="8" t="s">
        <v>1202</v>
      </c>
      <c r="D619" s="8" t="s">
        <v>1206</v>
      </c>
      <c r="E619" s="8" t="s">
        <v>1203</v>
      </c>
      <c r="F619" s="6">
        <v>696</v>
      </c>
      <c r="G619" s="6" t="b">
        <v>0</v>
      </c>
      <c r="H619" s="8" t="s">
        <v>240</v>
      </c>
      <c r="I619" s="6" t="b">
        <v>0</v>
      </c>
      <c r="J619" s="6" t="b">
        <v>0</v>
      </c>
      <c r="K619" s="6" t="b">
        <v>0</v>
      </c>
      <c r="L619" s="6" t="b">
        <v>1</v>
      </c>
      <c r="M619" s="6" t="b">
        <v>0</v>
      </c>
      <c r="N619" s="6">
        <v>9</v>
      </c>
      <c r="O619" s="8" t="s">
        <v>237</v>
      </c>
      <c r="P619" s="8" t="s">
        <v>238</v>
      </c>
      <c r="Q619" s="8" t="s">
        <v>1119</v>
      </c>
      <c r="R619" s="6">
        <v>9</v>
      </c>
      <c r="S619" s="8" t="s">
        <v>75</v>
      </c>
      <c r="T619" s="9"/>
      <c r="U619" s="8" t="s">
        <v>240</v>
      </c>
      <c r="V619" s="8" t="s">
        <v>824</v>
      </c>
      <c r="W619" s="8" t="s">
        <v>240</v>
      </c>
      <c r="X619" s="8" t="s">
        <v>240</v>
      </c>
      <c r="Y619" s="8" t="s">
        <v>240</v>
      </c>
      <c r="Z619" s="6" t="b">
        <v>0</v>
      </c>
      <c r="AA619" s="9"/>
      <c r="AB619" s="9"/>
    </row>
    <row r="620" spans="1:28" ht="16">
      <c r="A620" s="6">
        <v>700</v>
      </c>
      <c r="B620" s="8" t="s">
        <v>212</v>
      </c>
      <c r="C620" s="8" t="s">
        <v>1202</v>
      </c>
      <c r="D620" s="8" t="s">
        <v>1207</v>
      </c>
      <c r="E620" s="8" t="s">
        <v>1203</v>
      </c>
      <c r="F620" s="6">
        <v>696</v>
      </c>
      <c r="G620" s="6" t="b">
        <v>0</v>
      </c>
      <c r="H620" s="8" t="s">
        <v>240</v>
      </c>
      <c r="I620" s="6" t="b">
        <v>0</v>
      </c>
      <c r="J620" s="6" t="b">
        <v>0</v>
      </c>
      <c r="K620" s="6" t="b">
        <v>0</v>
      </c>
      <c r="L620" s="6" t="b">
        <v>1</v>
      </c>
      <c r="M620" s="6" t="b">
        <v>0</v>
      </c>
      <c r="N620" s="6">
        <v>9</v>
      </c>
      <c r="O620" s="8" t="s">
        <v>237</v>
      </c>
      <c r="P620" s="8" t="s">
        <v>238</v>
      </c>
      <c r="Q620" s="8" t="s">
        <v>1119</v>
      </c>
      <c r="R620" s="6">
        <v>9</v>
      </c>
      <c r="S620" s="8" t="s">
        <v>75</v>
      </c>
      <c r="T620" s="9"/>
      <c r="U620" s="8" t="s">
        <v>240</v>
      </c>
      <c r="V620" s="8" t="s">
        <v>240</v>
      </c>
      <c r="W620" s="8" t="s">
        <v>240</v>
      </c>
      <c r="X620" s="8" t="s">
        <v>240</v>
      </c>
      <c r="Y620" s="8" t="s">
        <v>240</v>
      </c>
      <c r="Z620" s="6" t="b">
        <v>0</v>
      </c>
      <c r="AA620" s="9"/>
      <c r="AB620" s="9"/>
    </row>
    <row r="621" spans="1:28" ht="16">
      <c r="A621" s="6">
        <v>701</v>
      </c>
      <c r="B621" s="8" t="s">
        <v>212</v>
      </c>
      <c r="C621" s="8" t="s">
        <v>1202</v>
      </c>
      <c r="D621" s="8" t="s">
        <v>1202</v>
      </c>
      <c r="E621" s="8" t="s">
        <v>1202</v>
      </c>
      <c r="F621" s="6">
        <v>701</v>
      </c>
      <c r="G621" s="6" t="b">
        <v>0</v>
      </c>
      <c r="H621" s="8" t="s">
        <v>240</v>
      </c>
      <c r="I621" s="6" t="b">
        <v>0</v>
      </c>
      <c r="J621" s="6" t="b">
        <v>0</v>
      </c>
      <c r="K621" s="6" t="b">
        <v>0</v>
      </c>
      <c r="L621" s="6" t="b">
        <v>1</v>
      </c>
      <c r="M621" s="6" t="b">
        <v>0</v>
      </c>
      <c r="N621" s="6">
        <v>9</v>
      </c>
      <c r="O621" s="8" t="s">
        <v>237</v>
      </c>
      <c r="P621" s="8" t="s">
        <v>1176</v>
      </c>
      <c r="Q621" s="8" t="s">
        <v>446</v>
      </c>
      <c r="R621" s="6">
        <v>9</v>
      </c>
      <c r="S621" s="8" t="s">
        <v>237</v>
      </c>
      <c r="T621" s="9"/>
      <c r="U621" s="8" t="s">
        <v>240</v>
      </c>
      <c r="V621" s="8" t="s">
        <v>240</v>
      </c>
      <c r="W621" s="8" t="s">
        <v>240</v>
      </c>
      <c r="X621" s="8" t="s">
        <v>240</v>
      </c>
      <c r="Y621" s="8" t="s">
        <v>240</v>
      </c>
      <c r="Z621" s="6" t="b">
        <v>0</v>
      </c>
      <c r="AA621" s="9"/>
      <c r="AB621" s="9"/>
    </row>
    <row r="622" spans="1:28" ht="16">
      <c r="A622" s="6">
        <v>702</v>
      </c>
      <c r="B622" s="8" t="s">
        <v>212</v>
      </c>
      <c r="C622" s="8" t="s">
        <v>1174</v>
      </c>
      <c r="D622" s="8" t="s">
        <v>1208</v>
      </c>
      <c r="E622" s="8" t="s">
        <v>1208</v>
      </c>
      <c r="F622" s="6">
        <v>702</v>
      </c>
      <c r="G622" s="6" t="b">
        <v>0</v>
      </c>
      <c r="H622" s="8" t="s">
        <v>240</v>
      </c>
      <c r="I622" s="6" t="b">
        <v>0</v>
      </c>
      <c r="J622" s="6" t="b">
        <v>0</v>
      </c>
      <c r="K622" s="6" t="b">
        <v>0</v>
      </c>
      <c r="L622" s="6" t="b">
        <v>1</v>
      </c>
      <c r="M622" s="6" t="b">
        <v>0</v>
      </c>
      <c r="N622" s="6">
        <v>9</v>
      </c>
      <c r="O622" s="8" t="s">
        <v>247</v>
      </c>
      <c r="P622" s="8" t="s">
        <v>238</v>
      </c>
      <c r="Q622" s="8" t="s">
        <v>239</v>
      </c>
      <c r="R622" s="6">
        <v>9</v>
      </c>
      <c r="S622" s="8" t="s">
        <v>75</v>
      </c>
      <c r="T622" s="9"/>
      <c r="U622" s="8" t="s">
        <v>240</v>
      </c>
      <c r="V622" s="8" t="s">
        <v>240</v>
      </c>
      <c r="W622" s="8" t="s">
        <v>240</v>
      </c>
      <c r="X622" s="8" t="s">
        <v>240</v>
      </c>
      <c r="Y622" s="8" t="s">
        <v>240</v>
      </c>
      <c r="Z622" s="6" t="b">
        <v>0</v>
      </c>
      <c r="AA622" s="9"/>
      <c r="AB622" s="9"/>
    </row>
    <row r="623" spans="1:28" ht="16">
      <c r="A623" s="6">
        <v>703</v>
      </c>
      <c r="B623" s="8" t="s">
        <v>212</v>
      </c>
      <c r="C623" s="8" t="s">
        <v>1196</v>
      </c>
      <c r="D623" s="8" t="s">
        <v>1196</v>
      </c>
      <c r="E623" s="8" t="s">
        <v>1196</v>
      </c>
      <c r="F623" s="6">
        <v>703</v>
      </c>
      <c r="G623" s="6" t="b">
        <v>0</v>
      </c>
      <c r="H623" s="8" t="s">
        <v>240</v>
      </c>
      <c r="I623" s="6" t="b">
        <v>0</v>
      </c>
      <c r="J623" s="6" t="b">
        <v>0</v>
      </c>
      <c r="K623" s="6" t="b">
        <v>0</v>
      </c>
      <c r="L623" s="6" t="b">
        <v>1</v>
      </c>
      <c r="M623" s="6" t="b">
        <v>0</v>
      </c>
      <c r="N623" s="6">
        <v>9</v>
      </c>
      <c r="O623" s="8" t="s">
        <v>237</v>
      </c>
      <c r="P623" s="8" t="s">
        <v>238</v>
      </c>
      <c r="Q623" s="8" t="s">
        <v>446</v>
      </c>
      <c r="R623" s="6">
        <v>9</v>
      </c>
      <c r="S623" s="8" t="s">
        <v>75</v>
      </c>
      <c r="T623" s="9"/>
      <c r="U623" s="8" t="s">
        <v>240</v>
      </c>
      <c r="V623" s="8" t="s">
        <v>240</v>
      </c>
      <c r="W623" s="8" t="s">
        <v>240</v>
      </c>
      <c r="X623" s="8" t="s">
        <v>240</v>
      </c>
      <c r="Y623" s="8" t="s">
        <v>240</v>
      </c>
      <c r="Z623" s="6" t="b">
        <v>0</v>
      </c>
      <c r="AA623" s="9"/>
      <c r="AB623" s="9"/>
    </row>
    <row r="624" spans="1:28" ht="16">
      <c r="A624" s="6">
        <v>704</v>
      </c>
      <c r="B624" s="8" t="s">
        <v>212</v>
      </c>
      <c r="C624" s="8" t="s">
        <v>1174</v>
      </c>
      <c r="D624" s="8" t="s">
        <v>1209</v>
      </c>
      <c r="E624" s="8" t="s">
        <v>1209</v>
      </c>
      <c r="F624" s="6">
        <v>704</v>
      </c>
      <c r="G624" s="6" t="b">
        <v>0</v>
      </c>
      <c r="H624" s="8" t="s">
        <v>240</v>
      </c>
      <c r="I624" s="6" t="b">
        <v>0</v>
      </c>
      <c r="J624" s="6" t="b">
        <v>0</v>
      </c>
      <c r="K624" s="6" t="b">
        <v>0</v>
      </c>
      <c r="L624" s="6" t="b">
        <v>1</v>
      </c>
      <c r="M624" s="6" t="b">
        <v>0</v>
      </c>
      <c r="N624" s="6">
        <v>9</v>
      </c>
      <c r="O624" s="8" t="s">
        <v>247</v>
      </c>
      <c r="P624" s="8" t="s">
        <v>238</v>
      </c>
      <c r="Q624" s="8" t="s">
        <v>446</v>
      </c>
      <c r="R624" s="6">
        <v>5</v>
      </c>
      <c r="S624" s="8" t="s">
        <v>341</v>
      </c>
      <c r="T624" s="9"/>
      <c r="U624" s="8" t="s">
        <v>240</v>
      </c>
      <c r="V624" s="8" t="s">
        <v>240</v>
      </c>
      <c r="W624" s="8" t="s">
        <v>240</v>
      </c>
      <c r="X624" s="8" t="s">
        <v>240</v>
      </c>
      <c r="Y624" s="8" t="s">
        <v>240</v>
      </c>
      <c r="Z624" s="6" t="b">
        <v>0</v>
      </c>
      <c r="AA624" s="9"/>
      <c r="AB624" s="9"/>
    </row>
    <row r="625" spans="1:28" ht="16">
      <c r="A625" s="6">
        <v>705</v>
      </c>
      <c r="B625" s="8" t="s">
        <v>212</v>
      </c>
      <c r="C625" s="8" t="s">
        <v>1199</v>
      </c>
      <c r="D625" s="8" t="s">
        <v>1210</v>
      </c>
      <c r="E625" s="8" t="s">
        <v>1210</v>
      </c>
      <c r="F625" s="6">
        <v>705</v>
      </c>
      <c r="G625" s="6" t="b">
        <v>0</v>
      </c>
      <c r="H625" s="8" t="s">
        <v>240</v>
      </c>
      <c r="I625" s="6" t="b">
        <v>0</v>
      </c>
      <c r="J625" s="6" t="b">
        <v>0</v>
      </c>
      <c r="K625" s="6" t="b">
        <v>0</v>
      </c>
      <c r="L625" s="6" t="b">
        <v>1</v>
      </c>
      <c r="M625" s="6" t="b">
        <v>0</v>
      </c>
      <c r="N625" s="6">
        <v>8</v>
      </c>
      <c r="O625" s="8" t="s">
        <v>237</v>
      </c>
      <c r="P625" s="8" t="s">
        <v>238</v>
      </c>
      <c r="Q625" s="8" t="s">
        <v>446</v>
      </c>
      <c r="R625" s="6">
        <v>7.5</v>
      </c>
      <c r="S625" s="8" t="s">
        <v>247</v>
      </c>
      <c r="T625" s="9"/>
      <c r="U625" s="8" t="s">
        <v>240</v>
      </c>
      <c r="V625" s="8" t="s">
        <v>1012</v>
      </c>
      <c r="W625" s="8" t="s">
        <v>240</v>
      </c>
      <c r="X625" s="8" t="s">
        <v>240</v>
      </c>
      <c r="Y625" s="8" t="s">
        <v>240</v>
      </c>
      <c r="Z625" s="6" t="b">
        <v>0</v>
      </c>
      <c r="AA625" s="9"/>
      <c r="AB625" s="9"/>
    </row>
    <row r="626" spans="1:28" ht="16">
      <c r="A626" s="6">
        <v>706</v>
      </c>
      <c r="B626" s="8" t="s">
        <v>212</v>
      </c>
      <c r="C626" s="8" t="s">
        <v>159</v>
      </c>
      <c r="D626" s="8" t="s">
        <v>1211</v>
      </c>
      <c r="E626" s="8" t="s">
        <v>1211</v>
      </c>
      <c r="F626" s="6">
        <v>706</v>
      </c>
      <c r="G626" s="6" t="b">
        <v>0</v>
      </c>
      <c r="H626" s="8" t="s">
        <v>240</v>
      </c>
      <c r="I626" s="6" t="b">
        <v>0</v>
      </c>
      <c r="J626" s="6" t="b">
        <v>0</v>
      </c>
      <c r="K626" s="6" t="b">
        <v>0</v>
      </c>
      <c r="L626" s="6" t="b">
        <v>1</v>
      </c>
      <c r="M626" s="6" t="b">
        <v>0</v>
      </c>
      <c r="N626" s="6">
        <v>9</v>
      </c>
      <c r="O626" s="8" t="s">
        <v>237</v>
      </c>
      <c r="P626" s="8" t="s">
        <v>1176</v>
      </c>
      <c r="Q626" s="8" t="s">
        <v>446</v>
      </c>
      <c r="R626" s="6">
        <v>9</v>
      </c>
      <c r="S626" s="8" t="s">
        <v>75</v>
      </c>
      <c r="T626" s="9"/>
      <c r="U626" s="8" t="s">
        <v>240</v>
      </c>
      <c r="V626" s="8" t="s">
        <v>447</v>
      </c>
      <c r="W626" s="8" t="s">
        <v>483</v>
      </c>
      <c r="X626" s="8" t="s">
        <v>240</v>
      </c>
      <c r="Y626" s="8" t="s">
        <v>1212</v>
      </c>
      <c r="Z626" s="6" t="b">
        <v>0</v>
      </c>
      <c r="AA626" s="9"/>
      <c r="AB626" s="9"/>
    </row>
    <row r="627" spans="1:28" ht="16">
      <c r="A627" s="6">
        <v>707</v>
      </c>
      <c r="B627" s="8" t="s">
        <v>212</v>
      </c>
      <c r="C627" s="8" t="s">
        <v>159</v>
      </c>
      <c r="D627" s="8" t="s">
        <v>1213</v>
      </c>
      <c r="E627" s="8" t="s">
        <v>1211</v>
      </c>
      <c r="F627" s="6">
        <v>706</v>
      </c>
      <c r="G627" s="6" t="b">
        <v>0</v>
      </c>
      <c r="H627" s="8" t="s">
        <v>240</v>
      </c>
      <c r="I627" s="6" t="b">
        <v>0</v>
      </c>
      <c r="J627" s="6" t="b">
        <v>0</v>
      </c>
      <c r="K627" s="6" t="b">
        <v>0</v>
      </c>
      <c r="L627" s="6" t="b">
        <v>1</v>
      </c>
      <c r="M627" s="6" t="b">
        <v>0</v>
      </c>
      <c r="N627" s="6">
        <v>9</v>
      </c>
      <c r="O627" s="8" t="s">
        <v>237</v>
      </c>
      <c r="P627" s="8" t="s">
        <v>1176</v>
      </c>
      <c r="Q627" s="8" t="s">
        <v>446</v>
      </c>
      <c r="R627" s="6">
        <v>9</v>
      </c>
      <c r="S627" s="8" t="s">
        <v>75</v>
      </c>
      <c r="T627" s="9"/>
      <c r="U627" s="8" t="s">
        <v>240</v>
      </c>
      <c r="V627" s="8" t="s">
        <v>447</v>
      </c>
      <c r="W627" s="8" t="s">
        <v>483</v>
      </c>
      <c r="X627" s="8" t="s">
        <v>240</v>
      </c>
      <c r="Y627" s="8" t="s">
        <v>240</v>
      </c>
      <c r="Z627" s="6" t="b">
        <v>0</v>
      </c>
      <c r="AA627" s="9"/>
      <c r="AB627" s="9"/>
    </row>
    <row r="628" spans="1:28" ht="16">
      <c r="A628" s="6">
        <v>708</v>
      </c>
      <c r="B628" s="8" t="s">
        <v>212</v>
      </c>
      <c r="C628" s="8" t="s">
        <v>1179</v>
      </c>
      <c r="D628" s="8" t="s">
        <v>1214</v>
      </c>
      <c r="E628" s="8" t="s">
        <v>1214</v>
      </c>
      <c r="F628" s="6">
        <v>708</v>
      </c>
      <c r="G628" s="6" t="b">
        <v>0</v>
      </c>
      <c r="H628" s="8" t="s">
        <v>240</v>
      </c>
      <c r="I628" s="6" t="b">
        <v>0</v>
      </c>
      <c r="J628" s="6" t="b">
        <v>0</v>
      </c>
      <c r="K628" s="6" t="b">
        <v>0</v>
      </c>
      <c r="L628" s="6" t="b">
        <v>1</v>
      </c>
      <c r="M628" s="6" t="b">
        <v>0</v>
      </c>
      <c r="N628" s="6">
        <v>8</v>
      </c>
      <c r="O628" s="8" t="s">
        <v>237</v>
      </c>
      <c r="P628" s="8" t="s">
        <v>238</v>
      </c>
      <c r="Q628" s="8" t="s">
        <v>381</v>
      </c>
      <c r="R628" s="6">
        <v>8</v>
      </c>
      <c r="S628" s="8" t="s">
        <v>75</v>
      </c>
      <c r="T628" s="9"/>
      <c r="U628" s="8" t="s">
        <v>240</v>
      </c>
      <c r="V628" s="8" t="s">
        <v>447</v>
      </c>
      <c r="W628" s="8" t="s">
        <v>240</v>
      </c>
      <c r="X628" s="8" t="s">
        <v>240</v>
      </c>
      <c r="Y628" s="8" t="s">
        <v>240</v>
      </c>
      <c r="Z628" s="6" t="b">
        <v>0</v>
      </c>
      <c r="AA628" s="9"/>
      <c r="AB628" s="9"/>
    </row>
    <row r="629" spans="1:28" ht="16">
      <c r="A629" s="6">
        <v>709</v>
      </c>
      <c r="B629" s="8" t="s">
        <v>212</v>
      </c>
      <c r="C629" s="8" t="s">
        <v>1174</v>
      </c>
      <c r="D629" s="8" t="s">
        <v>1215</v>
      </c>
      <c r="E629" s="8" t="s">
        <v>1215</v>
      </c>
      <c r="F629" s="6">
        <v>709</v>
      </c>
      <c r="G629" s="6" t="b">
        <v>0</v>
      </c>
      <c r="H629" s="8" t="s">
        <v>240</v>
      </c>
      <c r="I629" s="6" t="b">
        <v>0</v>
      </c>
      <c r="J629" s="6" t="b">
        <v>0</v>
      </c>
      <c r="K629" s="6" t="b">
        <v>0</v>
      </c>
      <c r="L629" s="6" t="b">
        <v>1</v>
      </c>
      <c r="M629" s="6" t="b">
        <v>0</v>
      </c>
      <c r="N629" s="6">
        <v>9</v>
      </c>
      <c r="O629" s="8" t="s">
        <v>247</v>
      </c>
      <c r="P629" s="8" t="s">
        <v>1176</v>
      </c>
      <c r="Q629" s="8" t="s">
        <v>381</v>
      </c>
      <c r="R629" s="6">
        <v>9</v>
      </c>
      <c r="S629" s="8" t="s">
        <v>75</v>
      </c>
      <c r="T629" s="9"/>
      <c r="U629" s="8" t="s">
        <v>240</v>
      </c>
      <c r="V629" s="8" t="s">
        <v>824</v>
      </c>
      <c r="W629" s="8" t="s">
        <v>240</v>
      </c>
      <c r="X629" s="8" t="s">
        <v>240</v>
      </c>
      <c r="Y629" s="8" t="s">
        <v>240</v>
      </c>
      <c r="Z629" s="6" t="b">
        <v>0</v>
      </c>
      <c r="AA629" s="9"/>
      <c r="AB629" s="9"/>
    </row>
    <row r="630" spans="1:28" ht="16">
      <c r="A630" s="6">
        <v>710</v>
      </c>
      <c r="B630" s="8" t="s">
        <v>212</v>
      </c>
      <c r="C630" s="8" t="s">
        <v>1179</v>
      </c>
      <c r="D630" s="8" t="s">
        <v>1216</v>
      </c>
      <c r="E630" s="8" t="s">
        <v>1216</v>
      </c>
      <c r="F630" s="6">
        <v>710</v>
      </c>
      <c r="G630" s="6" t="b">
        <v>0</v>
      </c>
      <c r="H630" s="8" t="s">
        <v>240</v>
      </c>
      <c r="I630" s="6" t="b">
        <v>0</v>
      </c>
      <c r="J630" s="6" t="b">
        <v>0</v>
      </c>
      <c r="K630" s="6" t="b">
        <v>0</v>
      </c>
      <c r="L630" s="6" t="b">
        <v>1</v>
      </c>
      <c r="M630" s="6" t="b">
        <v>0</v>
      </c>
      <c r="N630" s="6">
        <v>8</v>
      </c>
      <c r="O630" s="8" t="s">
        <v>237</v>
      </c>
      <c r="P630" s="8" t="s">
        <v>1176</v>
      </c>
      <c r="Q630" s="8" t="s">
        <v>446</v>
      </c>
      <c r="R630" s="6">
        <v>8</v>
      </c>
      <c r="S630" s="8" t="s">
        <v>75</v>
      </c>
      <c r="T630" s="9"/>
      <c r="U630" s="8" t="s">
        <v>240</v>
      </c>
      <c r="V630" s="8" t="s">
        <v>447</v>
      </c>
      <c r="W630" s="8" t="s">
        <v>240</v>
      </c>
      <c r="X630" s="8" t="s">
        <v>240</v>
      </c>
      <c r="Y630" s="8" t="s">
        <v>240</v>
      </c>
      <c r="Z630" s="6" t="b">
        <v>0</v>
      </c>
      <c r="AA630" s="9"/>
      <c r="AB630" s="9"/>
    </row>
    <row r="631" spans="1:28" ht="16">
      <c r="A631" s="6">
        <v>711</v>
      </c>
      <c r="B631" s="8" t="s">
        <v>212</v>
      </c>
      <c r="C631" s="8" t="s">
        <v>1179</v>
      </c>
      <c r="D631" s="8" t="s">
        <v>1217</v>
      </c>
      <c r="E631" s="8" t="s">
        <v>1216</v>
      </c>
      <c r="F631" s="6">
        <v>710</v>
      </c>
      <c r="G631" s="6" t="b">
        <v>0</v>
      </c>
      <c r="H631" s="8" t="s">
        <v>240</v>
      </c>
      <c r="I631" s="6" t="b">
        <v>0</v>
      </c>
      <c r="J631" s="6" t="b">
        <v>0</v>
      </c>
      <c r="K631" s="6" t="b">
        <v>0</v>
      </c>
      <c r="L631" s="6" t="b">
        <v>1</v>
      </c>
      <c r="M631" s="6" t="b">
        <v>0</v>
      </c>
      <c r="N631" s="6">
        <v>8</v>
      </c>
      <c r="O631" s="8" t="s">
        <v>237</v>
      </c>
      <c r="P631" s="8" t="s">
        <v>1176</v>
      </c>
      <c r="Q631" s="8" t="s">
        <v>446</v>
      </c>
      <c r="R631" s="6">
        <v>8</v>
      </c>
      <c r="S631" s="8" t="s">
        <v>75</v>
      </c>
      <c r="T631" s="9"/>
      <c r="U631" s="8" t="s">
        <v>240</v>
      </c>
      <c r="V631" s="8" t="s">
        <v>447</v>
      </c>
      <c r="W631" s="8" t="s">
        <v>240</v>
      </c>
      <c r="X631" s="8" t="s">
        <v>240</v>
      </c>
      <c r="Y631" s="8" t="s">
        <v>240</v>
      </c>
      <c r="Z631" s="6" t="b">
        <v>0</v>
      </c>
      <c r="AA631" s="9"/>
      <c r="AB631" s="9"/>
    </row>
    <row r="632" spans="1:28" ht="16">
      <c r="A632" s="6">
        <v>712</v>
      </c>
      <c r="B632" s="8" t="s">
        <v>212</v>
      </c>
      <c r="C632" s="8" t="s">
        <v>1174</v>
      </c>
      <c r="D632" s="8" t="s">
        <v>1218</v>
      </c>
      <c r="E632" s="8" t="s">
        <v>1218</v>
      </c>
      <c r="F632" s="6">
        <v>712</v>
      </c>
      <c r="G632" s="6" t="b">
        <v>0</v>
      </c>
      <c r="H632" s="8" t="s">
        <v>240</v>
      </c>
      <c r="I632" s="6" t="b">
        <v>0</v>
      </c>
      <c r="J632" s="6" t="b">
        <v>0</v>
      </c>
      <c r="K632" s="6" t="b">
        <v>0</v>
      </c>
      <c r="L632" s="6" t="b">
        <v>1</v>
      </c>
      <c r="M632" s="6" t="b">
        <v>0</v>
      </c>
      <c r="N632" s="6">
        <v>9</v>
      </c>
      <c r="O632" s="8" t="s">
        <v>247</v>
      </c>
      <c r="P632" s="8" t="s">
        <v>238</v>
      </c>
      <c r="Q632" s="8" t="s">
        <v>1119</v>
      </c>
      <c r="R632" s="6">
        <v>9</v>
      </c>
      <c r="S632" s="8" t="s">
        <v>75</v>
      </c>
      <c r="T632" s="9"/>
      <c r="U632" s="8" t="s">
        <v>240</v>
      </c>
      <c r="V632" s="8" t="s">
        <v>866</v>
      </c>
      <c r="W632" s="8" t="s">
        <v>240</v>
      </c>
      <c r="X632" s="8" t="s">
        <v>240</v>
      </c>
      <c r="Y632" s="8" t="s">
        <v>1219</v>
      </c>
      <c r="Z632" s="6" t="b">
        <v>0</v>
      </c>
      <c r="AA632" s="9"/>
      <c r="AB632" s="9"/>
    </row>
    <row r="633" spans="1:28" ht="32">
      <c r="A633" s="6">
        <v>713</v>
      </c>
      <c r="B633" s="8" t="s">
        <v>212</v>
      </c>
      <c r="C633" s="8" t="s">
        <v>1174</v>
      </c>
      <c r="D633" s="8" t="s">
        <v>1220</v>
      </c>
      <c r="E633" s="8" t="s">
        <v>1218</v>
      </c>
      <c r="F633" s="6">
        <v>712</v>
      </c>
      <c r="G633" s="6" t="b">
        <v>0</v>
      </c>
      <c r="H633" s="8" t="s">
        <v>240</v>
      </c>
      <c r="I633" s="6" t="b">
        <v>0</v>
      </c>
      <c r="J633" s="6" t="b">
        <v>0</v>
      </c>
      <c r="K633" s="6" t="b">
        <v>0</v>
      </c>
      <c r="L633" s="6" t="b">
        <v>1</v>
      </c>
      <c r="M633" s="6" t="b">
        <v>0</v>
      </c>
      <c r="N633" s="6">
        <v>9</v>
      </c>
      <c r="O633" s="8" t="s">
        <v>247</v>
      </c>
      <c r="P633" s="8" t="s">
        <v>238</v>
      </c>
      <c r="Q633" s="8" t="s">
        <v>1119</v>
      </c>
      <c r="R633" s="6">
        <v>9</v>
      </c>
      <c r="S633" s="8" t="s">
        <v>75</v>
      </c>
      <c r="T633" s="9"/>
      <c r="U633" s="8" t="s">
        <v>240</v>
      </c>
      <c r="V633" s="8" t="s">
        <v>866</v>
      </c>
      <c r="W633" s="8" t="s">
        <v>240</v>
      </c>
      <c r="X633" s="8" t="s">
        <v>240</v>
      </c>
      <c r="Y633" s="8" t="s">
        <v>1221</v>
      </c>
      <c r="Z633" s="6" t="b">
        <v>0</v>
      </c>
      <c r="AA633" s="9"/>
      <c r="AB633" s="9"/>
    </row>
    <row r="634" spans="1:28" ht="16">
      <c r="A634" s="6">
        <v>714</v>
      </c>
      <c r="B634" s="8" t="s">
        <v>212</v>
      </c>
      <c r="C634" s="8" t="s">
        <v>159</v>
      </c>
      <c r="D634" s="8" t="s">
        <v>1222</v>
      </c>
      <c r="E634" s="8" t="s">
        <v>1222</v>
      </c>
      <c r="F634" s="6">
        <v>714</v>
      </c>
      <c r="G634" s="6" t="b">
        <v>0</v>
      </c>
      <c r="H634" s="8" t="s">
        <v>240</v>
      </c>
      <c r="I634" s="6" t="b">
        <v>0</v>
      </c>
      <c r="J634" s="6" t="b">
        <v>0</v>
      </c>
      <c r="K634" s="6" t="b">
        <v>0</v>
      </c>
      <c r="L634" s="6" t="b">
        <v>1</v>
      </c>
      <c r="M634" s="6" t="b">
        <v>0</v>
      </c>
      <c r="N634" s="6">
        <v>9</v>
      </c>
      <c r="O634" s="8" t="s">
        <v>237</v>
      </c>
      <c r="P634" s="8" t="s">
        <v>238</v>
      </c>
      <c r="Q634" s="8" t="s">
        <v>237</v>
      </c>
      <c r="R634" s="6">
        <v>9</v>
      </c>
      <c r="S634" s="8" t="s">
        <v>75</v>
      </c>
      <c r="T634" s="9"/>
      <c r="U634" s="8" t="s">
        <v>240</v>
      </c>
      <c r="V634" s="8" t="s">
        <v>240</v>
      </c>
      <c r="W634" s="8" t="s">
        <v>240</v>
      </c>
      <c r="X634" s="8" t="s">
        <v>240</v>
      </c>
      <c r="Y634" s="8" t="s">
        <v>1223</v>
      </c>
      <c r="Z634" s="6" t="b">
        <v>0</v>
      </c>
      <c r="AA634" s="9"/>
      <c r="AB634" s="9"/>
    </row>
    <row r="635" spans="1:28" ht="16">
      <c r="A635" s="6">
        <v>715</v>
      </c>
      <c r="B635" s="8" t="s">
        <v>212</v>
      </c>
      <c r="C635" s="8" t="s">
        <v>159</v>
      </c>
      <c r="D635" s="8" t="s">
        <v>159</v>
      </c>
      <c r="E635" s="8" t="s">
        <v>159</v>
      </c>
      <c r="F635" s="6">
        <v>715</v>
      </c>
      <c r="G635" s="6" t="b">
        <v>0</v>
      </c>
      <c r="H635" s="8" t="s">
        <v>240</v>
      </c>
      <c r="I635" s="6" t="b">
        <v>0</v>
      </c>
      <c r="J635" s="6" t="b">
        <v>0</v>
      </c>
      <c r="K635" s="6" t="b">
        <v>0</v>
      </c>
      <c r="L635" s="6" t="b">
        <v>1</v>
      </c>
      <c r="M635" s="6" t="b">
        <v>0</v>
      </c>
      <c r="N635" s="6">
        <v>9</v>
      </c>
      <c r="O635" s="8" t="s">
        <v>237</v>
      </c>
      <c r="P635" s="8" t="s">
        <v>1176</v>
      </c>
      <c r="Q635" s="8" t="s">
        <v>446</v>
      </c>
      <c r="R635" s="6">
        <v>9</v>
      </c>
      <c r="S635" s="8" t="s">
        <v>237</v>
      </c>
      <c r="T635" s="9"/>
      <c r="U635" s="8" t="s">
        <v>240</v>
      </c>
      <c r="V635" s="8" t="s">
        <v>447</v>
      </c>
      <c r="W635" s="8" t="s">
        <v>240</v>
      </c>
      <c r="X635" s="8" t="s">
        <v>240</v>
      </c>
      <c r="Y635" s="8" t="s">
        <v>1224</v>
      </c>
      <c r="Z635" s="6" t="b">
        <v>0</v>
      </c>
      <c r="AA635" s="9"/>
      <c r="AB635" s="9"/>
    </row>
    <row r="636" spans="1:28" ht="32">
      <c r="A636" s="6">
        <v>716</v>
      </c>
      <c r="B636" s="8" t="s">
        <v>1225</v>
      </c>
      <c r="C636" s="8" t="s">
        <v>1226</v>
      </c>
      <c r="D636" s="8" t="s">
        <v>1227</v>
      </c>
      <c r="E636" s="8" t="s">
        <v>1227</v>
      </c>
      <c r="F636" s="6">
        <v>716</v>
      </c>
      <c r="G636" s="6" t="b">
        <v>0</v>
      </c>
      <c r="H636" s="8" t="s">
        <v>240</v>
      </c>
      <c r="I636" s="6" t="b">
        <v>0</v>
      </c>
      <c r="J636" s="6" t="b">
        <v>0</v>
      </c>
      <c r="K636" s="6" t="b">
        <v>0</v>
      </c>
      <c r="L636" s="6" t="b">
        <v>1</v>
      </c>
      <c r="M636" s="6" t="b">
        <v>0</v>
      </c>
      <c r="N636" s="6">
        <v>0</v>
      </c>
      <c r="O636" s="8" t="s">
        <v>331</v>
      </c>
      <c r="P636" s="8" t="s">
        <v>238</v>
      </c>
      <c r="Q636" s="8" t="s">
        <v>811</v>
      </c>
      <c r="R636" s="6">
        <v>4</v>
      </c>
      <c r="S636" s="8" t="s">
        <v>523</v>
      </c>
      <c r="T636" s="6">
        <v>4</v>
      </c>
      <c r="U636" s="8" t="s">
        <v>240</v>
      </c>
      <c r="V636" s="8" t="s">
        <v>1228</v>
      </c>
      <c r="W636" s="8" t="s">
        <v>240</v>
      </c>
      <c r="X636" s="8" t="s">
        <v>240</v>
      </c>
      <c r="Y636" s="8" t="s">
        <v>240</v>
      </c>
      <c r="Z636" s="6" t="b">
        <v>0</v>
      </c>
      <c r="AA636" s="9"/>
      <c r="AB636" s="9"/>
    </row>
    <row r="637" spans="1:28" ht="32">
      <c r="A637" s="6">
        <v>717</v>
      </c>
      <c r="B637" s="8" t="s">
        <v>1225</v>
      </c>
      <c r="C637" s="8" t="s">
        <v>1226</v>
      </c>
      <c r="D637" s="8" t="s">
        <v>1229</v>
      </c>
      <c r="E637" s="8" t="s">
        <v>1227</v>
      </c>
      <c r="F637" s="6">
        <v>716</v>
      </c>
      <c r="G637" s="6" t="b">
        <v>0</v>
      </c>
      <c r="H637" s="8" t="s">
        <v>240</v>
      </c>
      <c r="I637" s="6" t="b">
        <v>0</v>
      </c>
      <c r="J637" s="6" t="b">
        <v>0</v>
      </c>
      <c r="K637" s="6" t="b">
        <v>0</v>
      </c>
      <c r="L637" s="6" t="b">
        <v>1</v>
      </c>
      <c r="M637" s="6" t="b">
        <v>0</v>
      </c>
      <c r="N637" s="6">
        <v>0</v>
      </c>
      <c r="O637" s="8" t="s">
        <v>331</v>
      </c>
      <c r="P637" s="8" t="s">
        <v>238</v>
      </c>
      <c r="Q637" s="8" t="s">
        <v>811</v>
      </c>
      <c r="R637" s="6">
        <v>4</v>
      </c>
      <c r="S637" s="8" t="s">
        <v>347</v>
      </c>
      <c r="T637" s="9"/>
      <c r="U637" s="8" t="s">
        <v>240</v>
      </c>
      <c r="V637" s="8" t="s">
        <v>1228</v>
      </c>
      <c r="W637" s="8" t="s">
        <v>240</v>
      </c>
      <c r="X637" s="8" t="s">
        <v>240</v>
      </c>
      <c r="Y637" s="8" t="s">
        <v>240</v>
      </c>
      <c r="Z637" s="6" t="b">
        <v>0</v>
      </c>
      <c r="AA637" s="9"/>
      <c r="AB637" s="9"/>
    </row>
    <row r="638" spans="1:28" ht="32">
      <c r="A638" s="6">
        <v>718</v>
      </c>
      <c r="B638" s="8" t="s">
        <v>1225</v>
      </c>
      <c r="C638" s="8" t="s">
        <v>1226</v>
      </c>
      <c r="D638" s="8" t="s">
        <v>1230</v>
      </c>
      <c r="E638" s="8" t="s">
        <v>1227</v>
      </c>
      <c r="F638" s="6">
        <v>716</v>
      </c>
      <c r="G638" s="6" t="b">
        <v>0</v>
      </c>
      <c r="H638" s="8" t="s">
        <v>240</v>
      </c>
      <c r="I638" s="6" t="b">
        <v>0</v>
      </c>
      <c r="J638" s="6" t="b">
        <v>0</v>
      </c>
      <c r="K638" s="6" t="b">
        <v>0</v>
      </c>
      <c r="L638" s="6" t="b">
        <v>1</v>
      </c>
      <c r="M638" s="6" t="b">
        <v>0</v>
      </c>
      <c r="N638" s="6">
        <v>0</v>
      </c>
      <c r="O638" s="8" t="s">
        <v>331</v>
      </c>
      <c r="P638" s="8" t="s">
        <v>238</v>
      </c>
      <c r="Q638" s="8" t="s">
        <v>811</v>
      </c>
      <c r="R638" s="6">
        <v>0</v>
      </c>
      <c r="S638" s="8" t="s">
        <v>75</v>
      </c>
      <c r="T638" s="9"/>
      <c r="U638" s="8" t="s">
        <v>240</v>
      </c>
      <c r="V638" s="8" t="s">
        <v>240</v>
      </c>
      <c r="W638" s="8" t="s">
        <v>240</v>
      </c>
      <c r="X638" s="8" t="s">
        <v>240</v>
      </c>
      <c r="Y638" s="8" t="s">
        <v>240</v>
      </c>
      <c r="Z638" s="6" t="b">
        <v>0</v>
      </c>
      <c r="AA638" s="9"/>
      <c r="AB638" s="9"/>
    </row>
    <row r="639" spans="1:28" ht="16">
      <c r="A639" s="6">
        <v>719</v>
      </c>
      <c r="B639" s="8" t="s">
        <v>1225</v>
      </c>
      <c r="C639" s="8" t="s">
        <v>1226</v>
      </c>
      <c r="D639" s="8" t="s">
        <v>1226</v>
      </c>
      <c r="E639" s="8" t="s">
        <v>1226</v>
      </c>
      <c r="F639" s="6">
        <v>719</v>
      </c>
      <c r="G639" s="6" t="b">
        <v>0</v>
      </c>
      <c r="H639" s="8" t="s">
        <v>240</v>
      </c>
      <c r="I639" s="6" t="b">
        <v>0</v>
      </c>
      <c r="J639" s="6" t="b">
        <v>0</v>
      </c>
      <c r="K639" s="6" t="b">
        <v>0</v>
      </c>
      <c r="L639" s="6" t="b">
        <v>1</v>
      </c>
      <c r="M639" s="6" t="b">
        <v>0</v>
      </c>
      <c r="N639" s="6">
        <v>0</v>
      </c>
      <c r="O639" s="8" t="s">
        <v>331</v>
      </c>
      <c r="P639" s="8" t="s">
        <v>238</v>
      </c>
      <c r="Q639" s="8" t="s">
        <v>381</v>
      </c>
      <c r="R639" s="6">
        <v>0</v>
      </c>
      <c r="S639" s="8" t="s">
        <v>331</v>
      </c>
      <c r="T639" s="9"/>
      <c r="U639" s="8" t="s">
        <v>240</v>
      </c>
      <c r="V639" s="8" t="s">
        <v>1231</v>
      </c>
      <c r="W639" s="8" t="s">
        <v>240</v>
      </c>
      <c r="X639" s="8" t="s">
        <v>240</v>
      </c>
      <c r="Y639" s="8" t="s">
        <v>240</v>
      </c>
      <c r="Z639" s="6" t="b">
        <v>0</v>
      </c>
      <c r="AA639" s="9"/>
      <c r="AB639" s="9"/>
    </row>
    <row r="640" spans="1:28" ht="16">
      <c r="A640" s="6">
        <v>720</v>
      </c>
      <c r="B640" s="8" t="s">
        <v>1225</v>
      </c>
      <c r="C640" s="8" t="s">
        <v>1226</v>
      </c>
      <c r="D640" s="8" t="s">
        <v>1232</v>
      </c>
      <c r="E640" s="8" t="s">
        <v>1232</v>
      </c>
      <c r="F640" s="6">
        <v>720</v>
      </c>
      <c r="G640" s="6" t="b">
        <v>0</v>
      </c>
      <c r="H640" s="8" t="s">
        <v>240</v>
      </c>
      <c r="I640" s="6" t="b">
        <v>0</v>
      </c>
      <c r="J640" s="6" t="b">
        <v>0</v>
      </c>
      <c r="K640" s="6" t="b">
        <v>0</v>
      </c>
      <c r="L640" s="6" t="b">
        <v>1</v>
      </c>
      <c r="M640" s="6" t="b">
        <v>0</v>
      </c>
      <c r="N640" s="6">
        <v>0</v>
      </c>
      <c r="O640" s="8" t="s">
        <v>331</v>
      </c>
      <c r="P640" s="8" t="s">
        <v>238</v>
      </c>
      <c r="Q640" s="8" t="s">
        <v>762</v>
      </c>
      <c r="R640" s="6">
        <v>4</v>
      </c>
      <c r="S640" s="8" t="s">
        <v>335</v>
      </c>
      <c r="T640" s="6">
        <v>4</v>
      </c>
      <c r="U640" s="8" t="s">
        <v>240</v>
      </c>
      <c r="V640" s="8" t="s">
        <v>1231</v>
      </c>
      <c r="W640" s="8" t="s">
        <v>483</v>
      </c>
      <c r="X640" s="8" t="s">
        <v>240</v>
      </c>
      <c r="Y640" s="8" t="s">
        <v>1233</v>
      </c>
      <c r="Z640" s="6" t="b">
        <v>0</v>
      </c>
      <c r="AA640" s="9"/>
      <c r="AB640" s="9"/>
    </row>
    <row r="641" spans="1:28" ht="16">
      <c r="A641" s="6">
        <v>722</v>
      </c>
      <c r="B641" s="8" t="s">
        <v>1225</v>
      </c>
      <c r="C641" s="8" t="s">
        <v>1226</v>
      </c>
      <c r="D641" s="8" t="s">
        <v>1234</v>
      </c>
      <c r="E641" s="8" t="s">
        <v>1232</v>
      </c>
      <c r="F641" s="6">
        <v>720</v>
      </c>
      <c r="G641" s="6" t="b">
        <v>0</v>
      </c>
      <c r="H641" s="8" t="s">
        <v>240</v>
      </c>
      <c r="I641" s="6" t="b">
        <v>0</v>
      </c>
      <c r="J641" s="6" t="b">
        <v>0</v>
      </c>
      <c r="K641" s="6" t="b">
        <v>0</v>
      </c>
      <c r="L641" s="6" t="b">
        <v>1</v>
      </c>
      <c r="M641" s="6" t="b">
        <v>0</v>
      </c>
      <c r="N641" s="6">
        <v>0</v>
      </c>
      <c r="O641" s="8" t="s">
        <v>331</v>
      </c>
      <c r="P641" s="8" t="s">
        <v>238</v>
      </c>
      <c r="Q641" s="8" t="s">
        <v>239</v>
      </c>
      <c r="R641" s="6">
        <v>6</v>
      </c>
      <c r="S641" s="8" t="s">
        <v>347</v>
      </c>
      <c r="T641" s="9"/>
      <c r="U641" s="8" t="s">
        <v>1235</v>
      </c>
      <c r="V641" s="8" t="s">
        <v>1231</v>
      </c>
      <c r="W641" s="8" t="s">
        <v>483</v>
      </c>
      <c r="X641" s="8" t="s">
        <v>240</v>
      </c>
      <c r="Y641" s="8" t="s">
        <v>240</v>
      </c>
      <c r="Z641" s="6" t="b">
        <v>0</v>
      </c>
      <c r="AA641" s="9"/>
      <c r="AB641" s="9"/>
    </row>
    <row r="642" spans="1:28" ht="16">
      <c r="A642" s="6">
        <v>723</v>
      </c>
      <c r="B642" s="8" t="s">
        <v>1225</v>
      </c>
      <c r="C642" s="8" t="s">
        <v>1226</v>
      </c>
      <c r="D642" s="8" t="s">
        <v>1236</v>
      </c>
      <c r="E642" s="8" t="s">
        <v>1236</v>
      </c>
      <c r="F642" s="6">
        <v>723</v>
      </c>
      <c r="G642" s="6" t="b">
        <v>0</v>
      </c>
      <c r="H642" s="8" t="s">
        <v>240</v>
      </c>
      <c r="I642" s="6" t="b">
        <v>0</v>
      </c>
      <c r="J642" s="6" t="b">
        <v>0</v>
      </c>
      <c r="K642" s="6" t="b">
        <v>0</v>
      </c>
      <c r="L642" s="6" t="b">
        <v>1</v>
      </c>
      <c r="M642" s="6" t="b">
        <v>0</v>
      </c>
      <c r="N642" s="6">
        <v>0</v>
      </c>
      <c r="O642" s="8" t="s">
        <v>331</v>
      </c>
      <c r="P642" s="8" t="s">
        <v>238</v>
      </c>
      <c r="Q642" s="8" t="s">
        <v>381</v>
      </c>
      <c r="R642" s="6">
        <v>2</v>
      </c>
      <c r="S642" s="8" t="s">
        <v>341</v>
      </c>
      <c r="T642" s="9"/>
      <c r="U642" s="8" t="s">
        <v>240</v>
      </c>
      <c r="V642" s="8" t="s">
        <v>1228</v>
      </c>
      <c r="W642" s="8" t="s">
        <v>483</v>
      </c>
      <c r="X642" s="8" t="s">
        <v>240</v>
      </c>
      <c r="Y642" s="8" t="s">
        <v>1237</v>
      </c>
      <c r="Z642" s="6" t="b">
        <v>0</v>
      </c>
      <c r="AA642" s="9"/>
      <c r="AB642" s="9"/>
    </row>
    <row r="643" spans="1:28" ht="16">
      <c r="A643" s="6">
        <v>724</v>
      </c>
      <c r="B643" s="8" t="s">
        <v>1225</v>
      </c>
      <c r="C643" s="8" t="s">
        <v>1226</v>
      </c>
      <c r="D643" s="8" t="s">
        <v>1238</v>
      </c>
      <c r="E643" s="8" t="s">
        <v>1236</v>
      </c>
      <c r="F643" s="6">
        <v>723</v>
      </c>
      <c r="G643" s="6" t="b">
        <v>0</v>
      </c>
      <c r="H643" s="8" t="s">
        <v>240</v>
      </c>
      <c r="I643" s="6" t="b">
        <v>0</v>
      </c>
      <c r="J643" s="6" t="b">
        <v>0</v>
      </c>
      <c r="K643" s="6" t="b">
        <v>0</v>
      </c>
      <c r="L643" s="6" t="b">
        <v>1</v>
      </c>
      <c r="M643" s="6" t="b">
        <v>0</v>
      </c>
      <c r="N643" s="6">
        <v>0</v>
      </c>
      <c r="O643" s="8" t="s">
        <v>331</v>
      </c>
      <c r="P643" s="8" t="s">
        <v>238</v>
      </c>
      <c r="Q643" s="8" t="s">
        <v>339</v>
      </c>
      <c r="R643" s="6">
        <v>0</v>
      </c>
      <c r="S643" s="8" t="s">
        <v>347</v>
      </c>
      <c r="T643" s="6">
        <v>0</v>
      </c>
      <c r="U643" s="8" t="s">
        <v>240</v>
      </c>
      <c r="V643" s="8" t="s">
        <v>1228</v>
      </c>
      <c r="W643" s="8" t="s">
        <v>483</v>
      </c>
      <c r="X643" s="8" t="s">
        <v>240</v>
      </c>
      <c r="Y643" s="8" t="s">
        <v>1239</v>
      </c>
      <c r="Z643" s="6" t="b">
        <v>0</v>
      </c>
      <c r="AA643" s="9"/>
      <c r="AB643" s="9"/>
    </row>
    <row r="644" spans="1:28" ht="16">
      <c r="A644" s="6">
        <v>725</v>
      </c>
      <c r="B644" s="8" t="s">
        <v>1225</v>
      </c>
      <c r="C644" s="8" t="s">
        <v>181</v>
      </c>
      <c r="D644" s="8" t="s">
        <v>181</v>
      </c>
      <c r="E644" s="8" t="s">
        <v>181</v>
      </c>
      <c r="F644" s="6">
        <v>725</v>
      </c>
      <c r="G644" s="6" t="b">
        <v>0</v>
      </c>
      <c r="H644" s="8" t="s">
        <v>240</v>
      </c>
      <c r="I644" s="6" t="b">
        <v>0</v>
      </c>
      <c r="J644" s="6" t="b">
        <v>0</v>
      </c>
      <c r="K644" s="6" t="b">
        <v>0</v>
      </c>
      <c r="L644" s="6" t="b">
        <v>1</v>
      </c>
      <c r="M644" s="6" t="b">
        <v>0</v>
      </c>
      <c r="N644" s="6">
        <v>4</v>
      </c>
      <c r="O644" s="8" t="s">
        <v>331</v>
      </c>
      <c r="P644" s="8" t="s">
        <v>238</v>
      </c>
      <c r="Q644" s="8" t="s">
        <v>381</v>
      </c>
      <c r="R644" s="6">
        <v>4</v>
      </c>
      <c r="S644" s="8" t="s">
        <v>331</v>
      </c>
      <c r="T644" s="9"/>
      <c r="U644" s="8" t="s">
        <v>240</v>
      </c>
      <c r="V644" s="8" t="s">
        <v>240</v>
      </c>
      <c r="W644" s="8" t="s">
        <v>240</v>
      </c>
      <c r="X644" s="8" t="s">
        <v>240</v>
      </c>
      <c r="Y644" s="8" t="s">
        <v>240</v>
      </c>
      <c r="Z644" s="6" t="b">
        <v>0</v>
      </c>
      <c r="AA644" s="9"/>
      <c r="AB644" s="9"/>
    </row>
    <row r="645" spans="1:28" ht="32">
      <c r="A645" s="6">
        <v>726</v>
      </c>
      <c r="B645" s="8" t="s">
        <v>1225</v>
      </c>
      <c r="C645" s="8" t="s">
        <v>181</v>
      </c>
      <c r="D645" s="8" t="s">
        <v>1240</v>
      </c>
      <c r="E645" s="8" t="s">
        <v>1240</v>
      </c>
      <c r="F645" s="6">
        <v>726</v>
      </c>
      <c r="G645" s="6" t="b">
        <v>0</v>
      </c>
      <c r="H645" s="8" t="s">
        <v>240</v>
      </c>
      <c r="I645" s="6" t="b">
        <v>0</v>
      </c>
      <c r="J645" s="6" t="b">
        <v>0</v>
      </c>
      <c r="K645" s="6" t="b">
        <v>0</v>
      </c>
      <c r="L645" s="6" t="b">
        <v>1</v>
      </c>
      <c r="M645" s="6" t="b">
        <v>0</v>
      </c>
      <c r="N645" s="6">
        <v>4</v>
      </c>
      <c r="O645" s="8" t="s">
        <v>331</v>
      </c>
      <c r="P645" s="8" t="s">
        <v>238</v>
      </c>
      <c r="Q645" s="8" t="s">
        <v>481</v>
      </c>
      <c r="R645" s="6">
        <v>4</v>
      </c>
      <c r="S645" s="8" t="s">
        <v>347</v>
      </c>
      <c r="T645" s="6">
        <v>4</v>
      </c>
      <c r="U645" s="8" t="s">
        <v>240</v>
      </c>
      <c r="V645" s="8" t="s">
        <v>1241</v>
      </c>
      <c r="W645" s="8" t="s">
        <v>240</v>
      </c>
      <c r="X645" s="8" t="s">
        <v>240</v>
      </c>
      <c r="Y645" s="8" t="s">
        <v>1242</v>
      </c>
      <c r="Z645" s="6" t="b">
        <v>0</v>
      </c>
      <c r="AA645" s="9"/>
      <c r="AB645" s="9"/>
    </row>
    <row r="646" spans="1:28" ht="32">
      <c r="A646" s="6">
        <v>727</v>
      </c>
      <c r="B646" s="8" t="s">
        <v>1225</v>
      </c>
      <c r="C646" s="8" t="s">
        <v>181</v>
      </c>
      <c r="D646" s="8" t="s">
        <v>1243</v>
      </c>
      <c r="E646" s="8" t="s">
        <v>1240</v>
      </c>
      <c r="F646" s="6">
        <v>726</v>
      </c>
      <c r="G646" s="6" t="b">
        <v>0</v>
      </c>
      <c r="H646" s="8" t="s">
        <v>240</v>
      </c>
      <c r="I646" s="6" t="b">
        <v>0</v>
      </c>
      <c r="J646" s="6" t="b">
        <v>0</v>
      </c>
      <c r="K646" s="6" t="b">
        <v>0</v>
      </c>
      <c r="L646" s="6" t="b">
        <v>1</v>
      </c>
      <c r="M646" s="6" t="b">
        <v>0</v>
      </c>
      <c r="N646" s="6">
        <v>4</v>
      </c>
      <c r="O646" s="8" t="s">
        <v>331</v>
      </c>
      <c r="P646" s="8" t="s">
        <v>238</v>
      </c>
      <c r="Q646" s="8" t="s">
        <v>481</v>
      </c>
      <c r="R646" s="6">
        <v>4</v>
      </c>
      <c r="S646" s="8" t="s">
        <v>347</v>
      </c>
      <c r="T646" s="9"/>
      <c r="U646" s="8" t="s">
        <v>240</v>
      </c>
      <c r="V646" s="8" t="s">
        <v>1241</v>
      </c>
      <c r="W646" s="8" t="s">
        <v>240</v>
      </c>
      <c r="X646" s="8" t="s">
        <v>240</v>
      </c>
      <c r="Y646" s="8" t="s">
        <v>240</v>
      </c>
      <c r="Z646" s="6" t="b">
        <v>0</v>
      </c>
      <c r="AA646" s="9"/>
      <c r="AB646" s="9"/>
    </row>
    <row r="647" spans="1:28" ht="32">
      <c r="A647" s="6">
        <v>728</v>
      </c>
      <c r="B647" s="8" t="s">
        <v>1225</v>
      </c>
      <c r="C647" s="8" t="s">
        <v>181</v>
      </c>
      <c r="D647" s="8" t="s">
        <v>1244</v>
      </c>
      <c r="E647" s="8" t="s">
        <v>1240</v>
      </c>
      <c r="F647" s="6">
        <v>726</v>
      </c>
      <c r="G647" s="6" t="b">
        <v>0</v>
      </c>
      <c r="H647" s="8" t="s">
        <v>240</v>
      </c>
      <c r="I647" s="6" t="b">
        <v>0</v>
      </c>
      <c r="J647" s="6" t="b">
        <v>0</v>
      </c>
      <c r="K647" s="6" t="b">
        <v>0</v>
      </c>
      <c r="L647" s="6" t="b">
        <v>1</v>
      </c>
      <c r="M647" s="6" t="b">
        <v>0</v>
      </c>
      <c r="N647" s="6">
        <v>4</v>
      </c>
      <c r="O647" s="8" t="s">
        <v>331</v>
      </c>
      <c r="P647" s="8" t="s">
        <v>238</v>
      </c>
      <c r="Q647" s="8" t="s">
        <v>481</v>
      </c>
      <c r="R647" s="6">
        <v>4</v>
      </c>
      <c r="S647" s="8" t="s">
        <v>347</v>
      </c>
      <c r="T647" s="9"/>
      <c r="U647" s="8" t="s">
        <v>240</v>
      </c>
      <c r="V647" s="8" t="s">
        <v>1241</v>
      </c>
      <c r="W647" s="8" t="s">
        <v>240</v>
      </c>
      <c r="X647" s="8" t="s">
        <v>240</v>
      </c>
      <c r="Y647" s="8" t="s">
        <v>240</v>
      </c>
      <c r="Z647" s="6" t="b">
        <v>0</v>
      </c>
      <c r="AA647" s="9"/>
      <c r="AB647" s="9"/>
    </row>
    <row r="648" spans="1:28" ht="32">
      <c r="A648" s="6">
        <v>729</v>
      </c>
      <c r="B648" s="8" t="s">
        <v>1225</v>
      </c>
      <c r="C648" s="8" t="s">
        <v>181</v>
      </c>
      <c r="D648" s="8" t="s">
        <v>1245</v>
      </c>
      <c r="E648" s="8" t="s">
        <v>1240</v>
      </c>
      <c r="F648" s="6">
        <v>726</v>
      </c>
      <c r="G648" s="6" t="b">
        <v>0</v>
      </c>
      <c r="H648" s="8" t="s">
        <v>240</v>
      </c>
      <c r="I648" s="6" t="b">
        <v>0</v>
      </c>
      <c r="J648" s="6" t="b">
        <v>0</v>
      </c>
      <c r="K648" s="6" t="b">
        <v>0</v>
      </c>
      <c r="L648" s="6" t="b">
        <v>1</v>
      </c>
      <c r="M648" s="6" t="b">
        <v>0</v>
      </c>
      <c r="N648" s="6">
        <v>4</v>
      </c>
      <c r="O648" s="8" t="s">
        <v>331</v>
      </c>
      <c r="P648" s="8" t="s">
        <v>238</v>
      </c>
      <c r="Q648" s="8" t="s">
        <v>481</v>
      </c>
      <c r="R648" s="6">
        <v>4</v>
      </c>
      <c r="S648" s="8" t="s">
        <v>347</v>
      </c>
      <c r="T648" s="9"/>
      <c r="U648" s="8" t="s">
        <v>240</v>
      </c>
      <c r="V648" s="8" t="s">
        <v>1241</v>
      </c>
      <c r="W648" s="8" t="s">
        <v>240</v>
      </c>
      <c r="X648" s="8" t="s">
        <v>240</v>
      </c>
      <c r="Y648" s="8" t="s">
        <v>1246</v>
      </c>
      <c r="Z648" s="6" t="b">
        <v>0</v>
      </c>
      <c r="AA648" s="9"/>
      <c r="AB648" s="9"/>
    </row>
    <row r="649" spans="1:28" ht="32">
      <c r="A649" s="6">
        <v>730</v>
      </c>
      <c r="B649" s="8" t="s">
        <v>1225</v>
      </c>
      <c r="C649" s="8" t="s">
        <v>181</v>
      </c>
      <c r="D649" s="8" t="s">
        <v>1247</v>
      </c>
      <c r="E649" s="8" t="s">
        <v>1240</v>
      </c>
      <c r="F649" s="6">
        <v>726</v>
      </c>
      <c r="G649" s="6" t="b">
        <v>0</v>
      </c>
      <c r="H649" s="8" t="s">
        <v>240</v>
      </c>
      <c r="I649" s="6" t="b">
        <v>0</v>
      </c>
      <c r="J649" s="6" t="b">
        <v>0</v>
      </c>
      <c r="K649" s="6" t="b">
        <v>0</v>
      </c>
      <c r="L649" s="6" t="b">
        <v>1</v>
      </c>
      <c r="M649" s="6" t="b">
        <v>0</v>
      </c>
      <c r="N649" s="6">
        <v>4</v>
      </c>
      <c r="O649" s="8" t="s">
        <v>331</v>
      </c>
      <c r="P649" s="8" t="s">
        <v>238</v>
      </c>
      <c r="Q649" s="8" t="s">
        <v>481</v>
      </c>
      <c r="R649" s="6">
        <v>4</v>
      </c>
      <c r="S649" s="8" t="s">
        <v>347</v>
      </c>
      <c r="T649" s="9"/>
      <c r="U649" s="8" t="s">
        <v>240</v>
      </c>
      <c r="V649" s="8" t="s">
        <v>1241</v>
      </c>
      <c r="W649" s="8" t="s">
        <v>240</v>
      </c>
      <c r="X649" s="8" t="s">
        <v>240</v>
      </c>
      <c r="Y649" s="8" t="s">
        <v>240</v>
      </c>
      <c r="Z649" s="6" t="b">
        <v>0</v>
      </c>
      <c r="AA649" s="9"/>
      <c r="AB649" s="9"/>
    </row>
    <row r="650" spans="1:28" ht="32">
      <c r="A650" s="6">
        <v>731</v>
      </c>
      <c r="B650" s="8" t="s">
        <v>1225</v>
      </c>
      <c r="C650" s="8" t="s">
        <v>181</v>
      </c>
      <c r="D650" s="8" t="s">
        <v>1248</v>
      </c>
      <c r="E650" s="8" t="s">
        <v>1240</v>
      </c>
      <c r="F650" s="6">
        <v>726</v>
      </c>
      <c r="G650" s="6" t="b">
        <v>0</v>
      </c>
      <c r="H650" s="8" t="s">
        <v>240</v>
      </c>
      <c r="I650" s="6" t="b">
        <v>0</v>
      </c>
      <c r="J650" s="6" t="b">
        <v>0</v>
      </c>
      <c r="K650" s="6" t="b">
        <v>0</v>
      </c>
      <c r="L650" s="6" t="b">
        <v>1</v>
      </c>
      <c r="M650" s="6" t="b">
        <v>0</v>
      </c>
      <c r="N650" s="6">
        <v>4</v>
      </c>
      <c r="O650" s="8" t="s">
        <v>331</v>
      </c>
      <c r="P650" s="8" t="s">
        <v>238</v>
      </c>
      <c r="Q650" s="8" t="s">
        <v>481</v>
      </c>
      <c r="R650" s="6">
        <v>4</v>
      </c>
      <c r="S650" s="8" t="s">
        <v>347</v>
      </c>
      <c r="T650" s="9"/>
      <c r="U650" s="8" t="s">
        <v>240</v>
      </c>
      <c r="V650" s="8" t="s">
        <v>1241</v>
      </c>
      <c r="W650" s="8" t="s">
        <v>240</v>
      </c>
      <c r="X650" s="8" t="s">
        <v>240</v>
      </c>
      <c r="Y650" s="8" t="s">
        <v>240</v>
      </c>
      <c r="Z650" s="6" t="b">
        <v>0</v>
      </c>
      <c r="AA650" s="9"/>
      <c r="AB650" s="9"/>
    </row>
    <row r="651" spans="1:28" ht="16">
      <c r="A651" s="6">
        <v>734</v>
      </c>
      <c r="B651" s="8" t="s">
        <v>1249</v>
      </c>
      <c r="C651" s="8" t="s">
        <v>1250</v>
      </c>
      <c r="D651" s="8" t="s">
        <v>1251</v>
      </c>
      <c r="E651" s="8" t="s">
        <v>1251</v>
      </c>
      <c r="F651" s="6">
        <v>734</v>
      </c>
      <c r="G651" s="6" t="b">
        <v>0</v>
      </c>
      <c r="H651" s="8" t="s">
        <v>240</v>
      </c>
      <c r="I651" s="6" t="b">
        <v>0</v>
      </c>
      <c r="J651" s="6" t="b">
        <v>0</v>
      </c>
      <c r="K651" s="6" t="b">
        <v>0</v>
      </c>
      <c r="L651" s="6" t="b">
        <v>1</v>
      </c>
      <c r="M651" s="6" t="b">
        <v>0</v>
      </c>
      <c r="N651" s="6">
        <v>1</v>
      </c>
      <c r="O651" s="8" t="s">
        <v>341</v>
      </c>
      <c r="P651" s="8" t="s">
        <v>238</v>
      </c>
      <c r="Q651" s="8" t="s">
        <v>335</v>
      </c>
      <c r="R651" s="6">
        <v>1</v>
      </c>
      <c r="S651" s="8" t="s">
        <v>75</v>
      </c>
      <c r="T651" s="6">
        <v>5</v>
      </c>
      <c r="U651" s="8" t="s">
        <v>1252</v>
      </c>
      <c r="V651" s="8" t="s">
        <v>1253</v>
      </c>
      <c r="W651" s="8" t="s">
        <v>240</v>
      </c>
      <c r="X651" s="8" t="s">
        <v>240</v>
      </c>
      <c r="Y651" s="8" t="s">
        <v>240</v>
      </c>
      <c r="Z651" s="6" t="b">
        <v>0</v>
      </c>
      <c r="AA651" s="9"/>
      <c r="AB651" s="9"/>
    </row>
    <row r="652" spans="1:28" ht="16">
      <c r="A652" s="6">
        <v>735</v>
      </c>
      <c r="B652" s="8" t="s">
        <v>1249</v>
      </c>
      <c r="C652" s="8" t="s">
        <v>1250</v>
      </c>
      <c r="D652" s="8" t="s">
        <v>1254</v>
      </c>
      <c r="E652" s="8" t="s">
        <v>1251</v>
      </c>
      <c r="F652" s="6">
        <v>734</v>
      </c>
      <c r="G652" s="6" t="b">
        <v>0</v>
      </c>
      <c r="H652" s="8" t="s">
        <v>240</v>
      </c>
      <c r="I652" s="6" t="b">
        <v>0</v>
      </c>
      <c r="J652" s="6" t="b">
        <v>0</v>
      </c>
      <c r="K652" s="6" t="b">
        <v>0</v>
      </c>
      <c r="L652" s="6" t="b">
        <v>1</v>
      </c>
      <c r="M652" s="6" t="b">
        <v>0</v>
      </c>
      <c r="N652" s="6">
        <v>1</v>
      </c>
      <c r="O652" s="8" t="s">
        <v>341</v>
      </c>
      <c r="P652" s="8" t="s">
        <v>238</v>
      </c>
      <c r="Q652" s="8" t="s">
        <v>335</v>
      </c>
      <c r="R652" s="6">
        <v>5</v>
      </c>
      <c r="S652" s="8" t="s">
        <v>335</v>
      </c>
      <c r="T652" s="9"/>
      <c r="U652" s="8" t="s">
        <v>1255</v>
      </c>
      <c r="V652" s="8" t="s">
        <v>1253</v>
      </c>
      <c r="W652" s="8" t="s">
        <v>240</v>
      </c>
      <c r="X652" s="8" t="s">
        <v>240</v>
      </c>
      <c r="Y652" s="8" t="s">
        <v>240</v>
      </c>
      <c r="Z652" s="6" t="b">
        <v>0</v>
      </c>
      <c r="AA652" s="9"/>
      <c r="AB652" s="9"/>
    </row>
    <row r="653" spans="1:28" ht="16">
      <c r="A653" s="6">
        <v>736</v>
      </c>
      <c r="B653" s="8" t="s">
        <v>1249</v>
      </c>
      <c r="C653" s="8" t="s">
        <v>1250</v>
      </c>
      <c r="D653" s="8" t="s">
        <v>1256</v>
      </c>
      <c r="E653" s="8" t="s">
        <v>1256</v>
      </c>
      <c r="F653" s="6">
        <v>736</v>
      </c>
      <c r="G653" s="6" t="b">
        <v>0</v>
      </c>
      <c r="H653" s="8" t="s">
        <v>240</v>
      </c>
      <c r="I653" s="6" t="b">
        <v>0</v>
      </c>
      <c r="J653" s="6" t="b">
        <v>0</v>
      </c>
      <c r="K653" s="6" t="b">
        <v>0</v>
      </c>
      <c r="L653" s="6" t="b">
        <v>1</v>
      </c>
      <c r="M653" s="6" t="b">
        <v>0</v>
      </c>
      <c r="N653" s="6">
        <v>1</v>
      </c>
      <c r="O653" s="8" t="s">
        <v>341</v>
      </c>
      <c r="P653" s="8" t="s">
        <v>1176</v>
      </c>
      <c r="Q653" s="8" t="s">
        <v>381</v>
      </c>
      <c r="R653" s="6">
        <v>1</v>
      </c>
      <c r="S653" s="8" t="s">
        <v>75</v>
      </c>
      <c r="T653" s="9"/>
      <c r="U653" s="8" t="s">
        <v>240</v>
      </c>
      <c r="V653" s="8" t="s">
        <v>1253</v>
      </c>
      <c r="W653" s="8" t="s">
        <v>240</v>
      </c>
      <c r="X653" s="8" t="s">
        <v>240</v>
      </c>
      <c r="Y653" s="8" t="s">
        <v>240</v>
      </c>
      <c r="Z653" s="6" t="b">
        <v>0</v>
      </c>
      <c r="AA653" s="9"/>
      <c r="AB653" s="9"/>
    </row>
    <row r="654" spans="1:28" ht="16">
      <c r="A654" s="6">
        <v>737</v>
      </c>
      <c r="B654" s="8" t="s">
        <v>198</v>
      </c>
      <c r="C654" s="8" t="s">
        <v>177</v>
      </c>
      <c r="D654" s="8" t="s">
        <v>1257</v>
      </c>
      <c r="E654" s="8" t="s">
        <v>1257</v>
      </c>
      <c r="F654" s="6">
        <v>737</v>
      </c>
      <c r="G654" s="6" t="b">
        <v>0</v>
      </c>
      <c r="H654" s="8" t="s">
        <v>480</v>
      </c>
      <c r="I654" s="6" t="b">
        <v>0</v>
      </c>
      <c r="J654" s="6" t="b">
        <v>0</v>
      </c>
      <c r="K654" s="6" t="b">
        <v>0</v>
      </c>
      <c r="L654" s="6" t="b">
        <v>1</v>
      </c>
      <c r="M654" s="6" t="b">
        <v>0</v>
      </c>
      <c r="N654" s="6">
        <v>0</v>
      </c>
      <c r="O654" s="8" t="s">
        <v>331</v>
      </c>
      <c r="P654" s="8" t="s">
        <v>516</v>
      </c>
      <c r="Q654" s="8" t="s">
        <v>502</v>
      </c>
      <c r="R654" s="6">
        <v>0</v>
      </c>
      <c r="S654" s="8" t="s">
        <v>347</v>
      </c>
      <c r="T654" s="6">
        <v>0</v>
      </c>
      <c r="U654" s="8" t="s">
        <v>240</v>
      </c>
      <c r="V654" s="8" t="s">
        <v>482</v>
      </c>
      <c r="W654" s="8" t="s">
        <v>386</v>
      </c>
      <c r="X654" s="8" t="s">
        <v>240</v>
      </c>
      <c r="Y654" s="8" t="s">
        <v>1258</v>
      </c>
      <c r="Z654" s="6" t="b">
        <v>0</v>
      </c>
      <c r="AA654" s="9"/>
      <c r="AB654" s="9"/>
    </row>
    <row r="655" spans="1:28" ht="16">
      <c r="A655" s="6">
        <v>738</v>
      </c>
      <c r="B655" s="8" t="s">
        <v>198</v>
      </c>
      <c r="C655" s="8" t="s">
        <v>1259</v>
      </c>
      <c r="D655" s="8" t="s">
        <v>1260</v>
      </c>
      <c r="E655" s="8" t="s">
        <v>1260</v>
      </c>
      <c r="F655" s="6">
        <v>738</v>
      </c>
      <c r="G655" s="6" t="b">
        <v>0</v>
      </c>
      <c r="H655" s="8" t="s">
        <v>480</v>
      </c>
      <c r="I655" s="6" t="b">
        <v>0</v>
      </c>
      <c r="J655" s="6" t="b">
        <v>0</v>
      </c>
      <c r="K655" s="6" t="b">
        <v>0</v>
      </c>
      <c r="L655" s="6" t="b">
        <v>1</v>
      </c>
      <c r="M655" s="6" t="b">
        <v>0</v>
      </c>
      <c r="N655" s="6">
        <v>3</v>
      </c>
      <c r="O655" s="8" t="s">
        <v>331</v>
      </c>
      <c r="P655" s="8" t="s">
        <v>380</v>
      </c>
      <c r="Q655" s="8" t="s">
        <v>446</v>
      </c>
      <c r="R655" s="6">
        <v>3</v>
      </c>
      <c r="S655" s="8" t="s">
        <v>75</v>
      </c>
      <c r="T655" s="9"/>
      <c r="U655" s="8" t="s">
        <v>1261</v>
      </c>
      <c r="V655" s="8" t="s">
        <v>450</v>
      </c>
      <c r="W655" s="8" t="s">
        <v>483</v>
      </c>
      <c r="X655" s="8" t="s">
        <v>240</v>
      </c>
      <c r="Y655" s="8" t="s">
        <v>1262</v>
      </c>
      <c r="Z655" s="6" t="b">
        <v>0</v>
      </c>
      <c r="AA655" s="9"/>
      <c r="AB655" s="9"/>
    </row>
    <row r="656" spans="1:28" ht="16">
      <c r="A656" s="6">
        <v>739</v>
      </c>
      <c r="B656" s="8" t="s">
        <v>198</v>
      </c>
      <c r="C656" s="8" t="s">
        <v>1263</v>
      </c>
      <c r="D656" s="8" t="s">
        <v>1264</v>
      </c>
      <c r="E656" s="8" t="s">
        <v>1264</v>
      </c>
      <c r="F656" s="6">
        <v>739</v>
      </c>
      <c r="G656" s="6" t="b">
        <v>0</v>
      </c>
      <c r="H656" s="8" t="s">
        <v>480</v>
      </c>
      <c r="I656" s="6" t="b">
        <v>0</v>
      </c>
      <c r="J656" s="6" t="b">
        <v>0</v>
      </c>
      <c r="K656" s="6" t="b">
        <v>0</v>
      </c>
      <c r="L656" s="6" t="b">
        <v>1</v>
      </c>
      <c r="M656" s="6" t="b">
        <v>0</v>
      </c>
      <c r="N656" s="6">
        <v>4</v>
      </c>
      <c r="O656" s="8" t="s">
        <v>331</v>
      </c>
      <c r="P656" s="8" t="s">
        <v>350</v>
      </c>
      <c r="Q656" s="8" t="s">
        <v>339</v>
      </c>
      <c r="R656" s="6">
        <v>8</v>
      </c>
      <c r="S656" s="8" t="s">
        <v>347</v>
      </c>
      <c r="T656" s="6">
        <v>8</v>
      </c>
      <c r="U656" s="8" t="s">
        <v>240</v>
      </c>
      <c r="V656" s="8" t="s">
        <v>1012</v>
      </c>
      <c r="W656" s="8" t="s">
        <v>240</v>
      </c>
      <c r="X656" s="8" t="s">
        <v>240</v>
      </c>
      <c r="Y656" s="8" t="s">
        <v>240</v>
      </c>
      <c r="Z656" s="6" t="b">
        <v>0</v>
      </c>
      <c r="AA656" s="9"/>
      <c r="AB656" s="9"/>
    </row>
    <row r="657" spans="1:28" ht="16">
      <c r="A657" s="6">
        <v>740</v>
      </c>
      <c r="B657" s="8" t="s">
        <v>198</v>
      </c>
      <c r="C657" s="8" t="s">
        <v>1265</v>
      </c>
      <c r="D657" s="8" t="s">
        <v>1266</v>
      </c>
      <c r="E657" s="8" t="s">
        <v>1266</v>
      </c>
      <c r="F657" s="6">
        <v>740</v>
      </c>
      <c r="G657" s="6" t="b">
        <v>0</v>
      </c>
      <c r="H657" s="8" t="s">
        <v>480</v>
      </c>
      <c r="I657" s="6" t="b">
        <v>0</v>
      </c>
      <c r="J657" s="6" t="b">
        <v>0</v>
      </c>
      <c r="K657" s="6" t="b">
        <v>0</v>
      </c>
      <c r="L657" s="6" t="b">
        <v>1</v>
      </c>
      <c r="M657" s="6" t="b">
        <v>0</v>
      </c>
      <c r="N657" s="6">
        <v>4</v>
      </c>
      <c r="O657" s="8" t="s">
        <v>331</v>
      </c>
      <c r="P657" s="8" t="s">
        <v>380</v>
      </c>
      <c r="Q657" s="8" t="s">
        <v>446</v>
      </c>
      <c r="R657" s="6">
        <v>7</v>
      </c>
      <c r="S657" s="8" t="s">
        <v>347</v>
      </c>
      <c r="T657" s="9"/>
      <c r="U657" s="8" t="s">
        <v>240</v>
      </c>
      <c r="V657" s="8" t="s">
        <v>1012</v>
      </c>
      <c r="W657" s="8" t="s">
        <v>483</v>
      </c>
      <c r="X657" s="8" t="s">
        <v>240</v>
      </c>
      <c r="Y657" s="8" t="s">
        <v>240</v>
      </c>
      <c r="Z657" s="6" t="b">
        <v>0</v>
      </c>
      <c r="AA657" s="9"/>
      <c r="AB657" s="9"/>
    </row>
    <row r="658" spans="1:28" ht="16">
      <c r="A658" s="6">
        <v>741</v>
      </c>
      <c r="B658" s="8" t="s">
        <v>198</v>
      </c>
      <c r="C658" s="8" t="s">
        <v>1267</v>
      </c>
      <c r="D658" s="8" t="s">
        <v>1268</v>
      </c>
      <c r="E658" s="8" t="s">
        <v>1268</v>
      </c>
      <c r="F658" s="6">
        <v>741</v>
      </c>
      <c r="G658" s="6" t="b">
        <v>0</v>
      </c>
      <c r="H658" s="8" t="s">
        <v>480</v>
      </c>
      <c r="I658" s="6" t="b">
        <v>0</v>
      </c>
      <c r="J658" s="6" t="b">
        <v>0</v>
      </c>
      <c r="K658" s="6" t="b">
        <v>0</v>
      </c>
      <c r="L658" s="6" t="b">
        <v>1</v>
      </c>
      <c r="M658" s="6" t="b">
        <v>0</v>
      </c>
      <c r="N658" s="6">
        <v>3</v>
      </c>
      <c r="O658" s="8" t="s">
        <v>237</v>
      </c>
      <c r="P658" s="8" t="s">
        <v>516</v>
      </c>
      <c r="Q658" s="8" t="s">
        <v>237</v>
      </c>
      <c r="R658" s="6">
        <v>3</v>
      </c>
      <c r="S658" s="8" t="s">
        <v>335</v>
      </c>
      <c r="T658" s="6">
        <v>3</v>
      </c>
      <c r="U658" s="8" t="s">
        <v>240</v>
      </c>
      <c r="V658" s="8" t="s">
        <v>1269</v>
      </c>
      <c r="W658" s="8" t="s">
        <v>483</v>
      </c>
      <c r="X658" s="8" t="s">
        <v>240</v>
      </c>
      <c r="Y658" s="8" t="s">
        <v>1270</v>
      </c>
      <c r="Z658" s="6" t="b">
        <v>0</v>
      </c>
      <c r="AA658" s="9"/>
      <c r="AB658" s="9"/>
    </row>
    <row r="659" spans="1:28" ht="16">
      <c r="A659" s="6">
        <v>742</v>
      </c>
      <c r="B659" s="8" t="s">
        <v>198</v>
      </c>
      <c r="C659" s="8" t="s">
        <v>1271</v>
      </c>
      <c r="D659" s="8" t="s">
        <v>1272</v>
      </c>
      <c r="E659" s="8" t="s">
        <v>1272</v>
      </c>
      <c r="F659" s="6">
        <v>742</v>
      </c>
      <c r="G659" s="6" t="b">
        <v>0</v>
      </c>
      <c r="H659" s="8" t="s">
        <v>480</v>
      </c>
      <c r="I659" s="6" t="b">
        <v>0</v>
      </c>
      <c r="J659" s="6" t="b">
        <v>0</v>
      </c>
      <c r="K659" s="6" t="b">
        <v>0</v>
      </c>
      <c r="L659" s="6" t="b">
        <v>1</v>
      </c>
      <c r="M659" s="6" t="b">
        <v>0</v>
      </c>
      <c r="N659" s="6">
        <v>4</v>
      </c>
      <c r="O659" s="8" t="s">
        <v>331</v>
      </c>
      <c r="P659" s="8" t="s">
        <v>333</v>
      </c>
      <c r="Q659" s="8" t="s">
        <v>446</v>
      </c>
      <c r="R659" s="6">
        <v>4</v>
      </c>
      <c r="S659" s="8" t="s">
        <v>75</v>
      </c>
      <c r="T659" s="9"/>
      <c r="U659" s="8" t="s">
        <v>240</v>
      </c>
      <c r="V659" s="8" t="s">
        <v>1057</v>
      </c>
      <c r="W659" s="8" t="s">
        <v>240</v>
      </c>
      <c r="X659" s="8" t="s">
        <v>240</v>
      </c>
      <c r="Y659" s="8" t="s">
        <v>240</v>
      </c>
      <c r="Z659" s="6" t="b">
        <v>0</v>
      </c>
      <c r="AA659" s="9"/>
      <c r="AB659" s="9"/>
    </row>
    <row r="660" spans="1:28" ht="16">
      <c r="A660" s="6">
        <v>743</v>
      </c>
      <c r="B660" s="8" t="s">
        <v>198</v>
      </c>
      <c r="C660" s="8" t="s">
        <v>146</v>
      </c>
      <c r="D660" s="8" t="s">
        <v>1273</v>
      </c>
      <c r="E660" s="8" t="s">
        <v>1273</v>
      </c>
      <c r="F660" s="6">
        <v>743</v>
      </c>
      <c r="G660" s="6" t="b">
        <v>0</v>
      </c>
      <c r="H660" s="8" t="s">
        <v>480</v>
      </c>
      <c r="I660" s="6" t="b">
        <v>0</v>
      </c>
      <c r="J660" s="6" t="b">
        <v>0</v>
      </c>
      <c r="K660" s="6" t="b">
        <v>0</v>
      </c>
      <c r="L660" s="6" t="b">
        <v>1</v>
      </c>
      <c r="M660" s="6" t="b">
        <v>0</v>
      </c>
      <c r="N660" s="6">
        <v>4</v>
      </c>
      <c r="O660" s="8" t="s">
        <v>331</v>
      </c>
      <c r="P660" s="8" t="s">
        <v>1274</v>
      </c>
      <c r="Q660" s="8" t="s">
        <v>446</v>
      </c>
      <c r="R660" s="6">
        <v>3</v>
      </c>
      <c r="S660" s="8" t="s">
        <v>347</v>
      </c>
      <c r="T660" s="6">
        <v>3</v>
      </c>
      <c r="U660" s="8" t="s">
        <v>1275</v>
      </c>
      <c r="V660" s="8" t="s">
        <v>1057</v>
      </c>
      <c r="W660" s="8" t="s">
        <v>240</v>
      </c>
      <c r="X660" s="8" t="s">
        <v>240</v>
      </c>
      <c r="Y660" s="8" t="s">
        <v>240</v>
      </c>
      <c r="Z660" s="6" t="b">
        <v>0</v>
      </c>
      <c r="AA660" s="9"/>
      <c r="AB660" s="9"/>
    </row>
    <row r="661" spans="1:28" ht="16">
      <c r="A661" s="6">
        <v>744</v>
      </c>
      <c r="B661" s="8" t="s">
        <v>198</v>
      </c>
      <c r="C661" s="8" t="s">
        <v>1265</v>
      </c>
      <c r="D661" s="8" t="s">
        <v>1276</v>
      </c>
      <c r="E661" s="8" t="s">
        <v>1276</v>
      </c>
      <c r="F661" s="6">
        <v>744</v>
      </c>
      <c r="G661" s="6" t="b">
        <v>0</v>
      </c>
      <c r="H661" s="8" t="s">
        <v>480</v>
      </c>
      <c r="I661" s="6" t="b">
        <v>0</v>
      </c>
      <c r="J661" s="6" t="b">
        <v>0</v>
      </c>
      <c r="K661" s="6" t="b">
        <v>0</v>
      </c>
      <c r="L661" s="6" t="b">
        <v>1</v>
      </c>
      <c r="M661" s="6" t="b">
        <v>0</v>
      </c>
      <c r="N661" s="6">
        <v>4</v>
      </c>
      <c r="O661" s="8" t="s">
        <v>331</v>
      </c>
      <c r="P661" s="8" t="s">
        <v>380</v>
      </c>
      <c r="Q661" s="8" t="s">
        <v>446</v>
      </c>
      <c r="R661" s="6">
        <v>2</v>
      </c>
      <c r="S661" s="8" t="s">
        <v>341</v>
      </c>
      <c r="T661" s="9"/>
      <c r="U661" s="8" t="s">
        <v>240</v>
      </c>
      <c r="V661" s="8" t="s">
        <v>1012</v>
      </c>
      <c r="W661" s="8" t="s">
        <v>483</v>
      </c>
      <c r="X661" s="8" t="s">
        <v>240</v>
      </c>
      <c r="Y661" s="8" t="s">
        <v>240</v>
      </c>
      <c r="Z661" s="6" t="b">
        <v>0</v>
      </c>
      <c r="AA661" s="9"/>
      <c r="AB661" s="9"/>
    </row>
    <row r="662" spans="1:28" ht="16">
      <c r="A662" s="6">
        <v>745</v>
      </c>
      <c r="B662" s="8" t="s">
        <v>198</v>
      </c>
      <c r="C662" s="8" t="s">
        <v>179</v>
      </c>
      <c r="D662" s="8" t="s">
        <v>179</v>
      </c>
      <c r="E662" s="8" t="s">
        <v>179</v>
      </c>
      <c r="F662" s="6">
        <v>745</v>
      </c>
      <c r="G662" s="6" t="b">
        <v>0</v>
      </c>
      <c r="H662" s="8" t="s">
        <v>480</v>
      </c>
      <c r="I662" s="6" t="b">
        <v>0</v>
      </c>
      <c r="J662" s="6" t="b">
        <v>0</v>
      </c>
      <c r="K662" s="6" t="b">
        <v>0</v>
      </c>
      <c r="L662" s="6" t="b">
        <v>1</v>
      </c>
      <c r="M662" s="6" t="b">
        <v>0</v>
      </c>
      <c r="N662" s="6">
        <v>1</v>
      </c>
      <c r="O662" s="8" t="s">
        <v>331</v>
      </c>
      <c r="P662" s="8" t="s">
        <v>255</v>
      </c>
      <c r="Q662" s="8" t="s">
        <v>381</v>
      </c>
      <c r="R662" s="6">
        <v>1</v>
      </c>
      <c r="S662" s="8" t="s">
        <v>331</v>
      </c>
      <c r="T662" s="6">
        <v>2</v>
      </c>
      <c r="U662" s="8" t="s">
        <v>240</v>
      </c>
      <c r="V662" s="8" t="s">
        <v>1231</v>
      </c>
      <c r="W662" s="8" t="s">
        <v>240</v>
      </c>
      <c r="X662" s="8" t="s">
        <v>240</v>
      </c>
      <c r="Y662" s="8" t="s">
        <v>240</v>
      </c>
      <c r="Z662" s="6" t="b">
        <v>0</v>
      </c>
      <c r="AA662" s="9"/>
      <c r="AB662" s="9"/>
    </row>
    <row r="663" spans="1:28" ht="16">
      <c r="A663" s="6">
        <v>746</v>
      </c>
      <c r="B663" s="8" t="s">
        <v>198</v>
      </c>
      <c r="C663" s="8" t="s">
        <v>179</v>
      </c>
      <c r="D663" s="8" t="s">
        <v>1277</v>
      </c>
      <c r="E663" s="8" t="s">
        <v>1277</v>
      </c>
      <c r="F663" s="6">
        <v>746</v>
      </c>
      <c r="G663" s="6" t="b">
        <v>0</v>
      </c>
      <c r="H663" s="8" t="s">
        <v>480</v>
      </c>
      <c r="I663" s="6" t="b">
        <v>0</v>
      </c>
      <c r="J663" s="6" t="b">
        <v>0</v>
      </c>
      <c r="K663" s="6" t="b">
        <v>0</v>
      </c>
      <c r="L663" s="6" t="b">
        <v>1</v>
      </c>
      <c r="M663" s="6" t="b">
        <v>0</v>
      </c>
      <c r="N663" s="6">
        <v>1</v>
      </c>
      <c r="O663" s="8" t="s">
        <v>331</v>
      </c>
      <c r="P663" s="8" t="s">
        <v>255</v>
      </c>
      <c r="Q663" s="8" t="s">
        <v>502</v>
      </c>
      <c r="R663" s="6">
        <v>1</v>
      </c>
      <c r="S663" s="8" t="s">
        <v>341</v>
      </c>
      <c r="T663" s="9"/>
      <c r="U663" s="8" t="s">
        <v>240</v>
      </c>
      <c r="V663" s="8" t="s">
        <v>482</v>
      </c>
      <c r="W663" s="8" t="s">
        <v>386</v>
      </c>
      <c r="X663" s="8" t="s">
        <v>240</v>
      </c>
      <c r="Y663" s="8" t="s">
        <v>1278</v>
      </c>
      <c r="Z663" s="6" t="b">
        <v>0</v>
      </c>
      <c r="AA663" s="9"/>
      <c r="AB663" s="9"/>
    </row>
    <row r="664" spans="1:28" ht="32">
      <c r="A664" s="6">
        <v>747</v>
      </c>
      <c r="B664" s="8" t="s">
        <v>198</v>
      </c>
      <c r="C664" s="8" t="s">
        <v>179</v>
      </c>
      <c r="D664" s="8" t="s">
        <v>1279</v>
      </c>
      <c r="E664" s="8" t="s">
        <v>1277</v>
      </c>
      <c r="F664" s="6">
        <v>746</v>
      </c>
      <c r="G664" s="6" t="b">
        <v>0</v>
      </c>
      <c r="H664" s="8" t="s">
        <v>480</v>
      </c>
      <c r="I664" s="6" t="b">
        <v>0</v>
      </c>
      <c r="J664" s="6" t="b">
        <v>0</v>
      </c>
      <c r="K664" s="6" t="b">
        <v>0</v>
      </c>
      <c r="L664" s="6" t="b">
        <v>1</v>
      </c>
      <c r="M664" s="6" t="b">
        <v>0</v>
      </c>
      <c r="N664" s="6">
        <v>1</v>
      </c>
      <c r="O664" s="8" t="s">
        <v>331</v>
      </c>
      <c r="P664" s="8" t="s">
        <v>255</v>
      </c>
      <c r="Q664" s="8" t="s">
        <v>502</v>
      </c>
      <c r="R664" s="6">
        <v>1</v>
      </c>
      <c r="S664" s="8" t="s">
        <v>347</v>
      </c>
      <c r="T664" s="6">
        <v>1</v>
      </c>
      <c r="U664" s="8" t="s">
        <v>240</v>
      </c>
      <c r="V664" s="8" t="s">
        <v>482</v>
      </c>
      <c r="W664" s="8" t="s">
        <v>386</v>
      </c>
      <c r="X664" s="8" t="s">
        <v>240</v>
      </c>
      <c r="Y664" s="8" t="s">
        <v>240</v>
      </c>
      <c r="Z664" s="6" t="b">
        <v>0</v>
      </c>
      <c r="AA664" s="9"/>
      <c r="AB664" s="9"/>
    </row>
    <row r="665" spans="1:28" ht="32">
      <c r="A665" s="6">
        <v>748</v>
      </c>
      <c r="B665" s="8" t="s">
        <v>198</v>
      </c>
      <c r="C665" s="8" t="s">
        <v>179</v>
      </c>
      <c r="D665" s="8" t="s">
        <v>1280</v>
      </c>
      <c r="E665" s="8" t="s">
        <v>1277</v>
      </c>
      <c r="F665" s="6">
        <v>746</v>
      </c>
      <c r="G665" s="6" t="b">
        <v>0</v>
      </c>
      <c r="H665" s="8" t="s">
        <v>480</v>
      </c>
      <c r="I665" s="6" t="b">
        <v>0</v>
      </c>
      <c r="J665" s="6" t="b">
        <v>0</v>
      </c>
      <c r="K665" s="6" t="b">
        <v>0</v>
      </c>
      <c r="L665" s="6" t="b">
        <v>1</v>
      </c>
      <c r="M665" s="6" t="b">
        <v>0</v>
      </c>
      <c r="N665" s="6">
        <v>1</v>
      </c>
      <c r="O665" s="8" t="s">
        <v>331</v>
      </c>
      <c r="P665" s="8" t="s">
        <v>255</v>
      </c>
      <c r="Q665" s="8" t="s">
        <v>335</v>
      </c>
      <c r="R665" s="6">
        <v>1</v>
      </c>
      <c r="S665" s="8" t="s">
        <v>347</v>
      </c>
      <c r="T665" s="6">
        <v>1</v>
      </c>
      <c r="U665" s="8" t="s">
        <v>240</v>
      </c>
      <c r="V665" s="8" t="s">
        <v>482</v>
      </c>
      <c r="W665" s="8" t="s">
        <v>386</v>
      </c>
      <c r="X665" s="8" t="s">
        <v>240</v>
      </c>
      <c r="Y665" s="8" t="s">
        <v>240</v>
      </c>
      <c r="Z665" s="6" t="b">
        <v>0</v>
      </c>
      <c r="AA665" s="9"/>
      <c r="AB665" s="9"/>
    </row>
    <row r="666" spans="1:28" ht="32">
      <c r="A666" s="6">
        <v>749</v>
      </c>
      <c r="B666" s="8" t="s">
        <v>198</v>
      </c>
      <c r="C666" s="8" t="s">
        <v>179</v>
      </c>
      <c r="D666" s="8" t="s">
        <v>1281</v>
      </c>
      <c r="E666" s="8" t="s">
        <v>1277</v>
      </c>
      <c r="F666" s="6">
        <v>746</v>
      </c>
      <c r="G666" s="6" t="b">
        <v>0</v>
      </c>
      <c r="H666" s="8" t="s">
        <v>480</v>
      </c>
      <c r="I666" s="6" t="b">
        <v>0</v>
      </c>
      <c r="J666" s="6" t="b">
        <v>0</v>
      </c>
      <c r="K666" s="6" t="b">
        <v>0</v>
      </c>
      <c r="L666" s="6" t="b">
        <v>1</v>
      </c>
      <c r="M666" s="6" t="b">
        <v>0</v>
      </c>
      <c r="N666" s="6">
        <v>1</v>
      </c>
      <c r="O666" s="8" t="s">
        <v>331</v>
      </c>
      <c r="P666" s="8" t="s">
        <v>255</v>
      </c>
      <c r="Q666" s="8" t="s">
        <v>335</v>
      </c>
      <c r="R666" s="6">
        <v>1</v>
      </c>
      <c r="S666" s="8" t="s">
        <v>347</v>
      </c>
      <c r="T666" s="6">
        <v>1</v>
      </c>
      <c r="U666" s="8" t="s">
        <v>240</v>
      </c>
      <c r="V666" s="8" t="s">
        <v>482</v>
      </c>
      <c r="W666" s="8" t="s">
        <v>386</v>
      </c>
      <c r="X666" s="8" t="s">
        <v>240</v>
      </c>
      <c r="Y666" s="8" t="s">
        <v>1282</v>
      </c>
      <c r="Z666" s="6" t="b">
        <v>0</v>
      </c>
      <c r="AA666" s="9"/>
      <c r="AB666" s="9"/>
    </row>
    <row r="667" spans="1:28" ht="16">
      <c r="A667" s="6">
        <v>750</v>
      </c>
      <c r="B667" s="8" t="s">
        <v>198</v>
      </c>
      <c r="C667" s="8" t="s">
        <v>1271</v>
      </c>
      <c r="D667" s="8" t="s">
        <v>1283</v>
      </c>
      <c r="E667" s="8" t="s">
        <v>1283</v>
      </c>
      <c r="F667" s="6">
        <v>750</v>
      </c>
      <c r="G667" s="6" t="b">
        <v>0</v>
      </c>
      <c r="H667" s="8" t="s">
        <v>480</v>
      </c>
      <c r="I667" s="6" t="b">
        <v>0</v>
      </c>
      <c r="J667" s="6" t="b">
        <v>0</v>
      </c>
      <c r="K667" s="6" t="b">
        <v>0</v>
      </c>
      <c r="L667" s="6" t="b">
        <v>1</v>
      </c>
      <c r="M667" s="6" t="b">
        <v>0</v>
      </c>
      <c r="N667" s="6">
        <v>4</v>
      </c>
      <c r="O667" s="8" t="s">
        <v>331</v>
      </c>
      <c r="P667" s="8" t="s">
        <v>380</v>
      </c>
      <c r="Q667" s="8" t="s">
        <v>446</v>
      </c>
      <c r="R667" s="6">
        <v>3</v>
      </c>
      <c r="S667" s="8" t="s">
        <v>347</v>
      </c>
      <c r="T667" s="9"/>
      <c r="U667" s="8" t="s">
        <v>1284</v>
      </c>
      <c r="V667" s="8" t="s">
        <v>450</v>
      </c>
      <c r="W667" s="8" t="s">
        <v>240</v>
      </c>
      <c r="X667" s="8" t="s">
        <v>240</v>
      </c>
      <c r="Y667" s="8" t="s">
        <v>240</v>
      </c>
      <c r="Z667" s="6" t="b">
        <v>0</v>
      </c>
      <c r="AA667" s="9"/>
      <c r="AB667" s="9"/>
    </row>
    <row r="668" spans="1:28" ht="16">
      <c r="A668" s="6">
        <v>751</v>
      </c>
      <c r="B668" s="8" t="s">
        <v>198</v>
      </c>
      <c r="C668" s="8" t="s">
        <v>1285</v>
      </c>
      <c r="D668" s="8" t="s">
        <v>1285</v>
      </c>
      <c r="E668" s="8" t="s">
        <v>1285</v>
      </c>
      <c r="F668" s="6">
        <v>751</v>
      </c>
      <c r="G668" s="6" t="b">
        <v>0</v>
      </c>
      <c r="H668" s="8" t="s">
        <v>480</v>
      </c>
      <c r="I668" s="6" t="b">
        <v>0</v>
      </c>
      <c r="J668" s="6" t="b">
        <v>0</v>
      </c>
      <c r="K668" s="6" t="b">
        <v>0</v>
      </c>
      <c r="L668" s="6" t="b">
        <v>1</v>
      </c>
      <c r="M668" s="6" t="b">
        <v>0</v>
      </c>
      <c r="N668" s="6">
        <v>0</v>
      </c>
      <c r="O668" s="8" t="s">
        <v>237</v>
      </c>
      <c r="P668" s="8" t="s">
        <v>380</v>
      </c>
      <c r="Q668" s="8" t="s">
        <v>381</v>
      </c>
      <c r="R668" s="6">
        <v>0</v>
      </c>
      <c r="S668" s="8" t="s">
        <v>237</v>
      </c>
      <c r="T668" s="9"/>
      <c r="U668" s="8" t="s">
        <v>240</v>
      </c>
      <c r="V668" s="8" t="s">
        <v>450</v>
      </c>
      <c r="W668" s="8" t="s">
        <v>240</v>
      </c>
      <c r="X668" s="8" t="s">
        <v>240</v>
      </c>
      <c r="Y668" s="8" t="s">
        <v>1286</v>
      </c>
      <c r="Z668" s="6" t="b">
        <v>0</v>
      </c>
      <c r="AA668" s="9"/>
      <c r="AB668" s="9"/>
    </row>
    <row r="669" spans="1:28" ht="32">
      <c r="A669" s="6">
        <v>752</v>
      </c>
      <c r="B669" s="8" t="s">
        <v>198</v>
      </c>
      <c r="C669" s="8" t="s">
        <v>146</v>
      </c>
      <c r="D669" s="8" t="s">
        <v>1287</v>
      </c>
      <c r="E669" s="8" t="s">
        <v>1287</v>
      </c>
      <c r="F669" s="6">
        <v>752</v>
      </c>
      <c r="G669" s="6" t="b">
        <v>0</v>
      </c>
      <c r="H669" s="8" t="s">
        <v>480</v>
      </c>
      <c r="I669" s="6" t="b">
        <v>0</v>
      </c>
      <c r="J669" s="6" t="b">
        <v>0</v>
      </c>
      <c r="K669" s="6" t="b">
        <v>0</v>
      </c>
      <c r="L669" s="6" t="b">
        <v>1</v>
      </c>
      <c r="M669" s="6" t="b">
        <v>0</v>
      </c>
      <c r="N669" s="6">
        <v>4</v>
      </c>
      <c r="O669" s="8" t="s">
        <v>331</v>
      </c>
      <c r="P669" s="8" t="s">
        <v>350</v>
      </c>
      <c r="Q669" s="8" t="s">
        <v>811</v>
      </c>
      <c r="R669" s="6">
        <v>3</v>
      </c>
      <c r="S669" s="8" t="s">
        <v>347</v>
      </c>
      <c r="T669" s="6">
        <v>3</v>
      </c>
      <c r="U669" s="8" t="s">
        <v>1275</v>
      </c>
      <c r="V669" s="8" t="s">
        <v>450</v>
      </c>
      <c r="W669" s="8" t="s">
        <v>483</v>
      </c>
      <c r="X669" s="8" t="s">
        <v>240</v>
      </c>
      <c r="Y669" s="8" t="s">
        <v>1288</v>
      </c>
      <c r="Z669" s="6" t="b">
        <v>0</v>
      </c>
      <c r="AA669" s="9"/>
      <c r="AB669" s="9"/>
    </row>
    <row r="670" spans="1:28" ht="16">
      <c r="A670" s="6">
        <v>753</v>
      </c>
      <c r="B670" s="8" t="s">
        <v>198</v>
      </c>
      <c r="C670" s="8" t="s">
        <v>89</v>
      </c>
      <c r="D670" s="8" t="s">
        <v>1289</v>
      </c>
      <c r="E670" s="8" t="s">
        <v>1289</v>
      </c>
      <c r="F670" s="6">
        <v>753</v>
      </c>
      <c r="G670" s="6" t="b">
        <v>0</v>
      </c>
      <c r="H670" s="8" t="s">
        <v>1290</v>
      </c>
      <c r="I670" s="6" t="b">
        <v>0</v>
      </c>
      <c r="J670" s="6" t="b">
        <v>0</v>
      </c>
      <c r="K670" s="6" t="b">
        <v>0</v>
      </c>
      <c r="L670" s="6" t="b">
        <v>1</v>
      </c>
      <c r="M670" s="6" t="b">
        <v>0</v>
      </c>
      <c r="N670" s="6">
        <v>4</v>
      </c>
      <c r="O670" s="8" t="s">
        <v>331</v>
      </c>
      <c r="P670" s="8" t="s">
        <v>255</v>
      </c>
      <c r="Q670" s="8" t="s">
        <v>446</v>
      </c>
      <c r="R670" s="6">
        <v>4</v>
      </c>
      <c r="S670" s="8" t="s">
        <v>347</v>
      </c>
      <c r="T670" s="9"/>
      <c r="U670" s="8" t="s">
        <v>1291</v>
      </c>
      <c r="V670" s="8" t="s">
        <v>482</v>
      </c>
      <c r="W670" s="8" t="s">
        <v>240</v>
      </c>
      <c r="X670" s="8" t="s">
        <v>240</v>
      </c>
      <c r="Y670" s="8" t="s">
        <v>240</v>
      </c>
      <c r="Z670" s="6" t="b">
        <v>0</v>
      </c>
      <c r="AA670" s="9"/>
      <c r="AB670" s="9"/>
    </row>
    <row r="671" spans="1:28" ht="32">
      <c r="A671" s="6">
        <v>754</v>
      </c>
      <c r="B671" s="8" t="s">
        <v>198</v>
      </c>
      <c r="C671" s="8" t="s">
        <v>89</v>
      </c>
      <c r="D671" s="8" t="s">
        <v>1292</v>
      </c>
      <c r="E671" s="8" t="s">
        <v>1289</v>
      </c>
      <c r="F671" s="6">
        <v>753</v>
      </c>
      <c r="G671" s="6" t="b">
        <v>0</v>
      </c>
      <c r="H671" s="8" t="s">
        <v>480</v>
      </c>
      <c r="I671" s="6" t="b">
        <v>0</v>
      </c>
      <c r="J671" s="6" t="b">
        <v>0</v>
      </c>
      <c r="K671" s="6" t="b">
        <v>0</v>
      </c>
      <c r="L671" s="6" t="b">
        <v>1</v>
      </c>
      <c r="M671" s="6" t="b">
        <v>0</v>
      </c>
      <c r="N671" s="6">
        <v>4</v>
      </c>
      <c r="O671" s="8" t="s">
        <v>331</v>
      </c>
      <c r="P671" s="8" t="s">
        <v>255</v>
      </c>
      <c r="Q671" s="8" t="s">
        <v>446</v>
      </c>
      <c r="R671" s="6">
        <v>3</v>
      </c>
      <c r="S671" s="8" t="s">
        <v>347</v>
      </c>
      <c r="T671" s="9"/>
      <c r="U671" s="8" t="s">
        <v>1293</v>
      </c>
      <c r="V671" s="8" t="s">
        <v>482</v>
      </c>
      <c r="W671" s="8" t="s">
        <v>240</v>
      </c>
      <c r="X671" s="8" t="s">
        <v>240</v>
      </c>
      <c r="Y671" s="8" t="s">
        <v>240</v>
      </c>
      <c r="Z671" s="6" t="b">
        <v>0</v>
      </c>
      <c r="AA671" s="9"/>
      <c r="AB671" s="9"/>
    </row>
    <row r="672" spans="1:28" ht="32">
      <c r="A672" s="6">
        <v>755</v>
      </c>
      <c r="B672" s="8" t="s">
        <v>198</v>
      </c>
      <c r="C672" s="8" t="s">
        <v>89</v>
      </c>
      <c r="D672" s="8" t="s">
        <v>1294</v>
      </c>
      <c r="E672" s="8" t="s">
        <v>1289</v>
      </c>
      <c r="F672" s="6">
        <v>753</v>
      </c>
      <c r="G672" s="6" t="b">
        <v>0</v>
      </c>
      <c r="H672" s="8" t="s">
        <v>480</v>
      </c>
      <c r="I672" s="6" t="b">
        <v>0</v>
      </c>
      <c r="J672" s="6" t="b">
        <v>0</v>
      </c>
      <c r="K672" s="6" t="b">
        <v>0</v>
      </c>
      <c r="L672" s="6" t="b">
        <v>1</v>
      </c>
      <c r="M672" s="6" t="b">
        <v>0</v>
      </c>
      <c r="N672" s="6">
        <v>4</v>
      </c>
      <c r="O672" s="8" t="s">
        <v>331</v>
      </c>
      <c r="P672" s="8" t="s">
        <v>255</v>
      </c>
      <c r="Q672" s="8" t="s">
        <v>446</v>
      </c>
      <c r="R672" s="6">
        <v>5</v>
      </c>
      <c r="S672" s="8" t="s">
        <v>347</v>
      </c>
      <c r="T672" s="6">
        <v>6</v>
      </c>
      <c r="U672" s="8" t="s">
        <v>1295</v>
      </c>
      <c r="V672" s="8" t="s">
        <v>482</v>
      </c>
      <c r="W672" s="8" t="s">
        <v>240</v>
      </c>
      <c r="X672" s="8" t="s">
        <v>240</v>
      </c>
      <c r="Y672" s="8" t="s">
        <v>1296</v>
      </c>
      <c r="Z672" s="6" t="b">
        <v>0</v>
      </c>
      <c r="AA672" s="9"/>
      <c r="AB672" s="9"/>
    </row>
    <row r="673" spans="1:28" ht="32">
      <c r="A673" s="6">
        <v>756</v>
      </c>
      <c r="B673" s="8" t="s">
        <v>198</v>
      </c>
      <c r="C673" s="8" t="s">
        <v>89</v>
      </c>
      <c r="D673" s="8" t="s">
        <v>1297</v>
      </c>
      <c r="E673" s="8" t="s">
        <v>1289</v>
      </c>
      <c r="F673" s="6">
        <v>753</v>
      </c>
      <c r="G673" s="6" t="b">
        <v>0</v>
      </c>
      <c r="H673" s="8" t="s">
        <v>480</v>
      </c>
      <c r="I673" s="6" t="b">
        <v>0</v>
      </c>
      <c r="J673" s="6" t="b">
        <v>0</v>
      </c>
      <c r="K673" s="6" t="b">
        <v>0</v>
      </c>
      <c r="L673" s="6" t="b">
        <v>1</v>
      </c>
      <c r="M673" s="6" t="b">
        <v>0</v>
      </c>
      <c r="N673" s="6">
        <v>4</v>
      </c>
      <c r="O673" s="8" t="s">
        <v>331</v>
      </c>
      <c r="P673" s="8" t="s">
        <v>255</v>
      </c>
      <c r="Q673" s="8" t="s">
        <v>446</v>
      </c>
      <c r="R673" s="6">
        <v>2</v>
      </c>
      <c r="S673" s="8" t="s">
        <v>347</v>
      </c>
      <c r="T673" s="6">
        <v>6</v>
      </c>
      <c r="U673" s="8" t="s">
        <v>1298</v>
      </c>
      <c r="V673" s="8" t="s">
        <v>482</v>
      </c>
      <c r="W673" s="8" t="s">
        <v>240</v>
      </c>
      <c r="X673" s="8" t="s">
        <v>240</v>
      </c>
      <c r="Y673" s="8" t="s">
        <v>1299</v>
      </c>
      <c r="Z673" s="6" t="b">
        <v>0</v>
      </c>
      <c r="AA673" s="9"/>
      <c r="AB673" s="9"/>
    </row>
    <row r="674" spans="1:28" ht="32">
      <c r="A674" s="6">
        <v>757</v>
      </c>
      <c r="B674" s="8" t="s">
        <v>198</v>
      </c>
      <c r="C674" s="8" t="s">
        <v>89</v>
      </c>
      <c r="D674" s="8" t="s">
        <v>1300</v>
      </c>
      <c r="E674" s="8" t="s">
        <v>1289</v>
      </c>
      <c r="F674" s="6">
        <v>753</v>
      </c>
      <c r="G674" s="6" t="b">
        <v>0</v>
      </c>
      <c r="H674" s="8" t="s">
        <v>480</v>
      </c>
      <c r="I674" s="6" t="b">
        <v>0</v>
      </c>
      <c r="J674" s="6" t="b">
        <v>0</v>
      </c>
      <c r="K674" s="6" t="b">
        <v>0</v>
      </c>
      <c r="L674" s="6" t="b">
        <v>1</v>
      </c>
      <c r="M674" s="6" t="b">
        <v>0</v>
      </c>
      <c r="N674" s="6">
        <v>4</v>
      </c>
      <c r="O674" s="8" t="s">
        <v>331</v>
      </c>
      <c r="P674" s="8" t="s">
        <v>255</v>
      </c>
      <c r="Q674" s="8" t="s">
        <v>446</v>
      </c>
      <c r="R674" s="6">
        <v>6</v>
      </c>
      <c r="S674" s="8" t="s">
        <v>347</v>
      </c>
      <c r="T674" s="9"/>
      <c r="U674" s="8" t="s">
        <v>1301</v>
      </c>
      <c r="V674" s="8" t="s">
        <v>482</v>
      </c>
      <c r="W674" s="8" t="s">
        <v>240</v>
      </c>
      <c r="X674" s="8" t="s">
        <v>240</v>
      </c>
      <c r="Y674" s="8" t="s">
        <v>240</v>
      </c>
      <c r="Z674" s="6" t="b">
        <v>0</v>
      </c>
      <c r="AA674" s="9"/>
      <c r="AB674" s="9"/>
    </row>
    <row r="675" spans="1:28" ht="32">
      <c r="A675" s="6">
        <v>758</v>
      </c>
      <c r="B675" s="8" t="s">
        <v>198</v>
      </c>
      <c r="C675" s="8" t="s">
        <v>89</v>
      </c>
      <c r="D675" s="8" t="s">
        <v>1302</v>
      </c>
      <c r="E675" s="8" t="s">
        <v>1289</v>
      </c>
      <c r="F675" s="6">
        <v>753</v>
      </c>
      <c r="G675" s="6" t="b">
        <v>0</v>
      </c>
      <c r="H675" s="8" t="s">
        <v>480</v>
      </c>
      <c r="I675" s="6" t="b">
        <v>0</v>
      </c>
      <c r="J675" s="6" t="b">
        <v>0</v>
      </c>
      <c r="K675" s="6" t="b">
        <v>0</v>
      </c>
      <c r="L675" s="6" t="b">
        <v>1</v>
      </c>
      <c r="M675" s="6" t="b">
        <v>0</v>
      </c>
      <c r="N675" s="6">
        <v>4</v>
      </c>
      <c r="O675" s="8" t="s">
        <v>331</v>
      </c>
      <c r="P675" s="8" t="s">
        <v>255</v>
      </c>
      <c r="Q675" s="8" t="s">
        <v>446</v>
      </c>
      <c r="R675" s="6">
        <v>4</v>
      </c>
      <c r="S675" s="8" t="s">
        <v>347</v>
      </c>
      <c r="T675" s="6">
        <v>4</v>
      </c>
      <c r="U675" s="8" t="s">
        <v>1303</v>
      </c>
      <c r="V675" s="8" t="s">
        <v>482</v>
      </c>
      <c r="W675" s="8" t="s">
        <v>240</v>
      </c>
      <c r="X675" s="8" t="s">
        <v>240</v>
      </c>
      <c r="Y675" s="8" t="s">
        <v>1304</v>
      </c>
      <c r="Z675" s="6" t="b">
        <v>0</v>
      </c>
      <c r="AA675" s="9"/>
      <c r="AB675" s="9"/>
    </row>
    <row r="676" spans="1:28" ht="16">
      <c r="A676" s="6">
        <v>759</v>
      </c>
      <c r="B676" s="8" t="s">
        <v>198</v>
      </c>
      <c r="C676" s="8" t="s">
        <v>89</v>
      </c>
      <c r="D676" s="8" t="s">
        <v>1305</v>
      </c>
      <c r="E676" s="8" t="s">
        <v>1289</v>
      </c>
      <c r="F676" s="6">
        <v>753</v>
      </c>
      <c r="G676" s="6" t="b">
        <v>0</v>
      </c>
      <c r="H676" s="8" t="s">
        <v>480</v>
      </c>
      <c r="I676" s="6" t="b">
        <v>0</v>
      </c>
      <c r="J676" s="6" t="b">
        <v>0</v>
      </c>
      <c r="K676" s="6" t="b">
        <v>0</v>
      </c>
      <c r="L676" s="6" t="b">
        <v>1</v>
      </c>
      <c r="M676" s="6" t="b">
        <v>0</v>
      </c>
      <c r="N676" s="6">
        <v>4</v>
      </c>
      <c r="O676" s="8" t="s">
        <v>331</v>
      </c>
      <c r="P676" s="8" t="s">
        <v>255</v>
      </c>
      <c r="Q676" s="8" t="s">
        <v>446</v>
      </c>
      <c r="R676" s="6">
        <v>1</v>
      </c>
      <c r="S676" s="8" t="s">
        <v>347</v>
      </c>
      <c r="T676" s="6">
        <v>6</v>
      </c>
      <c r="U676" s="8" t="s">
        <v>1306</v>
      </c>
      <c r="V676" s="8" t="s">
        <v>482</v>
      </c>
      <c r="W676" s="8" t="s">
        <v>240</v>
      </c>
      <c r="X676" s="8" t="s">
        <v>240</v>
      </c>
      <c r="Y676" s="8" t="s">
        <v>1307</v>
      </c>
      <c r="Z676" s="6" t="b">
        <v>0</v>
      </c>
      <c r="AA676" s="9"/>
      <c r="AB676" s="9"/>
    </row>
    <row r="677" spans="1:28" ht="32">
      <c r="A677" s="6">
        <v>760</v>
      </c>
      <c r="B677" s="8" t="s">
        <v>198</v>
      </c>
      <c r="C677" s="8" t="s">
        <v>89</v>
      </c>
      <c r="D677" s="8" t="s">
        <v>1308</v>
      </c>
      <c r="E677" s="8" t="s">
        <v>1308</v>
      </c>
      <c r="F677" s="6">
        <v>760</v>
      </c>
      <c r="G677" s="6" t="b">
        <v>0</v>
      </c>
      <c r="H677" s="8" t="s">
        <v>480</v>
      </c>
      <c r="I677" s="6" t="b">
        <v>0</v>
      </c>
      <c r="J677" s="6" t="b">
        <v>0</v>
      </c>
      <c r="K677" s="6" t="b">
        <v>0</v>
      </c>
      <c r="L677" s="6" t="b">
        <v>1</v>
      </c>
      <c r="M677" s="6" t="b">
        <v>0</v>
      </c>
      <c r="N677" s="6">
        <v>4</v>
      </c>
      <c r="O677" s="8" t="s">
        <v>331</v>
      </c>
      <c r="P677" s="8" t="s">
        <v>255</v>
      </c>
      <c r="Q677" s="8" t="s">
        <v>481</v>
      </c>
      <c r="R677" s="6">
        <v>5</v>
      </c>
      <c r="S677" s="8" t="s">
        <v>347</v>
      </c>
      <c r="T677" s="6">
        <v>5</v>
      </c>
      <c r="U677" s="8" t="s">
        <v>240</v>
      </c>
      <c r="V677" s="8" t="s">
        <v>482</v>
      </c>
      <c r="W677" s="8" t="s">
        <v>240</v>
      </c>
      <c r="X677" s="8" t="s">
        <v>240</v>
      </c>
      <c r="Y677" s="8" t="s">
        <v>1309</v>
      </c>
      <c r="Z677" s="6" t="b">
        <v>0</v>
      </c>
      <c r="AA677" s="9"/>
      <c r="AB677" s="9"/>
    </row>
    <row r="678" spans="1:28" ht="32">
      <c r="A678" s="6">
        <v>761</v>
      </c>
      <c r="B678" s="8" t="s">
        <v>198</v>
      </c>
      <c r="C678" s="8" t="s">
        <v>89</v>
      </c>
      <c r="D678" s="8" t="s">
        <v>1310</v>
      </c>
      <c r="E678" s="8" t="s">
        <v>1308</v>
      </c>
      <c r="F678" s="6">
        <v>760</v>
      </c>
      <c r="G678" s="6" t="b">
        <v>0</v>
      </c>
      <c r="H678" s="8" t="s">
        <v>480</v>
      </c>
      <c r="I678" s="6" t="b">
        <v>0</v>
      </c>
      <c r="J678" s="6" t="b">
        <v>0</v>
      </c>
      <c r="K678" s="6" t="b">
        <v>0</v>
      </c>
      <c r="L678" s="6" t="b">
        <v>1</v>
      </c>
      <c r="M678" s="6" t="b">
        <v>0</v>
      </c>
      <c r="N678" s="6">
        <v>4</v>
      </c>
      <c r="O678" s="8" t="s">
        <v>331</v>
      </c>
      <c r="P678" s="8" t="s">
        <v>255</v>
      </c>
      <c r="Q678" s="8" t="s">
        <v>481</v>
      </c>
      <c r="R678" s="6">
        <v>5</v>
      </c>
      <c r="S678" s="8" t="s">
        <v>347</v>
      </c>
      <c r="T678" s="9"/>
      <c r="U678" s="8" t="s">
        <v>240</v>
      </c>
      <c r="V678" s="8" t="s">
        <v>482</v>
      </c>
      <c r="W678" s="8" t="s">
        <v>240</v>
      </c>
      <c r="X678" s="8" t="s">
        <v>240</v>
      </c>
      <c r="Y678" s="8" t="s">
        <v>1311</v>
      </c>
      <c r="Z678" s="6" t="b">
        <v>0</v>
      </c>
      <c r="AA678" s="9"/>
      <c r="AB678" s="9"/>
    </row>
    <row r="679" spans="1:28" ht="16">
      <c r="A679" s="6">
        <v>762</v>
      </c>
      <c r="B679" s="8" t="s">
        <v>198</v>
      </c>
      <c r="C679" s="8" t="s">
        <v>107</v>
      </c>
      <c r="D679" s="8" t="s">
        <v>1312</v>
      </c>
      <c r="E679" s="8" t="s">
        <v>1312</v>
      </c>
      <c r="F679" s="6">
        <v>762</v>
      </c>
      <c r="G679" s="6" t="b">
        <v>0</v>
      </c>
      <c r="H679" s="8" t="s">
        <v>480</v>
      </c>
      <c r="I679" s="6" t="b">
        <v>0</v>
      </c>
      <c r="J679" s="6" t="b">
        <v>0</v>
      </c>
      <c r="K679" s="6" t="b">
        <v>0</v>
      </c>
      <c r="L679" s="6" t="b">
        <v>1</v>
      </c>
      <c r="M679" s="6" t="b">
        <v>0</v>
      </c>
      <c r="N679" s="6">
        <v>3</v>
      </c>
      <c r="O679" s="8" t="s">
        <v>331</v>
      </c>
      <c r="P679" s="8" t="s">
        <v>255</v>
      </c>
      <c r="Q679" s="8" t="s">
        <v>502</v>
      </c>
      <c r="R679" s="6">
        <v>4</v>
      </c>
      <c r="S679" s="8" t="s">
        <v>335</v>
      </c>
      <c r="T679" s="6">
        <v>4</v>
      </c>
      <c r="U679" s="8" t="s">
        <v>240</v>
      </c>
      <c r="V679" s="8" t="s">
        <v>482</v>
      </c>
      <c r="W679" s="8" t="s">
        <v>240</v>
      </c>
      <c r="X679" s="8" t="s">
        <v>240</v>
      </c>
      <c r="Y679" s="8" t="s">
        <v>1313</v>
      </c>
      <c r="Z679" s="6" t="b">
        <v>0</v>
      </c>
      <c r="AA679" s="9"/>
      <c r="AB679" s="9"/>
    </row>
    <row r="680" spans="1:28" ht="16">
      <c r="A680" s="6">
        <v>763</v>
      </c>
      <c r="B680" s="8" t="s">
        <v>198</v>
      </c>
      <c r="C680" s="8" t="s">
        <v>107</v>
      </c>
      <c r="D680" s="8" t="s">
        <v>1314</v>
      </c>
      <c r="E680" s="8" t="s">
        <v>1312</v>
      </c>
      <c r="F680" s="6">
        <v>762</v>
      </c>
      <c r="G680" s="6" t="b">
        <v>0</v>
      </c>
      <c r="H680" s="8" t="s">
        <v>480</v>
      </c>
      <c r="I680" s="6" t="b">
        <v>0</v>
      </c>
      <c r="J680" s="6" t="b">
        <v>0</v>
      </c>
      <c r="K680" s="6" t="b">
        <v>0</v>
      </c>
      <c r="L680" s="6" t="b">
        <v>1</v>
      </c>
      <c r="M680" s="6" t="b">
        <v>0</v>
      </c>
      <c r="N680" s="6">
        <v>3</v>
      </c>
      <c r="O680" s="8" t="s">
        <v>331</v>
      </c>
      <c r="P680" s="8" t="s">
        <v>255</v>
      </c>
      <c r="Q680" s="8" t="s">
        <v>339</v>
      </c>
      <c r="R680" s="6">
        <v>4</v>
      </c>
      <c r="S680" s="8" t="s">
        <v>347</v>
      </c>
      <c r="T680" s="6">
        <v>4</v>
      </c>
      <c r="U680" s="8" t="s">
        <v>240</v>
      </c>
      <c r="V680" s="8" t="s">
        <v>482</v>
      </c>
      <c r="W680" s="8" t="s">
        <v>240</v>
      </c>
      <c r="X680" s="8" t="s">
        <v>240</v>
      </c>
      <c r="Y680" s="8" t="s">
        <v>240</v>
      </c>
      <c r="Z680" s="6" t="b">
        <v>0</v>
      </c>
      <c r="AA680" s="9"/>
      <c r="AB680" s="9"/>
    </row>
    <row r="681" spans="1:28" ht="16">
      <c r="A681" s="6">
        <v>764</v>
      </c>
      <c r="B681" s="8" t="s">
        <v>198</v>
      </c>
      <c r="C681" s="8" t="s">
        <v>107</v>
      </c>
      <c r="D681" s="8" t="s">
        <v>1315</v>
      </c>
      <c r="E681" s="8" t="s">
        <v>1312</v>
      </c>
      <c r="F681" s="6">
        <v>762</v>
      </c>
      <c r="G681" s="6" t="b">
        <v>0</v>
      </c>
      <c r="H681" s="8" t="s">
        <v>480</v>
      </c>
      <c r="I681" s="6" t="b">
        <v>0</v>
      </c>
      <c r="J681" s="6" t="b">
        <v>0</v>
      </c>
      <c r="K681" s="6" t="b">
        <v>0</v>
      </c>
      <c r="L681" s="6" t="b">
        <v>1</v>
      </c>
      <c r="M681" s="6" t="b">
        <v>0</v>
      </c>
      <c r="N681" s="6">
        <v>3</v>
      </c>
      <c r="O681" s="8" t="s">
        <v>331</v>
      </c>
      <c r="P681" s="8" t="s">
        <v>255</v>
      </c>
      <c r="Q681" s="8" t="s">
        <v>339</v>
      </c>
      <c r="R681" s="6">
        <v>4</v>
      </c>
      <c r="S681" s="8" t="s">
        <v>347</v>
      </c>
      <c r="T681" s="6">
        <v>4</v>
      </c>
      <c r="U681" s="8" t="s">
        <v>240</v>
      </c>
      <c r="V681" s="8" t="s">
        <v>482</v>
      </c>
      <c r="W681" s="8" t="s">
        <v>240</v>
      </c>
      <c r="X681" s="8" t="s">
        <v>240</v>
      </c>
      <c r="Y681" s="8" t="s">
        <v>240</v>
      </c>
      <c r="Z681" s="6" t="b">
        <v>0</v>
      </c>
      <c r="AA681" s="9"/>
      <c r="AB681" s="9"/>
    </row>
    <row r="682" spans="1:28" ht="16">
      <c r="A682" s="6">
        <v>765</v>
      </c>
      <c r="B682" s="8" t="s">
        <v>198</v>
      </c>
      <c r="C682" s="8" t="s">
        <v>107</v>
      </c>
      <c r="D682" s="8" t="s">
        <v>1316</v>
      </c>
      <c r="E682" s="8" t="s">
        <v>1312</v>
      </c>
      <c r="F682" s="6">
        <v>762</v>
      </c>
      <c r="G682" s="6" t="b">
        <v>0</v>
      </c>
      <c r="H682" s="8" t="s">
        <v>480</v>
      </c>
      <c r="I682" s="6" t="b">
        <v>0</v>
      </c>
      <c r="J682" s="6" t="b">
        <v>0</v>
      </c>
      <c r="K682" s="6" t="b">
        <v>0</v>
      </c>
      <c r="L682" s="6" t="b">
        <v>1</v>
      </c>
      <c r="M682" s="6" t="b">
        <v>0</v>
      </c>
      <c r="N682" s="6">
        <v>3</v>
      </c>
      <c r="O682" s="8" t="s">
        <v>331</v>
      </c>
      <c r="P682" s="8" t="s">
        <v>255</v>
      </c>
      <c r="Q682" s="8" t="s">
        <v>339</v>
      </c>
      <c r="R682" s="6">
        <v>4</v>
      </c>
      <c r="S682" s="8" t="s">
        <v>347</v>
      </c>
      <c r="T682" s="6">
        <v>0</v>
      </c>
      <c r="U682" s="8" t="s">
        <v>240</v>
      </c>
      <c r="V682" s="8" t="s">
        <v>482</v>
      </c>
      <c r="W682" s="8" t="s">
        <v>240</v>
      </c>
      <c r="X682" s="8" t="s">
        <v>240</v>
      </c>
      <c r="Y682" s="8" t="s">
        <v>240</v>
      </c>
      <c r="Z682" s="6" t="b">
        <v>0</v>
      </c>
      <c r="AA682" s="9"/>
      <c r="AB682" s="9"/>
    </row>
    <row r="683" spans="1:28" ht="16">
      <c r="A683" s="6">
        <v>766</v>
      </c>
      <c r="B683" s="8" t="s">
        <v>198</v>
      </c>
      <c r="C683" s="8" t="s">
        <v>89</v>
      </c>
      <c r="D683" s="8" t="s">
        <v>1317</v>
      </c>
      <c r="E683" s="8" t="s">
        <v>1317</v>
      </c>
      <c r="F683" s="6">
        <v>766</v>
      </c>
      <c r="G683" s="6" t="b">
        <v>0</v>
      </c>
      <c r="H683" s="8" t="s">
        <v>480</v>
      </c>
      <c r="I683" s="6" t="b">
        <v>0</v>
      </c>
      <c r="J683" s="6" t="b">
        <v>0</v>
      </c>
      <c r="K683" s="6" t="b">
        <v>0</v>
      </c>
      <c r="L683" s="6" t="b">
        <v>1</v>
      </c>
      <c r="M683" s="6" t="b">
        <v>0</v>
      </c>
      <c r="N683" s="6">
        <v>4</v>
      </c>
      <c r="O683" s="8" t="s">
        <v>331</v>
      </c>
      <c r="P683" s="8" t="s">
        <v>255</v>
      </c>
      <c r="Q683" s="8" t="s">
        <v>762</v>
      </c>
      <c r="R683" s="6">
        <v>0</v>
      </c>
      <c r="S683" s="8" t="s">
        <v>335</v>
      </c>
      <c r="T683" s="6">
        <v>0</v>
      </c>
      <c r="U683" s="8" t="s">
        <v>240</v>
      </c>
      <c r="V683" s="8" t="s">
        <v>482</v>
      </c>
      <c r="W683" s="8" t="s">
        <v>386</v>
      </c>
      <c r="X683" s="8" t="s">
        <v>240</v>
      </c>
      <c r="Y683" s="8" t="s">
        <v>1318</v>
      </c>
      <c r="Z683" s="6" t="b">
        <v>0</v>
      </c>
      <c r="AA683" s="9"/>
      <c r="AB683" s="9"/>
    </row>
    <row r="684" spans="1:28" ht="32">
      <c r="A684" s="6">
        <v>767</v>
      </c>
      <c r="B684" s="8" t="s">
        <v>198</v>
      </c>
      <c r="C684" s="8" t="s">
        <v>89</v>
      </c>
      <c r="D684" s="8" t="s">
        <v>1319</v>
      </c>
      <c r="E684" s="8" t="s">
        <v>1317</v>
      </c>
      <c r="F684" s="6">
        <v>766</v>
      </c>
      <c r="G684" s="6" t="b">
        <v>0</v>
      </c>
      <c r="H684" s="8" t="s">
        <v>480</v>
      </c>
      <c r="I684" s="6" t="b">
        <v>0</v>
      </c>
      <c r="J684" s="6" t="b">
        <v>0</v>
      </c>
      <c r="K684" s="6" t="b">
        <v>0</v>
      </c>
      <c r="L684" s="6" t="b">
        <v>1</v>
      </c>
      <c r="M684" s="6" t="b">
        <v>0</v>
      </c>
      <c r="N684" s="6">
        <v>4</v>
      </c>
      <c r="O684" s="8" t="s">
        <v>331</v>
      </c>
      <c r="P684" s="8" t="s">
        <v>255</v>
      </c>
      <c r="Q684" s="8" t="s">
        <v>762</v>
      </c>
      <c r="R684" s="6">
        <v>0</v>
      </c>
      <c r="S684" s="8" t="s">
        <v>347</v>
      </c>
      <c r="T684" s="9"/>
      <c r="U684" s="8" t="s">
        <v>240</v>
      </c>
      <c r="V684" s="8" t="s">
        <v>482</v>
      </c>
      <c r="W684" s="8" t="s">
        <v>386</v>
      </c>
      <c r="X684" s="8" t="s">
        <v>240</v>
      </c>
      <c r="Y684" s="8" t="s">
        <v>240</v>
      </c>
      <c r="Z684" s="6" t="b">
        <v>0</v>
      </c>
      <c r="AA684" s="9"/>
      <c r="AB684" s="9"/>
    </row>
    <row r="685" spans="1:28" ht="16">
      <c r="A685" s="6">
        <v>768</v>
      </c>
      <c r="B685" s="8" t="s">
        <v>198</v>
      </c>
      <c r="C685" s="8" t="s">
        <v>107</v>
      </c>
      <c r="D685" s="8" t="s">
        <v>1320</v>
      </c>
      <c r="E685" s="8" t="s">
        <v>1320</v>
      </c>
      <c r="F685" s="6">
        <v>768</v>
      </c>
      <c r="G685" s="6" t="b">
        <v>0</v>
      </c>
      <c r="H685" s="8" t="s">
        <v>480</v>
      </c>
      <c r="I685" s="6" t="b">
        <v>0</v>
      </c>
      <c r="J685" s="6" t="b">
        <v>0</v>
      </c>
      <c r="K685" s="6" t="b">
        <v>0</v>
      </c>
      <c r="L685" s="6" t="b">
        <v>1</v>
      </c>
      <c r="M685" s="6" t="b">
        <v>0</v>
      </c>
      <c r="N685" s="6">
        <v>3</v>
      </c>
      <c r="O685" s="8" t="s">
        <v>331</v>
      </c>
      <c r="P685" s="8" t="s">
        <v>255</v>
      </c>
      <c r="Q685" s="8" t="s">
        <v>502</v>
      </c>
      <c r="R685" s="6">
        <v>0</v>
      </c>
      <c r="S685" s="8" t="s">
        <v>523</v>
      </c>
      <c r="T685" s="6">
        <v>0</v>
      </c>
      <c r="U685" s="8" t="s">
        <v>240</v>
      </c>
      <c r="V685" s="8" t="s">
        <v>482</v>
      </c>
      <c r="W685" s="8" t="s">
        <v>386</v>
      </c>
      <c r="X685" s="8" t="s">
        <v>240</v>
      </c>
      <c r="Y685" s="8" t="s">
        <v>1321</v>
      </c>
      <c r="Z685" s="6" t="b">
        <v>0</v>
      </c>
      <c r="AA685" s="9"/>
      <c r="AB685" s="9"/>
    </row>
    <row r="686" spans="1:28" ht="16">
      <c r="A686" s="6">
        <v>769</v>
      </c>
      <c r="B686" s="8" t="s">
        <v>198</v>
      </c>
      <c r="C686" s="8" t="s">
        <v>1271</v>
      </c>
      <c r="D686" s="8" t="s">
        <v>1322</v>
      </c>
      <c r="E686" s="8" t="s">
        <v>1322</v>
      </c>
      <c r="F686" s="6">
        <v>769</v>
      </c>
      <c r="G686" s="6" t="b">
        <v>0</v>
      </c>
      <c r="H686" s="8" t="s">
        <v>480</v>
      </c>
      <c r="I686" s="6" t="b">
        <v>0</v>
      </c>
      <c r="J686" s="6" t="b">
        <v>0</v>
      </c>
      <c r="K686" s="6" t="b">
        <v>0</v>
      </c>
      <c r="L686" s="6" t="b">
        <v>1</v>
      </c>
      <c r="M686" s="6" t="b">
        <v>0</v>
      </c>
      <c r="N686" s="6">
        <v>4</v>
      </c>
      <c r="O686" s="8" t="s">
        <v>331</v>
      </c>
      <c r="P686" s="8" t="s">
        <v>380</v>
      </c>
      <c r="Q686" s="8" t="s">
        <v>446</v>
      </c>
      <c r="R686" s="6">
        <v>4</v>
      </c>
      <c r="S686" s="8" t="s">
        <v>75</v>
      </c>
      <c r="T686" s="9"/>
      <c r="U686" s="8" t="s">
        <v>240</v>
      </c>
      <c r="V686" s="8" t="s">
        <v>450</v>
      </c>
      <c r="W686" s="8" t="s">
        <v>240</v>
      </c>
      <c r="X686" s="8" t="s">
        <v>240</v>
      </c>
      <c r="Y686" s="8" t="s">
        <v>240</v>
      </c>
      <c r="Z686" s="6" t="b">
        <v>0</v>
      </c>
      <c r="AA686" s="9"/>
      <c r="AB686" s="9"/>
    </row>
    <row r="687" spans="1:28" ht="16">
      <c r="A687" s="6">
        <v>770</v>
      </c>
      <c r="B687" s="8" t="s">
        <v>198</v>
      </c>
      <c r="C687" s="8" t="s">
        <v>177</v>
      </c>
      <c r="D687" s="8" t="s">
        <v>1323</v>
      </c>
      <c r="E687" s="8" t="s">
        <v>1323</v>
      </c>
      <c r="F687" s="6">
        <v>770</v>
      </c>
      <c r="G687" s="6" t="b">
        <v>0</v>
      </c>
      <c r="H687" s="8" t="s">
        <v>480</v>
      </c>
      <c r="I687" s="6" t="b">
        <v>0</v>
      </c>
      <c r="J687" s="6" t="b">
        <v>0</v>
      </c>
      <c r="K687" s="6" t="b">
        <v>0</v>
      </c>
      <c r="L687" s="6" t="b">
        <v>1</v>
      </c>
      <c r="M687" s="6" t="b">
        <v>0</v>
      </c>
      <c r="N687" s="6">
        <v>0</v>
      </c>
      <c r="O687" s="8" t="s">
        <v>331</v>
      </c>
      <c r="P687" s="8" t="s">
        <v>516</v>
      </c>
      <c r="Q687" s="8" t="s">
        <v>502</v>
      </c>
      <c r="R687" s="6">
        <v>0</v>
      </c>
      <c r="S687" s="8" t="s">
        <v>347</v>
      </c>
      <c r="T687" s="6">
        <v>0</v>
      </c>
      <c r="U687" s="8" t="s">
        <v>240</v>
      </c>
      <c r="V687" s="8" t="s">
        <v>482</v>
      </c>
      <c r="W687" s="8" t="s">
        <v>386</v>
      </c>
      <c r="X687" s="8" t="s">
        <v>240</v>
      </c>
      <c r="Y687" s="8" t="s">
        <v>1324</v>
      </c>
      <c r="Z687" s="6" t="b">
        <v>0</v>
      </c>
      <c r="AA687" s="9"/>
      <c r="AB687" s="9"/>
    </row>
    <row r="688" spans="1:28" ht="16">
      <c r="A688" s="6">
        <v>771</v>
      </c>
      <c r="B688" s="8" t="s">
        <v>198</v>
      </c>
      <c r="C688" s="8" t="s">
        <v>177</v>
      </c>
      <c r="D688" s="8" t="s">
        <v>177</v>
      </c>
      <c r="E688" s="8" t="s">
        <v>177</v>
      </c>
      <c r="F688" s="6">
        <v>771</v>
      </c>
      <c r="G688" s="6" t="b">
        <v>0</v>
      </c>
      <c r="H688" s="8" t="s">
        <v>480</v>
      </c>
      <c r="I688" s="6" t="b">
        <v>0</v>
      </c>
      <c r="J688" s="6" t="b">
        <v>0</v>
      </c>
      <c r="K688" s="6" t="b">
        <v>0</v>
      </c>
      <c r="L688" s="6" t="b">
        <v>1</v>
      </c>
      <c r="M688" s="6" t="b">
        <v>0</v>
      </c>
      <c r="N688" s="6">
        <v>0</v>
      </c>
      <c r="O688" s="8" t="s">
        <v>331</v>
      </c>
      <c r="P688" s="8" t="s">
        <v>516</v>
      </c>
      <c r="Q688" s="8" t="s">
        <v>381</v>
      </c>
      <c r="R688" s="6">
        <v>0</v>
      </c>
      <c r="S688" s="8" t="s">
        <v>331</v>
      </c>
      <c r="T688" s="6">
        <v>1</v>
      </c>
      <c r="U688" s="8" t="s">
        <v>240</v>
      </c>
      <c r="V688" s="8" t="s">
        <v>482</v>
      </c>
      <c r="W688" s="8" t="s">
        <v>240</v>
      </c>
      <c r="X688" s="8" t="s">
        <v>240</v>
      </c>
      <c r="Y688" s="8" t="s">
        <v>1325</v>
      </c>
      <c r="Z688" s="6" t="b">
        <v>0</v>
      </c>
      <c r="AA688" s="9"/>
      <c r="AB688" s="9"/>
    </row>
    <row r="689" spans="1:28" ht="16">
      <c r="A689" s="6">
        <v>772</v>
      </c>
      <c r="B689" s="8" t="s">
        <v>198</v>
      </c>
      <c r="C689" s="8" t="s">
        <v>1271</v>
      </c>
      <c r="D689" s="8" t="s">
        <v>1326</v>
      </c>
      <c r="E689" s="8" t="s">
        <v>1326</v>
      </c>
      <c r="F689" s="6">
        <v>772</v>
      </c>
      <c r="G689" s="6" t="b">
        <v>0</v>
      </c>
      <c r="H689" s="8" t="s">
        <v>480</v>
      </c>
      <c r="I689" s="6" t="b">
        <v>0</v>
      </c>
      <c r="J689" s="6" t="b">
        <v>0</v>
      </c>
      <c r="K689" s="6" t="b">
        <v>0</v>
      </c>
      <c r="L689" s="6" t="b">
        <v>1</v>
      </c>
      <c r="M689" s="6" t="b">
        <v>0</v>
      </c>
      <c r="N689" s="6">
        <v>4</v>
      </c>
      <c r="O689" s="8" t="s">
        <v>331</v>
      </c>
      <c r="P689" s="8" t="s">
        <v>380</v>
      </c>
      <c r="Q689" s="8" t="s">
        <v>446</v>
      </c>
      <c r="R689" s="6">
        <v>3</v>
      </c>
      <c r="S689" s="8" t="s">
        <v>335</v>
      </c>
      <c r="T689" s="9"/>
      <c r="U689" s="8" t="s">
        <v>1327</v>
      </c>
      <c r="V689" s="8" t="s">
        <v>450</v>
      </c>
      <c r="W689" s="8" t="s">
        <v>240</v>
      </c>
      <c r="X689" s="8" t="s">
        <v>240</v>
      </c>
      <c r="Y689" s="8" t="s">
        <v>1328</v>
      </c>
      <c r="Z689" s="6" t="b">
        <v>0</v>
      </c>
      <c r="AA689" s="9"/>
      <c r="AB689" s="9"/>
    </row>
    <row r="690" spans="1:28" ht="16">
      <c r="A690" s="6">
        <v>773</v>
      </c>
      <c r="B690" s="8" t="s">
        <v>198</v>
      </c>
      <c r="C690" s="8" t="s">
        <v>1329</v>
      </c>
      <c r="D690" s="8" t="s">
        <v>1330</v>
      </c>
      <c r="E690" s="8" t="s">
        <v>1330</v>
      </c>
      <c r="F690" s="6">
        <v>773</v>
      </c>
      <c r="G690" s="6" t="b">
        <v>0</v>
      </c>
      <c r="H690" s="8" t="s">
        <v>480</v>
      </c>
      <c r="I690" s="6" t="b">
        <v>0</v>
      </c>
      <c r="J690" s="6" t="b">
        <v>0</v>
      </c>
      <c r="K690" s="6" t="b">
        <v>0</v>
      </c>
      <c r="L690" s="6" t="b">
        <v>1</v>
      </c>
      <c r="M690" s="6" t="b">
        <v>0</v>
      </c>
      <c r="N690" s="6">
        <v>3</v>
      </c>
      <c r="O690" s="8" t="s">
        <v>237</v>
      </c>
      <c r="P690" s="8" t="s">
        <v>516</v>
      </c>
      <c r="Q690" s="8" t="s">
        <v>237</v>
      </c>
      <c r="R690" s="6">
        <v>0</v>
      </c>
      <c r="S690" s="8" t="s">
        <v>347</v>
      </c>
      <c r="T690" s="6">
        <v>3</v>
      </c>
      <c r="U690" s="8" t="s">
        <v>240</v>
      </c>
      <c r="V690" s="8" t="s">
        <v>482</v>
      </c>
      <c r="W690" s="8" t="s">
        <v>386</v>
      </c>
      <c r="X690" s="8" t="s">
        <v>240</v>
      </c>
      <c r="Y690" s="8" t="s">
        <v>1331</v>
      </c>
      <c r="Z690" s="6" t="b">
        <v>0</v>
      </c>
      <c r="AA690" s="9"/>
      <c r="AB690" s="9"/>
    </row>
    <row r="691" spans="1:28" ht="16">
      <c r="A691" s="6">
        <v>774</v>
      </c>
      <c r="B691" s="8" t="s">
        <v>198</v>
      </c>
      <c r="C691" s="8" t="s">
        <v>1329</v>
      </c>
      <c r="D691" s="8" t="s">
        <v>1332</v>
      </c>
      <c r="E691" s="8" t="s">
        <v>1332</v>
      </c>
      <c r="F691" s="6">
        <v>774</v>
      </c>
      <c r="G691" s="6" t="b">
        <v>0</v>
      </c>
      <c r="H691" s="8" t="s">
        <v>480</v>
      </c>
      <c r="I691" s="6" t="b">
        <v>0</v>
      </c>
      <c r="J691" s="6" t="b">
        <v>0</v>
      </c>
      <c r="K691" s="6" t="b">
        <v>0</v>
      </c>
      <c r="L691" s="6" t="b">
        <v>1</v>
      </c>
      <c r="M691" s="6" t="b">
        <v>0</v>
      </c>
      <c r="N691" s="6">
        <v>3</v>
      </c>
      <c r="O691" s="8" t="s">
        <v>237</v>
      </c>
      <c r="P691" s="8" t="s">
        <v>516</v>
      </c>
      <c r="Q691" s="8" t="s">
        <v>237</v>
      </c>
      <c r="R691" s="6">
        <v>4</v>
      </c>
      <c r="S691" s="8" t="s">
        <v>75</v>
      </c>
      <c r="T691" s="9"/>
      <c r="U691" s="8" t="s">
        <v>240</v>
      </c>
      <c r="V691" s="8" t="s">
        <v>482</v>
      </c>
      <c r="W691" s="8" t="s">
        <v>240</v>
      </c>
      <c r="X691" s="8" t="s">
        <v>240</v>
      </c>
      <c r="Y691" s="8" t="s">
        <v>1333</v>
      </c>
      <c r="Z691" s="6" t="b">
        <v>0</v>
      </c>
      <c r="AA691" s="9"/>
      <c r="AB691" s="9"/>
    </row>
    <row r="692" spans="1:28" ht="16">
      <c r="A692" s="6">
        <v>775</v>
      </c>
      <c r="B692" s="8" t="s">
        <v>198</v>
      </c>
      <c r="C692" s="8" t="s">
        <v>149</v>
      </c>
      <c r="D692" s="8" t="s">
        <v>1334</v>
      </c>
      <c r="E692" s="8" t="s">
        <v>1334</v>
      </c>
      <c r="F692" s="6">
        <v>775</v>
      </c>
      <c r="G692" s="6" t="b">
        <v>0</v>
      </c>
      <c r="H692" s="8" t="s">
        <v>480</v>
      </c>
      <c r="I692" s="6" t="b">
        <v>0</v>
      </c>
      <c r="J692" s="6" t="b">
        <v>0</v>
      </c>
      <c r="K692" s="6" t="b">
        <v>0</v>
      </c>
      <c r="L692" s="6" t="b">
        <v>1</v>
      </c>
      <c r="M692" s="6" t="b">
        <v>0</v>
      </c>
      <c r="N692" s="6">
        <v>3</v>
      </c>
      <c r="O692" s="8" t="s">
        <v>331</v>
      </c>
      <c r="P692" s="8" t="s">
        <v>516</v>
      </c>
      <c r="Q692" s="8" t="s">
        <v>762</v>
      </c>
      <c r="R692" s="6">
        <v>3</v>
      </c>
      <c r="S692" s="8" t="s">
        <v>335</v>
      </c>
      <c r="T692" s="9"/>
      <c r="U692" s="8" t="s">
        <v>240</v>
      </c>
      <c r="V692" s="8" t="s">
        <v>482</v>
      </c>
      <c r="W692" s="8" t="s">
        <v>483</v>
      </c>
      <c r="X692" s="8" t="s">
        <v>240</v>
      </c>
      <c r="Y692" s="8" t="s">
        <v>1335</v>
      </c>
      <c r="Z692" s="6" t="b">
        <v>0</v>
      </c>
      <c r="AA692" s="9"/>
      <c r="AB692" s="9"/>
    </row>
    <row r="693" spans="1:28" ht="32">
      <c r="A693" s="6">
        <v>776</v>
      </c>
      <c r="B693" s="8" t="s">
        <v>198</v>
      </c>
      <c r="C693" s="8" t="s">
        <v>149</v>
      </c>
      <c r="D693" s="8" t="s">
        <v>1336</v>
      </c>
      <c r="E693" s="8" t="s">
        <v>1334</v>
      </c>
      <c r="F693" s="6">
        <v>775</v>
      </c>
      <c r="G693" s="6" t="b">
        <v>0</v>
      </c>
      <c r="H693" s="8" t="s">
        <v>480</v>
      </c>
      <c r="I693" s="6" t="b">
        <v>0</v>
      </c>
      <c r="J693" s="6" t="b">
        <v>0</v>
      </c>
      <c r="K693" s="6" t="b">
        <v>0</v>
      </c>
      <c r="L693" s="6" t="b">
        <v>1</v>
      </c>
      <c r="M693" s="6" t="b">
        <v>0</v>
      </c>
      <c r="N693" s="6">
        <v>3</v>
      </c>
      <c r="O693" s="8" t="s">
        <v>331</v>
      </c>
      <c r="P693" s="8" t="s">
        <v>516</v>
      </c>
      <c r="Q693" s="8" t="s">
        <v>339</v>
      </c>
      <c r="R693" s="6">
        <v>3</v>
      </c>
      <c r="S693" s="8" t="s">
        <v>347</v>
      </c>
      <c r="T693" s="6">
        <v>3</v>
      </c>
      <c r="U693" s="8" t="s">
        <v>240</v>
      </c>
      <c r="V693" s="8" t="s">
        <v>482</v>
      </c>
      <c r="W693" s="8" t="s">
        <v>483</v>
      </c>
      <c r="X693" s="8" t="s">
        <v>240</v>
      </c>
      <c r="Y693" s="8" t="s">
        <v>240</v>
      </c>
      <c r="Z693" s="6" t="b">
        <v>0</v>
      </c>
      <c r="AA693" s="9"/>
      <c r="AB693" s="9"/>
    </row>
    <row r="694" spans="1:28" ht="16">
      <c r="A694" s="6">
        <v>777</v>
      </c>
      <c r="B694" s="8" t="s">
        <v>198</v>
      </c>
      <c r="C694" s="8" t="s">
        <v>149</v>
      </c>
      <c r="D694" s="8" t="s">
        <v>149</v>
      </c>
      <c r="E694" s="8" t="s">
        <v>149</v>
      </c>
      <c r="F694" s="6">
        <v>777</v>
      </c>
      <c r="G694" s="6" t="b">
        <v>0</v>
      </c>
      <c r="H694" s="8" t="s">
        <v>480</v>
      </c>
      <c r="I694" s="6" t="b">
        <v>0</v>
      </c>
      <c r="J694" s="6" t="b">
        <v>0</v>
      </c>
      <c r="K694" s="6" t="b">
        <v>0</v>
      </c>
      <c r="L694" s="6" t="b">
        <v>1</v>
      </c>
      <c r="M694" s="6" t="b">
        <v>0</v>
      </c>
      <c r="N694" s="6">
        <v>3</v>
      </c>
      <c r="O694" s="8" t="s">
        <v>331</v>
      </c>
      <c r="P694" s="8" t="s">
        <v>516</v>
      </c>
      <c r="Q694" s="8" t="s">
        <v>446</v>
      </c>
      <c r="R694" s="6">
        <v>3</v>
      </c>
      <c r="S694" s="8" t="s">
        <v>331</v>
      </c>
      <c r="T694" s="9"/>
      <c r="U694" s="8" t="s">
        <v>240</v>
      </c>
      <c r="V694" s="8" t="s">
        <v>240</v>
      </c>
      <c r="W694" s="8" t="s">
        <v>240</v>
      </c>
      <c r="X694" s="8" t="s">
        <v>240</v>
      </c>
      <c r="Y694" s="8" t="s">
        <v>240</v>
      </c>
      <c r="Z694" s="6" t="b">
        <v>0</v>
      </c>
      <c r="AA694" s="9"/>
      <c r="AB694" s="9"/>
    </row>
    <row r="695" spans="1:28" ht="16">
      <c r="A695" s="6">
        <v>778</v>
      </c>
      <c r="B695" s="8" t="s">
        <v>198</v>
      </c>
      <c r="C695" s="8" t="s">
        <v>1271</v>
      </c>
      <c r="D695" s="8" t="s">
        <v>1337</v>
      </c>
      <c r="E695" s="8" t="s">
        <v>1337</v>
      </c>
      <c r="F695" s="6">
        <v>778</v>
      </c>
      <c r="G695" s="6" t="b">
        <v>0</v>
      </c>
      <c r="H695" s="8" t="s">
        <v>480</v>
      </c>
      <c r="I695" s="6" t="b">
        <v>0</v>
      </c>
      <c r="J695" s="6" t="b">
        <v>0</v>
      </c>
      <c r="K695" s="6" t="b">
        <v>0</v>
      </c>
      <c r="L695" s="6" t="b">
        <v>1</v>
      </c>
      <c r="M695" s="6" t="b">
        <v>0</v>
      </c>
      <c r="N695" s="6">
        <v>4</v>
      </c>
      <c r="O695" s="8" t="s">
        <v>331</v>
      </c>
      <c r="P695" s="8" t="s">
        <v>380</v>
      </c>
      <c r="Q695" s="8" t="s">
        <v>446</v>
      </c>
      <c r="R695" s="6">
        <v>4</v>
      </c>
      <c r="S695" s="8" t="s">
        <v>75</v>
      </c>
      <c r="T695" s="9"/>
      <c r="U695" s="8" t="s">
        <v>240</v>
      </c>
      <c r="V695" s="8" t="s">
        <v>450</v>
      </c>
      <c r="W695" s="8" t="s">
        <v>240</v>
      </c>
      <c r="X695" s="8" t="s">
        <v>240</v>
      </c>
      <c r="Y695" s="8" t="s">
        <v>240</v>
      </c>
      <c r="Z695" s="6" t="b">
        <v>0</v>
      </c>
      <c r="AA695" s="9"/>
      <c r="AB695" s="9"/>
    </row>
    <row r="696" spans="1:28" ht="16">
      <c r="A696" s="6">
        <v>780</v>
      </c>
      <c r="B696" s="8" t="s">
        <v>198</v>
      </c>
      <c r="C696" s="8" t="s">
        <v>1285</v>
      </c>
      <c r="D696" s="8" t="s">
        <v>1338</v>
      </c>
      <c r="E696" s="8" t="s">
        <v>1338</v>
      </c>
      <c r="F696" s="6">
        <v>780</v>
      </c>
      <c r="G696" s="6" t="b">
        <v>0</v>
      </c>
      <c r="H696" s="8" t="s">
        <v>480</v>
      </c>
      <c r="I696" s="6" t="b">
        <v>0</v>
      </c>
      <c r="J696" s="6" t="b">
        <v>0</v>
      </c>
      <c r="K696" s="6" t="b">
        <v>0</v>
      </c>
      <c r="L696" s="6" t="b">
        <v>1</v>
      </c>
      <c r="M696" s="6" t="b">
        <v>0</v>
      </c>
      <c r="N696" s="6">
        <v>0</v>
      </c>
      <c r="O696" s="8" t="s">
        <v>237</v>
      </c>
      <c r="P696" s="8" t="s">
        <v>380</v>
      </c>
      <c r="Q696" s="8" t="s">
        <v>446</v>
      </c>
      <c r="R696" s="6">
        <v>3</v>
      </c>
      <c r="S696" s="8" t="s">
        <v>372</v>
      </c>
      <c r="T696" s="9"/>
      <c r="U696" s="8" t="s">
        <v>240</v>
      </c>
      <c r="V696" s="8" t="s">
        <v>450</v>
      </c>
      <c r="W696" s="8" t="s">
        <v>386</v>
      </c>
      <c r="X696" s="8" t="s">
        <v>240</v>
      </c>
      <c r="Y696" s="8" t="s">
        <v>240</v>
      </c>
      <c r="Z696" s="6" t="b">
        <v>0</v>
      </c>
      <c r="AA696" s="9"/>
      <c r="AB696" s="9"/>
    </row>
    <row r="697" spans="1:28" ht="32">
      <c r="A697" s="6">
        <v>781</v>
      </c>
      <c r="B697" s="8" t="s">
        <v>198</v>
      </c>
      <c r="C697" s="8" t="s">
        <v>1285</v>
      </c>
      <c r="D697" s="8" t="s">
        <v>1339</v>
      </c>
      <c r="E697" s="8" t="s">
        <v>1338</v>
      </c>
      <c r="F697" s="6">
        <v>780</v>
      </c>
      <c r="G697" s="6" t="b">
        <v>0</v>
      </c>
      <c r="H697" s="8" t="s">
        <v>480</v>
      </c>
      <c r="I697" s="6" t="b">
        <v>0</v>
      </c>
      <c r="J697" s="6" t="b">
        <v>0</v>
      </c>
      <c r="K697" s="6" t="b">
        <v>0</v>
      </c>
      <c r="L697" s="6" t="b">
        <v>1</v>
      </c>
      <c r="M697" s="6" t="b">
        <v>0</v>
      </c>
      <c r="N697" s="6">
        <v>0</v>
      </c>
      <c r="O697" s="8" t="s">
        <v>237</v>
      </c>
      <c r="P697" s="8" t="s">
        <v>380</v>
      </c>
      <c r="Q697" s="8" t="s">
        <v>446</v>
      </c>
      <c r="R697" s="6">
        <v>2.9</v>
      </c>
      <c r="S697" s="8" t="s">
        <v>247</v>
      </c>
      <c r="T697" s="9"/>
      <c r="U697" s="8" t="s">
        <v>240</v>
      </c>
      <c r="V697" s="8" t="s">
        <v>450</v>
      </c>
      <c r="W697" s="8" t="s">
        <v>386</v>
      </c>
      <c r="X697" s="8" t="s">
        <v>240</v>
      </c>
      <c r="Y697" s="8" t="s">
        <v>240</v>
      </c>
      <c r="Z697" s="6" t="b">
        <v>0</v>
      </c>
      <c r="AA697" s="9"/>
      <c r="AB697" s="9"/>
    </row>
    <row r="698" spans="1:28" ht="16">
      <c r="A698" s="6">
        <v>782</v>
      </c>
      <c r="B698" s="8" t="s">
        <v>198</v>
      </c>
      <c r="C698" s="8" t="s">
        <v>1271</v>
      </c>
      <c r="D698" s="8" t="s">
        <v>1340</v>
      </c>
      <c r="E698" s="8" t="s">
        <v>1340</v>
      </c>
      <c r="F698" s="6">
        <v>782</v>
      </c>
      <c r="G698" s="6" t="b">
        <v>0</v>
      </c>
      <c r="H698" s="8" t="s">
        <v>480</v>
      </c>
      <c r="I698" s="6" t="b">
        <v>0</v>
      </c>
      <c r="J698" s="6" t="b">
        <v>0</v>
      </c>
      <c r="K698" s="6" t="b">
        <v>0</v>
      </c>
      <c r="L698" s="6" t="b">
        <v>1</v>
      </c>
      <c r="M698" s="6" t="b">
        <v>0</v>
      </c>
      <c r="N698" s="6">
        <v>4</v>
      </c>
      <c r="O698" s="8" t="s">
        <v>331</v>
      </c>
      <c r="P698" s="8" t="s">
        <v>380</v>
      </c>
      <c r="Q698" s="8" t="s">
        <v>381</v>
      </c>
      <c r="R698" s="6">
        <v>2</v>
      </c>
      <c r="S698" s="8" t="s">
        <v>341</v>
      </c>
      <c r="T698" s="6">
        <v>2</v>
      </c>
      <c r="U698" s="8" t="s">
        <v>240</v>
      </c>
      <c r="V698" s="8" t="s">
        <v>450</v>
      </c>
      <c r="W698" s="8" t="s">
        <v>483</v>
      </c>
      <c r="X698" s="8" t="s">
        <v>240</v>
      </c>
      <c r="Y698" s="8" t="s">
        <v>1341</v>
      </c>
      <c r="Z698" s="6" t="b">
        <v>0</v>
      </c>
      <c r="AA698" s="9"/>
      <c r="AB698" s="9"/>
    </row>
    <row r="699" spans="1:28" ht="32">
      <c r="A699" s="6">
        <v>783</v>
      </c>
      <c r="B699" s="8" t="s">
        <v>198</v>
      </c>
      <c r="C699" s="8" t="s">
        <v>89</v>
      </c>
      <c r="D699" s="8" t="s">
        <v>1342</v>
      </c>
      <c r="E699" s="8" t="s">
        <v>1342</v>
      </c>
      <c r="F699" s="6">
        <v>783</v>
      </c>
      <c r="G699" s="6" t="b">
        <v>0</v>
      </c>
      <c r="H699" s="8" t="s">
        <v>480</v>
      </c>
      <c r="I699" s="6" t="b">
        <v>0</v>
      </c>
      <c r="J699" s="6" t="b">
        <v>0</v>
      </c>
      <c r="K699" s="6" t="b">
        <v>0</v>
      </c>
      <c r="L699" s="6" t="b">
        <v>1</v>
      </c>
      <c r="M699" s="6" t="b">
        <v>0</v>
      </c>
      <c r="N699" s="6">
        <v>4</v>
      </c>
      <c r="O699" s="8" t="s">
        <v>331</v>
      </c>
      <c r="P699" s="8" t="s">
        <v>255</v>
      </c>
      <c r="Q699" s="8" t="s">
        <v>481</v>
      </c>
      <c r="R699" s="6">
        <v>4</v>
      </c>
      <c r="S699" s="8" t="s">
        <v>335</v>
      </c>
      <c r="T699" s="6">
        <v>4</v>
      </c>
      <c r="U699" s="8" t="s">
        <v>240</v>
      </c>
      <c r="V699" s="8" t="s">
        <v>482</v>
      </c>
      <c r="W699" s="8" t="s">
        <v>240</v>
      </c>
      <c r="X699" s="8" t="s">
        <v>240</v>
      </c>
      <c r="Y699" s="8" t="s">
        <v>1343</v>
      </c>
      <c r="Z699" s="6" t="b">
        <v>0</v>
      </c>
      <c r="AA699" s="9"/>
      <c r="AB699" s="9"/>
    </row>
    <row r="700" spans="1:28" ht="32">
      <c r="A700" s="6">
        <v>784</v>
      </c>
      <c r="B700" s="8" t="s">
        <v>198</v>
      </c>
      <c r="C700" s="8" t="s">
        <v>89</v>
      </c>
      <c r="D700" s="8" t="s">
        <v>1344</v>
      </c>
      <c r="E700" s="8" t="s">
        <v>1342</v>
      </c>
      <c r="F700" s="6">
        <v>783</v>
      </c>
      <c r="G700" s="6" t="b">
        <v>0</v>
      </c>
      <c r="H700" s="8" t="s">
        <v>480</v>
      </c>
      <c r="I700" s="6" t="b">
        <v>0</v>
      </c>
      <c r="J700" s="6" t="b">
        <v>0</v>
      </c>
      <c r="K700" s="6" t="b">
        <v>0</v>
      </c>
      <c r="L700" s="6" t="b">
        <v>1</v>
      </c>
      <c r="M700" s="6" t="b">
        <v>0</v>
      </c>
      <c r="N700" s="6">
        <v>4</v>
      </c>
      <c r="O700" s="8" t="s">
        <v>331</v>
      </c>
      <c r="P700" s="8" t="s">
        <v>255</v>
      </c>
      <c r="Q700" s="8" t="s">
        <v>339</v>
      </c>
      <c r="R700" s="6">
        <v>6</v>
      </c>
      <c r="S700" s="8" t="s">
        <v>347</v>
      </c>
      <c r="T700" s="6">
        <v>6</v>
      </c>
      <c r="U700" s="8" t="s">
        <v>240</v>
      </c>
      <c r="V700" s="8" t="s">
        <v>482</v>
      </c>
      <c r="W700" s="8" t="s">
        <v>240</v>
      </c>
      <c r="X700" s="8" t="s">
        <v>240</v>
      </c>
      <c r="Y700" s="8" t="s">
        <v>1345</v>
      </c>
      <c r="Z700" s="6" t="b">
        <v>0</v>
      </c>
      <c r="AA700" s="9"/>
      <c r="AB700" s="9"/>
    </row>
    <row r="701" spans="1:28" ht="32">
      <c r="A701" s="6">
        <v>786</v>
      </c>
      <c r="B701" s="8" t="s">
        <v>198</v>
      </c>
      <c r="C701" s="8" t="s">
        <v>89</v>
      </c>
      <c r="D701" s="8" t="s">
        <v>1346</v>
      </c>
      <c r="E701" s="8" t="s">
        <v>1342</v>
      </c>
      <c r="F701" s="6">
        <v>783</v>
      </c>
      <c r="G701" s="6" t="b">
        <v>0</v>
      </c>
      <c r="H701" s="8" t="s">
        <v>480</v>
      </c>
      <c r="I701" s="6" t="b">
        <v>0</v>
      </c>
      <c r="J701" s="6" t="b">
        <v>0</v>
      </c>
      <c r="K701" s="6" t="b">
        <v>0</v>
      </c>
      <c r="L701" s="6" t="b">
        <v>1</v>
      </c>
      <c r="M701" s="6" t="b">
        <v>0</v>
      </c>
      <c r="N701" s="6">
        <v>4</v>
      </c>
      <c r="O701" s="8" t="s">
        <v>331</v>
      </c>
      <c r="P701" s="8" t="s">
        <v>255</v>
      </c>
      <c r="Q701" s="8" t="s">
        <v>481</v>
      </c>
      <c r="R701" s="6">
        <v>4</v>
      </c>
      <c r="S701" s="8" t="s">
        <v>75</v>
      </c>
      <c r="T701" s="9"/>
      <c r="U701" s="8" t="s">
        <v>240</v>
      </c>
      <c r="V701" s="8" t="s">
        <v>240</v>
      </c>
      <c r="W701" s="8" t="s">
        <v>240</v>
      </c>
      <c r="X701" s="8" t="s">
        <v>240</v>
      </c>
      <c r="Y701" s="8" t="s">
        <v>1347</v>
      </c>
      <c r="Z701" s="6" t="b">
        <v>0</v>
      </c>
      <c r="AA701" s="9"/>
      <c r="AB701" s="9"/>
    </row>
    <row r="702" spans="1:28" ht="32">
      <c r="A702" s="6">
        <v>787</v>
      </c>
      <c r="B702" s="8" t="s">
        <v>198</v>
      </c>
      <c r="C702" s="8" t="s">
        <v>89</v>
      </c>
      <c r="D702" s="8" t="s">
        <v>1348</v>
      </c>
      <c r="E702" s="8" t="s">
        <v>1342</v>
      </c>
      <c r="F702" s="6">
        <v>783</v>
      </c>
      <c r="G702" s="6" t="b">
        <v>0</v>
      </c>
      <c r="H702" s="8" t="s">
        <v>480</v>
      </c>
      <c r="I702" s="6" t="b">
        <v>0</v>
      </c>
      <c r="J702" s="6" t="b">
        <v>0</v>
      </c>
      <c r="K702" s="6" t="b">
        <v>0</v>
      </c>
      <c r="L702" s="6" t="b">
        <v>1</v>
      </c>
      <c r="M702" s="6" t="b">
        <v>0</v>
      </c>
      <c r="N702" s="6">
        <v>4</v>
      </c>
      <c r="O702" s="8" t="s">
        <v>331</v>
      </c>
      <c r="P702" s="8" t="s">
        <v>255</v>
      </c>
      <c r="Q702" s="8" t="s">
        <v>481</v>
      </c>
      <c r="R702" s="6">
        <v>4.0999999999999996</v>
      </c>
      <c r="S702" s="8" t="s">
        <v>247</v>
      </c>
      <c r="T702" s="9"/>
      <c r="U702" s="8" t="s">
        <v>240</v>
      </c>
      <c r="V702" s="8" t="s">
        <v>482</v>
      </c>
      <c r="W702" s="8" t="s">
        <v>240</v>
      </c>
      <c r="X702" s="8" t="s">
        <v>240</v>
      </c>
      <c r="Y702" s="8" t="s">
        <v>240</v>
      </c>
      <c r="Z702" s="6" t="b">
        <v>0</v>
      </c>
      <c r="AA702" s="9"/>
      <c r="AB702" s="9"/>
    </row>
    <row r="703" spans="1:28" ht="32">
      <c r="A703" s="6">
        <v>788</v>
      </c>
      <c r="B703" s="8" t="s">
        <v>198</v>
      </c>
      <c r="C703" s="8" t="s">
        <v>89</v>
      </c>
      <c r="D703" s="8" t="s">
        <v>1349</v>
      </c>
      <c r="E703" s="8" t="s">
        <v>1342</v>
      </c>
      <c r="F703" s="6">
        <v>783</v>
      </c>
      <c r="G703" s="6" t="b">
        <v>0</v>
      </c>
      <c r="H703" s="8" t="s">
        <v>480</v>
      </c>
      <c r="I703" s="6" t="b">
        <v>0</v>
      </c>
      <c r="J703" s="6" t="b">
        <v>0</v>
      </c>
      <c r="K703" s="6" t="b">
        <v>0</v>
      </c>
      <c r="L703" s="6" t="b">
        <v>1</v>
      </c>
      <c r="M703" s="6" t="b">
        <v>0</v>
      </c>
      <c r="N703" s="6">
        <v>4</v>
      </c>
      <c r="O703" s="8" t="s">
        <v>331</v>
      </c>
      <c r="P703" s="8" t="s">
        <v>255</v>
      </c>
      <c r="Q703" s="8" t="s">
        <v>481</v>
      </c>
      <c r="R703" s="6">
        <v>1.8</v>
      </c>
      <c r="S703" s="8" t="s">
        <v>247</v>
      </c>
      <c r="T703" s="9"/>
      <c r="U703" s="8" t="s">
        <v>240</v>
      </c>
      <c r="V703" s="8" t="s">
        <v>482</v>
      </c>
      <c r="W703" s="8" t="s">
        <v>240</v>
      </c>
      <c r="X703" s="8" t="s">
        <v>240</v>
      </c>
      <c r="Y703" s="8" t="s">
        <v>240</v>
      </c>
      <c r="Z703" s="6" t="b">
        <v>0</v>
      </c>
      <c r="AA703" s="9"/>
      <c r="AB703" s="9"/>
    </row>
    <row r="704" spans="1:28" ht="32">
      <c r="A704" s="6">
        <v>789</v>
      </c>
      <c r="B704" s="8" t="s">
        <v>198</v>
      </c>
      <c r="C704" s="8" t="s">
        <v>89</v>
      </c>
      <c r="D704" s="8" t="s">
        <v>1350</v>
      </c>
      <c r="E704" s="8" t="s">
        <v>1342</v>
      </c>
      <c r="F704" s="6">
        <v>783</v>
      </c>
      <c r="G704" s="6" t="b">
        <v>0</v>
      </c>
      <c r="H704" s="8" t="s">
        <v>480</v>
      </c>
      <c r="I704" s="6" t="b">
        <v>0</v>
      </c>
      <c r="J704" s="6" t="b">
        <v>0</v>
      </c>
      <c r="K704" s="6" t="b">
        <v>0</v>
      </c>
      <c r="L704" s="6" t="b">
        <v>1</v>
      </c>
      <c r="M704" s="6" t="b">
        <v>0</v>
      </c>
      <c r="N704" s="6">
        <v>4</v>
      </c>
      <c r="O704" s="8" t="s">
        <v>331</v>
      </c>
      <c r="P704" s="8" t="s">
        <v>255</v>
      </c>
      <c r="Q704" s="8" t="s">
        <v>335</v>
      </c>
      <c r="R704" s="6">
        <v>0</v>
      </c>
      <c r="S704" s="8" t="s">
        <v>347</v>
      </c>
      <c r="T704" s="6">
        <v>0</v>
      </c>
      <c r="U704" s="8" t="s">
        <v>240</v>
      </c>
      <c r="V704" s="8" t="s">
        <v>482</v>
      </c>
      <c r="W704" s="8" t="s">
        <v>240</v>
      </c>
      <c r="X704" s="8" t="s">
        <v>240</v>
      </c>
      <c r="Y704" s="8" t="s">
        <v>240</v>
      </c>
      <c r="Z704" s="6" t="b">
        <v>0</v>
      </c>
      <c r="AA704" s="9"/>
      <c r="AB704" s="9"/>
    </row>
    <row r="705" spans="1:28" ht="32">
      <c r="A705" s="6">
        <v>790</v>
      </c>
      <c r="B705" s="8" t="s">
        <v>198</v>
      </c>
      <c r="C705" s="8" t="s">
        <v>89</v>
      </c>
      <c r="D705" s="8" t="s">
        <v>1351</v>
      </c>
      <c r="E705" s="8" t="s">
        <v>1342</v>
      </c>
      <c r="F705" s="6">
        <v>783</v>
      </c>
      <c r="G705" s="6" t="b">
        <v>0</v>
      </c>
      <c r="H705" s="8" t="s">
        <v>480</v>
      </c>
      <c r="I705" s="6" t="b">
        <v>0</v>
      </c>
      <c r="J705" s="6" t="b">
        <v>0</v>
      </c>
      <c r="K705" s="6" t="b">
        <v>0</v>
      </c>
      <c r="L705" s="6" t="b">
        <v>1</v>
      </c>
      <c r="M705" s="6" t="b">
        <v>0</v>
      </c>
      <c r="N705" s="6">
        <v>4</v>
      </c>
      <c r="O705" s="8" t="s">
        <v>331</v>
      </c>
      <c r="P705" s="8" t="s">
        <v>255</v>
      </c>
      <c r="Q705" s="8" t="s">
        <v>481</v>
      </c>
      <c r="R705" s="6">
        <v>4</v>
      </c>
      <c r="S705" s="8" t="s">
        <v>75</v>
      </c>
      <c r="T705" s="6">
        <v>2</v>
      </c>
      <c r="U705" s="8" t="s">
        <v>240</v>
      </c>
      <c r="V705" s="8" t="s">
        <v>482</v>
      </c>
      <c r="W705" s="8" t="s">
        <v>240</v>
      </c>
      <c r="X705" s="8" t="s">
        <v>240</v>
      </c>
      <c r="Y705" s="8" t="s">
        <v>240</v>
      </c>
      <c r="Z705" s="6" t="b">
        <v>0</v>
      </c>
      <c r="AA705" s="9"/>
      <c r="AB705" s="9"/>
    </row>
    <row r="706" spans="1:28" ht="32">
      <c r="A706" s="6">
        <v>791</v>
      </c>
      <c r="B706" s="8" t="s">
        <v>198</v>
      </c>
      <c r="C706" s="8" t="s">
        <v>89</v>
      </c>
      <c r="D706" s="8" t="s">
        <v>1352</v>
      </c>
      <c r="E706" s="8" t="s">
        <v>1342</v>
      </c>
      <c r="F706" s="6">
        <v>783</v>
      </c>
      <c r="G706" s="6" t="b">
        <v>0</v>
      </c>
      <c r="H706" s="8" t="s">
        <v>480</v>
      </c>
      <c r="I706" s="6" t="b">
        <v>0</v>
      </c>
      <c r="J706" s="6" t="b">
        <v>0</v>
      </c>
      <c r="K706" s="6" t="b">
        <v>0</v>
      </c>
      <c r="L706" s="6" t="b">
        <v>1</v>
      </c>
      <c r="M706" s="6" t="b">
        <v>0</v>
      </c>
      <c r="N706" s="6">
        <v>4</v>
      </c>
      <c r="O706" s="8" t="s">
        <v>331</v>
      </c>
      <c r="P706" s="8" t="s">
        <v>255</v>
      </c>
      <c r="Q706" s="8" t="s">
        <v>481</v>
      </c>
      <c r="R706" s="6">
        <v>4</v>
      </c>
      <c r="S706" s="8" t="s">
        <v>75</v>
      </c>
      <c r="T706" s="6">
        <v>6</v>
      </c>
      <c r="U706" s="8" t="s">
        <v>240</v>
      </c>
      <c r="V706" s="8" t="s">
        <v>482</v>
      </c>
      <c r="W706" s="8" t="s">
        <v>240</v>
      </c>
      <c r="X706" s="8" t="s">
        <v>240</v>
      </c>
      <c r="Y706" s="8" t="s">
        <v>240</v>
      </c>
      <c r="Z706" s="6" t="b">
        <v>0</v>
      </c>
      <c r="AA706" s="9"/>
      <c r="AB706" s="9"/>
    </row>
    <row r="707" spans="1:28" ht="16">
      <c r="A707" s="6">
        <v>792</v>
      </c>
      <c r="B707" s="8" t="s">
        <v>198</v>
      </c>
      <c r="C707" s="8" t="s">
        <v>89</v>
      </c>
      <c r="D707" s="8" t="s">
        <v>1353</v>
      </c>
      <c r="E707" s="8" t="s">
        <v>1342</v>
      </c>
      <c r="F707" s="6">
        <v>783</v>
      </c>
      <c r="G707" s="6" t="b">
        <v>0</v>
      </c>
      <c r="H707" s="8" t="s">
        <v>480</v>
      </c>
      <c r="I707" s="6" t="b">
        <v>0</v>
      </c>
      <c r="J707" s="6" t="b">
        <v>0</v>
      </c>
      <c r="K707" s="6" t="b">
        <v>0</v>
      </c>
      <c r="L707" s="6" t="b">
        <v>1</v>
      </c>
      <c r="M707" s="6" t="b">
        <v>0</v>
      </c>
      <c r="N707" s="6">
        <v>4</v>
      </c>
      <c r="O707" s="8" t="s">
        <v>331</v>
      </c>
      <c r="P707" s="8" t="s">
        <v>255</v>
      </c>
      <c r="Q707" s="8" t="s">
        <v>335</v>
      </c>
      <c r="R707" s="6">
        <v>6</v>
      </c>
      <c r="S707" s="8" t="s">
        <v>335</v>
      </c>
      <c r="T707" s="6">
        <v>6</v>
      </c>
      <c r="U707" s="8" t="s">
        <v>240</v>
      </c>
      <c r="V707" s="8" t="s">
        <v>482</v>
      </c>
      <c r="W707" s="8" t="s">
        <v>240</v>
      </c>
      <c r="X707" s="8" t="s">
        <v>240</v>
      </c>
      <c r="Y707" s="8" t="s">
        <v>240</v>
      </c>
      <c r="Z707" s="6" t="b">
        <v>0</v>
      </c>
      <c r="AA707" s="9"/>
      <c r="AB707" s="9"/>
    </row>
    <row r="708" spans="1:28" ht="32">
      <c r="A708" s="6">
        <v>793</v>
      </c>
      <c r="B708" s="8" t="s">
        <v>198</v>
      </c>
      <c r="C708" s="8" t="s">
        <v>89</v>
      </c>
      <c r="D708" s="8" t="s">
        <v>1354</v>
      </c>
      <c r="E708" s="8" t="s">
        <v>1342</v>
      </c>
      <c r="F708" s="6">
        <v>783</v>
      </c>
      <c r="G708" s="6" t="b">
        <v>0</v>
      </c>
      <c r="H708" s="8" t="s">
        <v>480</v>
      </c>
      <c r="I708" s="6" t="b">
        <v>0</v>
      </c>
      <c r="J708" s="6" t="b">
        <v>0</v>
      </c>
      <c r="K708" s="6" t="b">
        <v>0</v>
      </c>
      <c r="L708" s="6" t="b">
        <v>1</v>
      </c>
      <c r="M708" s="6" t="b">
        <v>0</v>
      </c>
      <c r="N708" s="6">
        <v>4</v>
      </c>
      <c r="O708" s="8" t="s">
        <v>331</v>
      </c>
      <c r="P708" s="8" t="s">
        <v>255</v>
      </c>
      <c r="Q708" s="8" t="s">
        <v>339</v>
      </c>
      <c r="R708" s="6">
        <v>4</v>
      </c>
      <c r="S708" s="8" t="s">
        <v>335</v>
      </c>
      <c r="T708" s="6">
        <v>4</v>
      </c>
      <c r="U708" s="8" t="s">
        <v>240</v>
      </c>
      <c r="V708" s="8" t="s">
        <v>482</v>
      </c>
      <c r="W708" s="8" t="s">
        <v>240</v>
      </c>
      <c r="X708" s="8" t="s">
        <v>240</v>
      </c>
      <c r="Y708" s="8" t="s">
        <v>240</v>
      </c>
      <c r="Z708" s="6" t="b">
        <v>0</v>
      </c>
      <c r="AA708" s="9"/>
      <c r="AB708" s="9"/>
    </row>
    <row r="709" spans="1:28" ht="16">
      <c r="A709" s="6">
        <v>794</v>
      </c>
      <c r="B709" s="8" t="s">
        <v>198</v>
      </c>
      <c r="C709" s="8" t="s">
        <v>89</v>
      </c>
      <c r="D709" s="8" t="s">
        <v>89</v>
      </c>
      <c r="E709" s="8" t="s">
        <v>89</v>
      </c>
      <c r="F709" s="6">
        <v>794</v>
      </c>
      <c r="G709" s="6" t="b">
        <v>0</v>
      </c>
      <c r="H709" s="8" t="s">
        <v>480</v>
      </c>
      <c r="I709" s="6" t="b">
        <v>0</v>
      </c>
      <c r="J709" s="6" t="b">
        <v>0</v>
      </c>
      <c r="K709" s="6" t="b">
        <v>0</v>
      </c>
      <c r="L709" s="6" t="b">
        <v>1</v>
      </c>
      <c r="M709" s="6" t="b">
        <v>0</v>
      </c>
      <c r="N709" s="6">
        <v>4</v>
      </c>
      <c r="O709" s="8" t="s">
        <v>331</v>
      </c>
      <c r="P709" s="8" t="s">
        <v>255</v>
      </c>
      <c r="Q709" s="8" t="s">
        <v>762</v>
      </c>
      <c r="R709" s="6">
        <v>4</v>
      </c>
      <c r="S709" s="8" t="s">
        <v>331</v>
      </c>
      <c r="T709" s="6">
        <v>5</v>
      </c>
      <c r="U709" s="8" t="s">
        <v>240</v>
      </c>
      <c r="V709" s="8" t="s">
        <v>482</v>
      </c>
      <c r="W709" s="8" t="s">
        <v>240</v>
      </c>
      <c r="X709" s="8" t="s">
        <v>240</v>
      </c>
      <c r="Y709" s="8" t="s">
        <v>1355</v>
      </c>
      <c r="Z709" s="6" t="b">
        <v>0</v>
      </c>
      <c r="AA709" s="6">
        <v>25</v>
      </c>
      <c r="AB709" s="9"/>
    </row>
    <row r="710" spans="1:28" ht="16">
      <c r="A710" s="6">
        <v>795</v>
      </c>
      <c r="B710" s="8" t="s">
        <v>198</v>
      </c>
      <c r="C710" s="8" t="s">
        <v>1263</v>
      </c>
      <c r="D710" s="8" t="s">
        <v>1356</v>
      </c>
      <c r="E710" s="8" t="s">
        <v>1356</v>
      </c>
      <c r="F710" s="6">
        <v>795</v>
      </c>
      <c r="G710" s="6" t="b">
        <v>0</v>
      </c>
      <c r="H710" s="8" t="s">
        <v>480</v>
      </c>
      <c r="I710" s="6" t="b">
        <v>0</v>
      </c>
      <c r="J710" s="6" t="b">
        <v>0</v>
      </c>
      <c r="K710" s="6" t="b">
        <v>0</v>
      </c>
      <c r="L710" s="6" t="b">
        <v>1</v>
      </c>
      <c r="M710" s="6" t="b">
        <v>0</v>
      </c>
      <c r="N710" s="6">
        <v>4</v>
      </c>
      <c r="O710" s="8" t="s">
        <v>331</v>
      </c>
      <c r="P710" s="8" t="s">
        <v>516</v>
      </c>
      <c r="Q710" s="8" t="s">
        <v>339</v>
      </c>
      <c r="R710" s="6">
        <v>6</v>
      </c>
      <c r="S710" s="8" t="s">
        <v>347</v>
      </c>
      <c r="T710" s="6">
        <v>6</v>
      </c>
      <c r="U710" s="8" t="s">
        <v>240</v>
      </c>
      <c r="V710" s="8" t="s">
        <v>482</v>
      </c>
      <c r="W710" s="8" t="s">
        <v>240</v>
      </c>
      <c r="X710" s="8" t="s">
        <v>240</v>
      </c>
      <c r="Y710" s="8" t="s">
        <v>1357</v>
      </c>
      <c r="Z710" s="6" t="b">
        <v>0</v>
      </c>
      <c r="AA710" s="9"/>
      <c r="AB710" s="9"/>
    </row>
    <row r="711" spans="1:28" ht="16">
      <c r="A711" s="6">
        <v>796</v>
      </c>
      <c r="B711" s="8" t="s">
        <v>198</v>
      </c>
      <c r="C711" s="8" t="s">
        <v>1263</v>
      </c>
      <c r="D711" s="8" t="s">
        <v>1263</v>
      </c>
      <c r="E711" s="8" t="s">
        <v>1263</v>
      </c>
      <c r="F711" s="6">
        <v>796</v>
      </c>
      <c r="G711" s="6" t="b">
        <v>0</v>
      </c>
      <c r="H711" s="8" t="s">
        <v>480</v>
      </c>
      <c r="I711" s="6" t="b">
        <v>0</v>
      </c>
      <c r="J711" s="6" t="b">
        <v>0</v>
      </c>
      <c r="K711" s="6" t="b">
        <v>0</v>
      </c>
      <c r="L711" s="6" t="b">
        <v>1</v>
      </c>
      <c r="M711" s="6" t="b">
        <v>0</v>
      </c>
      <c r="N711" s="6">
        <v>4</v>
      </c>
      <c r="O711" s="8" t="s">
        <v>331</v>
      </c>
      <c r="P711" s="8" t="s">
        <v>1176</v>
      </c>
      <c r="Q711" s="8" t="s">
        <v>381</v>
      </c>
      <c r="R711" s="6">
        <v>4</v>
      </c>
      <c r="S711" s="8" t="s">
        <v>331</v>
      </c>
      <c r="T711" s="6">
        <v>6</v>
      </c>
      <c r="U711" s="8" t="s">
        <v>240</v>
      </c>
      <c r="V711" s="8" t="s">
        <v>1231</v>
      </c>
      <c r="W711" s="8" t="s">
        <v>240</v>
      </c>
      <c r="X711" s="8" t="s">
        <v>240</v>
      </c>
      <c r="Y711" s="8" t="s">
        <v>1358</v>
      </c>
      <c r="Z711" s="6" t="b">
        <v>0</v>
      </c>
      <c r="AA711" s="9"/>
      <c r="AB711" s="9"/>
    </row>
    <row r="712" spans="1:28" ht="16">
      <c r="A712" s="6">
        <v>797</v>
      </c>
      <c r="B712" s="8" t="s">
        <v>198</v>
      </c>
      <c r="C712" s="8" t="s">
        <v>1271</v>
      </c>
      <c r="D712" s="8" t="s">
        <v>1359</v>
      </c>
      <c r="E712" s="8" t="s">
        <v>1359</v>
      </c>
      <c r="F712" s="6">
        <v>797</v>
      </c>
      <c r="G712" s="6" t="b">
        <v>0</v>
      </c>
      <c r="H712" s="8" t="s">
        <v>480</v>
      </c>
      <c r="I712" s="6" t="b">
        <v>0</v>
      </c>
      <c r="J712" s="6" t="b">
        <v>0</v>
      </c>
      <c r="K712" s="6" t="b">
        <v>0</v>
      </c>
      <c r="L712" s="6" t="b">
        <v>1</v>
      </c>
      <c r="M712" s="6" t="b">
        <v>0</v>
      </c>
      <c r="N712" s="6">
        <v>4</v>
      </c>
      <c r="O712" s="8" t="s">
        <v>331</v>
      </c>
      <c r="P712" s="8" t="s">
        <v>380</v>
      </c>
      <c r="Q712" s="8" t="s">
        <v>446</v>
      </c>
      <c r="R712" s="6">
        <v>3</v>
      </c>
      <c r="S712" s="8" t="s">
        <v>347</v>
      </c>
      <c r="T712" s="9"/>
      <c r="U712" s="8" t="s">
        <v>1284</v>
      </c>
      <c r="V712" s="8" t="s">
        <v>450</v>
      </c>
      <c r="W712" s="8" t="s">
        <v>240</v>
      </c>
      <c r="X712" s="8" t="s">
        <v>240</v>
      </c>
      <c r="Y712" s="8" t="s">
        <v>1360</v>
      </c>
      <c r="Z712" s="6" t="b">
        <v>0</v>
      </c>
      <c r="AA712" s="9"/>
      <c r="AB712" s="9"/>
    </row>
    <row r="713" spans="1:28" ht="16">
      <c r="A713" s="6">
        <v>798</v>
      </c>
      <c r="B713" s="8" t="s">
        <v>198</v>
      </c>
      <c r="C713" s="8" t="s">
        <v>1271</v>
      </c>
      <c r="D713" s="8" t="s">
        <v>1361</v>
      </c>
      <c r="E713" s="8" t="s">
        <v>1361</v>
      </c>
      <c r="F713" s="6">
        <v>798</v>
      </c>
      <c r="G713" s="6" t="b">
        <v>0</v>
      </c>
      <c r="H713" s="8" t="s">
        <v>480</v>
      </c>
      <c r="I713" s="6" t="b">
        <v>0</v>
      </c>
      <c r="J713" s="6" t="b">
        <v>0</v>
      </c>
      <c r="K713" s="6" t="b">
        <v>0</v>
      </c>
      <c r="L713" s="6" t="b">
        <v>1</v>
      </c>
      <c r="M713" s="6" t="b">
        <v>0</v>
      </c>
      <c r="N713" s="6">
        <v>4</v>
      </c>
      <c r="O713" s="8" t="s">
        <v>331</v>
      </c>
      <c r="P713" s="8" t="s">
        <v>350</v>
      </c>
      <c r="Q713" s="8" t="s">
        <v>446</v>
      </c>
      <c r="R713" s="6">
        <v>4</v>
      </c>
      <c r="S713" s="8" t="s">
        <v>75</v>
      </c>
      <c r="T713" s="9"/>
      <c r="U713" s="8" t="s">
        <v>240</v>
      </c>
      <c r="V713" s="8" t="s">
        <v>1164</v>
      </c>
      <c r="W713" s="8" t="s">
        <v>240</v>
      </c>
      <c r="X713" s="8" t="s">
        <v>240</v>
      </c>
      <c r="Y713" s="8" t="s">
        <v>240</v>
      </c>
      <c r="Z713" s="6" t="b">
        <v>0</v>
      </c>
      <c r="AA713" s="9"/>
      <c r="AB713" s="9"/>
    </row>
    <row r="714" spans="1:28" ht="32">
      <c r="A714" s="6">
        <v>799</v>
      </c>
      <c r="B714" s="8" t="s">
        <v>198</v>
      </c>
      <c r="C714" s="8" t="s">
        <v>114</v>
      </c>
      <c r="D714" s="8" t="s">
        <v>1362</v>
      </c>
      <c r="E714" s="8" t="s">
        <v>1362</v>
      </c>
      <c r="F714" s="6">
        <v>799</v>
      </c>
      <c r="G714" s="6" t="b">
        <v>0</v>
      </c>
      <c r="H714" s="8" t="s">
        <v>480</v>
      </c>
      <c r="I714" s="6" t="b">
        <v>0</v>
      </c>
      <c r="J714" s="6" t="b">
        <v>0</v>
      </c>
      <c r="K714" s="6" t="b">
        <v>0</v>
      </c>
      <c r="L714" s="6" t="b">
        <v>1</v>
      </c>
      <c r="M714" s="6" t="b">
        <v>0</v>
      </c>
      <c r="N714" s="6">
        <v>1</v>
      </c>
      <c r="O714" s="8" t="s">
        <v>331</v>
      </c>
      <c r="P714" s="8" t="s">
        <v>380</v>
      </c>
      <c r="Q714" s="8" t="s">
        <v>481</v>
      </c>
      <c r="R714" s="6">
        <v>1</v>
      </c>
      <c r="S714" s="8" t="s">
        <v>347</v>
      </c>
      <c r="T714" s="6">
        <v>1</v>
      </c>
      <c r="U714" s="8" t="s">
        <v>240</v>
      </c>
      <c r="V714" s="8" t="s">
        <v>1363</v>
      </c>
      <c r="W714" s="8" t="s">
        <v>386</v>
      </c>
      <c r="X714" s="8" t="s">
        <v>240</v>
      </c>
      <c r="Y714" s="8" t="s">
        <v>1364</v>
      </c>
      <c r="Z714" s="6" t="b">
        <v>0</v>
      </c>
      <c r="AA714" s="9"/>
      <c r="AB714" s="9"/>
    </row>
    <row r="715" spans="1:28" ht="16">
      <c r="A715" s="6">
        <v>800</v>
      </c>
      <c r="B715" s="8" t="s">
        <v>198</v>
      </c>
      <c r="C715" s="8" t="s">
        <v>114</v>
      </c>
      <c r="D715" s="8" t="s">
        <v>114</v>
      </c>
      <c r="E715" s="8" t="s">
        <v>114</v>
      </c>
      <c r="F715" s="6">
        <v>800</v>
      </c>
      <c r="G715" s="6" t="b">
        <v>0</v>
      </c>
      <c r="H715" s="8" t="s">
        <v>480</v>
      </c>
      <c r="I715" s="6" t="b">
        <v>0</v>
      </c>
      <c r="J715" s="6" t="b">
        <v>0</v>
      </c>
      <c r="K715" s="6" t="b">
        <v>0</v>
      </c>
      <c r="L715" s="6" t="b">
        <v>1</v>
      </c>
      <c r="M715" s="6" t="b">
        <v>0</v>
      </c>
      <c r="N715" s="6">
        <v>1</v>
      </c>
      <c r="O715" s="8" t="s">
        <v>331</v>
      </c>
      <c r="P715" s="8" t="s">
        <v>380</v>
      </c>
      <c r="Q715" s="8" t="s">
        <v>381</v>
      </c>
      <c r="R715" s="6">
        <v>1</v>
      </c>
      <c r="S715" s="8" t="s">
        <v>331</v>
      </c>
      <c r="T715" s="9"/>
      <c r="U715" s="8" t="s">
        <v>240</v>
      </c>
      <c r="V715" s="8" t="s">
        <v>1363</v>
      </c>
      <c r="W715" s="8" t="s">
        <v>386</v>
      </c>
      <c r="X715" s="8" t="s">
        <v>240</v>
      </c>
      <c r="Y715" s="8" t="s">
        <v>240</v>
      </c>
      <c r="Z715" s="6" t="b">
        <v>0</v>
      </c>
      <c r="AA715" s="9"/>
      <c r="AB715" s="9"/>
    </row>
    <row r="716" spans="1:28" ht="32">
      <c r="A716" s="6">
        <v>801</v>
      </c>
      <c r="B716" s="8" t="s">
        <v>198</v>
      </c>
      <c r="C716" s="8" t="s">
        <v>146</v>
      </c>
      <c r="D716" s="8" t="s">
        <v>146</v>
      </c>
      <c r="E716" s="8" t="s">
        <v>146</v>
      </c>
      <c r="F716" s="6">
        <v>801</v>
      </c>
      <c r="G716" s="6" t="b">
        <v>0</v>
      </c>
      <c r="H716" s="8" t="s">
        <v>480</v>
      </c>
      <c r="I716" s="6" t="b">
        <v>0</v>
      </c>
      <c r="J716" s="6" t="b">
        <v>0</v>
      </c>
      <c r="K716" s="6" t="b">
        <v>0</v>
      </c>
      <c r="L716" s="6" t="b">
        <v>1</v>
      </c>
      <c r="M716" s="6" t="b">
        <v>0</v>
      </c>
      <c r="N716" s="6">
        <v>4</v>
      </c>
      <c r="O716" s="8" t="s">
        <v>331</v>
      </c>
      <c r="P716" s="8" t="s">
        <v>338</v>
      </c>
      <c r="Q716" s="8" t="s">
        <v>1365</v>
      </c>
      <c r="R716" s="6">
        <v>4</v>
      </c>
      <c r="S716" s="8" t="s">
        <v>331</v>
      </c>
      <c r="T716" s="6">
        <v>4</v>
      </c>
      <c r="U716" s="8" t="s">
        <v>240</v>
      </c>
      <c r="V716" s="8" t="s">
        <v>1366</v>
      </c>
      <c r="W716" s="8" t="s">
        <v>240</v>
      </c>
      <c r="X716" s="8" t="s">
        <v>240</v>
      </c>
      <c r="Y716" s="8" t="s">
        <v>240</v>
      </c>
      <c r="Z716" s="6" t="b">
        <v>0</v>
      </c>
      <c r="AA716" s="9"/>
      <c r="AB716" s="9"/>
    </row>
    <row r="717" spans="1:28" ht="16">
      <c r="A717" s="6">
        <v>802</v>
      </c>
      <c r="B717" s="8" t="s">
        <v>198</v>
      </c>
      <c r="C717" s="8" t="s">
        <v>146</v>
      </c>
      <c r="D717" s="8" t="s">
        <v>1367</v>
      </c>
      <c r="E717" s="8" t="s">
        <v>1367</v>
      </c>
      <c r="F717" s="6">
        <v>802</v>
      </c>
      <c r="G717" s="6" t="b">
        <v>0</v>
      </c>
      <c r="H717" s="8" t="s">
        <v>480</v>
      </c>
      <c r="I717" s="6" t="b">
        <v>0</v>
      </c>
      <c r="J717" s="6" t="b">
        <v>0</v>
      </c>
      <c r="K717" s="6" t="b">
        <v>0</v>
      </c>
      <c r="L717" s="6" t="b">
        <v>1</v>
      </c>
      <c r="M717" s="6" t="b">
        <v>0</v>
      </c>
      <c r="N717" s="6">
        <v>4</v>
      </c>
      <c r="O717" s="8" t="s">
        <v>331</v>
      </c>
      <c r="P717" s="8" t="s">
        <v>1368</v>
      </c>
      <c r="Q717" s="8" t="s">
        <v>1369</v>
      </c>
      <c r="R717" s="6">
        <v>3</v>
      </c>
      <c r="S717" s="8" t="s">
        <v>341</v>
      </c>
      <c r="T717" s="9"/>
      <c r="U717" s="8" t="s">
        <v>240</v>
      </c>
      <c r="V717" s="8" t="s">
        <v>866</v>
      </c>
      <c r="W717" s="8" t="s">
        <v>240</v>
      </c>
      <c r="X717" s="8" t="s">
        <v>240</v>
      </c>
      <c r="Y717" s="8" t="s">
        <v>240</v>
      </c>
      <c r="Z717" s="6" t="b">
        <v>0</v>
      </c>
      <c r="AA717" s="9"/>
      <c r="AB717" s="9"/>
    </row>
    <row r="718" spans="1:28" ht="32">
      <c r="A718" s="6">
        <v>803</v>
      </c>
      <c r="B718" s="8" t="s">
        <v>198</v>
      </c>
      <c r="C718" s="8" t="s">
        <v>146</v>
      </c>
      <c r="D718" s="8" t="s">
        <v>1370</v>
      </c>
      <c r="E718" s="8" t="s">
        <v>1367</v>
      </c>
      <c r="F718" s="6">
        <v>802</v>
      </c>
      <c r="G718" s="6" t="b">
        <v>0</v>
      </c>
      <c r="H718" s="8" t="s">
        <v>480</v>
      </c>
      <c r="I718" s="6" t="b">
        <v>0</v>
      </c>
      <c r="J718" s="6" t="b">
        <v>0</v>
      </c>
      <c r="K718" s="6" t="b">
        <v>0</v>
      </c>
      <c r="L718" s="6" t="b">
        <v>1</v>
      </c>
      <c r="M718" s="6" t="b">
        <v>0</v>
      </c>
      <c r="N718" s="6">
        <v>4</v>
      </c>
      <c r="O718" s="8" t="s">
        <v>331</v>
      </c>
      <c r="P718" s="8" t="s">
        <v>1368</v>
      </c>
      <c r="Q718" s="8" t="s">
        <v>1369</v>
      </c>
      <c r="R718" s="6">
        <v>3</v>
      </c>
      <c r="S718" s="8" t="s">
        <v>341</v>
      </c>
      <c r="T718" s="9"/>
      <c r="U718" s="8" t="s">
        <v>240</v>
      </c>
      <c r="V718" s="8" t="s">
        <v>866</v>
      </c>
      <c r="W718" s="8" t="s">
        <v>240</v>
      </c>
      <c r="X718" s="8" t="s">
        <v>240</v>
      </c>
      <c r="Y718" s="8" t="s">
        <v>240</v>
      </c>
      <c r="Z718" s="6" t="b">
        <v>0</v>
      </c>
      <c r="AA718" s="9"/>
      <c r="AB718" s="9"/>
    </row>
    <row r="719" spans="1:28" ht="16">
      <c r="A719" s="6">
        <v>804</v>
      </c>
      <c r="B719" s="8" t="s">
        <v>198</v>
      </c>
      <c r="C719" s="8" t="s">
        <v>1263</v>
      </c>
      <c r="D719" s="8" t="s">
        <v>1371</v>
      </c>
      <c r="E719" s="8" t="s">
        <v>1371</v>
      </c>
      <c r="F719" s="6">
        <v>804</v>
      </c>
      <c r="G719" s="6" t="b">
        <v>0</v>
      </c>
      <c r="H719" s="8" t="s">
        <v>480</v>
      </c>
      <c r="I719" s="6" t="b">
        <v>0</v>
      </c>
      <c r="J719" s="6" t="b">
        <v>0</v>
      </c>
      <c r="K719" s="6" t="b">
        <v>0</v>
      </c>
      <c r="L719" s="6" t="b">
        <v>1</v>
      </c>
      <c r="M719" s="6" t="b">
        <v>0</v>
      </c>
      <c r="N719" s="6">
        <v>4</v>
      </c>
      <c r="O719" s="8" t="s">
        <v>331</v>
      </c>
      <c r="P719" s="8" t="s">
        <v>516</v>
      </c>
      <c r="Q719" s="8" t="s">
        <v>502</v>
      </c>
      <c r="R719" s="6">
        <v>3</v>
      </c>
      <c r="S719" s="8" t="s">
        <v>335</v>
      </c>
      <c r="T719" s="6">
        <v>6</v>
      </c>
      <c r="U719" s="8" t="s">
        <v>240</v>
      </c>
      <c r="V719" s="8" t="s">
        <v>482</v>
      </c>
      <c r="W719" s="8" t="s">
        <v>240</v>
      </c>
      <c r="X719" s="8" t="s">
        <v>240</v>
      </c>
      <c r="Y719" s="8" t="s">
        <v>1372</v>
      </c>
      <c r="Z719" s="6" t="b">
        <v>0</v>
      </c>
      <c r="AA719" s="9"/>
      <c r="AB719" s="9"/>
    </row>
    <row r="720" spans="1:28" ht="32">
      <c r="A720" s="6">
        <v>805</v>
      </c>
      <c r="B720" s="8" t="s">
        <v>198</v>
      </c>
      <c r="C720" s="8" t="s">
        <v>1263</v>
      </c>
      <c r="D720" s="8" t="s">
        <v>1373</v>
      </c>
      <c r="E720" s="8" t="s">
        <v>1371</v>
      </c>
      <c r="F720" s="6">
        <v>804</v>
      </c>
      <c r="G720" s="6" t="b">
        <v>0</v>
      </c>
      <c r="H720" s="8" t="s">
        <v>480</v>
      </c>
      <c r="I720" s="6" t="b">
        <v>0</v>
      </c>
      <c r="J720" s="6" t="b">
        <v>0</v>
      </c>
      <c r="K720" s="6" t="b">
        <v>0</v>
      </c>
      <c r="L720" s="6" t="b">
        <v>1</v>
      </c>
      <c r="M720" s="6" t="b">
        <v>0</v>
      </c>
      <c r="N720" s="6">
        <v>4</v>
      </c>
      <c r="O720" s="8" t="s">
        <v>331</v>
      </c>
      <c r="P720" s="8" t="s">
        <v>516</v>
      </c>
      <c r="Q720" s="8" t="s">
        <v>502</v>
      </c>
      <c r="R720" s="6">
        <v>2</v>
      </c>
      <c r="S720" s="8" t="s">
        <v>347</v>
      </c>
      <c r="T720" s="9"/>
      <c r="U720" s="8" t="s">
        <v>240</v>
      </c>
      <c r="V720" s="8" t="s">
        <v>482</v>
      </c>
      <c r="W720" s="8" t="s">
        <v>240</v>
      </c>
      <c r="X720" s="8" t="s">
        <v>240</v>
      </c>
      <c r="Y720" s="8" t="s">
        <v>240</v>
      </c>
      <c r="Z720" s="6" t="b">
        <v>0</v>
      </c>
      <c r="AA720" s="9"/>
      <c r="AB720" s="9"/>
    </row>
    <row r="721" spans="1:28" ht="16">
      <c r="A721" s="6">
        <v>806</v>
      </c>
      <c r="B721" s="8" t="s">
        <v>198</v>
      </c>
      <c r="C721" s="8" t="s">
        <v>1271</v>
      </c>
      <c r="D721" s="8" t="s">
        <v>1271</v>
      </c>
      <c r="E721" s="8" t="s">
        <v>1271</v>
      </c>
      <c r="F721" s="6">
        <v>806</v>
      </c>
      <c r="G721" s="6" t="b">
        <v>0</v>
      </c>
      <c r="H721" s="8" t="s">
        <v>480</v>
      </c>
      <c r="I721" s="6" t="b">
        <v>0</v>
      </c>
      <c r="J721" s="6" t="b">
        <v>0</v>
      </c>
      <c r="K721" s="6" t="b">
        <v>0</v>
      </c>
      <c r="L721" s="6" t="b">
        <v>1</v>
      </c>
      <c r="M721" s="6" t="b">
        <v>0</v>
      </c>
      <c r="N721" s="6">
        <v>4</v>
      </c>
      <c r="O721" s="8" t="s">
        <v>331</v>
      </c>
      <c r="P721" s="8" t="s">
        <v>380</v>
      </c>
      <c r="Q721" s="8" t="s">
        <v>502</v>
      </c>
      <c r="R721" s="6">
        <v>4</v>
      </c>
      <c r="S721" s="8" t="s">
        <v>331</v>
      </c>
      <c r="T721" s="6">
        <v>4</v>
      </c>
      <c r="U721" s="8" t="s">
        <v>240</v>
      </c>
      <c r="V721" s="8" t="s">
        <v>1363</v>
      </c>
      <c r="W721" s="8" t="s">
        <v>240</v>
      </c>
      <c r="X721" s="8" t="s">
        <v>240</v>
      </c>
      <c r="Y721" s="8" t="s">
        <v>1374</v>
      </c>
      <c r="Z721" s="6" t="b">
        <v>0</v>
      </c>
      <c r="AA721" s="9"/>
      <c r="AB721" s="9"/>
    </row>
    <row r="722" spans="1:28" ht="16">
      <c r="A722" s="6">
        <v>807</v>
      </c>
      <c r="B722" s="8" t="s">
        <v>198</v>
      </c>
      <c r="C722" s="8" t="s">
        <v>1271</v>
      </c>
      <c r="D722" s="8" t="s">
        <v>1375</v>
      </c>
      <c r="E722" s="8" t="s">
        <v>1375</v>
      </c>
      <c r="F722" s="6">
        <v>807</v>
      </c>
      <c r="G722" s="6" t="b">
        <v>0</v>
      </c>
      <c r="H722" s="8" t="s">
        <v>480</v>
      </c>
      <c r="I722" s="6" t="b">
        <v>0</v>
      </c>
      <c r="J722" s="6" t="b">
        <v>0</v>
      </c>
      <c r="K722" s="6" t="b">
        <v>0</v>
      </c>
      <c r="L722" s="6" t="b">
        <v>1</v>
      </c>
      <c r="M722" s="6" t="b">
        <v>0</v>
      </c>
      <c r="N722" s="6">
        <v>4</v>
      </c>
      <c r="O722" s="8" t="s">
        <v>331</v>
      </c>
      <c r="P722" s="8" t="s">
        <v>380</v>
      </c>
      <c r="Q722" s="8" t="s">
        <v>927</v>
      </c>
      <c r="R722" s="6">
        <v>3</v>
      </c>
      <c r="S722" s="8" t="s">
        <v>347</v>
      </c>
      <c r="T722" s="6">
        <v>3</v>
      </c>
      <c r="U722" s="8" t="s">
        <v>240</v>
      </c>
      <c r="V722" s="8" t="s">
        <v>1363</v>
      </c>
      <c r="W722" s="8" t="s">
        <v>483</v>
      </c>
      <c r="X722" s="8" t="s">
        <v>240</v>
      </c>
      <c r="Y722" s="8" t="s">
        <v>1376</v>
      </c>
      <c r="Z722" s="6" t="b">
        <v>0</v>
      </c>
      <c r="AA722" s="9"/>
      <c r="AB722" s="9"/>
    </row>
    <row r="723" spans="1:28" ht="16">
      <c r="A723" s="6">
        <v>808</v>
      </c>
      <c r="B723" s="8" t="s">
        <v>198</v>
      </c>
      <c r="C723" s="8" t="s">
        <v>129</v>
      </c>
      <c r="D723" s="8" t="s">
        <v>1377</v>
      </c>
      <c r="E723" s="8" t="s">
        <v>1377</v>
      </c>
      <c r="F723" s="6">
        <v>808</v>
      </c>
      <c r="G723" s="6" t="b">
        <v>0</v>
      </c>
      <c r="H723" s="8" t="s">
        <v>480</v>
      </c>
      <c r="I723" s="6" t="b">
        <v>0</v>
      </c>
      <c r="J723" s="6" t="b">
        <v>0</v>
      </c>
      <c r="K723" s="6" t="b">
        <v>0</v>
      </c>
      <c r="L723" s="6" t="b">
        <v>1</v>
      </c>
      <c r="M723" s="6" t="b">
        <v>0</v>
      </c>
      <c r="N723" s="6">
        <v>2</v>
      </c>
      <c r="O723" s="8" t="s">
        <v>331</v>
      </c>
      <c r="P723" s="8" t="s">
        <v>350</v>
      </c>
      <c r="Q723" s="8" t="s">
        <v>381</v>
      </c>
      <c r="R723" s="6">
        <v>2</v>
      </c>
      <c r="S723" s="8" t="s">
        <v>372</v>
      </c>
      <c r="T723" s="9"/>
      <c r="U723" s="8" t="s">
        <v>240</v>
      </c>
      <c r="V723" s="8" t="s">
        <v>482</v>
      </c>
      <c r="W723" s="8" t="s">
        <v>483</v>
      </c>
      <c r="X723" s="8" t="s">
        <v>240</v>
      </c>
      <c r="Y723" s="8" t="s">
        <v>1378</v>
      </c>
      <c r="Z723" s="6" t="b">
        <v>0</v>
      </c>
      <c r="AA723" s="9"/>
      <c r="AB723" s="9"/>
    </row>
    <row r="724" spans="1:28" ht="16">
      <c r="A724" s="6">
        <v>809</v>
      </c>
      <c r="B724" s="8" t="s">
        <v>198</v>
      </c>
      <c r="C724" s="8" t="s">
        <v>129</v>
      </c>
      <c r="D724" s="8" t="s">
        <v>1379</v>
      </c>
      <c r="E724" s="8" t="s">
        <v>1377</v>
      </c>
      <c r="F724" s="6">
        <v>808</v>
      </c>
      <c r="G724" s="6" t="b">
        <v>0</v>
      </c>
      <c r="H724" s="8" t="s">
        <v>480</v>
      </c>
      <c r="I724" s="6" t="b">
        <v>0</v>
      </c>
      <c r="J724" s="6" t="b">
        <v>0</v>
      </c>
      <c r="K724" s="6" t="b">
        <v>0</v>
      </c>
      <c r="L724" s="6" t="b">
        <v>1</v>
      </c>
      <c r="M724" s="6" t="b">
        <v>0</v>
      </c>
      <c r="N724" s="6">
        <v>2</v>
      </c>
      <c r="O724" s="8" t="s">
        <v>331</v>
      </c>
      <c r="P724" s="8" t="s">
        <v>516</v>
      </c>
      <c r="Q724" s="8" t="s">
        <v>335</v>
      </c>
      <c r="R724" s="6">
        <v>2</v>
      </c>
      <c r="S724" s="8" t="s">
        <v>347</v>
      </c>
      <c r="T724" s="6">
        <v>2</v>
      </c>
      <c r="U724" s="8" t="s">
        <v>240</v>
      </c>
      <c r="V724" s="8" t="s">
        <v>482</v>
      </c>
      <c r="W724" s="8" t="s">
        <v>483</v>
      </c>
      <c r="X724" s="8" t="s">
        <v>240</v>
      </c>
      <c r="Y724" s="8" t="s">
        <v>1380</v>
      </c>
      <c r="Z724" s="6" t="b">
        <v>0</v>
      </c>
      <c r="AA724" s="9"/>
      <c r="AB724" s="9"/>
    </row>
    <row r="725" spans="1:28" ht="16">
      <c r="A725" s="6">
        <v>810</v>
      </c>
      <c r="B725" s="8" t="s">
        <v>198</v>
      </c>
      <c r="C725" s="8" t="s">
        <v>89</v>
      </c>
      <c r="D725" s="8" t="s">
        <v>1381</v>
      </c>
      <c r="E725" s="8" t="s">
        <v>1381</v>
      </c>
      <c r="F725" s="6">
        <v>810</v>
      </c>
      <c r="G725" s="6" t="b">
        <v>0</v>
      </c>
      <c r="H725" s="8" t="s">
        <v>480</v>
      </c>
      <c r="I725" s="6" t="b">
        <v>0</v>
      </c>
      <c r="J725" s="6" t="b">
        <v>0</v>
      </c>
      <c r="K725" s="6" t="b">
        <v>0</v>
      </c>
      <c r="L725" s="6" t="b">
        <v>1</v>
      </c>
      <c r="M725" s="6" t="b">
        <v>0</v>
      </c>
      <c r="N725" s="6">
        <v>4</v>
      </c>
      <c r="O725" s="8" t="s">
        <v>331</v>
      </c>
      <c r="P725" s="8" t="s">
        <v>255</v>
      </c>
      <c r="Q725" s="8" t="s">
        <v>762</v>
      </c>
      <c r="R725" s="6">
        <v>3</v>
      </c>
      <c r="S725" s="8" t="s">
        <v>335</v>
      </c>
      <c r="T725" s="6">
        <v>3</v>
      </c>
      <c r="U725" s="8" t="s">
        <v>1382</v>
      </c>
      <c r="V725" s="8" t="s">
        <v>482</v>
      </c>
      <c r="W725" s="8" t="s">
        <v>240</v>
      </c>
      <c r="X725" s="8" t="s">
        <v>240</v>
      </c>
      <c r="Y725" s="8" t="s">
        <v>240</v>
      </c>
      <c r="Z725" s="6" t="b">
        <v>0</v>
      </c>
      <c r="AA725" s="9"/>
      <c r="AB725" s="9"/>
    </row>
    <row r="726" spans="1:28" ht="16">
      <c r="A726" s="6">
        <v>813</v>
      </c>
      <c r="B726" s="8" t="s">
        <v>198</v>
      </c>
      <c r="C726" s="8" t="s">
        <v>89</v>
      </c>
      <c r="D726" s="8" t="s">
        <v>1383</v>
      </c>
      <c r="E726" s="8" t="s">
        <v>1383</v>
      </c>
      <c r="F726" s="6">
        <v>813</v>
      </c>
      <c r="G726" s="6" t="b">
        <v>0</v>
      </c>
      <c r="H726" s="8" t="s">
        <v>480</v>
      </c>
      <c r="I726" s="6" t="b">
        <v>0</v>
      </c>
      <c r="J726" s="6" t="b">
        <v>0</v>
      </c>
      <c r="K726" s="6" t="b">
        <v>0</v>
      </c>
      <c r="L726" s="6" t="b">
        <v>1</v>
      </c>
      <c r="M726" s="6" t="b">
        <v>0</v>
      </c>
      <c r="N726" s="6">
        <v>4</v>
      </c>
      <c r="O726" s="8" t="s">
        <v>331</v>
      </c>
      <c r="P726" s="8" t="s">
        <v>255</v>
      </c>
      <c r="Q726" s="8" t="s">
        <v>762</v>
      </c>
      <c r="R726" s="6">
        <v>3</v>
      </c>
      <c r="S726" s="8" t="s">
        <v>335</v>
      </c>
      <c r="T726" s="6">
        <v>3</v>
      </c>
      <c r="U726" s="8" t="s">
        <v>1382</v>
      </c>
      <c r="V726" s="8" t="s">
        <v>482</v>
      </c>
      <c r="W726" s="8" t="s">
        <v>240</v>
      </c>
      <c r="X726" s="8" t="s">
        <v>240</v>
      </c>
      <c r="Y726" s="8" t="s">
        <v>1384</v>
      </c>
      <c r="Z726" s="6" t="b">
        <v>0</v>
      </c>
      <c r="AA726" s="9"/>
      <c r="AB726" s="9"/>
    </row>
    <row r="727" spans="1:28" ht="32">
      <c r="A727" s="6">
        <v>814</v>
      </c>
      <c r="B727" s="8" t="s">
        <v>198</v>
      </c>
      <c r="C727" s="8" t="s">
        <v>89</v>
      </c>
      <c r="D727" s="8" t="s">
        <v>1385</v>
      </c>
      <c r="E727" s="8" t="s">
        <v>1383</v>
      </c>
      <c r="F727" s="6">
        <v>813</v>
      </c>
      <c r="G727" s="6" t="b">
        <v>0</v>
      </c>
      <c r="H727" s="8" t="s">
        <v>480</v>
      </c>
      <c r="I727" s="6" t="b">
        <v>0</v>
      </c>
      <c r="J727" s="6" t="b">
        <v>0</v>
      </c>
      <c r="K727" s="6" t="b">
        <v>0</v>
      </c>
      <c r="L727" s="6" t="b">
        <v>1</v>
      </c>
      <c r="M727" s="6" t="b">
        <v>0</v>
      </c>
      <c r="N727" s="6">
        <v>4</v>
      </c>
      <c r="O727" s="8" t="s">
        <v>331</v>
      </c>
      <c r="P727" s="8" t="s">
        <v>255</v>
      </c>
      <c r="Q727" s="8" t="s">
        <v>339</v>
      </c>
      <c r="R727" s="6">
        <v>3</v>
      </c>
      <c r="S727" s="8" t="s">
        <v>335</v>
      </c>
      <c r="T727" s="6">
        <v>3</v>
      </c>
      <c r="U727" s="8" t="s">
        <v>1386</v>
      </c>
      <c r="V727" s="8" t="s">
        <v>482</v>
      </c>
      <c r="W727" s="8" t="s">
        <v>240</v>
      </c>
      <c r="X727" s="8" t="s">
        <v>240</v>
      </c>
      <c r="Y727" s="8" t="s">
        <v>240</v>
      </c>
      <c r="Z727" s="6" t="b">
        <v>0</v>
      </c>
      <c r="AA727" s="9"/>
      <c r="AB727" s="9"/>
    </row>
    <row r="728" spans="1:28" ht="32">
      <c r="A728" s="6">
        <v>815</v>
      </c>
      <c r="B728" s="8" t="s">
        <v>198</v>
      </c>
      <c r="C728" s="8" t="s">
        <v>179</v>
      </c>
      <c r="D728" s="8" t="s">
        <v>1387</v>
      </c>
      <c r="E728" s="8" t="s">
        <v>1387</v>
      </c>
      <c r="F728" s="6">
        <v>815</v>
      </c>
      <c r="G728" s="6" t="b">
        <v>0</v>
      </c>
      <c r="H728" s="8" t="s">
        <v>480</v>
      </c>
      <c r="I728" s="6" t="b">
        <v>0</v>
      </c>
      <c r="J728" s="6" t="b">
        <v>0</v>
      </c>
      <c r="K728" s="6" t="b">
        <v>0</v>
      </c>
      <c r="L728" s="6" t="b">
        <v>1</v>
      </c>
      <c r="M728" s="6" t="b">
        <v>0</v>
      </c>
      <c r="N728" s="6">
        <v>1</v>
      </c>
      <c r="O728" s="8" t="s">
        <v>331</v>
      </c>
      <c r="P728" s="8" t="s">
        <v>380</v>
      </c>
      <c r="Q728" s="8" t="s">
        <v>481</v>
      </c>
      <c r="R728" s="6">
        <v>2</v>
      </c>
      <c r="S728" s="8" t="s">
        <v>335</v>
      </c>
      <c r="T728" s="9"/>
      <c r="U728" s="8" t="s">
        <v>240</v>
      </c>
      <c r="V728" s="8" t="s">
        <v>482</v>
      </c>
      <c r="W728" s="8" t="s">
        <v>483</v>
      </c>
      <c r="X728" s="8" t="s">
        <v>240</v>
      </c>
      <c r="Y728" s="8" t="s">
        <v>1388</v>
      </c>
      <c r="Z728" s="6" t="b">
        <v>0</v>
      </c>
      <c r="AA728" s="9"/>
      <c r="AB728" s="9"/>
    </row>
    <row r="729" spans="1:28" ht="32">
      <c r="A729" s="6">
        <v>816</v>
      </c>
      <c r="B729" s="8" t="s">
        <v>198</v>
      </c>
      <c r="C729" s="8" t="s">
        <v>179</v>
      </c>
      <c r="D729" s="8" t="s">
        <v>1389</v>
      </c>
      <c r="E729" s="8" t="s">
        <v>1387</v>
      </c>
      <c r="F729" s="6">
        <v>815</v>
      </c>
      <c r="G729" s="6" t="b">
        <v>0</v>
      </c>
      <c r="H729" s="8" t="s">
        <v>480</v>
      </c>
      <c r="I729" s="6" t="b">
        <v>0</v>
      </c>
      <c r="J729" s="6" t="b">
        <v>0</v>
      </c>
      <c r="K729" s="6" t="b">
        <v>0</v>
      </c>
      <c r="L729" s="6" t="b">
        <v>1</v>
      </c>
      <c r="M729" s="6" t="b">
        <v>0</v>
      </c>
      <c r="N729" s="6">
        <v>1</v>
      </c>
      <c r="O729" s="8" t="s">
        <v>331</v>
      </c>
      <c r="P729" s="8" t="s">
        <v>380</v>
      </c>
      <c r="Q729" s="8" t="s">
        <v>481</v>
      </c>
      <c r="R729" s="6">
        <v>2</v>
      </c>
      <c r="S729" s="8" t="s">
        <v>347</v>
      </c>
      <c r="T729" s="9"/>
      <c r="U729" s="8" t="s">
        <v>240</v>
      </c>
      <c r="V729" s="8" t="s">
        <v>482</v>
      </c>
      <c r="W729" s="8" t="s">
        <v>483</v>
      </c>
      <c r="X729" s="8" t="s">
        <v>240</v>
      </c>
      <c r="Y729" s="8" t="s">
        <v>240</v>
      </c>
      <c r="Z729" s="6" t="b">
        <v>0</v>
      </c>
      <c r="AA729" s="9"/>
      <c r="AB729" s="9"/>
    </row>
    <row r="730" spans="1:28" ht="32">
      <c r="A730" s="6">
        <v>817</v>
      </c>
      <c r="B730" s="8" t="s">
        <v>198</v>
      </c>
      <c r="C730" s="8" t="s">
        <v>179</v>
      </c>
      <c r="D730" s="8" t="s">
        <v>1390</v>
      </c>
      <c r="E730" s="8" t="s">
        <v>1387</v>
      </c>
      <c r="F730" s="6">
        <v>815</v>
      </c>
      <c r="G730" s="6" t="b">
        <v>0</v>
      </c>
      <c r="H730" s="8" t="s">
        <v>480</v>
      </c>
      <c r="I730" s="6" t="b">
        <v>0</v>
      </c>
      <c r="J730" s="6" t="b">
        <v>0</v>
      </c>
      <c r="K730" s="6" t="b">
        <v>0</v>
      </c>
      <c r="L730" s="6" t="b">
        <v>1</v>
      </c>
      <c r="M730" s="6" t="b">
        <v>0</v>
      </c>
      <c r="N730" s="6">
        <v>1</v>
      </c>
      <c r="O730" s="8" t="s">
        <v>331</v>
      </c>
      <c r="P730" s="8" t="s">
        <v>380</v>
      </c>
      <c r="Q730" s="8" t="s">
        <v>481</v>
      </c>
      <c r="R730" s="6">
        <v>2</v>
      </c>
      <c r="S730" s="8" t="s">
        <v>347</v>
      </c>
      <c r="T730" s="9"/>
      <c r="U730" s="8" t="s">
        <v>240</v>
      </c>
      <c r="V730" s="8" t="s">
        <v>482</v>
      </c>
      <c r="W730" s="8" t="s">
        <v>483</v>
      </c>
      <c r="X730" s="8" t="s">
        <v>240</v>
      </c>
      <c r="Y730" s="8" t="s">
        <v>240</v>
      </c>
      <c r="Z730" s="6" t="b">
        <v>0</v>
      </c>
      <c r="AA730" s="9"/>
      <c r="AB730" s="9"/>
    </row>
    <row r="731" spans="1:28" ht="16">
      <c r="A731" s="6">
        <v>818</v>
      </c>
      <c r="B731" s="8" t="s">
        <v>198</v>
      </c>
      <c r="C731" s="8" t="s">
        <v>1391</v>
      </c>
      <c r="D731" s="8" t="s">
        <v>1392</v>
      </c>
      <c r="E731" s="8" t="s">
        <v>1392</v>
      </c>
      <c r="F731" s="6">
        <v>818</v>
      </c>
      <c r="G731" s="6" t="b">
        <v>0</v>
      </c>
      <c r="H731" s="8" t="s">
        <v>480</v>
      </c>
      <c r="I731" s="6" t="b">
        <v>0</v>
      </c>
      <c r="J731" s="6" t="b">
        <v>0</v>
      </c>
      <c r="K731" s="6" t="b">
        <v>0</v>
      </c>
      <c r="L731" s="6" t="b">
        <v>1</v>
      </c>
      <c r="M731" s="6" t="b">
        <v>0</v>
      </c>
      <c r="N731" s="6">
        <v>6</v>
      </c>
      <c r="O731" s="8" t="s">
        <v>331</v>
      </c>
      <c r="P731" s="8" t="s">
        <v>516</v>
      </c>
      <c r="Q731" s="8" t="s">
        <v>762</v>
      </c>
      <c r="R731" s="6">
        <v>6</v>
      </c>
      <c r="S731" s="8" t="s">
        <v>347</v>
      </c>
      <c r="T731" s="6">
        <v>6</v>
      </c>
      <c r="U731" s="8" t="s">
        <v>240</v>
      </c>
      <c r="V731" s="8" t="s">
        <v>450</v>
      </c>
      <c r="W731" s="8" t="s">
        <v>483</v>
      </c>
      <c r="X731" s="8" t="s">
        <v>240</v>
      </c>
      <c r="Y731" s="8" t="s">
        <v>240</v>
      </c>
      <c r="Z731" s="6" t="b">
        <v>0</v>
      </c>
      <c r="AA731" s="9"/>
      <c r="AB731" s="9"/>
    </row>
    <row r="732" spans="1:28" ht="16">
      <c r="A732" s="6">
        <v>819</v>
      </c>
      <c r="B732" s="8" t="s">
        <v>198</v>
      </c>
      <c r="C732" s="8" t="s">
        <v>1391</v>
      </c>
      <c r="D732" s="8" t="s">
        <v>1391</v>
      </c>
      <c r="E732" s="8" t="s">
        <v>1391</v>
      </c>
      <c r="F732" s="6">
        <v>819</v>
      </c>
      <c r="G732" s="6" t="b">
        <v>0</v>
      </c>
      <c r="H732" s="8" t="s">
        <v>480</v>
      </c>
      <c r="I732" s="6" t="b">
        <v>0</v>
      </c>
      <c r="J732" s="6" t="b">
        <v>0</v>
      </c>
      <c r="K732" s="6" t="b">
        <v>0</v>
      </c>
      <c r="L732" s="6" t="b">
        <v>1</v>
      </c>
      <c r="M732" s="6" t="b">
        <v>0</v>
      </c>
      <c r="N732" s="6">
        <v>6</v>
      </c>
      <c r="O732" s="8" t="s">
        <v>331</v>
      </c>
      <c r="P732" s="8" t="s">
        <v>1393</v>
      </c>
      <c r="Q732" s="8" t="s">
        <v>446</v>
      </c>
      <c r="R732" s="6">
        <v>6</v>
      </c>
      <c r="S732" s="8" t="s">
        <v>331</v>
      </c>
      <c r="T732" s="9"/>
      <c r="U732" s="8" t="s">
        <v>240</v>
      </c>
      <c r="V732" s="8" t="s">
        <v>510</v>
      </c>
      <c r="W732" s="8" t="s">
        <v>240</v>
      </c>
      <c r="X732" s="8" t="s">
        <v>240</v>
      </c>
      <c r="Y732" s="8" t="s">
        <v>240</v>
      </c>
      <c r="Z732" s="6" t="b">
        <v>0</v>
      </c>
      <c r="AA732" s="9"/>
      <c r="AB732" s="9"/>
    </row>
    <row r="733" spans="1:28" ht="16">
      <c r="A733" s="6">
        <v>820</v>
      </c>
      <c r="B733" s="8" t="s">
        <v>198</v>
      </c>
      <c r="C733" s="8" t="s">
        <v>146</v>
      </c>
      <c r="D733" s="8" t="s">
        <v>1394</v>
      </c>
      <c r="E733" s="8" t="s">
        <v>1394</v>
      </c>
      <c r="F733" s="6">
        <v>820</v>
      </c>
      <c r="G733" s="6" t="b">
        <v>0</v>
      </c>
      <c r="H733" s="8" t="s">
        <v>480</v>
      </c>
      <c r="I733" s="6" t="b">
        <v>0</v>
      </c>
      <c r="J733" s="6" t="b">
        <v>0</v>
      </c>
      <c r="K733" s="6" t="b">
        <v>0</v>
      </c>
      <c r="L733" s="6" t="b">
        <v>1</v>
      </c>
      <c r="M733" s="6" t="b">
        <v>0</v>
      </c>
      <c r="N733" s="6">
        <v>4</v>
      </c>
      <c r="O733" s="8" t="s">
        <v>331</v>
      </c>
      <c r="P733" s="8" t="s">
        <v>350</v>
      </c>
      <c r="Q733" s="8" t="s">
        <v>502</v>
      </c>
      <c r="R733" s="6">
        <v>4</v>
      </c>
      <c r="S733" s="8" t="s">
        <v>335</v>
      </c>
      <c r="T733" s="6">
        <v>4</v>
      </c>
      <c r="U733" s="8" t="s">
        <v>240</v>
      </c>
      <c r="V733" s="8" t="s">
        <v>450</v>
      </c>
      <c r="W733" s="8" t="s">
        <v>483</v>
      </c>
      <c r="X733" s="8" t="s">
        <v>240</v>
      </c>
      <c r="Y733" s="8" t="s">
        <v>1395</v>
      </c>
      <c r="Z733" s="6" t="b">
        <v>0</v>
      </c>
      <c r="AA733" s="9"/>
      <c r="AB733" s="9"/>
    </row>
    <row r="734" spans="1:28" ht="32">
      <c r="A734" s="6">
        <v>821</v>
      </c>
      <c r="B734" s="8" t="s">
        <v>198</v>
      </c>
      <c r="C734" s="8" t="s">
        <v>146</v>
      </c>
      <c r="D734" s="8" t="s">
        <v>1396</v>
      </c>
      <c r="E734" s="8" t="s">
        <v>1394</v>
      </c>
      <c r="F734" s="6">
        <v>820</v>
      </c>
      <c r="G734" s="6" t="b">
        <v>0</v>
      </c>
      <c r="H734" s="8" t="s">
        <v>480</v>
      </c>
      <c r="I734" s="6" t="b">
        <v>0</v>
      </c>
      <c r="J734" s="6" t="b">
        <v>0</v>
      </c>
      <c r="K734" s="6" t="b">
        <v>0</v>
      </c>
      <c r="L734" s="6" t="b">
        <v>1</v>
      </c>
      <c r="M734" s="6" t="b">
        <v>0</v>
      </c>
      <c r="N734" s="6">
        <v>4</v>
      </c>
      <c r="O734" s="8" t="s">
        <v>331</v>
      </c>
      <c r="P734" s="8" t="s">
        <v>350</v>
      </c>
      <c r="Q734" s="8" t="s">
        <v>502</v>
      </c>
      <c r="R734" s="6">
        <v>4</v>
      </c>
      <c r="S734" s="8" t="s">
        <v>75</v>
      </c>
      <c r="T734" s="6">
        <v>4</v>
      </c>
      <c r="U734" s="8" t="s">
        <v>240</v>
      </c>
      <c r="V734" s="8" t="s">
        <v>450</v>
      </c>
      <c r="W734" s="8" t="s">
        <v>483</v>
      </c>
      <c r="X734" s="8" t="s">
        <v>240</v>
      </c>
      <c r="Y734" s="8" t="s">
        <v>240</v>
      </c>
      <c r="Z734" s="6" t="b">
        <v>0</v>
      </c>
      <c r="AA734" s="9"/>
      <c r="AB734" s="9"/>
    </row>
    <row r="735" spans="1:28" ht="32">
      <c r="A735" s="6">
        <v>822</v>
      </c>
      <c r="B735" s="8" t="s">
        <v>198</v>
      </c>
      <c r="C735" s="8" t="s">
        <v>146</v>
      </c>
      <c r="D735" s="8" t="s">
        <v>1397</v>
      </c>
      <c r="E735" s="8" t="s">
        <v>1397</v>
      </c>
      <c r="F735" s="6">
        <v>822</v>
      </c>
      <c r="G735" s="6" t="b">
        <v>0</v>
      </c>
      <c r="H735" s="8" t="s">
        <v>480</v>
      </c>
      <c r="I735" s="6" t="b">
        <v>0</v>
      </c>
      <c r="J735" s="6" t="b">
        <v>0</v>
      </c>
      <c r="K735" s="6" t="b">
        <v>0</v>
      </c>
      <c r="L735" s="6" t="b">
        <v>1</v>
      </c>
      <c r="M735" s="6" t="b">
        <v>0</v>
      </c>
      <c r="N735" s="6">
        <v>4</v>
      </c>
      <c r="O735" s="8" t="s">
        <v>331</v>
      </c>
      <c r="P735" s="8" t="s">
        <v>380</v>
      </c>
      <c r="Q735" s="8" t="s">
        <v>811</v>
      </c>
      <c r="R735" s="6">
        <v>3</v>
      </c>
      <c r="S735" s="8" t="s">
        <v>347</v>
      </c>
      <c r="T735" s="6">
        <v>3</v>
      </c>
      <c r="U735" s="8" t="s">
        <v>240</v>
      </c>
      <c r="V735" s="8" t="s">
        <v>1012</v>
      </c>
      <c r="W735" s="8" t="s">
        <v>240</v>
      </c>
      <c r="X735" s="8" t="s">
        <v>240</v>
      </c>
      <c r="Y735" s="8" t="s">
        <v>240</v>
      </c>
      <c r="Z735" s="6" t="b">
        <v>0</v>
      </c>
      <c r="AA735" s="9"/>
      <c r="AB735" s="9"/>
    </row>
    <row r="736" spans="1:28" ht="16">
      <c r="A736" s="6">
        <v>823</v>
      </c>
      <c r="B736" s="8" t="s">
        <v>198</v>
      </c>
      <c r="C736" s="8" t="s">
        <v>1271</v>
      </c>
      <c r="D736" s="8" t="s">
        <v>1398</v>
      </c>
      <c r="E736" s="8" t="s">
        <v>1398</v>
      </c>
      <c r="F736" s="6">
        <v>823</v>
      </c>
      <c r="G736" s="6" t="b">
        <v>0</v>
      </c>
      <c r="H736" s="8" t="s">
        <v>480</v>
      </c>
      <c r="I736" s="6" t="b">
        <v>0</v>
      </c>
      <c r="J736" s="6" t="b">
        <v>0</v>
      </c>
      <c r="K736" s="6" t="b">
        <v>0</v>
      </c>
      <c r="L736" s="6" t="b">
        <v>1</v>
      </c>
      <c r="M736" s="6" t="b">
        <v>0</v>
      </c>
      <c r="N736" s="6">
        <v>4</v>
      </c>
      <c r="O736" s="8" t="s">
        <v>331</v>
      </c>
      <c r="P736" s="8" t="s">
        <v>380</v>
      </c>
      <c r="Q736" s="8" t="s">
        <v>446</v>
      </c>
      <c r="R736" s="6">
        <v>3</v>
      </c>
      <c r="S736" s="8" t="s">
        <v>335</v>
      </c>
      <c r="T736" s="9"/>
      <c r="U736" s="8" t="s">
        <v>1327</v>
      </c>
      <c r="V736" s="8" t="s">
        <v>450</v>
      </c>
      <c r="W736" s="8" t="s">
        <v>240</v>
      </c>
      <c r="X736" s="8" t="s">
        <v>240</v>
      </c>
      <c r="Y736" s="8" t="s">
        <v>240</v>
      </c>
      <c r="Z736" s="6" t="b">
        <v>0</v>
      </c>
      <c r="AA736" s="9"/>
      <c r="AB736" s="9"/>
    </row>
    <row r="737" spans="1:28" ht="16">
      <c r="A737" s="6">
        <v>824</v>
      </c>
      <c r="B737" s="8" t="s">
        <v>198</v>
      </c>
      <c r="C737" s="8" t="s">
        <v>1399</v>
      </c>
      <c r="D737" s="8" t="s">
        <v>1400</v>
      </c>
      <c r="E737" s="8" t="s">
        <v>1400</v>
      </c>
      <c r="F737" s="6">
        <v>824</v>
      </c>
      <c r="G737" s="6" t="b">
        <v>0</v>
      </c>
      <c r="H737" s="8" t="s">
        <v>480</v>
      </c>
      <c r="I737" s="6" t="b">
        <v>0</v>
      </c>
      <c r="J737" s="6" t="b">
        <v>0</v>
      </c>
      <c r="K737" s="6" t="b">
        <v>0</v>
      </c>
      <c r="L737" s="6" t="b">
        <v>1</v>
      </c>
      <c r="M737" s="6" t="b">
        <v>0</v>
      </c>
      <c r="N737" s="6">
        <v>3</v>
      </c>
      <c r="O737" s="8" t="s">
        <v>237</v>
      </c>
      <c r="P737" s="8" t="s">
        <v>516</v>
      </c>
      <c r="Q737" s="8" t="s">
        <v>237</v>
      </c>
      <c r="R737" s="6">
        <v>3</v>
      </c>
      <c r="S737" s="8" t="s">
        <v>347</v>
      </c>
      <c r="T737" s="6">
        <v>3</v>
      </c>
      <c r="U737" s="8" t="s">
        <v>240</v>
      </c>
      <c r="V737" s="8" t="s">
        <v>482</v>
      </c>
      <c r="W737" s="8" t="s">
        <v>483</v>
      </c>
      <c r="X737" s="8" t="s">
        <v>240</v>
      </c>
      <c r="Y737" s="8" t="s">
        <v>1401</v>
      </c>
      <c r="Z737" s="6" t="b">
        <v>0</v>
      </c>
      <c r="AA737" s="9"/>
      <c r="AB737" s="9"/>
    </row>
    <row r="738" spans="1:28" ht="16">
      <c r="A738" s="6">
        <v>825</v>
      </c>
      <c r="B738" s="8" t="s">
        <v>198</v>
      </c>
      <c r="C738" s="8" t="s">
        <v>1263</v>
      </c>
      <c r="D738" s="8" t="s">
        <v>1402</v>
      </c>
      <c r="E738" s="8" t="s">
        <v>1402</v>
      </c>
      <c r="F738" s="6">
        <v>825</v>
      </c>
      <c r="G738" s="6" t="b">
        <v>0</v>
      </c>
      <c r="H738" s="8" t="s">
        <v>480</v>
      </c>
      <c r="I738" s="6" t="b">
        <v>0</v>
      </c>
      <c r="J738" s="6" t="b">
        <v>0</v>
      </c>
      <c r="K738" s="6" t="b">
        <v>0</v>
      </c>
      <c r="L738" s="6" t="b">
        <v>1</v>
      </c>
      <c r="M738" s="6" t="b">
        <v>0</v>
      </c>
      <c r="N738" s="6">
        <v>4</v>
      </c>
      <c r="O738" s="8" t="s">
        <v>331</v>
      </c>
      <c r="P738" s="8" t="s">
        <v>516</v>
      </c>
      <c r="Q738" s="8" t="s">
        <v>762</v>
      </c>
      <c r="R738" s="6">
        <v>2</v>
      </c>
      <c r="S738" s="8" t="s">
        <v>347</v>
      </c>
      <c r="T738" s="6">
        <v>2</v>
      </c>
      <c r="U738" s="8" t="s">
        <v>240</v>
      </c>
      <c r="V738" s="8" t="s">
        <v>482</v>
      </c>
      <c r="W738" s="8" t="s">
        <v>240</v>
      </c>
      <c r="X738" s="8" t="s">
        <v>240</v>
      </c>
      <c r="Y738" s="8" t="s">
        <v>240</v>
      </c>
      <c r="Z738" s="6" t="b">
        <v>0</v>
      </c>
      <c r="AA738" s="9"/>
      <c r="AB738" s="9"/>
    </row>
    <row r="739" spans="1:28" ht="32">
      <c r="A739" s="6">
        <v>826</v>
      </c>
      <c r="B739" s="8" t="s">
        <v>198</v>
      </c>
      <c r="C739" s="8" t="s">
        <v>163</v>
      </c>
      <c r="D739" s="8" t="s">
        <v>1403</v>
      </c>
      <c r="E739" s="8" t="s">
        <v>1403</v>
      </c>
      <c r="F739" s="6">
        <v>826</v>
      </c>
      <c r="G739" s="6" t="b">
        <v>0</v>
      </c>
      <c r="H739" s="8" t="s">
        <v>480</v>
      </c>
      <c r="I739" s="6" t="b">
        <v>0</v>
      </c>
      <c r="J739" s="6" t="b">
        <v>0</v>
      </c>
      <c r="K739" s="6" t="b">
        <v>0</v>
      </c>
      <c r="L739" s="6" t="b">
        <v>1</v>
      </c>
      <c r="M739" s="6" t="b">
        <v>0</v>
      </c>
      <c r="N739" s="6">
        <v>6</v>
      </c>
      <c r="O739" s="8" t="s">
        <v>331</v>
      </c>
      <c r="P739" s="8" t="s">
        <v>255</v>
      </c>
      <c r="Q739" s="8" t="s">
        <v>481</v>
      </c>
      <c r="R739" s="6">
        <v>7</v>
      </c>
      <c r="S739" s="8" t="s">
        <v>347</v>
      </c>
      <c r="T739" s="6">
        <v>7</v>
      </c>
      <c r="U739" s="8" t="s">
        <v>240</v>
      </c>
      <c r="V739" s="8" t="s">
        <v>482</v>
      </c>
      <c r="W739" s="8" t="s">
        <v>240</v>
      </c>
      <c r="X739" s="8" t="s">
        <v>240</v>
      </c>
      <c r="Y739" s="8" t="s">
        <v>1404</v>
      </c>
      <c r="Z739" s="6" t="b">
        <v>0</v>
      </c>
      <c r="AA739" s="9"/>
      <c r="AB739" s="9"/>
    </row>
    <row r="740" spans="1:28" ht="32">
      <c r="A740" s="6">
        <v>827</v>
      </c>
      <c r="B740" s="8" t="s">
        <v>198</v>
      </c>
      <c r="C740" s="8" t="s">
        <v>163</v>
      </c>
      <c r="D740" s="8" t="s">
        <v>1405</v>
      </c>
      <c r="E740" s="8" t="s">
        <v>1405</v>
      </c>
      <c r="F740" s="6">
        <v>827</v>
      </c>
      <c r="G740" s="6" t="b">
        <v>0</v>
      </c>
      <c r="H740" s="8" t="s">
        <v>480</v>
      </c>
      <c r="I740" s="6" t="b">
        <v>0</v>
      </c>
      <c r="J740" s="6" t="b">
        <v>0</v>
      </c>
      <c r="K740" s="6" t="b">
        <v>0</v>
      </c>
      <c r="L740" s="6" t="b">
        <v>1</v>
      </c>
      <c r="M740" s="6" t="b">
        <v>0</v>
      </c>
      <c r="N740" s="6">
        <v>6</v>
      </c>
      <c r="O740" s="8" t="s">
        <v>331</v>
      </c>
      <c r="P740" s="8" t="s">
        <v>1274</v>
      </c>
      <c r="Q740" s="8" t="s">
        <v>446</v>
      </c>
      <c r="R740" s="6">
        <v>5</v>
      </c>
      <c r="S740" s="8" t="s">
        <v>347</v>
      </c>
      <c r="T740" s="9"/>
      <c r="U740" s="8" t="s">
        <v>1406</v>
      </c>
      <c r="V740" s="8" t="s">
        <v>482</v>
      </c>
      <c r="W740" s="8" t="s">
        <v>240</v>
      </c>
      <c r="X740" s="8" t="s">
        <v>240</v>
      </c>
      <c r="Y740" s="8" t="s">
        <v>240</v>
      </c>
      <c r="Z740" s="6" t="b">
        <v>0</v>
      </c>
      <c r="AA740" s="9"/>
      <c r="AB740" s="9"/>
    </row>
    <row r="741" spans="1:28" ht="16">
      <c r="A741" s="6">
        <v>828</v>
      </c>
      <c r="B741" s="8" t="s">
        <v>198</v>
      </c>
      <c r="C741" s="8" t="s">
        <v>1263</v>
      </c>
      <c r="D741" s="8" t="s">
        <v>1407</v>
      </c>
      <c r="E741" s="8" t="s">
        <v>1407</v>
      </c>
      <c r="F741" s="6">
        <v>828</v>
      </c>
      <c r="G741" s="6" t="b">
        <v>0</v>
      </c>
      <c r="H741" s="8" t="s">
        <v>480</v>
      </c>
      <c r="I741" s="6" t="b">
        <v>0</v>
      </c>
      <c r="J741" s="6" t="b">
        <v>0</v>
      </c>
      <c r="K741" s="6" t="b">
        <v>0</v>
      </c>
      <c r="L741" s="6" t="b">
        <v>1</v>
      </c>
      <c r="M741" s="6" t="b">
        <v>0</v>
      </c>
      <c r="N741" s="6">
        <v>4</v>
      </c>
      <c r="O741" s="8" t="s">
        <v>331</v>
      </c>
      <c r="P741" s="8" t="s">
        <v>1408</v>
      </c>
      <c r="Q741" s="8" t="s">
        <v>1409</v>
      </c>
      <c r="R741" s="6">
        <v>4</v>
      </c>
      <c r="S741" s="8" t="s">
        <v>347</v>
      </c>
      <c r="T741" s="9"/>
      <c r="U741" s="8" t="s">
        <v>240</v>
      </c>
      <c r="V741" s="8" t="s">
        <v>482</v>
      </c>
      <c r="W741" s="8" t="s">
        <v>240</v>
      </c>
      <c r="X741" s="8" t="s">
        <v>240</v>
      </c>
      <c r="Y741" s="8" t="s">
        <v>1410</v>
      </c>
      <c r="Z741" s="6" t="b">
        <v>0</v>
      </c>
      <c r="AA741" s="9"/>
      <c r="AB741" s="9"/>
    </row>
    <row r="742" spans="1:28" ht="16">
      <c r="A742" s="6">
        <v>829</v>
      </c>
      <c r="B742" s="8" t="s">
        <v>198</v>
      </c>
      <c r="C742" s="8" t="s">
        <v>1411</v>
      </c>
      <c r="D742" s="8" t="s">
        <v>1411</v>
      </c>
      <c r="E742" s="8" t="s">
        <v>1411</v>
      </c>
      <c r="F742" s="6">
        <v>829</v>
      </c>
      <c r="G742" s="6" t="b">
        <v>0</v>
      </c>
      <c r="H742" s="8" t="s">
        <v>480</v>
      </c>
      <c r="I742" s="6" t="b">
        <v>0</v>
      </c>
      <c r="J742" s="6" t="b">
        <v>0</v>
      </c>
      <c r="K742" s="6" t="b">
        <v>0</v>
      </c>
      <c r="L742" s="6" t="b">
        <v>1</v>
      </c>
      <c r="M742" s="6" t="b">
        <v>0</v>
      </c>
      <c r="N742" s="6">
        <v>0</v>
      </c>
      <c r="O742" s="8" t="s">
        <v>331</v>
      </c>
      <c r="P742" s="8" t="s">
        <v>516</v>
      </c>
      <c r="Q742" s="8" t="s">
        <v>381</v>
      </c>
      <c r="R742" s="6">
        <v>0</v>
      </c>
      <c r="S742" s="8" t="s">
        <v>331</v>
      </c>
      <c r="T742" s="9"/>
      <c r="U742" s="8" t="s">
        <v>240</v>
      </c>
      <c r="V742" s="8" t="s">
        <v>450</v>
      </c>
      <c r="W742" s="8" t="s">
        <v>240</v>
      </c>
      <c r="X742" s="8" t="s">
        <v>240</v>
      </c>
      <c r="Y742" s="8" t="s">
        <v>240</v>
      </c>
      <c r="Z742" s="6" t="b">
        <v>0</v>
      </c>
      <c r="AA742" s="9"/>
      <c r="AB742" s="9"/>
    </row>
    <row r="743" spans="1:28" ht="32">
      <c r="A743" s="6">
        <v>830</v>
      </c>
      <c r="B743" s="8" t="s">
        <v>198</v>
      </c>
      <c r="C743" s="8" t="s">
        <v>146</v>
      </c>
      <c r="D743" s="8" t="s">
        <v>1412</v>
      </c>
      <c r="E743" s="8" t="s">
        <v>1412</v>
      </c>
      <c r="F743" s="6">
        <v>830</v>
      </c>
      <c r="G743" s="6" t="b">
        <v>0</v>
      </c>
      <c r="H743" s="8" t="s">
        <v>480</v>
      </c>
      <c r="I743" s="6" t="b">
        <v>0</v>
      </c>
      <c r="J743" s="6" t="b">
        <v>0</v>
      </c>
      <c r="K743" s="6" t="b">
        <v>0</v>
      </c>
      <c r="L743" s="6" t="b">
        <v>1</v>
      </c>
      <c r="M743" s="6" t="b">
        <v>0</v>
      </c>
      <c r="N743" s="6">
        <v>4</v>
      </c>
      <c r="O743" s="8" t="s">
        <v>331</v>
      </c>
      <c r="P743" s="8" t="s">
        <v>238</v>
      </c>
      <c r="Q743" s="8" t="s">
        <v>481</v>
      </c>
      <c r="R743" s="6">
        <v>8</v>
      </c>
      <c r="S743" s="8" t="s">
        <v>347</v>
      </c>
      <c r="T743" s="6">
        <v>5</v>
      </c>
      <c r="U743" s="8" t="s">
        <v>240</v>
      </c>
      <c r="V743" s="8" t="s">
        <v>482</v>
      </c>
      <c r="W743" s="8" t="s">
        <v>240</v>
      </c>
      <c r="X743" s="8" t="s">
        <v>240</v>
      </c>
      <c r="Y743" s="8" t="s">
        <v>1413</v>
      </c>
      <c r="Z743" s="6" t="b">
        <v>0</v>
      </c>
      <c r="AA743" s="9"/>
      <c r="AB743" s="9"/>
    </row>
    <row r="744" spans="1:28" ht="32">
      <c r="A744" s="6">
        <v>831</v>
      </c>
      <c r="B744" s="8" t="s">
        <v>198</v>
      </c>
      <c r="C744" s="8" t="s">
        <v>146</v>
      </c>
      <c r="D744" s="8" t="s">
        <v>1414</v>
      </c>
      <c r="E744" s="8" t="s">
        <v>1412</v>
      </c>
      <c r="F744" s="6">
        <v>830</v>
      </c>
      <c r="G744" s="6" t="b">
        <v>0</v>
      </c>
      <c r="H744" s="8" t="s">
        <v>480</v>
      </c>
      <c r="I744" s="6" t="b">
        <v>0</v>
      </c>
      <c r="J744" s="6" t="b">
        <v>0</v>
      </c>
      <c r="K744" s="6" t="b">
        <v>0</v>
      </c>
      <c r="L744" s="6" t="b">
        <v>1</v>
      </c>
      <c r="M744" s="6" t="b">
        <v>0</v>
      </c>
      <c r="N744" s="6">
        <v>4</v>
      </c>
      <c r="O744" s="8" t="s">
        <v>331</v>
      </c>
      <c r="P744" s="8" t="s">
        <v>238</v>
      </c>
      <c r="Q744" s="8" t="s">
        <v>481</v>
      </c>
      <c r="R744" s="6">
        <v>4</v>
      </c>
      <c r="S744" s="8" t="s">
        <v>75</v>
      </c>
      <c r="T744" s="9"/>
      <c r="U744" s="8" t="s">
        <v>240</v>
      </c>
      <c r="V744" s="8" t="s">
        <v>240</v>
      </c>
      <c r="W744" s="8" t="s">
        <v>240</v>
      </c>
      <c r="X744" s="8" t="s">
        <v>240</v>
      </c>
      <c r="Y744" s="8" t="s">
        <v>240</v>
      </c>
      <c r="Z744" s="6" t="b">
        <v>0</v>
      </c>
      <c r="AA744" s="9"/>
      <c r="AB744" s="9"/>
    </row>
    <row r="745" spans="1:28" ht="32">
      <c r="A745" s="6">
        <v>832</v>
      </c>
      <c r="B745" s="8" t="s">
        <v>198</v>
      </c>
      <c r="C745" s="8" t="s">
        <v>146</v>
      </c>
      <c r="D745" s="8" t="s">
        <v>1415</v>
      </c>
      <c r="E745" s="8" t="s">
        <v>1412</v>
      </c>
      <c r="F745" s="6">
        <v>830</v>
      </c>
      <c r="G745" s="6" t="b">
        <v>0</v>
      </c>
      <c r="H745" s="8" t="s">
        <v>480</v>
      </c>
      <c r="I745" s="6" t="b">
        <v>0</v>
      </c>
      <c r="J745" s="6" t="b">
        <v>0</v>
      </c>
      <c r="K745" s="6" t="b">
        <v>0</v>
      </c>
      <c r="L745" s="6" t="b">
        <v>1</v>
      </c>
      <c r="M745" s="6" t="b">
        <v>0</v>
      </c>
      <c r="N745" s="6">
        <v>4</v>
      </c>
      <c r="O745" s="8" t="s">
        <v>331</v>
      </c>
      <c r="P745" s="8" t="s">
        <v>238</v>
      </c>
      <c r="Q745" s="8" t="s">
        <v>481</v>
      </c>
      <c r="R745" s="6">
        <v>4</v>
      </c>
      <c r="S745" s="8" t="s">
        <v>75</v>
      </c>
      <c r="T745" s="6">
        <v>5</v>
      </c>
      <c r="U745" s="8" t="s">
        <v>240</v>
      </c>
      <c r="V745" s="8" t="s">
        <v>240</v>
      </c>
      <c r="W745" s="8" t="s">
        <v>240</v>
      </c>
      <c r="X745" s="8" t="s">
        <v>240</v>
      </c>
      <c r="Y745" s="8" t="s">
        <v>240</v>
      </c>
      <c r="Z745" s="6" t="b">
        <v>0</v>
      </c>
      <c r="AA745" s="9"/>
      <c r="AB745" s="9"/>
    </row>
    <row r="746" spans="1:28" ht="16">
      <c r="A746" s="6">
        <v>833</v>
      </c>
      <c r="B746" s="8" t="s">
        <v>198</v>
      </c>
      <c r="C746" s="8" t="s">
        <v>1265</v>
      </c>
      <c r="D746" s="8" t="s">
        <v>1416</v>
      </c>
      <c r="E746" s="8" t="s">
        <v>1416</v>
      </c>
      <c r="F746" s="6">
        <v>833</v>
      </c>
      <c r="G746" s="6" t="b">
        <v>0</v>
      </c>
      <c r="H746" s="8" t="s">
        <v>480</v>
      </c>
      <c r="I746" s="6" t="b">
        <v>0</v>
      </c>
      <c r="J746" s="6" t="b">
        <v>0</v>
      </c>
      <c r="K746" s="6" t="b">
        <v>0</v>
      </c>
      <c r="L746" s="6" t="b">
        <v>1</v>
      </c>
      <c r="M746" s="6" t="b">
        <v>0</v>
      </c>
      <c r="N746" s="6">
        <v>4</v>
      </c>
      <c r="O746" s="8" t="s">
        <v>331</v>
      </c>
      <c r="P746" s="8" t="s">
        <v>380</v>
      </c>
      <c r="Q746" s="8" t="s">
        <v>381</v>
      </c>
      <c r="R746" s="6">
        <v>4</v>
      </c>
      <c r="S746" s="8" t="s">
        <v>75</v>
      </c>
      <c r="T746" s="6">
        <v>2</v>
      </c>
      <c r="U746" s="8" t="s">
        <v>240</v>
      </c>
      <c r="V746" s="8" t="s">
        <v>1012</v>
      </c>
      <c r="W746" s="8" t="s">
        <v>483</v>
      </c>
      <c r="X746" s="8" t="s">
        <v>240</v>
      </c>
      <c r="Y746" s="8" t="s">
        <v>240</v>
      </c>
      <c r="Z746" s="6" t="b">
        <v>0</v>
      </c>
      <c r="AA746" s="9"/>
      <c r="AB746" s="9"/>
    </row>
    <row r="747" spans="1:28" ht="16">
      <c r="A747" s="6">
        <v>834</v>
      </c>
      <c r="B747" s="8" t="s">
        <v>198</v>
      </c>
      <c r="C747" s="8" t="s">
        <v>1263</v>
      </c>
      <c r="D747" s="8" t="s">
        <v>1417</v>
      </c>
      <c r="E747" s="8" t="s">
        <v>1417</v>
      </c>
      <c r="F747" s="6">
        <v>834</v>
      </c>
      <c r="G747" s="6" t="b">
        <v>0</v>
      </c>
      <c r="H747" s="8" t="s">
        <v>480</v>
      </c>
      <c r="I747" s="6" t="b">
        <v>0</v>
      </c>
      <c r="J747" s="6" t="b">
        <v>0</v>
      </c>
      <c r="K747" s="6" t="b">
        <v>0</v>
      </c>
      <c r="L747" s="6" t="b">
        <v>1</v>
      </c>
      <c r="M747" s="6" t="b">
        <v>0</v>
      </c>
      <c r="N747" s="6">
        <v>4</v>
      </c>
      <c r="O747" s="8" t="s">
        <v>331</v>
      </c>
      <c r="P747" s="8" t="s">
        <v>1418</v>
      </c>
      <c r="Q747" s="8" t="s">
        <v>1365</v>
      </c>
      <c r="R747" s="6">
        <v>6</v>
      </c>
      <c r="S747" s="8" t="s">
        <v>335</v>
      </c>
      <c r="T747" s="6">
        <v>6</v>
      </c>
      <c r="U747" s="8" t="s">
        <v>240</v>
      </c>
      <c r="V747" s="8" t="s">
        <v>482</v>
      </c>
      <c r="W747" s="8" t="s">
        <v>240</v>
      </c>
      <c r="X747" s="8" t="s">
        <v>240</v>
      </c>
      <c r="Y747" s="8" t="s">
        <v>1419</v>
      </c>
      <c r="Z747" s="6" t="b">
        <v>0</v>
      </c>
      <c r="AA747" s="9"/>
      <c r="AB747" s="9"/>
    </row>
    <row r="748" spans="1:28" ht="32">
      <c r="A748" s="6">
        <v>835</v>
      </c>
      <c r="B748" s="8" t="s">
        <v>198</v>
      </c>
      <c r="C748" s="8" t="s">
        <v>1263</v>
      </c>
      <c r="D748" s="8" t="s">
        <v>1420</v>
      </c>
      <c r="E748" s="8" t="s">
        <v>1420</v>
      </c>
      <c r="F748" s="6">
        <v>835</v>
      </c>
      <c r="G748" s="6" t="b">
        <v>0</v>
      </c>
      <c r="H748" s="8" t="s">
        <v>480</v>
      </c>
      <c r="I748" s="6" t="b">
        <v>0</v>
      </c>
      <c r="J748" s="6" t="b">
        <v>0</v>
      </c>
      <c r="K748" s="6" t="b">
        <v>0</v>
      </c>
      <c r="L748" s="6" t="b">
        <v>1</v>
      </c>
      <c r="M748" s="6" t="b">
        <v>0</v>
      </c>
      <c r="N748" s="6">
        <v>4</v>
      </c>
      <c r="O748" s="8" t="s">
        <v>331</v>
      </c>
      <c r="P748" s="8" t="s">
        <v>1421</v>
      </c>
      <c r="Q748" s="8" t="s">
        <v>1422</v>
      </c>
      <c r="R748" s="6">
        <v>3</v>
      </c>
      <c r="S748" s="8" t="s">
        <v>347</v>
      </c>
      <c r="T748" s="6">
        <v>3</v>
      </c>
      <c r="U748" s="8" t="s">
        <v>240</v>
      </c>
      <c r="V748" s="8" t="s">
        <v>1012</v>
      </c>
      <c r="W748" s="8" t="s">
        <v>483</v>
      </c>
      <c r="X748" s="8" t="s">
        <v>240</v>
      </c>
      <c r="Y748" s="8" t="s">
        <v>1423</v>
      </c>
      <c r="Z748" s="6" t="b">
        <v>0</v>
      </c>
      <c r="AA748" s="9"/>
      <c r="AB748" s="9"/>
    </row>
    <row r="749" spans="1:28" ht="16">
      <c r="A749" s="6">
        <v>837</v>
      </c>
      <c r="B749" s="8" t="s">
        <v>198</v>
      </c>
      <c r="C749" s="8" t="s">
        <v>107</v>
      </c>
      <c r="D749" s="8" t="s">
        <v>107</v>
      </c>
      <c r="E749" s="8" t="s">
        <v>107</v>
      </c>
      <c r="F749" s="6">
        <v>837</v>
      </c>
      <c r="G749" s="6" t="b">
        <v>0</v>
      </c>
      <c r="H749" s="8" t="s">
        <v>480</v>
      </c>
      <c r="I749" s="6" t="b">
        <v>0</v>
      </c>
      <c r="J749" s="6" t="b">
        <v>0</v>
      </c>
      <c r="K749" s="6" t="b">
        <v>0</v>
      </c>
      <c r="L749" s="6" t="b">
        <v>1</v>
      </c>
      <c r="M749" s="6" t="b">
        <v>0</v>
      </c>
      <c r="N749" s="6">
        <v>3</v>
      </c>
      <c r="O749" s="8" t="s">
        <v>331</v>
      </c>
      <c r="P749" s="8" t="s">
        <v>255</v>
      </c>
      <c r="Q749" s="8" t="s">
        <v>381</v>
      </c>
      <c r="R749" s="6">
        <v>3</v>
      </c>
      <c r="S749" s="8" t="s">
        <v>331</v>
      </c>
      <c r="T749" s="9"/>
      <c r="U749" s="8" t="s">
        <v>240</v>
      </c>
      <c r="V749" s="8" t="s">
        <v>482</v>
      </c>
      <c r="W749" s="8" t="s">
        <v>240</v>
      </c>
      <c r="X749" s="8" t="s">
        <v>240</v>
      </c>
      <c r="Y749" s="8" t="s">
        <v>240</v>
      </c>
      <c r="Z749" s="6" t="b">
        <v>0</v>
      </c>
      <c r="AA749" s="9"/>
      <c r="AB749" s="9"/>
    </row>
    <row r="750" spans="1:28" ht="16">
      <c r="A750" s="6">
        <v>838</v>
      </c>
      <c r="B750" s="8" t="s">
        <v>198</v>
      </c>
      <c r="C750" s="8" t="s">
        <v>1265</v>
      </c>
      <c r="D750" s="8" t="s">
        <v>1424</v>
      </c>
      <c r="E750" s="8" t="s">
        <v>1424</v>
      </c>
      <c r="F750" s="6">
        <v>838</v>
      </c>
      <c r="G750" s="6" t="b">
        <v>0</v>
      </c>
      <c r="H750" s="8" t="s">
        <v>480</v>
      </c>
      <c r="I750" s="6" t="b">
        <v>0</v>
      </c>
      <c r="J750" s="6" t="b">
        <v>0</v>
      </c>
      <c r="K750" s="6" t="b">
        <v>0</v>
      </c>
      <c r="L750" s="6" t="b">
        <v>1</v>
      </c>
      <c r="M750" s="6" t="b">
        <v>0</v>
      </c>
      <c r="N750" s="6">
        <v>4</v>
      </c>
      <c r="O750" s="8" t="s">
        <v>331</v>
      </c>
      <c r="P750" s="8" t="s">
        <v>380</v>
      </c>
      <c r="Q750" s="8" t="s">
        <v>898</v>
      </c>
      <c r="R750" s="6">
        <v>8</v>
      </c>
      <c r="S750" s="8" t="s">
        <v>347</v>
      </c>
      <c r="T750" s="9"/>
      <c r="U750" s="8" t="s">
        <v>240</v>
      </c>
      <c r="V750" s="8" t="s">
        <v>1012</v>
      </c>
      <c r="W750" s="8" t="s">
        <v>483</v>
      </c>
      <c r="X750" s="8" t="s">
        <v>240</v>
      </c>
      <c r="Y750" s="8" t="s">
        <v>240</v>
      </c>
      <c r="Z750" s="6" t="b">
        <v>0</v>
      </c>
      <c r="AA750" s="9"/>
      <c r="AB750" s="9"/>
    </row>
    <row r="751" spans="1:28" ht="16">
      <c r="A751" s="6">
        <v>839</v>
      </c>
      <c r="B751" s="8" t="s">
        <v>198</v>
      </c>
      <c r="C751" s="8" t="s">
        <v>1265</v>
      </c>
      <c r="D751" s="8" t="s">
        <v>1265</v>
      </c>
      <c r="E751" s="8" t="s">
        <v>1265</v>
      </c>
      <c r="F751" s="6">
        <v>839</v>
      </c>
      <c r="G751" s="6" t="b">
        <v>0</v>
      </c>
      <c r="H751" s="8" t="s">
        <v>480</v>
      </c>
      <c r="I751" s="6" t="b">
        <v>0</v>
      </c>
      <c r="J751" s="6" t="b">
        <v>0</v>
      </c>
      <c r="K751" s="6" t="b">
        <v>0</v>
      </c>
      <c r="L751" s="6" t="b">
        <v>1</v>
      </c>
      <c r="M751" s="6" t="b">
        <v>0</v>
      </c>
      <c r="N751" s="6">
        <v>4</v>
      </c>
      <c r="O751" s="8" t="s">
        <v>331</v>
      </c>
      <c r="P751" s="8" t="s">
        <v>380</v>
      </c>
      <c r="Q751" s="8" t="s">
        <v>381</v>
      </c>
      <c r="R751" s="6">
        <v>4</v>
      </c>
      <c r="S751" s="8" t="s">
        <v>331</v>
      </c>
      <c r="T751" s="9"/>
      <c r="U751" s="8" t="s">
        <v>240</v>
      </c>
      <c r="V751" s="8" t="s">
        <v>1012</v>
      </c>
      <c r="W751" s="8" t="s">
        <v>483</v>
      </c>
      <c r="X751" s="8" t="s">
        <v>240</v>
      </c>
      <c r="Y751" s="8" t="s">
        <v>1425</v>
      </c>
      <c r="Z751" s="6" t="b">
        <v>0</v>
      </c>
      <c r="AA751" s="9"/>
      <c r="AB751" s="9"/>
    </row>
    <row r="752" spans="1:28" ht="16">
      <c r="A752" s="6">
        <v>840</v>
      </c>
      <c r="B752" s="8" t="s">
        <v>198</v>
      </c>
      <c r="C752" s="8" t="s">
        <v>1426</v>
      </c>
      <c r="D752" s="8" t="s">
        <v>1427</v>
      </c>
      <c r="E752" s="8" t="s">
        <v>1427</v>
      </c>
      <c r="F752" s="6">
        <v>840</v>
      </c>
      <c r="G752" s="6" t="b">
        <v>0</v>
      </c>
      <c r="H752" s="8" t="s">
        <v>480</v>
      </c>
      <c r="I752" s="6" t="b">
        <v>0</v>
      </c>
      <c r="J752" s="6" t="b">
        <v>0</v>
      </c>
      <c r="K752" s="6" t="b">
        <v>0</v>
      </c>
      <c r="L752" s="6" t="b">
        <v>1</v>
      </c>
      <c r="M752" s="6" t="b">
        <v>0</v>
      </c>
      <c r="N752" s="6">
        <v>5</v>
      </c>
      <c r="O752" s="8" t="s">
        <v>237</v>
      </c>
      <c r="P752" s="8" t="s">
        <v>255</v>
      </c>
      <c r="Q752" s="8" t="s">
        <v>237</v>
      </c>
      <c r="R752" s="6">
        <v>5</v>
      </c>
      <c r="S752" s="8" t="s">
        <v>335</v>
      </c>
      <c r="T752" s="6">
        <v>5</v>
      </c>
      <c r="U752" s="8" t="s">
        <v>240</v>
      </c>
      <c r="V752" s="8" t="s">
        <v>496</v>
      </c>
      <c r="W752" s="8" t="s">
        <v>240</v>
      </c>
      <c r="X752" s="8" t="s">
        <v>240</v>
      </c>
      <c r="Y752" s="8" t="s">
        <v>240</v>
      </c>
      <c r="Z752" s="6" t="b">
        <v>0</v>
      </c>
      <c r="AA752" s="9"/>
      <c r="AB752" s="9"/>
    </row>
    <row r="753" spans="1:28" ht="16">
      <c r="A753" s="6">
        <v>841</v>
      </c>
      <c r="B753" s="8" t="s">
        <v>198</v>
      </c>
      <c r="C753" s="8" t="s">
        <v>1271</v>
      </c>
      <c r="D753" s="8" t="s">
        <v>1428</v>
      </c>
      <c r="E753" s="8" t="s">
        <v>1428</v>
      </c>
      <c r="F753" s="6">
        <v>841</v>
      </c>
      <c r="G753" s="6" t="b">
        <v>0</v>
      </c>
      <c r="H753" s="8" t="s">
        <v>480</v>
      </c>
      <c r="I753" s="6" t="b">
        <v>0</v>
      </c>
      <c r="J753" s="6" t="b">
        <v>0</v>
      </c>
      <c r="K753" s="6" t="b">
        <v>0</v>
      </c>
      <c r="L753" s="6" t="b">
        <v>1</v>
      </c>
      <c r="M753" s="6" t="b">
        <v>0</v>
      </c>
      <c r="N753" s="6">
        <v>4</v>
      </c>
      <c r="O753" s="8" t="s">
        <v>331</v>
      </c>
      <c r="P753" s="8" t="s">
        <v>380</v>
      </c>
      <c r="Q753" s="8" t="s">
        <v>502</v>
      </c>
      <c r="R753" s="6">
        <v>4</v>
      </c>
      <c r="S753" s="8" t="s">
        <v>880</v>
      </c>
      <c r="T753" s="6">
        <v>4</v>
      </c>
      <c r="U753" s="8" t="s">
        <v>240</v>
      </c>
      <c r="V753" s="8" t="s">
        <v>1012</v>
      </c>
      <c r="W753" s="8" t="s">
        <v>483</v>
      </c>
      <c r="X753" s="8" t="s">
        <v>240</v>
      </c>
      <c r="Y753" s="8" t="s">
        <v>240</v>
      </c>
      <c r="Z753" s="6" t="b">
        <v>0</v>
      </c>
      <c r="AA753" s="9"/>
      <c r="AB753" s="9"/>
    </row>
    <row r="754" spans="1:28" ht="32">
      <c r="A754" s="6">
        <v>842</v>
      </c>
      <c r="B754" s="8" t="s">
        <v>198</v>
      </c>
      <c r="C754" s="8" t="s">
        <v>163</v>
      </c>
      <c r="D754" s="8" t="s">
        <v>163</v>
      </c>
      <c r="E754" s="8" t="s">
        <v>163</v>
      </c>
      <c r="F754" s="6">
        <v>842</v>
      </c>
      <c r="G754" s="6" t="b">
        <v>0</v>
      </c>
      <c r="H754" s="8" t="s">
        <v>480</v>
      </c>
      <c r="I754" s="6" t="b">
        <v>0</v>
      </c>
      <c r="J754" s="6" t="b">
        <v>0</v>
      </c>
      <c r="K754" s="6" t="b">
        <v>0</v>
      </c>
      <c r="L754" s="6" t="b">
        <v>1</v>
      </c>
      <c r="M754" s="6" t="b">
        <v>0</v>
      </c>
      <c r="N754" s="6">
        <v>6</v>
      </c>
      <c r="O754" s="8" t="s">
        <v>331</v>
      </c>
      <c r="P754" s="8" t="s">
        <v>255</v>
      </c>
      <c r="Q754" s="8" t="s">
        <v>381</v>
      </c>
      <c r="R754" s="6">
        <v>6</v>
      </c>
      <c r="S754" s="8" t="s">
        <v>331</v>
      </c>
      <c r="T754" s="9"/>
      <c r="U754" s="8" t="s">
        <v>240</v>
      </c>
      <c r="V754" s="8" t="s">
        <v>482</v>
      </c>
      <c r="W754" s="8" t="s">
        <v>240</v>
      </c>
      <c r="X754" s="8" t="s">
        <v>240</v>
      </c>
      <c r="Y754" s="8" t="s">
        <v>240</v>
      </c>
      <c r="Z754" s="6" t="b">
        <v>0</v>
      </c>
      <c r="AA754" s="9"/>
      <c r="AB754" s="9"/>
    </row>
    <row r="755" spans="1:28" ht="32">
      <c r="A755" s="6">
        <v>843</v>
      </c>
      <c r="B755" s="8" t="s">
        <v>198</v>
      </c>
      <c r="C755" s="8" t="s">
        <v>163</v>
      </c>
      <c r="D755" s="8" t="s">
        <v>1429</v>
      </c>
      <c r="E755" s="8" t="s">
        <v>1429</v>
      </c>
      <c r="F755" s="6">
        <v>843</v>
      </c>
      <c r="G755" s="6" t="b">
        <v>0</v>
      </c>
      <c r="H755" s="8" t="s">
        <v>480</v>
      </c>
      <c r="I755" s="6" t="b">
        <v>0</v>
      </c>
      <c r="J755" s="6" t="b">
        <v>0</v>
      </c>
      <c r="K755" s="6" t="b">
        <v>0</v>
      </c>
      <c r="L755" s="6" t="b">
        <v>1</v>
      </c>
      <c r="M755" s="6" t="b">
        <v>0</v>
      </c>
      <c r="N755" s="6">
        <v>6</v>
      </c>
      <c r="O755" s="8" t="s">
        <v>331</v>
      </c>
      <c r="P755" s="8" t="s">
        <v>964</v>
      </c>
      <c r="Q755" s="8" t="s">
        <v>823</v>
      </c>
      <c r="R755" s="6">
        <v>6</v>
      </c>
      <c r="S755" s="8" t="s">
        <v>880</v>
      </c>
      <c r="T755" s="6">
        <v>6</v>
      </c>
      <c r="U755" s="8" t="s">
        <v>240</v>
      </c>
      <c r="V755" s="8" t="s">
        <v>482</v>
      </c>
      <c r="W755" s="8" t="s">
        <v>240</v>
      </c>
      <c r="X755" s="8" t="s">
        <v>240</v>
      </c>
      <c r="Y755" s="8" t="s">
        <v>1430</v>
      </c>
      <c r="Z755" s="6" t="b">
        <v>0</v>
      </c>
      <c r="AA755" s="9"/>
      <c r="AB755" s="9"/>
    </row>
    <row r="756" spans="1:28" ht="16">
      <c r="A756" s="6">
        <v>844</v>
      </c>
      <c r="B756" s="8" t="s">
        <v>198</v>
      </c>
      <c r="C756" s="8" t="s">
        <v>177</v>
      </c>
      <c r="D756" s="8" t="s">
        <v>1431</v>
      </c>
      <c r="E756" s="8" t="s">
        <v>1431</v>
      </c>
      <c r="F756" s="6">
        <v>844</v>
      </c>
      <c r="G756" s="6" t="b">
        <v>0</v>
      </c>
      <c r="H756" s="8" t="s">
        <v>480</v>
      </c>
      <c r="I756" s="6" t="b">
        <v>0</v>
      </c>
      <c r="J756" s="6" t="b">
        <v>0</v>
      </c>
      <c r="K756" s="6" t="b">
        <v>0</v>
      </c>
      <c r="L756" s="6" t="b">
        <v>1</v>
      </c>
      <c r="M756" s="6" t="b">
        <v>0</v>
      </c>
      <c r="N756" s="6">
        <v>0</v>
      </c>
      <c r="O756" s="8" t="s">
        <v>331</v>
      </c>
      <c r="P756" s="8" t="s">
        <v>516</v>
      </c>
      <c r="Q756" s="8" t="s">
        <v>502</v>
      </c>
      <c r="R756" s="6">
        <v>1</v>
      </c>
      <c r="S756" s="8" t="s">
        <v>347</v>
      </c>
      <c r="T756" s="6">
        <v>1</v>
      </c>
      <c r="U756" s="8" t="s">
        <v>240</v>
      </c>
      <c r="V756" s="8" t="s">
        <v>482</v>
      </c>
      <c r="W756" s="8" t="s">
        <v>386</v>
      </c>
      <c r="X756" s="8" t="s">
        <v>240</v>
      </c>
      <c r="Y756" s="8" t="s">
        <v>1432</v>
      </c>
      <c r="Z756" s="6" t="b">
        <v>0</v>
      </c>
      <c r="AA756" s="9"/>
      <c r="AB756" s="9"/>
    </row>
    <row r="757" spans="1:28" ht="16">
      <c r="A757" s="6">
        <v>845</v>
      </c>
      <c r="B757" s="8" t="s">
        <v>198</v>
      </c>
      <c r="C757" s="8" t="s">
        <v>177</v>
      </c>
      <c r="D757" s="8" t="s">
        <v>1433</v>
      </c>
      <c r="E757" s="8" t="s">
        <v>1431</v>
      </c>
      <c r="F757" s="6">
        <v>844</v>
      </c>
      <c r="G757" s="6" t="b">
        <v>0</v>
      </c>
      <c r="H757" s="8" t="s">
        <v>480</v>
      </c>
      <c r="I757" s="6" t="b">
        <v>0</v>
      </c>
      <c r="J757" s="6" t="b">
        <v>0</v>
      </c>
      <c r="K757" s="6" t="b">
        <v>0</v>
      </c>
      <c r="L757" s="6" t="b">
        <v>1</v>
      </c>
      <c r="M757" s="6" t="b">
        <v>0</v>
      </c>
      <c r="N757" s="6">
        <v>0</v>
      </c>
      <c r="O757" s="8" t="s">
        <v>331</v>
      </c>
      <c r="P757" s="8" t="s">
        <v>516</v>
      </c>
      <c r="Q757" s="8" t="s">
        <v>502</v>
      </c>
      <c r="R757" s="6">
        <v>0</v>
      </c>
      <c r="S757" s="8" t="s">
        <v>75</v>
      </c>
      <c r="T757" s="9"/>
      <c r="U757" s="8" t="s">
        <v>240</v>
      </c>
      <c r="V757" s="8" t="s">
        <v>240</v>
      </c>
      <c r="W757" s="8" t="s">
        <v>386</v>
      </c>
      <c r="X757" s="8" t="s">
        <v>240</v>
      </c>
      <c r="Y757" s="8" t="s">
        <v>240</v>
      </c>
      <c r="Z757" s="6" t="b">
        <v>0</v>
      </c>
      <c r="AA757" s="9"/>
      <c r="AB757" s="9"/>
    </row>
    <row r="758" spans="1:28" ht="16">
      <c r="A758" s="6">
        <v>846</v>
      </c>
      <c r="B758" s="8" t="s">
        <v>198</v>
      </c>
      <c r="C758" s="8" t="s">
        <v>1271</v>
      </c>
      <c r="D758" s="8" t="s">
        <v>1434</v>
      </c>
      <c r="E758" s="8" t="s">
        <v>1434</v>
      </c>
      <c r="F758" s="6">
        <v>846</v>
      </c>
      <c r="G758" s="6" t="b">
        <v>0</v>
      </c>
      <c r="H758" s="8" t="s">
        <v>480</v>
      </c>
      <c r="I758" s="6" t="b">
        <v>0</v>
      </c>
      <c r="J758" s="6" t="b">
        <v>0</v>
      </c>
      <c r="K758" s="6" t="b">
        <v>0</v>
      </c>
      <c r="L758" s="6" t="b">
        <v>1</v>
      </c>
      <c r="M758" s="6" t="b">
        <v>0</v>
      </c>
      <c r="N758" s="6">
        <v>4</v>
      </c>
      <c r="O758" s="8" t="s">
        <v>331</v>
      </c>
      <c r="P758" s="8" t="s">
        <v>380</v>
      </c>
      <c r="Q758" s="8" t="s">
        <v>446</v>
      </c>
      <c r="R758" s="6">
        <v>4</v>
      </c>
      <c r="S758" s="8" t="s">
        <v>75</v>
      </c>
      <c r="T758" s="6">
        <v>0</v>
      </c>
      <c r="U758" s="8" t="s">
        <v>240</v>
      </c>
      <c r="V758" s="8" t="s">
        <v>450</v>
      </c>
      <c r="W758" s="8" t="s">
        <v>483</v>
      </c>
      <c r="X758" s="8" t="s">
        <v>240</v>
      </c>
      <c r="Y758" s="8" t="s">
        <v>240</v>
      </c>
      <c r="Z758" s="6" t="b">
        <v>0</v>
      </c>
      <c r="AA758" s="9"/>
      <c r="AB758" s="9"/>
    </row>
    <row r="759" spans="1:28" ht="16">
      <c r="A759" s="6">
        <v>847</v>
      </c>
      <c r="B759" s="8" t="s">
        <v>198</v>
      </c>
      <c r="C759" s="8" t="s">
        <v>1411</v>
      </c>
      <c r="D759" s="8" t="s">
        <v>1435</v>
      </c>
      <c r="E759" s="8" t="s">
        <v>1435</v>
      </c>
      <c r="F759" s="6">
        <v>847</v>
      </c>
      <c r="G759" s="6" t="b">
        <v>0</v>
      </c>
      <c r="H759" s="8" t="s">
        <v>480</v>
      </c>
      <c r="I759" s="6" t="b">
        <v>0</v>
      </c>
      <c r="J759" s="6" t="b">
        <v>0</v>
      </c>
      <c r="K759" s="6" t="b">
        <v>0</v>
      </c>
      <c r="L759" s="6" t="b">
        <v>1</v>
      </c>
      <c r="M759" s="6" t="b">
        <v>0</v>
      </c>
      <c r="N759" s="6">
        <v>0</v>
      </c>
      <c r="O759" s="8" t="s">
        <v>331</v>
      </c>
      <c r="P759" s="8" t="s">
        <v>516</v>
      </c>
      <c r="Q759" s="8" t="s">
        <v>502</v>
      </c>
      <c r="R759" s="6">
        <v>0</v>
      </c>
      <c r="S759" s="8" t="s">
        <v>335</v>
      </c>
      <c r="T759" s="6">
        <v>0</v>
      </c>
      <c r="U759" s="8" t="s">
        <v>240</v>
      </c>
      <c r="V759" s="8" t="s">
        <v>450</v>
      </c>
      <c r="W759" s="8" t="s">
        <v>386</v>
      </c>
      <c r="X759" s="8" t="s">
        <v>240</v>
      </c>
      <c r="Y759" s="8" t="s">
        <v>1436</v>
      </c>
      <c r="Z759" s="6" t="b">
        <v>0</v>
      </c>
      <c r="AA759" s="9"/>
      <c r="AB759" s="9"/>
    </row>
    <row r="760" spans="1:28" ht="16">
      <c r="A760" s="6">
        <v>848</v>
      </c>
      <c r="B760" s="8" t="s">
        <v>198</v>
      </c>
      <c r="C760" s="8" t="s">
        <v>1411</v>
      </c>
      <c r="D760" s="8" t="s">
        <v>1437</v>
      </c>
      <c r="E760" s="8" t="s">
        <v>1435</v>
      </c>
      <c r="F760" s="6">
        <v>847</v>
      </c>
      <c r="G760" s="6" t="b">
        <v>0</v>
      </c>
      <c r="H760" s="8" t="s">
        <v>480</v>
      </c>
      <c r="I760" s="6" t="b">
        <v>0</v>
      </c>
      <c r="J760" s="6" t="b">
        <v>0</v>
      </c>
      <c r="K760" s="6" t="b">
        <v>0</v>
      </c>
      <c r="L760" s="6" t="b">
        <v>1</v>
      </c>
      <c r="M760" s="6" t="b">
        <v>0</v>
      </c>
      <c r="N760" s="6">
        <v>0</v>
      </c>
      <c r="O760" s="8" t="s">
        <v>331</v>
      </c>
      <c r="P760" s="8" t="s">
        <v>516</v>
      </c>
      <c r="Q760" s="8" t="s">
        <v>502</v>
      </c>
      <c r="R760" s="6">
        <v>0</v>
      </c>
      <c r="S760" s="8" t="s">
        <v>335</v>
      </c>
      <c r="T760" s="9"/>
      <c r="U760" s="8" t="s">
        <v>240</v>
      </c>
      <c r="V760" s="8" t="s">
        <v>450</v>
      </c>
      <c r="W760" s="8" t="s">
        <v>386</v>
      </c>
      <c r="X760" s="8" t="s">
        <v>240</v>
      </c>
      <c r="Y760" s="8" t="s">
        <v>240</v>
      </c>
      <c r="Z760" s="6" t="b">
        <v>0</v>
      </c>
      <c r="AA760" s="9"/>
      <c r="AB760" s="9"/>
    </row>
    <row r="761" spans="1:28" ht="16">
      <c r="A761" s="6">
        <v>849</v>
      </c>
      <c r="B761" s="8" t="s">
        <v>198</v>
      </c>
      <c r="C761" s="8" t="s">
        <v>129</v>
      </c>
      <c r="D761" s="8" t="s">
        <v>1438</v>
      </c>
      <c r="E761" s="8" t="s">
        <v>1438</v>
      </c>
      <c r="F761" s="6">
        <v>849</v>
      </c>
      <c r="G761" s="6" t="b">
        <v>0</v>
      </c>
      <c r="H761" s="8" t="s">
        <v>480</v>
      </c>
      <c r="I761" s="6" t="b">
        <v>0</v>
      </c>
      <c r="J761" s="6" t="b">
        <v>0</v>
      </c>
      <c r="K761" s="6" t="b">
        <v>0</v>
      </c>
      <c r="L761" s="6" t="b">
        <v>1</v>
      </c>
      <c r="M761" s="6" t="b">
        <v>0</v>
      </c>
      <c r="N761" s="6">
        <v>2</v>
      </c>
      <c r="O761" s="8" t="s">
        <v>331</v>
      </c>
      <c r="P761" s="8" t="s">
        <v>350</v>
      </c>
      <c r="Q761" s="8" t="s">
        <v>898</v>
      </c>
      <c r="R761" s="6">
        <v>2</v>
      </c>
      <c r="S761" s="8" t="s">
        <v>341</v>
      </c>
      <c r="T761" s="9"/>
      <c r="U761" s="8" t="s">
        <v>240</v>
      </c>
      <c r="V761" s="8" t="s">
        <v>482</v>
      </c>
      <c r="W761" s="8" t="s">
        <v>240</v>
      </c>
      <c r="X761" s="8" t="s">
        <v>240</v>
      </c>
      <c r="Y761" s="8" t="s">
        <v>1439</v>
      </c>
      <c r="Z761" s="6" t="b">
        <v>0</v>
      </c>
      <c r="AA761" s="9"/>
      <c r="AB761" s="9"/>
    </row>
    <row r="762" spans="1:28" ht="16">
      <c r="A762" s="6">
        <v>850</v>
      </c>
      <c r="B762" s="8" t="s">
        <v>198</v>
      </c>
      <c r="C762" s="8" t="s">
        <v>129</v>
      </c>
      <c r="D762" s="8" t="s">
        <v>1440</v>
      </c>
      <c r="E762" s="8" t="s">
        <v>1438</v>
      </c>
      <c r="F762" s="6">
        <v>849</v>
      </c>
      <c r="G762" s="6" t="b">
        <v>0</v>
      </c>
      <c r="H762" s="8" t="s">
        <v>480</v>
      </c>
      <c r="I762" s="6" t="b">
        <v>0</v>
      </c>
      <c r="J762" s="6" t="b">
        <v>0</v>
      </c>
      <c r="K762" s="6" t="b">
        <v>0</v>
      </c>
      <c r="L762" s="6" t="b">
        <v>1</v>
      </c>
      <c r="M762" s="6" t="b">
        <v>0</v>
      </c>
      <c r="N762" s="6">
        <v>2</v>
      </c>
      <c r="O762" s="8" t="s">
        <v>331</v>
      </c>
      <c r="P762" s="8" t="s">
        <v>350</v>
      </c>
      <c r="Q762" s="8" t="s">
        <v>898</v>
      </c>
      <c r="R762" s="6">
        <v>2</v>
      </c>
      <c r="S762" s="8" t="s">
        <v>247</v>
      </c>
      <c r="T762" s="9"/>
      <c r="U762" s="8" t="s">
        <v>240</v>
      </c>
      <c r="V762" s="8" t="s">
        <v>482</v>
      </c>
      <c r="W762" s="8" t="s">
        <v>240</v>
      </c>
      <c r="X762" s="8" t="s">
        <v>240</v>
      </c>
      <c r="Y762" s="8" t="s">
        <v>240</v>
      </c>
      <c r="Z762" s="6" t="b">
        <v>0</v>
      </c>
      <c r="AA762" s="9"/>
      <c r="AB762" s="9"/>
    </row>
    <row r="763" spans="1:28" ht="16">
      <c r="A763" s="6">
        <v>851</v>
      </c>
      <c r="B763" s="8" t="s">
        <v>198</v>
      </c>
      <c r="C763" s="8" t="s">
        <v>129</v>
      </c>
      <c r="D763" s="8" t="s">
        <v>129</v>
      </c>
      <c r="E763" s="8" t="s">
        <v>129</v>
      </c>
      <c r="F763" s="6">
        <v>851</v>
      </c>
      <c r="G763" s="6" t="b">
        <v>0</v>
      </c>
      <c r="H763" s="8" t="s">
        <v>480</v>
      </c>
      <c r="I763" s="6" t="b">
        <v>0</v>
      </c>
      <c r="J763" s="6" t="b">
        <v>0</v>
      </c>
      <c r="K763" s="6" t="b">
        <v>0</v>
      </c>
      <c r="L763" s="6" t="b">
        <v>1</v>
      </c>
      <c r="M763" s="6" t="b">
        <v>0</v>
      </c>
      <c r="N763" s="6">
        <v>2</v>
      </c>
      <c r="O763" s="8" t="s">
        <v>331</v>
      </c>
      <c r="P763" s="8" t="s">
        <v>350</v>
      </c>
      <c r="Q763" s="8" t="s">
        <v>898</v>
      </c>
      <c r="R763" s="6">
        <v>2</v>
      </c>
      <c r="S763" s="8" t="s">
        <v>75</v>
      </c>
      <c r="T763" s="6">
        <v>2</v>
      </c>
      <c r="U763" s="8" t="s">
        <v>240</v>
      </c>
      <c r="V763" s="8" t="s">
        <v>240</v>
      </c>
      <c r="W763" s="8" t="s">
        <v>240</v>
      </c>
      <c r="X763" s="8" t="s">
        <v>240</v>
      </c>
      <c r="Y763" s="8" t="s">
        <v>240</v>
      </c>
      <c r="Z763" s="6" t="b">
        <v>0</v>
      </c>
      <c r="AA763" s="9"/>
      <c r="AB763" s="9"/>
    </row>
    <row r="764" spans="1:28" ht="32">
      <c r="A764" s="6">
        <v>852</v>
      </c>
      <c r="B764" s="8" t="s">
        <v>198</v>
      </c>
      <c r="C764" s="8" t="s">
        <v>1265</v>
      </c>
      <c r="D764" s="8" t="s">
        <v>1441</v>
      </c>
      <c r="E764" s="8" t="s">
        <v>1441</v>
      </c>
      <c r="F764" s="6">
        <v>852</v>
      </c>
      <c r="G764" s="6" t="b">
        <v>0</v>
      </c>
      <c r="H764" s="8" t="s">
        <v>480</v>
      </c>
      <c r="I764" s="6" t="b">
        <v>0</v>
      </c>
      <c r="J764" s="6" t="b">
        <v>0</v>
      </c>
      <c r="K764" s="6" t="b">
        <v>0</v>
      </c>
      <c r="L764" s="6" t="b">
        <v>1</v>
      </c>
      <c r="M764" s="6" t="b">
        <v>0</v>
      </c>
      <c r="N764" s="6">
        <v>4</v>
      </c>
      <c r="O764" s="8" t="s">
        <v>331</v>
      </c>
      <c r="P764" s="8" t="s">
        <v>380</v>
      </c>
      <c r="Q764" s="8" t="s">
        <v>811</v>
      </c>
      <c r="R764" s="6">
        <v>5</v>
      </c>
      <c r="S764" s="8" t="s">
        <v>347</v>
      </c>
      <c r="T764" s="6">
        <v>5</v>
      </c>
      <c r="U764" s="8" t="s">
        <v>240</v>
      </c>
      <c r="V764" s="8" t="s">
        <v>1012</v>
      </c>
      <c r="W764" s="8" t="s">
        <v>483</v>
      </c>
      <c r="X764" s="8" t="s">
        <v>240</v>
      </c>
      <c r="Y764" s="8" t="s">
        <v>240</v>
      </c>
      <c r="Z764" s="6" t="b">
        <v>0</v>
      </c>
      <c r="AA764" s="9"/>
      <c r="AB764" s="9"/>
    </row>
    <row r="765" spans="1:28" ht="32">
      <c r="A765" s="6">
        <v>853</v>
      </c>
      <c r="B765" s="8" t="s">
        <v>198</v>
      </c>
      <c r="C765" s="8" t="s">
        <v>1271</v>
      </c>
      <c r="D765" s="8" t="s">
        <v>1442</v>
      </c>
      <c r="E765" s="8" t="s">
        <v>1442</v>
      </c>
      <c r="F765" s="6">
        <v>853</v>
      </c>
      <c r="G765" s="6" t="b">
        <v>0</v>
      </c>
      <c r="H765" s="8" t="s">
        <v>480</v>
      </c>
      <c r="I765" s="6" t="b">
        <v>0</v>
      </c>
      <c r="J765" s="6" t="b">
        <v>0</v>
      </c>
      <c r="K765" s="6" t="b">
        <v>0</v>
      </c>
      <c r="L765" s="6" t="b">
        <v>1</v>
      </c>
      <c r="M765" s="6" t="b">
        <v>0</v>
      </c>
      <c r="N765" s="6">
        <v>4</v>
      </c>
      <c r="O765" s="8" t="s">
        <v>331</v>
      </c>
      <c r="P765" s="8" t="s">
        <v>380</v>
      </c>
      <c r="Q765" s="8" t="s">
        <v>481</v>
      </c>
      <c r="R765" s="6">
        <v>4</v>
      </c>
      <c r="S765" s="8" t="s">
        <v>347</v>
      </c>
      <c r="T765" s="6">
        <v>4</v>
      </c>
      <c r="U765" s="8" t="s">
        <v>240</v>
      </c>
      <c r="V765" s="8" t="s">
        <v>450</v>
      </c>
      <c r="W765" s="8" t="s">
        <v>483</v>
      </c>
      <c r="X765" s="8" t="s">
        <v>240</v>
      </c>
      <c r="Y765" s="8" t="s">
        <v>1443</v>
      </c>
      <c r="Z765" s="6" t="b">
        <v>0</v>
      </c>
      <c r="AA765" s="9"/>
      <c r="AB765" s="9"/>
    </row>
    <row r="766" spans="1:28" ht="32">
      <c r="A766" s="6">
        <v>854</v>
      </c>
      <c r="B766" s="8" t="s">
        <v>198</v>
      </c>
      <c r="C766" s="8" t="s">
        <v>156</v>
      </c>
      <c r="D766" s="8" t="s">
        <v>1444</v>
      </c>
      <c r="E766" s="8" t="s">
        <v>1444</v>
      </c>
      <c r="F766" s="6">
        <v>854</v>
      </c>
      <c r="G766" s="6" t="b">
        <v>0</v>
      </c>
      <c r="H766" s="8" t="s">
        <v>480</v>
      </c>
      <c r="I766" s="6" t="b">
        <v>0</v>
      </c>
      <c r="J766" s="6" t="b">
        <v>0</v>
      </c>
      <c r="K766" s="6" t="b">
        <v>0</v>
      </c>
      <c r="L766" s="6" t="b">
        <v>1</v>
      </c>
      <c r="M766" s="6" t="b">
        <v>0</v>
      </c>
      <c r="N766" s="6">
        <v>0</v>
      </c>
      <c r="O766" s="8" t="s">
        <v>331</v>
      </c>
      <c r="P766" s="8" t="s">
        <v>238</v>
      </c>
      <c r="Q766" s="8" t="s">
        <v>481</v>
      </c>
      <c r="R766" s="6">
        <v>1</v>
      </c>
      <c r="S766" s="8" t="s">
        <v>523</v>
      </c>
      <c r="T766" s="6">
        <v>1</v>
      </c>
      <c r="U766" s="8" t="s">
        <v>240</v>
      </c>
      <c r="V766" s="8" t="s">
        <v>482</v>
      </c>
      <c r="W766" s="8" t="s">
        <v>386</v>
      </c>
      <c r="X766" s="8" t="s">
        <v>240</v>
      </c>
      <c r="Y766" s="8" t="s">
        <v>1445</v>
      </c>
      <c r="Z766" s="6" t="b">
        <v>0</v>
      </c>
      <c r="AA766" s="9"/>
      <c r="AB766" s="9"/>
    </row>
    <row r="767" spans="1:28" ht="32">
      <c r="A767" s="6">
        <v>855</v>
      </c>
      <c r="B767" s="8" t="s">
        <v>198</v>
      </c>
      <c r="C767" s="8" t="s">
        <v>156</v>
      </c>
      <c r="D767" s="8" t="s">
        <v>1446</v>
      </c>
      <c r="E767" s="8" t="s">
        <v>1444</v>
      </c>
      <c r="F767" s="6">
        <v>854</v>
      </c>
      <c r="G767" s="6" t="b">
        <v>0</v>
      </c>
      <c r="H767" s="8" t="s">
        <v>480</v>
      </c>
      <c r="I767" s="6" t="b">
        <v>0</v>
      </c>
      <c r="J767" s="6" t="b">
        <v>0</v>
      </c>
      <c r="K767" s="6" t="b">
        <v>0</v>
      </c>
      <c r="L767" s="6" t="b">
        <v>1</v>
      </c>
      <c r="M767" s="6" t="b">
        <v>0</v>
      </c>
      <c r="N767" s="6">
        <v>0</v>
      </c>
      <c r="O767" s="8" t="s">
        <v>331</v>
      </c>
      <c r="P767" s="8" t="s">
        <v>238</v>
      </c>
      <c r="Q767" s="8" t="s">
        <v>481</v>
      </c>
      <c r="R767" s="6">
        <v>1</v>
      </c>
      <c r="S767" s="8" t="s">
        <v>523</v>
      </c>
      <c r="T767" s="9"/>
      <c r="U767" s="8" t="s">
        <v>240</v>
      </c>
      <c r="V767" s="8" t="s">
        <v>482</v>
      </c>
      <c r="W767" s="8" t="s">
        <v>386</v>
      </c>
      <c r="X767" s="8" t="s">
        <v>240</v>
      </c>
      <c r="Y767" s="8" t="s">
        <v>240</v>
      </c>
      <c r="Z767" s="6" t="b">
        <v>0</v>
      </c>
      <c r="AA767" s="9"/>
      <c r="AB767" s="9"/>
    </row>
    <row r="768" spans="1:28" ht="32">
      <c r="A768" s="6">
        <v>856</v>
      </c>
      <c r="B768" s="8" t="s">
        <v>198</v>
      </c>
      <c r="C768" s="8" t="s">
        <v>156</v>
      </c>
      <c r="D768" s="8" t="s">
        <v>1447</v>
      </c>
      <c r="E768" s="8" t="s">
        <v>1444</v>
      </c>
      <c r="F768" s="6">
        <v>854</v>
      </c>
      <c r="G768" s="6" t="b">
        <v>0</v>
      </c>
      <c r="H768" s="8" t="s">
        <v>480</v>
      </c>
      <c r="I768" s="6" t="b">
        <v>0</v>
      </c>
      <c r="J768" s="6" t="b">
        <v>0</v>
      </c>
      <c r="K768" s="6" t="b">
        <v>0</v>
      </c>
      <c r="L768" s="6" t="b">
        <v>1</v>
      </c>
      <c r="M768" s="6" t="b">
        <v>0</v>
      </c>
      <c r="N768" s="6">
        <v>0</v>
      </c>
      <c r="O768" s="8" t="s">
        <v>331</v>
      </c>
      <c r="P768" s="8" t="s">
        <v>238</v>
      </c>
      <c r="Q768" s="8" t="s">
        <v>481</v>
      </c>
      <c r="R768" s="6">
        <v>1</v>
      </c>
      <c r="S768" s="8" t="s">
        <v>523</v>
      </c>
      <c r="T768" s="9"/>
      <c r="U768" s="8" t="s">
        <v>240</v>
      </c>
      <c r="V768" s="8" t="s">
        <v>482</v>
      </c>
      <c r="W768" s="8" t="s">
        <v>386</v>
      </c>
      <c r="X768" s="8" t="s">
        <v>240</v>
      </c>
      <c r="Y768" s="8" t="s">
        <v>240</v>
      </c>
      <c r="Z768" s="6" t="b">
        <v>0</v>
      </c>
      <c r="AA768" s="9"/>
      <c r="AB768" s="9"/>
    </row>
    <row r="769" spans="1:28" ht="16">
      <c r="A769" s="6">
        <v>857</v>
      </c>
      <c r="B769" s="8" t="s">
        <v>198</v>
      </c>
      <c r="C769" s="8" t="s">
        <v>156</v>
      </c>
      <c r="D769" s="8" t="s">
        <v>1448</v>
      </c>
      <c r="E769" s="8" t="s">
        <v>1444</v>
      </c>
      <c r="F769" s="6">
        <v>854</v>
      </c>
      <c r="G769" s="6" t="b">
        <v>0</v>
      </c>
      <c r="H769" s="8" t="s">
        <v>480</v>
      </c>
      <c r="I769" s="6" t="b">
        <v>0</v>
      </c>
      <c r="J769" s="6" t="b">
        <v>0</v>
      </c>
      <c r="K769" s="6" t="b">
        <v>0</v>
      </c>
      <c r="L769" s="6" t="b">
        <v>1</v>
      </c>
      <c r="M769" s="6" t="b">
        <v>0</v>
      </c>
      <c r="N769" s="6">
        <v>0</v>
      </c>
      <c r="O769" s="8" t="s">
        <v>331</v>
      </c>
      <c r="P769" s="8" t="s">
        <v>238</v>
      </c>
      <c r="Q769" s="8" t="s">
        <v>335</v>
      </c>
      <c r="R769" s="6">
        <v>0</v>
      </c>
      <c r="S769" s="8" t="s">
        <v>347</v>
      </c>
      <c r="T769" s="6">
        <v>0</v>
      </c>
      <c r="U769" s="8" t="s">
        <v>240</v>
      </c>
      <c r="V769" s="8" t="s">
        <v>482</v>
      </c>
      <c r="W769" s="8" t="s">
        <v>386</v>
      </c>
      <c r="X769" s="8" t="s">
        <v>240</v>
      </c>
      <c r="Y769" s="8" t="s">
        <v>1449</v>
      </c>
      <c r="Z769" s="6" t="b">
        <v>0</v>
      </c>
      <c r="AA769" s="9"/>
      <c r="AB769" s="9"/>
    </row>
    <row r="770" spans="1:28" ht="32">
      <c r="A770" s="6">
        <v>858</v>
      </c>
      <c r="B770" s="8" t="s">
        <v>198</v>
      </c>
      <c r="C770" s="8" t="s">
        <v>156</v>
      </c>
      <c r="D770" s="8" t="s">
        <v>1450</v>
      </c>
      <c r="E770" s="8" t="s">
        <v>1444</v>
      </c>
      <c r="F770" s="6">
        <v>854</v>
      </c>
      <c r="G770" s="6" t="b">
        <v>0</v>
      </c>
      <c r="H770" s="8" t="s">
        <v>480</v>
      </c>
      <c r="I770" s="6" t="b">
        <v>0</v>
      </c>
      <c r="J770" s="6" t="b">
        <v>0</v>
      </c>
      <c r="K770" s="6" t="b">
        <v>0</v>
      </c>
      <c r="L770" s="6" t="b">
        <v>1</v>
      </c>
      <c r="M770" s="6" t="b">
        <v>0</v>
      </c>
      <c r="N770" s="6">
        <v>0</v>
      </c>
      <c r="O770" s="8" t="s">
        <v>331</v>
      </c>
      <c r="P770" s="8" t="s">
        <v>238</v>
      </c>
      <c r="Q770" s="8" t="s">
        <v>335</v>
      </c>
      <c r="R770" s="6">
        <v>1</v>
      </c>
      <c r="S770" s="8" t="s">
        <v>523</v>
      </c>
      <c r="T770" s="6">
        <v>1</v>
      </c>
      <c r="U770" s="8" t="s">
        <v>240</v>
      </c>
      <c r="V770" s="8" t="s">
        <v>482</v>
      </c>
      <c r="W770" s="8" t="s">
        <v>386</v>
      </c>
      <c r="X770" s="8" t="s">
        <v>240</v>
      </c>
      <c r="Y770" s="8" t="s">
        <v>240</v>
      </c>
      <c r="Z770" s="6" t="b">
        <v>0</v>
      </c>
      <c r="AA770" s="9"/>
      <c r="AB770" s="9"/>
    </row>
    <row r="771" spans="1:28" ht="32">
      <c r="A771" s="6">
        <v>859</v>
      </c>
      <c r="B771" s="8" t="s">
        <v>198</v>
      </c>
      <c r="C771" s="8" t="s">
        <v>156</v>
      </c>
      <c r="D771" s="8" t="s">
        <v>1451</v>
      </c>
      <c r="E771" s="8" t="s">
        <v>1444</v>
      </c>
      <c r="F771" s="6">
        <v>854</v>
      </c>
      <c r="G771" s="6" t="b">
        <v>0</v>
      </c>
      <c r="H771" s="8" t="s">
        <v>480</v>
      </c>
      <c r="I771" s="6" t="b">
        <v>0</v>
      </c>
      <c r="J771" s="6" t="b">
        <v>0</v>
      </c>
      <c r="K771" s="6" t="b">
        <v>0</v>
      </c>
      <c r="L771" s="6" t="b">
        <v>1</v>
      </c>
      <c r="M771" s="6" t="b">
        <v>0</v>
      </c>
      <c r="N771" s="6">
        <v>0</v>
      </c>
      <c r="O771" s="8" t="s">
        <v>331</v>
      </c>
      <c r="P771" s="8" t="s">
        <v>238</v>
      </c>
      <c r="Q771" s="8" t="s">
        <v>481</v>
      </c>
      <c r="R771" s="6">
        <v>1</v>
      </c>
      <c r="S771" s="8" t="s">
        <v>523</v>
      </c>
      <c r="T771" s="9"/>
      <c r="U771" s="8" t="s">
        <v>240</v>
      </c>
      <c r="V771" s="8" t="s">
        <v>482</v>
      </c>
      <c r="W771" s="8" t="s">
        <v>386</v>
      </c>
      <c r="X771" s="8" t="s">
        <v>240</v>
      </c>
      <c r="Y771" s="8" t="s">
        <v>240</v>
      </c>
      <c r="Z771" s="6" t="b">
        <v>0</v>
      </c>
      <c r="AA771" s="9"/>
      <c r="AB771" s="9"/>
    </row>
    <row r="772" spans="1:28" ht="32">
      <c r="A772" s="6">
        <v>860</v>
      </c>
      <c r="B772" s="8" t="s">
        <v>198</v>
      </c>
      <c r="C772" s="8" t="s">
        <v>156</v>
      </c>
      <c r="D772" s="8" t="s">
        <v>1452</v>
      </c>
      <c r="E772" s="8" t="s">
        <v>1444</v>
      </c>
      <c r="F772" s="6">
        <v>854</v>
      </c>
      <c r="G772" s="6" t="b">
        <v>0</v>
      </c>
      <c r="H772" s="8" t="s">
        <v>480</v>
      </c>
      <c r="I772" s="6" t="b">
        <v>0</v>
      </c>
      <c r="J772" s="6" t="b">
        <v>0</v>
      </c>
      <c r="K772" s="6" t="b">
        <v>0</v>
      </c>
      <c r="L772" s="6" t="b">
        <v>1</v>
      </c>
      <c r="M772" s="6" t="b">
        <v>0</v>
      </c>
      <c r="N772" s="6">
        <v>0</v>
      </c>
      <c r="O772" s="8" t="s">
        <v>331</v>
      </c>
      <c r="P772" s="8" t="s">
        <v>238</v>
      </c>
      <c r="Q772" s="8" t="s">
        <v>481</v>
      </c>
      <c r="R772" s="6">
        <v>1</v>
      </c>
      <c r="S772" s="8" t="s">
        <v>523</v>
      </c>
      <c r="T772" s="9"/>
      <c r="U772" s="8" t="s">
        <v>240</v>
      </c>
      <c r="V772" s="8" t="s">
        <v>482</v>
      </c>
      <c r="W772" s="8" t="s">
        <v>386</v>
      </c>
      <c r="X772" s="8" t="s">
        <v>240</v>
      </c>
      <c r="Y772" s="8" t="s">
        <v>240</v>
      </c>
      <c r="Z772" s="6" t="b">
        <v>0</v>
      </c>
      <c r="AA772" s="9"/>
      <c r="AB772" s="9"/>
    </row>
    <row r="773" spans="1:28" ht="16">
      <c r="A773" s="6">
        <v>861</v>
      </c>
      <c r="B773" s="8" t="s">
        <v>198</v>
      </c>
      <c r="C773" s="8" t="s">
        <v>156</v>
      </c>
      <c r="D773" s="8" t="s">
        <v>1453</v>
      </c>
      <c r="E773" s="8" t="s">
        <v>1444</v>
      </c>
      <c r="F773" s="6">
        <v>854</v>
      </c>
      <c r="G773" s="6" t="b">
        <v>0</v>
      </c>
      <c r="H773" s="8" t="s">
        <v>480</v>
      </c>
      <c r="I773" s="6" t="b">
        <v>0</v>
      </c>
      <c r="J773" s="6" t="b">
        <v>0</v>
      </c>
      <c r="K773" s="6" t="b">
        <v>0</v>
      </c>
      <c r="L773" s="6" t="b">
        <v>1</v>
      </c>
      <c r="M773" s="6" t="b">
        <v>0</v>
      </c>
      <c r="N773" s="6">
        <v>0</v>
      </c>
      <c r="O773" s="8" t="s">
        <v>331</v>
      </c>
      <c r="P773" s="8" t="s">
        <v>238</v>
      </c>
      <c r="Q773" s="8" t="s">
        <v>335</v>
      </c>
      <c r="R773" s="6">
        <v>1</v>
      </c>
      <c r="S773" s="8" t="s">
        <v>523</v>
      </c>
      <c r="T773" s="6">
        <v>1</v>
      </c>
      <c r="U773" s="8" t="s">
        <v>240</v>
      </c>
      <c r="V773" s="8" t="s">
        <v>482</v>
      </c>
      <c r="W773" s="8" t="s">
        <v>386</v>
      </c>
      <c r="X773" s="8" t="s">
        <v>240</v>
      </c>
      <c r="Y773" s="8" t="s">
        <v>240</v>
      </c>
      <c r="Z773" s="6" t="b">
        <v>0</v>
      </c>
      <c r="AA773" s="9"/>
      <c r="AB773" s="9"/>
    </row>
    <row r="774" spans="1:28" ht="16">
      <c r="A774" s="6">
        <v>862</v>
      </c>
      <c r="B774" s="8" t="s">
        <v>198</v>
      </c>
      <c r="C774" s="8" t="s">
        <v>156</v>
      </c>
      <c r="D774" s="8" t="s">
        <v>1454</v>
      </c>
      <c r="E774" s="8" t="s">
        <v>1444</v>
      </c>
      <c r="F774" s="6">
        <v>854</v>
      </c>
      <c r="G774" s="6" t="b">
        <v>0</v>
      </c>
      <c r="H774" s="8" t="s">
        <v>480</v>
      </c>
      <c r="I774" s="6" t="b">
        <v>0</v>
      </c>
      <c r="J774" s="6" t="b">
        <v>0</v>
      </c>
      <c r="K774" s="6" t="b">
        <v>0</v>
      </c>
      <c r="L774" s="6" t="b">
        <v>1</v>
      </c>
      <c r="M774" s="6" t="b">
        <v>0</v>
      </c>
      <c r="N774" s="6">
        <v>0</v>
      </c>
      <c r="O774" s="8" t="s">
        <v>331</v>
      </c>
      <c r="P774" s="8" t="s">
        <v>238</v>
      </c>
      <c r="Q774" s="8" t="s">
        <v>335</v>
      </c>
      <c r="R774" s="6">
        <v>1</v>
      </c>
      <c r="S774" s="8" t="s">
        <v>335</v>
      </c>
      <c r="T774" s="6">
        <v>1</v>
      </c>
      <c r="U774" s="8" t="s">
        <v>240</v>
      </c>
      <c r="V774" s="8" t="s">
        <v>482</v>
      </c>
      <c r="W774" s="8" t="s">
        <v>386</v>
      </c>
      <c r="X774" s="8" t="s">
        <v>240</v>
      </c>
      <c r="Y774" s="8" t="s">
        <v>240</v>
      </c>
      <c r="Z774" s="6" t="b">
        <v>0</v>
      </c>
      <c r="AA774" s="9"/>
      <c r="AB774" s="9"/>
    </row>
    <row r="775" spans="1:28" ht="16">
      <c r="A775" s="6">
        <v>863</v>
      </c>
      <c r="B775" s="8" t="s">
        <v>198</v>
      </c>
      <c r="C775" s="8" t="s">
        <v>156</v>
      </c>
      <c r="D775" s="8" t="s">
        <v>156</v>
      </c>
      <c r="E775" s="8" t="s">
        <v>156</v>
      </c>
      <c r="F775" s="6">
        <v>863</v>
      </c>
      <c r="G775" s="6" t="b">
        <v>0</v>
      </c>
      <c r="H775" s="8" t="s">
        <v>480</v>
      </c>
      <c r="I775" s="6" t="b">
        <v>0</v>
      </c>
      <c r="J775" s="6" t="b">
        <v>0</v>
      </c>
      <c r="K775" s="6" t="b">
        <v>0</v>
      </c>
      <c r="L775" s="6" t="b">
        <v>1</v>
      </c>
      <c r="M775" s="6" t="b">
        <v>0</v>
      </c>
      <c r="N775" s="6">
        <v>0</v>
      </c>
      <c r="O775" s="8" t="s">
        <v>331</v>
      </c>
      <c r="P775" s="8" t="s">
        <v>238</v>
      </c>
      <c r="Q775" s="8" t="s">
        <v>381</v>
      </c>
      <c r="R775" s="6">
        <v>0</v>
      </c>
      <c r="S775" s="8" t="s">
        <v>331</v>
      </c>
      <c r="T775" s="9"/>
      <c r="U775" s="8" t="s">
        <v>240</v>
      </c>
      <c r="V775" s="8" t="s">
        <v>482</v>
      </c>
      <c r="W775" s="8" t="s">
        <v>240</v>
      </c>
      <c r="X775" s="8" t="s">
        <v>240</v>
      </c>
      <c r="Y775" s="8" t="s">
        <v>240</v>
      </c>
      <c r="Z775" s="6" t="b">
        <v>0</v>
      </c>
      <c r="AA775" s="9"/>
      <c r="AB775" s="9"/>
    </row>
    <row r="776" spans="1:28" ht="16">
      <c r="A776" s="6">
        <v>864</v>
      </c>
      <c r="B776" s="8" t="s">
        <v>198</v>
      </c>
      <c r="C776" s="8" t="s">
        <v>1259</v>
      </c>
      <c r="D776" s="8" t="s">
        <v>1455</v>
      </c>
      <c r="E776" s="8" t="s">
        <v>1455</v>
      </c>
      <c r="F776" s="6">
        <v>864</v>
      </c>
      <c r="G776" s="6" t="b">
        <v>0</v>
      </c>
      <c r="H776" s="8" t="s">
        <v>480</v>
      </c>
      <c r="I776" s="6" t="b">
        <v>0</v>
      </c>
      <c r="J776" s="6" t="b">
        <v>0</v>
      </c>
      <c r="K776" s="6" t="b">
        <v>0</v>
      </c>
      <c r="L776" s="6" t="b">
        <v>1</v>
      </c>
      <c r="M776" s="6" t="b">
        <v>0</v>
      </c>
      <c r="N776" s="6">
        <v>3</v>
      </c>
      <c r="O776" s="8" t="s">
        <v>331</v>
      </c>
      <c r="P776" s="8" t="s">
        <v>380</v>
      </c>
      <c r="Q776" s="8" t="s">
        <v>446</v>
      </c>
      <c r="R776" s="6">
        <v>3</v>
      </c>
      <c r="S776" s="8" t="s">
        <v>75</v>
      </c>
      <c r="T776" s="9"/>
      <c r="U776" s="8" t="s">
        <v>1261</v>
      </c>
      <c r="V776" s="8" t="s">
        <v>450</v>
      </c>
      <c r="W776" s="8" t="s">
        <v>240</v>
      </c>
      <c r="X776" s="8" t="s">
        <v>240</v>
      </c>
      <c r="Y776" s="8" t="s">
        <v>1456</v>
      </c>
      <c r="Z776" s="6" t="b">
        <v>0</v>
      </c>
      <c r="AA776" s="9"/>
      <c r="AB776" s="9"/>
    </row>
    <row r="777" spans="1:28" ht="16">
      <c r="A777" s="6">
        <v>865</v>
      </c>
      <c r="B777" s="8" t="s">
        <v>198</v>
      </c>
      <c r="C777" s="8" t="s">
        <v>1259</v>
      </c>
      <c r="D777" s="8" t="s">
        <v>1259</v>
      </c>
      <c r="E777" s="8" t="s">
        <v>1259</v>
      </c>
      <c r="F777" s="6">
        <v>865</v>
      </c>
      <c r="G777" s="6" t="b">
        <v>0</v>
      </c>
      <c r="H777" s="8" t="s">
        <v>480</v>
      </c>
      <c r="I777" s="6" t="b">
        <v>0</v>
      </c>
      <c r="J777" s="6" t="b">
        <v>0</v>
      </c>
      <c r="K777" s="6" t="b">
        <v>0</v>
      </c>
      <c r="L777" s="6" t="b">
        <v>1</v>
      </c>
      <c r="M777" s="6" t="b">
        <v>0</v>
      </c>
      <c r="N777" s="6">
        <v>3</v>
      </c>
      <c r="O777" s="8" t="s">
        <v>331</v>
      </c>
      <c r="P777" s="8" t="s">
        <v>380</v>
      </c>
      <c r="Q777" s="8" t="s">
        <v>381</v>
      </c>
      <c r="R777" s="6">
        <v>3</v>
      </c>
      <c r="S777" s="8" t="s">
        <v>331</v>
      </c>
      <c r="T777" s="9"/>
      <c r="U777" s="8" t="s">
        <v>240</v>
      </c>
      <c r="V777" s="8" t="s">
        <v>450</v>
      </c>
      <c r="W777" s="8" t="s">
        <v>240</v>
      </c>
      <c r="X777" s="8" t="s">
        <v>240</v>
      </c>
      <c r="Y777" s="8" t="s">
        <v>240</v>
      </c>
      <c r="Z777" s="6" t="b">
        <v>0</v>
      </c>
      <c r="AA777" s="9"/>
      <c r="AB777" s="9"/>
    </row>
    <row r="778" spans="1:28" ht="16">
      <c r="A778" s="6">
        <v>866</v>
      </c>
      <c r="B778" s="8" t="s">
        <v>198</v>
      </c>
      <c r="C778" s="8" t="s">
        <v>1263</v>
      </c>
      <c r="D778" s="8" t="s">
        <v>1457</v>
      </c>
      <c r="E778" s="8" t="s">
        <v>1457</v>
      </c>
      <c r="F778" s="6">
        <v>866</v>
      </c>
      <c r="G778" s="6" t="b">
        <v>0</v>
      </c>
      <c r="H778" s="8" t="s">
        <v>480</v>
      </c>
      <c r="I778" s="6" t="b">
        <v>0</v>
      </c>
      <c r="J778" s="6" t="b">
        <v>0</v>
      </c>
      <c r="K778" s="6" t="b">
        <v>0</v>
      </c>
      <c r="L778" s="6" t="b">
        <v>1</v>
      </c>
      <c r="M778" s="6" t="b">
        <v>0</v>
      </c>
      <c r="N778" s="6">
        <v>4</v>
      </c>
      <c r="O778" s="8" t="s">
        <v>331</v>
      </c>
      <c r="P778" s="8" t="s">
        <v>1458</v>
      </c>
      <c r="Q778" s="8" t="s">
        <v>1369</v>
      </c>
      <c r="R778" s="6">
        <v>2</v>
      </c>
      <c r="S778" s="8" t="s">
        <v>347</v>
      </c>
      <c r="T778" s="9"/>
      <c r="U778" s="8" t="s">
        <v>240</v>
      </c>
      <c r="V778" s="8" t="s">
        <v>482</v>
      </c>
      <c r="W778" s="8" t="s">
        <v>240</v>
      </c>
      <c r="X778" s="8" t="s">
        <v>240</v>
      </c>
      <c r="Y778" s="8" t="s">
        <v>240</v>
      </c>
      <c r="Z778" s="6" t="b">
        <v>0</v>
      </c>
      <c r="AA778" s="9"/>
      <c r="AB778" s="9"/>
    </row>
    <row r="779" spans="1:28" ht="16">
      <c r="A779" s="6">
        <v>867</v>
      </c>
      <c r="B779" s="8" t="s">
        <v>198</v>
      </c>
      <c r="C779" s="8" t="s">
        <v>89</v>
      </c>
      <c r="D779" s="8" t="s">
        <v>1459</v>
      </c>
      <c r="E779" s="8" t="s">
        <v>1459</v>
      </c>
      <c r="F779" s="6">
        <v>867</v>
      </c>
      <c r="G779" s="6" t="b">
        <v>0</v>
      </c>
      <c r="H779" s="8" t="s">
        <v>480</v>
      </c>
      <c r="I779" s="6" t="b">
        <v>0</v>
      </c>
      <c r="J779" s="6" t="b">
        <v>0</v>
      </c>
      <c r="K779" s="6" t="b">
        <v>0</v>
      </c>
      <c r="L779" s="6" t="b">
        <v>1</v>
      </c>
      <c r="M779" s="6" t="b">
        <v>0</v>
      </c>
      <c r="N779" s="6">
        <v>4</v>
      </c>
      <c r="O779" s="8" t="s">
        <v>331</v>
      </c>
      <c r="P779" s="8" t="s">
        <v>255</v>
      </c>
      <c r="Q779" s="8" t="s">
        <v>446</v>
      </c>
      <c r="R779" s="6">
        <v>4</v>
      </c>
      <c r="S779" s="8" t="s">
        <v>347</v>
      </c>
      <c r="T779" s="9"/>
      <c r="U779" s="8" t="s">
        <v>1291</v>
      </c>
      <c r="V779" s="8" t="s">
        <v>482</v>
      </c>
      <c r="W779" s="8" t="s">
        <v>240</v>
      </c>
      <c r="X779" s="8" t="s">
        <v>240</v>
      </c>
      <c r="Y779" s="8" t="s">
        <v>240</v>
      </c>
      <c r="Z779" s="6" t="b">
        <v>0</v>
      </c>
      <c r="AA779" s="9"/>
      <c r="AB779" s="9"/>
    </row>
    <row r="780" spans="1:28" ht="32">
      <c r="A780" s="6">
        <v>868</v>
      </c>
      <c r="B780" s="8" t="s">
        <v>198</v>
      </c>
      <c r="C780" s="8" t="s">
        <v>89</v>
      </c>
      <c r="D780" s="8" t="s">
        <v>1460</v>
      </c>
      <c r="E780" s="8" t="s">
        <v>1459</v>
      </c>
      <c r="F780" s="6">
        <v>867</v>
      </c>
      <c r="G780" s="6" t="b">
        <v>0</v>
      </c>
      <c r="H780" s="8" t="s">
        <v>480</v>
      </c>
      <c r="I780" s="6" t="b">
        <v>0</v>
      </c>
      <c r="J780" s="6" t="b">
        <v>0</v>
      </c>
      <c r="K780" s="6" t="b">
        <v>0</v>
      </c>
      <c r="L780" s="6" t="b">
        <v>1</v>
      </c>
      <c r="M780" s="6" t="b">
        <v>0</v>
      </c>
      <c r="N780" s="6">
        <v>4</v>
      </c>
      <c r="O780" s="8" t="s">
        <v>331</v>
      </c>
      <c r="P780" s="8" t="s">
        <v>255</v>
      </c>
      <c r="Q780" s="8" t="s">
        <v>446</v>
      </c>
      <c r="R780" s="6">
        <v>3</v>
      </c>
      <c r="S780" s="8" t="s">
        <v>347</v>
      </c>
      <c r="T780" s="9"/>
      <c r="U780" s="8" t="s">
        <v>1293</v>
      </c>
      <c r="V780" s="8" t="s">
        <v>482</v>
      </c>
      <c r="W780" s="8" t="s">
        <v>240</v>
      </c>
      <c r="X780" s="8" t="s">
        <v>240</v>
      </c>
      <c r="Y780" s="8" t="s">
        <v>240</v>
      </c>
      <c r="Z780" s="6" t="b">
        <v>0</v>
      </c>
      <c r="AA780" s="9"/>
      <c r="AB780" s="9"/>
    </row>
    <row r="781" spans="1:28" ht="32">
      <c r="A781" s="6">
        <v>869</v>
      </c>
      <c r="B781" s="8" t="s">
        <v>198</v>
      </c>
      <c r="C781" s="8" t="s">
        <v>89</v>
      </c>
      <c r="D781" s="8" t="s">
        <v>1461</v>
      </c>
      <c r="E781" s="8" t="s">
        <v>1459</v>
      </c>
      <c r="F781" s="6">
        <v>867</v>
      </c>
      <c r="G781" s="6" t="b">
        <v>0</v>
      </c>
      <c r="H781" s="8" t="s">
        <v>480</v>
      </c>
      <c r="I781" s="6" t="b">
        <v>0</v>
      </c>
      <c r="J781" s="6" t="b">
        <v>0</v>
      </c>
      <c r="K781" s="6" t="b">
        <v>0</v>
      </c>
      <c r="L781" s="6" t="b">
        <v>1</v>
      </c>
      <c r="M781" s="6" t="b">
        <v>0</v>
      </c>
      <c r="N781" s="6">
        <v>4</v>
      </c>
      <c r="O781" s="8" t="s">
        <v>331</v>
      </c>
      <c r="P781" s="8" t="s">
        <v>255</v>
      </c>
      <c r="Q781" s="8" t="s">
        <v>446</v>
      </c>
      <c r="R781" s="6">
        <v>6</v>
      </c>
      <c r="S781" s="8" t="s">
        <v>347</v>
      </c>
      <c r="T781" s="9"/>
      <c r="U781" s="8" t="s">
        <v>1301</v>
      </c>
      <c r="V781" s="8" t="s">
        <v>482</v>
      </c>
      <c r="W781" s="8" t="s">
        <v>240</v>
      </c>
      <c r="X781" s="8" t="s">
        <v>240</v>
      </c>
      <c r="Y781" s="8" t="s">
        <v>240</v>
      </c>
      <c r="Z781" s="6" t="b">
        <v>0</v>
      </c>
      <c r="AA781" s="9"/>
      <c r="AB781" s="9"/>
    </row>
    <row r="782" spans="1:28" ht="32">
      <c r="A782" s="6">
        <v>870</v>
      </c>
      <c r="B782" s="8" t="s">
        <v>198</v>
      </c>
      <c r="C782" s="8" t="s">
        <v>89</v>
      </c>
      <c r="D782" s="8" t="s">
        <v>1462</v>
      </c>
      <c r="E782" s="8" t="s">
        <v>1459</v>
      </c>
      <c r="F782" s="6">
        <v>867</v>
      </c>
      <c r="G782" s="6" t="b">
        <v>0</v>
      </c>
      <c r="H782" s="8" t="s">
        <v>480</v>
      </c>
      <c r="I782" s="6" t="b">
        <v>0</v>
      </c>
      <c r="J782" s="6" t="b">
        <v>0</v>
      </c>
      <c r="K782" s="6" t="b">
        <v>0</v>
      </c>
      <c r="L782" s="6" t="b">
        <v>1</v>
      </c>
      <c r="M782" s="6" t="b">
        <v>0</v>
      </c>
      <c r="N782" s="6">
        <v>4</v>
      </c>
      <c r="O782" s="8" t="s">
        <v>331</v>
      </c>
      <c r="P782" s="8" t="s">
        <v>255</v>
      </c>
      <c r="Q782" s="8" t="s">
        <v>446</v>
      </c>
      <c r="R782" s="6">
        <v>5</v>
      </c>
      <c r="S782" s="8" t="s">
        <v>347</v>
      </c>
      <c r="T782" s="6">
        <v>6</v>
      </c>
      <c r="U782" s="8" t="s">
        <v>1295</v>
      </c>
      <c r="V782" s="8" t="s">
        <v>482</v>
      </c>
      <c r="W782" s="8" t="s">
        <v>240</v>
      </c>
      <c r="X782" s="8" t="s">
        <v>240</v>
      </c>
      <c r="Y782" s="8" t="s">
        <v>240</v>
      </c>
      <c r="Z782" s="6" t="b">
        <v>0</v>
      </c>
      <c r="AA782" s="9"/>
      <c r="AB782" s="9"/>
    </row>
    <row r="783" spans="1:28" ht="32">
      <c r="A783" s="6">
        <v>871</v>
      </c>
      <c r="B783" s="8" t="s">
        <v>198</v>
      </c>
      <c r="C783" s="8" t="s">
        <v>89</v>
      </c>
      <c r="D783" s="8" t="s">
        <v>1463</v>
      </c>
      <c r="E783" s="8" t="s">
        <v>1459</v>
      </c>
      <c r="F783" s="6">
        <v>867</v>
      </c>
      <c r="G783" s="6" t="b">
        <v>0</v>
      </c>
      <c r="H783" s="8" t="s">
        <v>480</v>
      </c>
      <c r="I783" s="6" t="b">
        <v>0</v>
      </c>
      <c r="J783" s="6" t="b">
        <v>0</v>
      </c>
      <c r="K783" s="6" t="b">
        <v>0</v>
      </c>
      <c r="L783" s="6" t="b">
        <v>1</v>
      </c>
      <c r="M783" s="6" t="b">
        <v>0</v>
      </c>
      <c r="N783" s="6">
        <v>4</v>
      </c>
      <c r="O783" s="8" t="s">
        <v>331</v>
      </c>
      <c r="P783" s="8" t="s">
        <v>255</v>
      </c>
      <c r="Q783" s="8" t="s">
        <v>446</v>
      </c>
      <c r="R783" s="6">
        <v>2</v>
      </c>
      <c r="S783" s="8" t="s">
        <v>347</v>
      </c>
      <c r="T783" s="6">
        <v>6</v>
      </c>
      <c r="U783" s="8" t="s">
        <v>1298</v>
      </c>
      <c r="V783" s="8" t="s">
        <v>482</v>
      </c>
      <c r="W783" s="8" t="s">
        <v>240</v>
      </c>
      <c r="X783" s="8" t="s">
        <v>240</v>
      </c>
      <c r="Y783" s="8" t="s">
        <v>1464</v>
      </c>
      <c r="Z783" s="6" t="b">
        <v>0</v>
      </c>
      <c r="AA783" s="9"/>
      <c r="AB783" s="9"/>
    </row>
    <row r="784" spans="1:28" ht="32">
      <c r="A784" s="6">
        <v>872</v>
      </c>
      <c r="B784" s="8" t="s">
        <v>198</v>
      </c>
      <c r="C784" s="8" t="s">
        <v>89</v>
      </c>
      <c r="D784" s="8" t="s">
        <v>1465</v>
      </c>
      <c r="E784" s="8" t="s">
        <v>1459</v>
      </c>
      <c r="F784" s="6">
        <v>867</v>
      </c>
      <c r="G784" s="6" t="b">
        <v>0</v>
      </c>
      <c r="H784" s="8" t="s">
        <v>480</v>
      </c>
      <c r="I784" s="6" t="b">
        <v>0</v>
      </c>
      <c r="J784" s="6" t="b">
        <v>0</v>
      </c>
      <c r="K784" s="6" t="b">
        <v>0</v>
      </c>
      <c r="L784" s="6" t="b">
        <v>1</v>
      </c>
      <c r="M784" s="6" t="b">
        <v>0</v>
      </c>
      <c r="N784" s="6">
        <v>4</v>
      </c>
      <c r="O784" s="8" t="s">
        <v>331</v>
      </c>
      <c r="P784" s="8" t="s">
        <v>255</v>
      </c>
      <c r="Q784" s="8" t="s">
        <v>446</v>
      </c>
      <c r="R784" s="6">
        <v>4</v>
      </c>
      <c r="S784" s="8" t="s">
        <v>75</v>
      </c>
      <c r="T784" s="9"/>
      <c r="U784" s="8" t="s">
        <v>240</v>
      </c>
      <c r="V784" s="8" t="s">
        <v>240</v>
      </c>
      <c r="W784" s="8" t="s">
        <v>240</v>
      </c>
      <c r="X784" s="8" t="s">
        <v>240</v>
      </c>
      <c r="Y784" s="8" t="s">
        <v>1466</v>
      </c>
      <c r="Z784" s="6" t="b">
        <v>0</v>
      </c>
      <c r="AA784" s="9"/>
      <c r="AB784" s="9"/>
    </row>
    <row r="785" spans="1:28" ht="32">
      <c r="A785" s="6">
        <v>873</v>
      </c>
      <c r="B785" s="8" t="s">
        <v>198</v>
      </c>
      <c r="C785" s="8" t="s">
        <v>89</v>
      </c>
      <c r="D785" s="8" t="s">
        <v>1467</v>
      </c>
      <c r="E785" s="8" t="s">
        <v>1459</v>
      </c>
      <c r="F785" s="6">
        <v>867</v>
      </c>
      <c r="G785" s="6" t="b">
        <v>0</v>
      </c>
      <c r="H785" s="8" t="s">
        <v>480</v>
      </c>
      <c r="I785" s="6" t="b">
        <v>0</v>
      </c>
      <c r="J785" s="6" t="b">
        <v>0</v>
      </c>
      <c r="K785" s="6" t="b">
        <v>0</v>
      </c>
      <c r="L785" s="6" t="b">
        <v>1</v>
      </c>
      <c r="M785" s="6" t="b">
        <v>0</v>
      </c>
      <c r="N785" s="6">
        <v>4</v>
      </c>
      <c r="O785" s="8" t="s">
        <v>331</v>
      </c>
      <c r="P785" s="8" t="s">
        <v>255</v>
      </c>
      <c r="Q785" s="8" t="s">
        <v>446</v>
      </c>
      <c r="R785" s="6">
        <v>4</v>
      </c>
      <c r="S785" s="8" t="s">
        <v>347</v>
      </c>
      <c r="T785" s="6">
        <v>4</v>
      </c>
      <c r="U785" s="8" t="s">
        <v>1303</v>
      </c>
      <c r="V785" s="8" t="s">
        <v>482</v>
      </c>
      <c r="W785" s="8" t="s">
        <v>240</v>
      </c>
      <c r="X785" s="8" t="s">
        <v>240</v>
      </c>
      <c r="Y785" s="8" t="s">
        <v>240</v>
      </c>
      <c r="Z785" s="6" t="b">
        <v>0</v>
      </c>
      <c r="AA785" s="9"/>
      <c r="AB785" s="9"/>
    </row>
    <row r="786" spans="1:28" ht="32">
      <c r="A786" s="6">
        <v>874</v>
      </c>
      <c r="B786" s="8" t="s">
        <v>198</v>
      </c>
      <c r="C786" s="8" t="s">
        <v>89</v>
      </c>
      <c r="D786" s="8" t="s">
        <v>1468</v>
      </c>
      <c r="E786" s="8" t="s">
        <v>1459</v>
      </c>
      <c r="F786" s="6">
        <v>867</v>
      </c>
      <c r="G786" s="6" t="b">
        <v>0</v>
      </c>
      <c r="H786" s="8" t="s">
        <v>480</v>
      </c>
      <c r="I786" s="6" t="b">
        <v>0</v>
      </c>
      <c r="J786" s="6" t="b">
        <v>0</v>
      </c>
      <c r="K786" s="6" t="b">
        <v>0</v>
      </c>
      <c r="L786" s="6" t="b">
        <v>1</v>
      </c>
      <c r="M786" s="6" t="b">
        <v>0</v>
      </c>
      <c r="N786" s="6">
        <v>4</v>
      </c>
      <c r="O786" s="8" t="s">
        <v>331</v>
      </c>
      <c r="P786" s="8" t="s">
        <v>255</v>
      </c>
      <c r="Q786" s="8" t="s">
        <v>446</v>
      </c>
      <c r="R786" s="6">
        <v>1</v>
      </c>
      <c r="S786" s="8" t="s">
        <v>347</v>
      </c>
      <c r="T786" s="6">
        <v>6</v>
      </c>
      <c r="U786" s="8" t="s">
        <v>1306</v>
      </c>
      <c r="V786" s="8" t="s">
        <v>482</v>
      </c>
      <c r="W786" s="8" t="s">
        <v>240</v>
      </c>
      <c r="X786" s="8" t="s">
        <v>240</v>
      </c>
      <c r="Y786" s="8" t="s">
        <v>1469</v>
      </c>
      <c r="Z786" s="6" t="b">
        <v>0</v>
      </c>
      <c r="AA786" s="9"/>
      <c r="AB786" s="9"/>
    </row>
    <row r="787" spans="1:28" ht="16">
      <c r="A787" s="6">
        <v>875</v>
      </c>
      <c r="B787" s="8" t="s">
        <v>198</v>
      </c>
      <c r="C787" s="8" t="s">
        <v>129</v>
      </c>
      <c r="D787" s="8" t="s">
        <v>1470</v>
      </c>
      <c r="E787" s="8" t="s">
        <v>1470</v>
      </c>
      <c r="F787" s="6">
        <v>875</v>
      </c>
      <c r="G787" s="6" t="b">
        <v>0</v>
      </c>
      <c r="H787" s="8" t="s">
        <v>480</v>
      </c>
      <c r="I787" s="6" t="b">
        <v>0</v>
      </c>
      <c r="J787" s="6" t="b">
        <v>0</v>
      </c>
      <c r="K787" s="6" t="b">
        <v>0</v>
      </c>
      <c r="L787" s="6" t="b">
        <v>1</v>
      </c>
      <c r="M787" s="6" t="b">
        <v>0</v>
      </c>
      <c r="N787" s="6">
        <v>2</v>
      </c>
      <c r="O787" s="8" t="s">
        <v>331</v>
      </c>
      <c r="P787" s="8" t="s">
        <v>350</v>
      </c>
      <c r="Q787" s="8" t="s">
        <v>381</v>
      </c>
      <c r="R787" s="6">
        <v>2</v>
      </c>
      <c r="S787" s="8" t="s">
        <v>75</v>
      </c>
      <c r="T787" s="9"/>
      <c r="U787" s="8" t="s">
        <v>240</v>
      </c>
      <c r="V787" s="8" t="s">
        <v>482</v>
      </c>
      <c r="W787" s="8" t="s">
        <v>240</v>
      </c>
      <c r="X787" s="8" t="s">
        <v>240</v>
      </c>
      <c r="Y787" s="8" t="s">
        <v>240</v>
      </c>
      <c r="Z787" s="6" t="b">
        <v>0</v>
      </c>
      <c r="AA787" s="9"/>
      <c r="AB787" s="9"/>
    </row>
    <row r="788" spans="1:28" ht="16">
      <c r="A788" s="6">
        <v>876</v>
      </c>
      <c r="B788" s="8" t="s">
        <v>198</v>
      </c>
      <c r="C788" s="8" t="s">
        <v>114</v>
      </c>
      <c r="D788" s="8" t="s">
        <v>1471</v>
      </c>
      <c r="E788" s="8" t="s">
        <v>1471</v>
      </c>
      <c r="F788" s="6">
        <v>876</v>
      </c>
      <c r="G788" s="6" t="b">
        <v>0</v>
      </c>
      <c r="H788" s="8" t="s">
        <v>480</v>
      </c>
      <c r="I788" s="6" t="b">
        <v>0</v>
      </c>
      <c r="J788" s="6" t="b">
        <v>0</v>
      </c>
      <c r="K788" s="6" t="b">
        <v>0</v>
      </c>
      <c r="L788" s="6" t="b">
        <v>1</v>
      </c>
      <c r="M788" s="6" t="b">
        <v>0</v>
      </c>
      <c r="N788" s="6">
        <v>1</v>
      </c>
      <c r="O788" s="8" t="s">
        <v>331</v>
      </c>
      <c r="P788" s="8" t="s">
        <v>380</v>
      </c>
      <c r="Q788" s="8" t="s">
        <v>446</v>
      </c>
      <c r="R788" s="6">
        <v>1</v>
      </c>
      <c r="S788" s="8" t="s">
        <v>75</v>
      </c>
      <c r="T788" s="9"/>
      <c r="U788" s="8" t="s">
        <v>240</v>
      </c>
      <c r="V788" s="8" t="s">
        <v>1164</v>
      </c>
      <c r="W788" s="8" t="s">
        <v>386</v>
      </c>
      <c r="X788" s="8" t="s">
        <v>240</v>
      </c>
      <c r="Y788" s="8" t="s">
        <v>240</v>
      </c>
      <c r="Z788" s="6" t="b">
        <v>0</v>
      </c>
      <c r="AA788" s="9"/>
      <c r="AB788" s="9"/>
    </row>
    <row r="789" spans="1:28" ht="32">
      <c r="A789" s="6">
        <v>877</v>
      </c>
      <c r="B789" s="8" t="s">
        <v>198</v>
      </c>
      <c r="C789" s="8" t="s">
        <v>146</v>
      </c>
      <c r="D789" s="8" t="s">
        <v>1472</v>
      </c>
      <c r="E789" s="8" t="s">
        <v>1472</v>
      </c>
      <c r="F789" s="6">
        <v>877</v>
      </c>
      <c r="G789" s="6" t="b">
        <v>0</v>
      </c>
      <c r="H789" s="8" t="s">
        <v>480</v>
      </c>
      <c r="I789" s="6" t="b">
        <v>0</v>
      </c>
      <c r="J789" s="6" t="b">
        <v>0</v>
      </c>
      <c r="K789" s="6" t="b">
        <v>0</v>
      </c>
      <c r="L789" s="6" t="b">
        <v>1</v>
      </c>
      <c r="M789" s="6" t="b">
        <v>0</v>
      </c>
      <c r="N789" s="6">
        <v>4</v>
      </c>
      <c r="O789" s="8" t="s">
        <v>331</v>
      </c>
      <c r="P789" s="8" t="s">
        <v>380</v>
      </c>
      <c r="Q789" s="8" t="s">
        <v>811</v>
      </c>
      <c r="R789" s="6">
        <v>6</v>
      </c>
      <c r="S789" s="8" t="s">
        <v>347</v>
      </c>
      <c r="T789" s="6">
        <v>6</v>
      </c>
      <c r="U789" s="8" t="s">
        <v>240</v>
      </c>
      <c r="V789" s="8" t="s">
        <v>824</v>
      </c>
      <c r="W789" s="8" t="s">
        <v>240</v>
      </c>
      <c r="X789" s="8" t="s">
        <v>240</v>
      </c>
      <c r="Y789" s="8" t="s">
        <v>1473</v>
      </c>
      <c r="Z789" s="6" t="b">
        <v>0</v>
      </c>
      <c r="AA789" s="9"/>
      <c r="AB789" s="9"/>
    </row>
    <row r="790" spans="1:28" ht="32">
      <c r="A790" s="6">
        <v>878</v>
      </c>
      <c r="B790" s="8" t="s">
        <v>198</v>
      </c>
      <c r="C790" s="8" t="s">
        <v>146</v>
      </c>
      <c r="D790" s="8" t="s">
        <v>1474</v>
      </c>
      <c r="E790" s="8" t="s">
        <v>1472</v>
      </c>
      <c r="F790" s="6">
        <v>877</v>
      </c>
      <c r="G790" s="6" t="b">
        <v>0</v>
      </c>
      <c r="H790" s="8" t="s">
        <v>480</v>
      </c>
      <c r="I790" s="6" t="b">
        <v>0</v>
      </c>
      <c r="J790" s="6" t="b">
        <v>0</v>
      </c>
      <c r="K790" s="6" t="b">
        <v>0</v>
      </c>
      <c r="L790" s="6" t="b">
        <v>1</v>
      </c>
      <c r="M790" s="6" t="b">
        <v>0</v>
      </c>
      <c r="N790" s="6">
        <v>4</v>
      </c>
      <c r="O790" s="8" t="s">
        <v>331</v>
      </c>
      <c r="P790" s="8" t="s">
        <v>380</v>
      </c>
      <c r="Q790" s="8" t="s">
        <v>811</v>
      </c>
      <c r="R790" s="6">
        <v>4</v>
      </c>
      <c r="S790" s="8" t="s">
        <v>75</v>
      </c>
      <c r="T790" s="9"/>
      <c r="U790" s="8" t="s">
        <v>240</v>
      </c>
      <c r="V790" s="8" t="s">
        <v>240</v>
      </c>
      <c r="W790" s="8" t="s">
        <v>240</v>
      </c>
      <c r="X790" s="8" t="s">
        <v>240</v>
      </c>
      <c r="Y790" s="8" t="s">
        <v>240</v>
      </c>
      <c r="Z790" s="6" t="b">
        <v>0</v>
      </c>
      <c r="AA790" s="9"/>
      <c r="AB790" s="9"/>
    </row>
    <row r="791" spans="1:28" ht="32">
      <c r="A791" s="6">
        <v>879</v>
      </c>
      <c r="B791" s="8" t="s">
        <v>198</v>
      </c>
      <c r="C791" s="8" t="s">
        <v>146</v>
      </c>
      <c r="D791" s="8" t="s">
        <v>1475</v>
      </c>
      <c r="E791" s="8" t="s">
        <v>1472</v>
      </c>
      <c r="F791" s="6">
        <v>877</v>
      </c>
      <c r="G791" s="6" t="b">
        <v>0</v>
      </c>
      <c r="H791" s="8" t="s">
        <v>480</v>
      </c>
      <c r="I791" s="6" t="b">
        <v>0</v>
      </c>
      <c r="J791" s="6" t="b">
        <v>0</v>
      </c>
      <c r="K791" s="6" t="b">
        <v>0</v>
      </c>
      <c r="L791" s="6" t="b">
        <v>1</v>
      </c>
      <c r="M791" s="6" t="b">
        <v>0</v>
      </c>
      <c r="N791" s="6">
        <v>4</v>
      </c>
      <c r="O791" s="8" t="s">
        <v>331</v>
      </c>
      <c r="P791" s="8" t="s">
        <v>380</v>
      </c>
      <c r="Q791" s="8" t="s">
        <v>811</v>
      </c>
      <c r="R791" s="6">
        <v>4</v>
      </c>
      <c r="S791" s="8" t="s">
        <v>75</v>
      </c>
      <c r="T791" s="9"/>
      <c r="U791" s="8" t="s">
        <v>240</v>
      </c>
      <c r="V791" s="8" t="s">
        <v>240</v>
      </c>
      <c r="W791" s="8" t="s">
        <v>240</v>
      </c>
      <c r="X791" s="8" t="s">
        <v>240</v>
      </c>
      <c r="Y791" s="8" t="s">
        <v>1476</v>
      </c>
      <c r="Z791" s="6" t="b">
        <v>0</v>
      </c>
      <c r="AA791" s="9"/>
      <c r="AB791" s="9"/>
    </row>
    <row r="792" spans="1:28" ht="16">
      <c r="A792" s="6">
        <v>880</v>
      </c>
      <c r="B792" s="8" t="s">
        <v>198</v>
      </c>
      <c r="C792" s="8" t="s">
        <v>107</v>
      </c>
      <c r="D792" s="8" t="s">
        <v>1477</v>
      </c>
      <c r="E792" s="8" t="s">
        <v>1477</v>
      </c>
      <c r="F792" s="6">
        <v>880</v>
      </c>
      <c r="G792" s="6" t="b">
        <v>0</v>
      </c>
      <c r="H792" s="8" t="s">
        <v>480</v>
      </c>
      <c r="I792" s="6" t="b">
        <v>0</v>
      </c>
      <c r="J792" s="6" t="b">
        <v>0</v>
      </c>
      <c r="K792" s="6" t="b">
        <v>0</v>
      </c>
      <c r="L792" s="6" t="b">
        <v>1</v>
      </c>
      <c r="M792" s="6" t="b">
        <v>0</v>
      </c>
      <c r="N792" s="6">
        <v>3</v>
      </c>
      <c r="O792" s="8" t="s">
        <v>331</v>
      </c>
      <c r="P792" s="8" t="s">
        <v>255</v>
      </c>
      <c r="Q792" s="8" t="s">
        <v>898</v>
      </c>
      <c r="R792" s="6">
        <v>0</v>
      </c>
      <c r="S792" s="8" t="s">
        <v>347</v>
      </c>
      <c r="T792" s="6">
        <v>0</v>
      </c>
      <c r="U792" s="8" t="s">
        <v>240</v>
      </c>
      <c r="V792" s="8" t="s">
        <v>482</v>
      </c>
      <c r="W792" s="8" t="s">
        <v>386</v>
      </c>
      <c r="X792" s="8" t="s">
        <v>240</v>
      </c>
      <c r="Y792" s="8" t="s">
        <v>1478</v>
      </c>
      <c r="Z792" s="6" t="b">
        <v>0</v>
      </c>
      <c r="AA792" s="9"/>
      <c r="AB792" s="9"/>
    </row>
    <row r="793" spans="1:28" ht="16">
      <c r="A793" s="6">
        <v>881</v>
      </c>
      <c r="B793" s="8" t="s">
        <v>1479</v>
      </c>
      <c r="C793" s="8" t="s">
        <v>1479</v>
      </c>
      <c r="D793" s="8" t="s">
        <v>1480</v>
      </c>
      <c r="E793" s="8" t="s">
        <v>1480</v>
      </c>
      <c r="F793" s="6">
        <v>881</v>
      </c>
      <c r="G793" s="6" t="b">
        <v>0</v>
      </c>
      <c r="H793" s="8" t="s">
        <v>240</v>
      </c>
      <c r="I793" s="6" t="b">
        <v>0</v>
      </c>
      <c r="J793" s="6" t="b">
        <v>0</v>
      </c>
      <c r="K793" s="6" t="b">
        <v>0</v>
      </c>
      <c r="L793" s="6" t="b">
        <v>0</v>
      </c>
      <c r="M793" s="6" t="b">
        <v>0</v>
      </c>
      <c r="N793" s="6">
        <v>6</v>
      </c>
      <c r="O793" s="8" t="s">
        <v>237</v>
      </c>
      <c r="P793" s="8" t="s">
        <v>238</v>
      </c>
      <c r="Q793" s="8" t="s">
        <v>237</v>
      </c>
      <c r="R793" s="6">
        <v>6</v>
      </c>
      <c r="S793" s="8" t="s">
        <v>75</v>
      </c>
      <c r="T793" s="9"/>
      <c r="U793" s="8" t="s">
        <v>240</v>
      </c>
      <c r="V793" s="8" t="s">
        <v>240</v>
      </c>
      <c r="W793" s="8" t="s">
        <v>240</v>
      </c>
      <c r="X793" s="8" t="s">
        <v>240</v>
      </c>
      <c r="Y793" s="8" t="s">
        <v>1481</v>
      </c>
      <c r="Z793" s="6" t="b">
        <v>0</v>
      </c>
      <c r="AA793" s="9"/>
      <c r="AB793" s="9"/>
    </row>
    <row r="794" spans="1:28" ht="16">
      <c r="A794" s="6">
        <v>882</v>
      </c>
      <c r="B794" s="8" t="s">
        <v>1479</v>
      </c>
      <c r="C794" s="8" t="s">
        <v>1479</v>
      </c>
      <c r="D794" s="8" t="s">
        <v>1482</v>
      </c>
      <c r="E794" s="8" t="s">
        <v>1482</v>
      </c>
      <c r="F794" s="6">
        <v>882</v>
      </c>
      <c r="G794" s="6" t="b">
        <v>0</v>
      </c>
      <c r="H794" s="8" t="s">
        <v>240</v>
      </c>
      <c r="I794" s="6" t="b">
        <v>0</v>
      </c>
      <c r="J794" s="6" t="b">
        <v>0</v>
      </c>
      <c r="K794" s="6" t="b">
        <v>0</v>
      </c>
      <c r="L794" s="6" t="b">
        <v>0</v>
      </c>
      <c r="M794" s="6" t="b">
        <v>0</v>
      </c>
      <c r="N794" s="6">
        <v>6</v>
      </c>
      <c r="O794" s="8" t="s">
        <v>237</v>
      </c>
      <c r="P794" s="8" t="s">
        <v>238</v>
      </c>
      <c r="Q794" s="8" t="s">
        <v>237</v>
      </c>
      <c r="R794" s="6">
        <v>7</v>
      </c>
      <c r="S794" s="8" t="s">
        <v>237</v>
      </c>
      <c r="T794" s="9"/>
      <c r="U794" s="8" t="s">
        <v>240</v>
      </c>
      <c r="V794" s="8" t="s">
        <v>240</v>
      </c>
      <c r="W794" s="8" t="s">
        <v>240</v>
      </c>
      <c r="X794" s="8" t="s">
        <v>240</v>
      </c>
      <c r="Y794" s="8" t="s">
        <v>240</v>
      </c>
      <c r="Z794" s="6" t="b">
        <v>0</v>
      </c>
      <c r="AA794" s="9"/>
      <c r="AB794" s="9"/>
    </row>
    <row r="795" spans="1:28" ht="16">
      <c r="A795" s="6">
        <v>883</v>
      </c>
      <c r="B795" s="8" t="s">
        <v>1483</v>
      </c>
      <c r="C795" s="8" t="s">
        <v>174</v>
      </c>
      <c r="D795" s="8" t="s">
        <v>1484</v>
      </c>
      <c r="E795" s="8" t="s">
        <v>1484</v>
      </c>
      <c r="F795" s="6">
        <v>883</v>
      </c>
      <c r="G795" s="6" t="b">
        <v>0</v>
      </c>
      <c r="H795" s="8" t="s">
        <v>240</v>
      </c>
      <c r="I795" s="6" t="b">
        <v>0</v>
      </c>
      <c r="J795" s="6" t="b">
        <v>0</v>
      </c>
      <c r="K795" s="6" t="b">
        <v>0</v>
      </c>
      <c r="L795" s="6" t="b">
        <v>1</v>
      </c>
      <c r="M795" s="6" t="b">
        <v>0</v>
      </c>
      <c r="N795" s="6">
        <v>5</v>
      </c>
      <c r="O795" s="8" t="s">
        <v>331</v>
      </c>
      <c r="P795" s="8" t="s">
        <v>380</v>
      </c>
      <c r="Q795" s="8" t="s">
        <v>446</v>
      </c>
      <c r="R795" s="6">
        <v>5</v>
      </c>
      <c r="S795" s="8" t="s">
        <v>75</v>
      </c>
      <c r="T795" s="6">
        <v>5</v>
      </c>
      <c r="U795" s="8" t="s">
        <v>240</v>
      </c>
      <c r="V795" s="8" t="s">
        <v>1120</v>
      </c>
      <c r="W795" s="8" t="s">
        <v>240</v>
      </c>
      <c r="X795" s="8" t="s">
        <v>240</v>
      </c>
      <c r="Y795" s="8" t="s">
        <v>240</v>
      </c>
      <c r="Z795" s="6" t="b">
        <v>0</v>
      </c>
      <c r="AA795" s="9"/>
      <c r="AB795" s="9"/>
    </row>
    <row r="796" spans="1:28" ht="16">
      <c r="A796" s="6">
        <v>885</v>
      </c>
      <c r="B796" s="8" t="s">
        <v>1483</v>
      </c>
      <c r="C796" s="8" t="s">
        <v>174</v>
      </c>
      <c r="D796" s="8" t="s">
        <v>1485</v>
      </c>
      <c r="E796" s="8" t="s">
        <v>1485</v>
      </c>
      <c r="F796" s="6">
        <v>885</v>
      </c>
      <c r="G796" s="6" t="b">
        <v>0</v>
      </c>
      <c r="H796" s="8" t="s">
        <v>240</v>
      </c>
      <c r="I796" s="6" t="b">
        <v>0</v>
      </c>
      <c r="J796" s="6" t="b">
        <v>0</v>
      </c>
      <c r="K796" s="6" t="b">
        <v>0</v>
      </c>
      <c r="L796" s="6" t="b">
        <v>1</v>
      </c>
      <c r="M796" s="6" t="b">
        <v>0</v>
      </c>
      <c r="N796" s="6">
        <v>5</v>
      </c>
      <c r="O796" s="8" t="s">
        <v>331</v>
      </c>
      <c r="P796" s="8" t="s">
        <v>240</v>
      </c>
      <c r="Q796" s="8" t="s">
        <v>240</v>
      </c>
      <c r="R796" s="6">
        <v>5</v>
      </c>
      <c r="S796" s="8" t="s">
        <v>75</v>
      </c>
      <c r="T796" s="9"/>
      <c r="U796" s="8" t="s">
        <v>240</v>
      </c>
      <c r="V796" s="8" t="s">
        <v>240</v>
      </c>
      <c r="W796" s="8" t="s">
        <v>240</v>
      </c>
      <c r="X796" s="8" t="s">
        <v>240</v>
      </c>
      <c r="Y796" s="8" t="s">
        <v>1486</v>
      </c>
      <c r="Z796" s="6" t="b">
        <v>0</v>
      </c>
      <c r="AA796" s="9"/>
      <c r="AB796" s="9"/>
    </row>
    <row r="797" spans="1:28" ht="16">
      <c r="A797" s="6">
        <v>886</v>
      </c>
      <c r="B797" s="8" t="s">
        <v>1483</v>
      </c>
      <c r="C797" s="8" t="s">
        <v>1487</v>
      </c>
      <c r="D797" s="8" t="s">
        <v>1488</v>
      </c>
      <c r="E797" s="8" t="s">
        <v>1488</v>
      </c>
      <c r="F797" s="6">
        <v>886</v>
      </c>
      <c r="G797" s="6" t="b">
        <v>0</v>
      </c>
      <c r="H797" s="8" t="s">
        <v>240</v>
      </c>
      <c r="I797" s="6" t="b">
        <v>0</v>
      </c>
      <c r="J797" s="6" t="b">
        <v>0</v>
      </c>
      <c r="K797" s="6" t="b">
        <v>0</v>
      </c>
      <c r="L797" s="6" t="b">
        <v>1</v>
      </c>
      <c r="M797" s="6" t="b">
        <v>0</v>
      </c>
      <c r="N797" s="6">
        <v>5</v>
      </c>
      <c r="O797" s="8" t="s">
        <v>335</v>
      </c>
      <c r="P797" s="8" t="s">
        <v>1489</v>
      </c>
      <c r="Q797" s="8" t="s">
        <v>1490</v>
      </c>
      <c r="R797" s="6">
        <v>5</v>
      </c>
      <c r="S797" s="8" t="s">
        <v>75</v>
      </c>
      <c r="T797" s="9"/>
      <c r="U797" s="8" t="s">
        <v>240</v>
      </c>
      <c r="V797" s="8" t="s">
        <v>496</v>
      </c>
      <c r="W797" s="8" t="s">
        <v>240</v>
      </c>
      <c r="X797" s="8" t="s">
        <v>240</v>
      </c>
      <c r="Y797" s="8" t="s">
        <v>240</v>
      </c>
      <c r="Z797" s="6" t="b">
        <v>0</v>
      </c>
      <c r="AA797" s="9"/>
      <c r="AB797" s="9"/>
    </row>
    <row r="798" spans="1:28" ht="16">
      <c r="A798" s="6">
        <v>887</v>
      </c>
      <c r="B798" s="8" t="s">
        <v>1483</v>
      </c>
      <c r="C798" s="8" t="s">
        <v>1487</v>
      </c>
      <c r="D798" s="8" t="s">
        <v>1487</v>
      </c>
      <c r="E798" s="8" t="s">
        <v>1487</v>
      </c>
      <c r="F798" s="6">
        <v>887</v>
      </c>
      <c r="G798" s="6" t="b">
        <v>0</v>
      </c>
      <c r="H798" s="8" t="s">
        <v>240</v>
      </c>
      <c r="I798" s="6" t="b">
        <v>0</v>
      </c>
      <c r="J798" s="6" t="b">
        <v>0</v>
      </c>
      <c r="K798" s="6" t="b">
        <v>0</v>
      </c>
      <c r="L798" s="6" t="b">
        <v>1</v>
      </c>
      <c r="M798" s="6" t="b">
        <v>0</v>
      </c>
      <c r="N798" s="6">
        <v>5</v>
      </c>
      <c r="O798" s="8" t="s">
        <v>335</v>
      </c>
      <c r="P798" s="8" t="s">
        <v>380</v>
      </c>
      <c r="Q798" s="8" t="s">
        <v>335</v>
      </c>
      <c r="R798" s="6">
        <v>5</v>
      </c>
      <c r="S798" s="8" t="s">
        <v>335</v>
      </c>
      <c r="T798" s="6">
        <v>5</v>
      </c>
      <c r="U798" s="8" t="s">
        <v>240</v>
      </c>
      <c r="V798" s="8" t="s">
        <v>496</v>
      </c>
      <c r="W798" s="8" t="s">
        <v>240</v>
      </c>
      <c r="X798" s="8" t="s">
        <v>240</v>
      </c>
      <c r="Y798" s="8" t="s">
        <v>240</v>
      </c>
      <c r="Z798" s="6" t="b">
        <v>0</v>
      </c>
      <c r="AA798" s="9"/>
      <c r="AB798" s="9"/>
    </row>
    <row r="799" spans="1:28" ht="32">
      <c r="A799" s="6">
        <v>888</v>
      </c>
      <c r="B799" s="8" t="s">
        <v>1483</v>
      </c>
      <c r="C799" s="8" t="s">
        <v>174</v>
      </c>
      <c r="D799" s="8" t="s">
        <v>1491</v>
      </c>
      <c r="E799" s="8" t="s">
        <v>1491</v>
      </c>
      <c r="F799" s="6">
        <v>888</v>
      </c>
      <c r="G799" s="6" t="b">
        <v>0</v>
      </c>
      <c r="H799" s="8" t="s">
        <v>240</v>
      </c>
      <c r="I799" s="6" t="b">
        <v>0</v>
      </c>
      <c r="J799" s="6" t="b">
        <v>0</v>
      </c>
      <c r="K799" s="6" t="b">
        <v>0</v>
      </c>
      <c r="L799" s="6" t="b">
        <v>1</v>
      </c>
      <c r="M799" s="6" t="b">
        <v>0</v>
      </c>
      <c r="N799" s="6">
        <v>5</v>
      </c>
      <c r="O799" s="8" t="s">
        <v>331</v>
      </c>
      <c r="P799" s="8" t="s">
        <v>380</v>
      </c>
      <c r="Q799" s="8" t="s">
        <v>811</v>
      </c>
      <c r="R799" s="6">
        <v>5</v>
      </c>
      <c r="S799" s="8" t="s">
        <v>347</v>
      </c>
      <c r="T799" s="6">
        <v>7</v>
      </c>
      <c r="U799" s="8" t="s">
        <v>1492</v>
      </c>
      <c r="V799" s="8" t="s">
        <v>240</v>
      </c>
      <c r="W799" s="8" t="s">
        <v>240</v>
      </c>
      <c r="X799" s="8" t="s">
        <v>240</v>
      </c>
      <c r="Y799" s="8" t="s">
        <v>240</v>
      </c>
      <c r="Z799" s="6" t="b">
        <v>0</v>
      </c>
      <c r="AA799" s="9"/>
      <c r="AB799" s="9"/>
    </row>
    <row r="800" spans="1:28" ht="16">
      <c r="A800" s="6">
        <v>889</v>
      </c>
      <c r="B800" s="8" t="s">
        <v>1483</v>
      </c>
      <c r="C800" s="8" t="s">
        <v>174</v>
      </c>
      <c r="D800" s="8" t="s">
        <v>1493</v>
      </c>
      <c r="E800" s="8" t="s">
        <v>1493</v>
      </c>
      <c r="F800" s="6">
        <v>889</v>
      </c>
      <c r="G800" s="6" t="b">
        <v>0</v>
      </c>
      <c r="H800" s="8" t="s">
        <v>240</v>
      </c>
      <c r="I800" s="6" t="b">
        <v>0</v>
      </c>
      <c r="J800" s="6" t="b">
        <v>0</v>
      </c>
      <c r="K800" s="6" t="b">
        <v>0</v>
      </c>
      <c r="L800" s="6" t="b">
        <v>1</v>
      </c>
      <c r="M800" s="6" t="b">
        <v>0</v>
      </c>
      <c r="N800" s="6">
        <v>5</v>
      </c>
      <c r="O800" s="8" t="s">
        <v>331</v>
      </c>
      <c r="P800" s="8" t="s">
        <v>380</v>
      </c>
      <c r="Q800" s="8" t="s">
        <v>446</v>
      </c>
      <c r="R800" s="6">
        <v>5</v>
      </c>
      <c r="S800" s="8" t="s">
        <v>75</v>
      </c>
      <c r="T800" s="9"/>
      <c r="U800" s="8" t="s">
        <v>1494</v>
      </c>
      <c r="V800" s="8" t="s">
        <v>1012</v>
      </c>
      <c r="W800" s="8" t="s">
        <v>240</v>
      </c>
      <c r="X800" s="8" t="s">
        <v>240</v>
      </c>
      <c r="Y800" s="8" t="s">
        <v>240</v>
      </c>
      <c r="Z800" s="6" t="b">
        <v>0</v>
      </c>
      <c r="AA800" s="9"/>
      <c r="AB800" s="9"/>
    </row>
    <row r="801" spans="1:28" ht="32">
      <c r="A801" s="6">
        <v>890</v>
      </c>
      <c r="B801" s="8" t="s">
        <v>1483</v>
      </c>
      <c r="C801" s="8" t="s">
        <v>174</v>
      </c>
      <c r="D801" s="8" t="s">
        <v>1495</v>
      </c>
      <c r="E801" s="8" t="s">
        <v>1495</v>
      </c>
      <c r="F801" s="6">
        <v>890</v>
      </c>
      <c r="G801" s="6" t="b">
        <v>0</v>
      </c>
      <c r="H801" s="8" t="s">
        <v>240</v>
      </c>
      <c r="I801" s="6" t="b">
        <v>0</v>
      </c>
      <c r="J801" s="6" t="b">
        <v>0</v>
      </c>
      <c r="K801" s="6" t="b">
        <v>0</v>
      </c>
      <c r="L801" s="6" t="b">
        <v>1</v>
      </c>
      <c r="M801" s="6" t="b">
        <v>0</v>
      </c>
      <c r="N801" s="6">
        <v>5</v>
      </c>
      <c r="O801" s="8" t="s">
        <v>331</v>
      </c>
      <c r="P801" s="8" t="s">
        <v>380</v>
      </c>
      <c r="Q801" s="8" t="s">
        <v>811</v>
      </c>
      <c r="R801" s="6">
        <v>5</v>
      </c>
      <c r="S801" s="8" t="s">
        <v>347</v>
      </c>
      <c r="T801" s="6">
        <v>5</v>
      </c>
      <c r="U801" s="8" t="s">
        <v>1492</v>
      </c>
      <c r="V801" s="8" t="s">
        <v>1012</v>
      </c>
      <c r="W801" s="8" t="s">
        <v>240</v>
      </c>
      <c r="X801" s="8" t="s">
        <v>240</v>
      </c>
      <c r="Y801" s="8" t="s">
        <v>240</v>
      </c>
      <c r="Z801" s="6" t="b">
        <v>0</v>
      </c>
      <c r="AA801" s="9"/>
      <c r="AB801" s="9"/>
    </row>
    <row r="802" spans="1:28" ht="32">
      <c r="A802" s="6">
        <v>891</v>
      </c>
      <c r="B802" s="8" t="s">
        <v>1483</v>
      </c>
      <c r="C802" s="8" t="s">
        <v>174</v>
      </c>
      <c r="D802" s="8" t="s">
        <v>1496</v>
      </c>
      <c r="E802" s="8" t="s">
        <v>1496</v>
      </c>
      <c r="F802" s="6">
        <v>891</v>
      </c>
      <c r="G802" s="6" t="b">
        <v>0</v>
      </c>
      <c r="H802" s="8" t="s">
        <v>240</v>
      </c>
      <c r="I802" s="6" t="b">
        <v>0</v>
      </c>
      <c r="J802" s="6" t="b">
        <v>0</v>
      </c>
      <c r="K802" s="6" t="b">
        <v>0</v>
      </c>
      <c r="L802" s="6" t="b">
        <v>1</v>
      </c>
      <c r="M802" s="6" t="b">
        <v>0</v>
      </c>
      <c r="N802" s="6">
        <v>5</v>
      </c>
      <c r="O802" s="8" t="s">
        <v>331</v>
      </c>
      <c r="P802" s="8" t="s">
        <v>516</v>
      </c>
      <c r="Q802" s="8" t="s">
        <v>481</v>
      </c>
      <c r="R802" s="6">
        <v>5</v>
      </c>
      <c r="S802" s="8" t="s">
        <v>347</v>
      </c>
      <c r="T802" s="6">
        <v>5</v>
      </c>
      <c r="U802" s="8" t="s">
        <v>1497</v>
      </c>
      <c r="V802" s="8" t="s">
        <v>482</v>
      </c>
      <c r="W802" s="8" t="s">
        <v>240</v>
      </c>
      <c r="X802" s="8" t="s">
        <v>240</v>
      </c>
      <c r="Y802" s="8" t="s">
        <v>1498</v>
      </c>
      <c r="Z802" s="6" t="b">
        <v>0</v>
      </c>
      <c r="AA802" s="9"/>
      <c r="AB802" s="9"/>
    </row>
    <row r="803" spans="1:28" ht="32">
      <c r="A803" s="6">
        <v>892</v>
      </c>
      <c r="B803" s="8" t="s">
        <v>1483</v>
      </c>
      <c r="C803" s="8" t="s">
        <v>174</v>
      </c>
      <c r="D803" s="8" t="s">
        <v>1499</v>
      </c>
      <c r="E803" s="8" t="s">
        <v>1499</v>
      </c>
      <c r="F803" s="6">
        <v>892</v>
      </c>
      <c r="G803" s="6" t="b">
        <v>0</v>
      </c>
      <c r="H803" s="8" t="s">
        <v>240</v>
      </c>
      <c r="I803" s="6" t="b">
        <v>0</v>
      </c>
      <c r="J803" s="6" t="b">
        <v>0</v>
      </c>
      <c r="K803" s="6" t="b">
        <v>0</v>
      </c>
      <c r="L803" s="6" t="b">
        <v>1</v>
      </c>
      <c r="M803" s="6" t="b">
        <v>0</v>
      </c>
      <c r="N803" s="6">
        <v>5</v>
      </c>
      <c r="O803" s="8" t="s">
        <v>331</v>
      </c>
      <c r="P803" s="8" t="s">
        <v>516</v>
      </c>
      <c r="Q803" s="8" t="s">
        <v>481</v>
      </c>
      <c r="R803" s="6">
        <v>5</v>
      </c>
      <c r="S803" s="8" t="s">
        <v>347</v>
      </c>
      <c r="T803" s="6">
        <v>5</v>
      </c>
      <c r="U803" s="8" t="s">
        <v>1497</v>
      </c>
      <c r="V803" s="8" t="s">
        <v>482</v>
      </c>
      <c r="W803" s="8" t="s">
        <v>240</v>
      </c>
      <c r="X803" s="8" t="s">
        <v>240</v>
      </c>
      <c r="Y803" s="8" t="s">
        <v>1500</v>
      </c>
      <c r="Z803" s="6" t="b">
        <v>0</v>
      </c>
      <c r="AA803" s="9"/>
      <c r="AB803" s="9"/>
    </row>
    <row r="804" spans="1:28" ht="16">
      <c r="A804" s="6">
        <v>893</v>
      </c>
      <c r="B804" s="8" t="s">
        <v>1483</v>
      </c>
      <c r="C804" s="8" t="s">
        <v>174</v>
      </c>
      <c r="D804" s="8" t="s">
        <v>174</v>
      </c>
      <c r="E804" s="8" t="s">
        <v>174</v>
      </c>
      <c r="F804" s="6">
        <v>893</v>
      </c>
      <c r="G804" s="6" t="b">
        <v>0</v>
      </c>
      <c r="H804" s="8" t="s">
        <v>240</v>
      </c>
      <c r="I804" s="6" t="b">
        <v>0</v>
      </c>
      <c r="J804" s="6" t="b">
        <v>0</v>
      </c>
      <c r="K804" s="6" t="b">
        <v>0</v>
      </c>
      <c r="L804" s="6" t="b">
        <v>1</v>
      </c>
      <c r="M804" s="6" t="b">
        <v>0</v>
      </c>
      <c r="N804" s="6">
        <v>5</v>
      </c>
      <c r="O804" s="8" t="s">
        <v>331</v>
      </c>
      <c r="P804" s="8" t="s">
        <v>380</v>
      </c>
      <c r="Q804" s="8" t="s">
        <v>446</v>
      </c>
      <c r="R804" s="6">
        <v>5</v>
      </c>
      <c r="S804" s="8" t="s">
        <v>347</v>
      </c>
      <c r="T804" s="9"/>
      <c r="U804" s="8" t="s">
        <v>240</v>
      </c>
      <c r="V804" s="8" t="s">
        <v>1501</v>
      </c>
      <c r="W804" s="8" t="s">
        <v>240</v>
      </c>
      <c r="X804" s="8" t="s">
        <v>240</v>
      </c>
      <c r="Y804" s="8" t="s">
        <v>240</v>
      </c>
      <c r="Z804" s="6" t="b">
        <v>0</v>
      </c>
      <c r="AA804" s="9"/>
      <c r="AB804" s="9"/>
    </row>
    <row r="805" spans="1:28" ht="16">
      <c r="A805" s="6">
        <v>894</v>
      </c>
      <c r="B805" s="8" t="s">
        <v>1483</v>
      </c>
      <c r="C805" s="8" t="s">
        <v>174</v>
      </c>
      <c r="D805" s="8" t="s">
        <v>1502</v>
      </c>
      <c r="E805" s="8" t="s">
        <v>1502</v>
      </c>
      <c r="F805" s="6">
        <v>894</v>
      </c>
      <c r="G805" s="6" t="b">
        <v>0</v>
      </c>
      <c r="H805" s="8" t="s">
        <v>240</v>
      </c>
      <c r="I805" s="6" t="b">
        <v>0</v>
      </c>
      <c r="J805" s="6" t="b">
        <v>0</v>
      </c>
      <c r="K805" s="6" t="b">
        <v>0</v>
      </c>
      <c r="L805" s="6" t="b">
        <v>1</v>
      </c>
      <c r="M805" s="6" t="b">
        <v>0</v>
      </c>
      <c r="N805" s="6">
        <v>5</v>
      </c>
      <c r="O805" s="8" t="s">
        <v>331</v>
      </c>
      <c r="P805" s="8" t="s">
        <v>380</v>
      </c>
      <c r="Q805" s="8" t="s">
        <v>446</v>
      </c>
      <c r="R805" s="6">
        <v>5</v>
      </c>
      <c r="S805" s="8" t="s">
        <v>75</v>
      </c>
      <c r="T805" s="9"/>
      <c r="U805" s="8" t="s">
        <v>240</v>
      </c>
      <c r="V805" s="8" t="s">
        <v>1120</v>
      </c>
      <c r="W805" s="8" t="s">
        <v>240</v>
      </c>
      <c r="X805" s="8" t="s">
        <v>240</v>
      </c>
      <c r="Y805" s="8" t="s">
        <v>240</v>
      </c>
      <c r="Z805" s="6" t="b">
        <v>0</v>
      </c>
      <c r="AA805" s="9"/>
      <c r="AB805" s="9"/>
    </row>
    <row r="806" spans="1:28" ht="16">
      <c r="A806" s="6">
        <v>895</v>
      </c>
      <c r="B806" s="8" t="s">
        <v>200</v>
      </c>
      <c r="C806" s="8" t="s">
        <v>1503</v>
      </c>
      <c r="D806" s="8" t="s">
        <v>1504</v>
      </c>
      <c r="E806" s="8" t="s">
        <v>1504</v>
      </c>
      <c r="F806" s="6">
        <v>895</v>
      </c>
      <c r="G806" s="6" t="b">
        <v>0</v>
      </c>
      <c r="H806" s="8" t="s">
        <v>240</v>
      </c>
      <c r="I806" s="6" t="b">
        <v>0</v>
      </c>
      <c r="J806" s="6" t="b">
        <v>0</v>
      </c>
      <c r="K806" s="6" t="b">
        <v>0</v>
      </c>
      <c r="L806" s="6" t="b">
        <v>1</v>
      </c>
      <c r="M806" s="6" t="b">
        <v>0</v>
      </c>
      <c r="N806" s="6">
        <v>5</v>
      </c>
      <c r="O806" s="8" t="s">
        <v>335</v>
      </c>
      <c r="P806" s="8" t="s">
        <v>238</v>
      </c>
      <c r="Q806" s="8" t="s">
        <v>1119</v>
      </c>
      <c r="R806" s="6">
        <v>5</v>
      </c>
      <c r="S806" s="8" t="s">
        <v>75</v>
      </c>
      <c r="T806" s="9"/>
      <c r="U806" s="8" t="s">
        <v>240</v>
      </c>
      <c r="V806" s="8" t="s">
        <v>824</v>
      </c>
      <c r="W806" s="8" t="s">
        <v>240</v>
      </c>
      <c r="X806" s="8" t="s">
        <v>240</v>
      </c>
      <c r="Y806" s="8" t="s">
        <v>240</v>
      </c>
      <c r="Z806" s="6" t="b">
        <v>0</v>
      </c>
      <c r="AA806" s="9"/>
      <c r="AB806" s="9"/>
    </row>
    <row r="807" spans="1:28" ht="32">
      <c r="A807" s="6">
        <v>896</v>
      </c>
      <c r="B807" s="8" t="s">
        <v>200</v>
      </c>
      <c r="C807" s="8" t="s">
        <v>1503</v>
      </c>
      <c r="D807" s="8" t="s">
        <v>1505</v>
      </c>
      <c r="E807" s="8" t="s">
        <v>1505</v>
      </c>
      <c r="F807" s="6">
        <v>896</v>
      </c>
      <c r="G807" s="6" t="b">
        <v>0</v>
      </c>
      <c r="H807" s="8" t="s">
        <v>240</v>
      </c>
      <c r="I807" s="6" t="b">
        <v>0</v>
      </c>
      <c r="J807" s="6" t="b">
        <v>0</v>
      </c>
      <c r="K807" s="6" t="b">
        <v>0</v>
      </c>
      <c r="L807" s="6" t="b">
        <v>1</v>
      </c>
      <c r="M807" s="6" t="b">
        <v>0</v>
      </c>
      <c r="N807" s="6">
        <v>5</v>
      </c>
      <c r="O807" s="8" t="s">
        <v>335</v>
      </c>
      <c r="P807" s="8" t="s">
        <v>238</v>
      </c>
      <c r="Q807" s="8" t="s">
        <v>811</v>
      </c>
      <c r="R807" s="6">
        <v>5</v>
      </c>
      <c r="S807" s="8" t="s">
        <v>335</v>
      </c>
      <c r="T807" s="6">
        <v>5</v>
      </c>
      <c r="U807" s="8" t="s">
        <v>240</v>
      </c>
      <c r="V807" s="8" t="s">
        <v>824</v>
      </c>
      <c r="W807" s="8" t="s">
        <v>240</v>
      </c>
      <c r="X807" s="8" t="s">
        <v>240</v>
      </c>
      <c r="Y807" s="8" t="s">
        <v>240</v>
      </c>
      <c r="Z807" s="6" t="b">
        <v>0</v>
      </c>
      <c r="AA807" s="9"/>
      <c r="AB807" s="9"/>
    </row>
    <row r="808" spans="1:28" ht="32">
      <c r="A808" s="6">
        <v>897</v>
      </c>
      <c r="B808" s="8" t="s">
        <v>200</v>
      </c>
      <c r="C808" s="8" t="s">
        <v>1503</v>
      </c>
      <c r="D808" s="8" t="s">
        <v>1506</v>
      </c>
      <c r="E808" s="8" t="s">
        <v>1506</v>
      </c>
      <c r="F808" s="6">
        <v>897</v>
      </c>
      <c r="G808" s="6" t="b">
        <v>0</v>
      </c>
      <c r="H808" s="8" t="s">
        <v>240</v>
      </c>
      <c r="I808" s="6" t="b">
        <v>0</v>
      </c>
      <c r="J808" s="6" t="b">
        <v>0</v>
      </c>
      <c r="K808" s="6" t="b">
        <v>0</v>
      </c>
      <c r="L808" s="6" t="b">
        <v>1</v>
      </c>
      <c r="M808" s="6" t="b">
        <v>0</v>
      </c>
      <c r="N808" s="6">
        <v>5</v>
      </c>
      <c r="O808" s="8" t="s">
        <v>335</v>
      </c>
      <c r="P808" s="8" t="s">
        <v>238</v>
      </c>
      <c r="Q808" s="8" t="s">
        <v>811</v>
      </c>
      <c r="R808" s="6">
        <v>5</v>
      </c>
      <c r="S808" s="8" t="s">
        <v>335</v>
      </c>
      <c r="T808" s="6">
        <v>5</v>
      </c>
      <c r="U808" s="8" t="s">
        <v>240</v>
      </c>
      <c r="V808" s="8" t="s">
        <v>824</v>
      </c>
      <c r="W808" s="8" t="s">
        <v>240</v>
      </c>
      <c r="X808" s="8" t="s">
        <v>240</v>
      </c>
      <c r="Y808" s="8" t="s">
        <v>1507</v>
      </c>
      <c r="Z808" s="6" t="b">
        <v>0</v>
      </c>
      <c r="AA808" s="9"/>
      <c r="AB808" s="9"/>
    </row>
    <row r="809" spans="1:28" ht="16">
      <c r="A809" s="6">
        <v>898</v>
      </c>
      <c r="B809" s="8" t="s">
        <v>200</v>
      </c>
      <c r="C809" s="8" t="s">
        <v>99</v>
      </c>
      <c r="D809" s="8" t="s">
        <v>1508</v>
      </c>
      <c r="E809" s="8" t="s">
        <v>1508</v>
      </c>
      <c r="F809" s="6">
        <v>898</v>
      </c>
      <c r="G809" s="6" t="b">
        <v>0</v>
      </c>
      <c r="H809" s="8" t="s">
        <v>240</v>
      </c>
      <c r="I809" s="6" t="b">
        <v>0</v>
      </c>
      <c r="J809" s="6" t="b">
        <v>0</v>
      </c>
      <c r="K809" s="6" t="b">
        <v>0</v>
      </c>
      <c r="L809" s="6" t="b">
        <v>1</v>
      </c>
      <c r="M809" s="6" t="b">
        <v>0</v>
      </c>
      <c r="N809" s="6">
        <v>5</v>
      </c>
      <c r="O809" s="8" t="s">
        <v>237</v>
      </c>
      <c r="P809" s="8" t="s">
        <v>238</v>
      </c>
      <c r="Q809" s="8" t="s">
        <v>237</v>
      </c>
      <c r="R809" s="6">
        <v>5</v>
      </c>
      <c r="S809" s="8" t="s">
        <v>75</v>
      </c>
      <c r="T809" s="9"/>
      <c r="U809" s="8" t="s">
        <v>240</v>
      </c>
      <c r="V809" s="8" t="s">
        <v>496</v>
      </c>
      <c r="W809" s="8" t="s">
        <v>240</v>
      </c>
      <c r="X809" s="8" t="s">
        <v>240</v>
      </c>
      <c r="Y809" s="8" t="s">
        <v>240</v>
      </c>
      <c r="Z809" s="6" t="b">
        <v>0</v>
      </c>
      <c r="AA809" s="9"/>
      <c r="AB809" s="9"/>
    </row>
    <row r="810" spans="1:28" ht="16">
      <c r="A810" s="6">
        <v>899</v>
      </c>
      <c r="B810" s="8" t="s">
        <v>200</v>
      </c>
      <c r="C810" s="8" t="s">
        <v>116</v>
      </c>
      <c r="D810" s="8" t="s">
        <v>1509</v>
      </c>
      <c r="E810" s="8" t="s">
        <v>1509</v>
      </c>
      <c r="F810" s="6">
        <v>899</v>
      </c>
      <c r="G810" s="6" t="b">
        <v>0</v>
      </c>
      <c r="H810" s="8" t="s">
        <v>240</v>
      </c>
      <c r="I810" s="6" t="b">
        <v>0</v>
      </c>
      <c r="J810" s="6" t="b">
        <v>0</v>
      </c>
      <c r="K810" s="6" t="b">
        <v>0</v>
      </c>
      <c r="L810" s="6" t="b">
        <v>1</v>
      </c>
      <c r="M810" s="6" t="b">
        <v>0</v>
      </c>
      <c r="N810" s="6">
        <v>1</v>
      </c>
      <c r="O810" s="8" t="s">
        <v>237</v>
      </c>
      <c r="P810" s="8" t="s">
        <v>380</v>
      </c>
      <c r="Q810" s="8" t="s">
        <v>446</v>
      </c>
      <c r="R810" s="6">
        <v>1</v>
      </c>
      <c r="S810" s="8" t="s">
        <v>75</v>
      </c>
      <c r="T810" s="9"/>
      <c r="U810" s="8" t="s">
        <v>240</v>
      </c>
      <c r="V810" s="8" t="s">
        <v>482</v>
      </c>
      <c r="W810" s="8" t="s">
        <v>386</v>
      </c>
      <c r="X810" s="8" t="s">
        <v>240</v>
      </c>
      <c r="Y810" s="8" t="s">
        <v>1510</v>
      </c>
      <c r="Z810" s="6" t="b">
        <v>0</v>
      </c>
      <c r="AA810" s="9"/>
      <c r="AB810" s="9"/>
    </row>
    <row r="811" spans="1:28" ht="16">
      <c r="A811" s="6">
        <v>900</v>
      </c>
      <c r="B811" s="8" t="s">
        <v>200</v>
      </c>
      <c r="C811" s="8" t="s">
        <v>116</v>
      </c>
      <c r="D811" s="8" t="s">
        <v>1511</v>
      </c>
      <c r="E811" s="8" t="s">
        <v>1509</v>
      </c>
      <c r="F811" s="6">
        <v>899</v>
      </c>
      <c r="G811" s="6" t="b">
        <v>0</v>
      </c>
      <c r="H811" s="8" t="s">
        <v>240</v>
      </c>
      <c r="I811" s="6" t="b">
        <v>0</v>
      </c>
      <c r="J811" s="6" t="b">
        <v>0</v>
      </c>
      <c r="K811" s="6" t="b">
        <v>0</v>
      </c>
      <c r="L811" s="6" t="b">
        <v>1</v>
      </c>
      <c r="M811" s="6" t="b">
        <v>0</v>
      </c>
      <c r="N811" s="6">
        <v>1</v>
      </c>
      <c r="O811" s="8" t="s">
        <v>237</v>
      </c>
      <c r="P811" s="8" t="s">
        <v>380</v>
      </c>
      <c r="Q811" s="8" t="s">
        <v>446</v>
      </c>
      <c r="R811" s="6">
        <v>3.8</v>
      </c>
      <c r="S811" s="8" t="s">
        <v>247</v>
      </c>
      <c r="T811" s="6">
        <v>3</v>
      </c>
      <c r="U811" s="8" t="s">
        <v>240</v>
      </c>
      <c r="V811" s="8" t="s">
        <v>482</v>
      </c>
      <c r="W811" s="8" t="s">
        <v>386</v>
      </c>
      <c r="X811" s="8" t="s">
        <v>240</v>
      </c>
      <c r="Y811" s="8" t="s">
        <v>240</v>
      </c>
      <c r="Z811" s="6" t="b">
        <v>0</v>
      </c>
      <c r="AA811" s="9"/>
      <c r="AB811" s="9"/>
    </row>
    <row r="812" spans="1:28" ht="16">
      <c r="A812" s="6">
        <v>901</v>
      </c>
      <c r="B812" s="8" t="s">
        <v>200</v>
      </c>
      <c r="C812" s="8" t="s">
        <v>98</v>
      </c>
      <c r="D812" s="8" t="s">
        <v>1512</v>
      </c>
      <c r="E812" s="8" t="s">
        <v>1512</v>
      </c>
      <c r="F812" s="6">
        <v>901</v>
      </c>
      <c r="G812" s="6" t="b">
        <v>0</v>
      </c>
      <c r="H812" s="8" t="s">
        <v>240</v>
      </c>
      <c r="I812" s="6" t="b">
        <v>0</v>
      </c>
      <c r="J812" s="6" t="b">
        <v>0</v>
      </c>
      <c r="K812" s="6" t="b">
        <v>0</v>
      </c>
      <c r="L812" s="6" t="b">
        <v>1</v>
      </c>
      <c r="M812" s="6" t="b">
        <v>0</v>
      </c>
      <c r="N812" s="6">
        <v>4</v>
      </c>
      <c r="O812" s="8" t="s">
        <v>331</v>
      </c>
      <c r="P812" s="8" t="s">
        <v>822</v>
      </c>
      <c r="Q812" s="8" t="s">
        <v>339</v>
      </c>
      <c r="R812" s="6">
        <v>2</v>
      </c>
      <c r="S812" s="8" t="s">
        <v>341</v>
      </c>
      <c r="T812" s="9"/>
      <c r="U812" s="8" t="s">
        <v>240</v>
      </c>
      <c r="V812" s="8" t="s">
        <v>482</v>
      </c>
      <c r="W812" s="8" t="s">
        <v>240</v>
      </c>
      <c r="X812" s="8" t="s">
        <v>240</v>
      </c>
      <c r="Y812" s="8" t="s">
        <v>1513</v>
      </c>
      <c r="Z812" s="6" t="b">
        <v>0</v>
      </c>
      <c r="AA812" s="9"/>
      <c r="AB812" s="9"/>
    </row>
    <row r="813" spans="1:28" ht="32">
      <c r="A813" s="6">
        <v>903</v>
      </c>
      <c r="B813" s="8" t="s">
        <v>200</v>
      </c>
      <c r="C813" s="8" t="s">
        <v>98</v>
      </c>
      <c r="D813" s="8" t="s">
        <v>1514</v>
      </c>
      <c r="E813" s="8" t="s">
        <v>1512</v>
      </c>
      <c r="F813" s="6">
        <v>901</v>
      </c>
      <c r="G813" s="6" t="b">
        <v>0</v>
      </c>
      <c r="H813" s="8" t="s">
        <v>240</v>
      </c>
      <c r="I813" s="6" t="b">
        <v>0</v>
      </c>
      <c r="J813" s="6" t="b">
        <v>0</v>
      </c>
      <c r="K813" s="6" t="b">
        <v>0</v>
      </c>
      <c r="L813" s="6" t="b">
        <v>1</v>
      </c>
      <c r="M813" s="6" t="b">
        <v>0</v>
      </c>
      <c r="N813" s="6">
        <v>4</v>
      </c>
      <c r="O813" s="8" t="s">
        <v>331</v>
      </c>
      <c r="P813" s="8" t="s">
        <v>822</v>
      </c>
      <c r="Q813" s="8" t="s">
        <v>339</v>
      </c>
      <c r="R813" s="6">
        <v>6</v>
      </c>
      <c r="S813" s="8" t="s">
        <v>347</v>
      </c>
      <c r="T813" s="6">
        <v>5</v>
      </c>
      <c r="U813" s="8" t="s">
        <v>240</v>
      </c>
      <c r="V813" s="8" t="s">
        <v>482</v>
      </c>
      <c r="W813" s="8" t="s">
        <v>240</v>
      </c>
      <c r="X813" s="8" t="s">
        <v>240</v>
      </c>
      <c r="Y813" s="8" t="s">
        <v>1515</v>
      </c>
      <c r="Z813" s="6" t="b">
        <v>0</v>
      </c>
      <c r="AA813" s="9"/>
      <c r="AB813" s="9"/>
    </row>
    <row r="814" spans="1:28" ht="16">
      <c r="A814" s="6">
        <v>905</v>
      </c>
      <c r="B814" s="8" t="s">
        <v>200</v>
      </c>
      <c r="C814" s="8" t="s">
        <v>99</v>
      </c>
      <c r="D814" s="8" t="s">
        <v>1516</v>
      </c>
      <c r="E814" s="8" t="s">
        <v>1516</v>
      </c>
      <c r="F814" s="6">
        <v>905</v>
      </c>
      <c r="G814" s="6" t="b">
        <v>0</v>
      </c>
      <c r="H814" s="8" t="s">
        <v>240</v>
      </c>
      <c r="I814" s="6" t="b">
        <v>0</v>
      </c>
      <c r="J814" s="6" t="b">
        <v>0</v>
      </c>
      <c r="K814" s="6" t="b">
        <v>0</v>
      </c>
      <c r="L814" s="6" t="b">
        <v>1</v>
      </c>
      <c r="M814" s="6" t="b">
        <v>0</v>
      </c>
      <c r="N814" s="6">
        <v>5</v>
      </c>
      <c r="O814" s="8" t="s">
        <v>237</v>
      </c>
      <c r="P814" s="8" t="s">
        <v>338</v>
      </c>
      <c r="Q814" s="8" t="s">
        <v>1517</v>
      </c>
      <c r="R814" s="6">
        <v>5</v>
      </c>
      <c r="S814" s="8" t="s">
        <v>335</v>
      </c>
      <c r="T814" s="6">
        <v>5</v>
      </c>
      <c r="U814" s="8" t="s">
        <v>240</v>
      </c>
      <c r="V814" s="8" t="s">
        <v>1518</v>
      </c>
      <c r="W814" s="8" t="s">
        <v>240</v>
      </c>
      <c r="X814" s="8" t="s">
        <v>240</v>
      </c>
      <c r="Y814" s="8" t="s">
        <v>1519</v>
      </c>
      <c r="Z814" s="6" t="b">
        <v>0</v>
      </c>
      <c r="AA814" s="9"/>
      <c r="AB814" s="9"/>
    </row>
    <row r="815" spans="1:28" ht="16">
      <c r="A815" s="6">
        <v>907</v>
      </c>
      <c r="B815" s="8" t="s">
        <v>200</v>
      </c>
      <c r="C815" s="8" t="s">
        <v>1503</v>
      </c>
      <c r="D815" s="8" t="s">
        <v>1520</v>
      </c>
      <c r="E815" s="8" t="s">
        <v>1520</v>
      </c>
      <c r="F815" s="6">
        <v>907</v>
      </c>
      <c r="G815" s="6" t="b">
        <v>0</v>
      </c>
      <c r="H815" s="8" t="s">
        <v>240</v>
      </c>
      <c r="I815" s="6" t="b">
        <v>0</v>
      </c>
      <c r="J815" s="6" t="b">
        <v>0</v>
      </c>
      <c r="K815" s="6" t="b">
        <v>0</v>
      </c>
      <c r="L815" s="6" t="b">
        <v>1</v>
      </c>
      <c r="M815" s="6" t="b">
        <v>0</v>
      </c>
      <c r="N815" s="6">
        <v>5</v>
      </c>
      <c r="O815" s="8" t="s">
        <v>335</v>
      </c>
      <c r="P815" s="8" t="s">
        <v>238</v>
      </c>
      <c r="Q815" s="8" t="s">
        <v>239</v>
      </c>
      <c r="R815" s="6">
        <v>5</v>
      </c>
      <c r="S815" s="8" t="s">
        <v>75</v>
      </c>
      <c r="T815" s="9"/>
      <c r="U815" s="8" t="s">
        <v>240</v>
      </c>
      <c r="V815" s="8" t="s">
        <v>240</v>
      </c>
      <c r="W815" s="8" t="s">
        <v>240</v>
      </c>
      <c r="X815" s="8" t="s">
        <v>240</v>
      </c>
      <c r="Y815" s="8" t="s">
        <v>240</v>
      </c>
      <c r="Z815" s="6" t="b">
        <v>0</v>
      </c>
      <c r="AA815" s="9"/>
      <c r="AB815" s="9"/>
    </row>
    <row r="816" spans="1:28" ht="16">
      <c r="A816" s="6">
        <v>908</v>
      </c>
      <c r="B816" s="8" t="s">
        <v>200</v>
      </c>
      <c r="C816" s="8" t="s">
        <v>1521</v>
      </c>
      <c r="D816" s="8" t="s">
        <v>1522</v>
      </c>
      <c r="E816" s="8" t="s">
        <v>1522</v>
      </c>
      <c r="F816" s="6">
        <v>908</v>
      </c>
      <c r="G816" s="6" t="b">
        <v>0</v>
      </c>
      <c r="H816" s="8" t="s">
        <v>240</v>
      </c>
      <c r="I816" s="6" t="b">
        <v>0</v>
      </c>
      <c r="J816" s="6" t="b">
        <v>0</v>
      </c>
      <c r="K816" s="6" t="b">
        <v>0</v>
      </c>
      <c r="L816" s="6" t="b">
        <v>1</v>
      </c>
      <c r="M816" s="6" t="b">
        <v>0</v>
      </c>
      <c r="N816" s="6">
        <v>4</v>
      </c>
      <c r="O816" s="8" t="s">
        <v>237</v>
      </c>
      <c r="P816" s="8" t="s">
        <v>238</v>
      </c>
      <c r="Q816" s="8" t="s">
        <v>446</v>
      </c>
      <c r="R816" s="6">
        <v>4</v>
      </c>
      <c r="S816" s="8" t="s">
        <v>75</v>
      </c>
      <c r="T816" s="9"/>
      <c r="U816" s="8" t="s">
        <v>240</v>
      </c>
      <c r="V816" s="8" t="s">
        <v>482</v>
      </c>
      <c r="W816" s="8" t="s">
        <v>240</v>
      </c>
      <c r="X816" s="8" t="s">
        <v>240</v>
      </c>
      <c r="Y816" s="8" t="s">
        <v>240</v>
      </c>
      <c r="Z816" s="6" t="b">
        <v>0</v>
      </c>
      <c r="AA816" s="9"/>
      <c r="AB816" s="9"/>
    </row>
    <row r="817" spans="1:28" ht="16">
      <c r="A817" s="6">
        <v>909</v>
      </c>
      <c r="B817" s="8" t="s">
        <v>200</v>
      </c>
      <c r="C817" s="8" t="s">
        <v>99</v>
      </c>
      <c r="D817" s="8" t="s">
        <v>1523</v>
      </c>
      <c r="E817" s="8" t="s">
        <v>1523</v>
      </c>
      <c r="F817" s="6">
        <v>909</v>
      </c>
      <c r="G817" s="6" t="b">
        <v>0</v>
      </c>
      <c r="H817" s="8" t="s">
        <v>240</v>
      </c>
      <c r="I817" s="6" t="b">
        <v>0</v>
      </c>
      <c r="J817" s="6" t="b">
        <v>0</v>
      </c>
      <c r="K817" s="6" t="b">
        <v>0</v>
      </c>
      <c r="L817" s="6" t="b">
        <v>1</v>
      </c>
      <c r="M817" s="6" t="b">
        <v>0</v>
      </c>
      <c r="N817" s="6">
        <v>5</v>
      </c>
      <c r="O817" s="8" t="s">
        <v>237</v>
      </c>
      <c r="P817" s="8" t="s">
        <v>240</v>
      </c>
      <c r="Q817" s="8" t="s">
        <v>240</v>
      </c>
      <c r="R817" s="6">
        <v>5</v>
      </c>
      <c r="S817" s="8" t="s">
        <v>75</v>
      </c>
      <c r="T817" s="9"/>
      <c r="U817" s="8" t="s">
        <v>240</v>
      </c>
      <c r="V817" s="8" t="s">
        <v>240</v>
      </c>
      <c r="W817" s="8" t="s">
        <v>240</v>
      </c>
      <c r="X817" s="8" t="s">
        <v>240</v>
      </c>
      <c r="Y817" s="8" t="s">
        <v>240</v>
      </c>
      <c r="Z817" s="6" t="b">
        <v>0</v>
      </c>
      <c r="AA817" s="9"/>
      <c r="AB817" s="9"/>
    </row>
    <row r="818" spans="1:28" ht="16">
      <c r="A818" s="6">
        <v>910</v>
      </c>
      <c r="B818" s="8" t="s">
        <v>200</v>
      </c>
      <c r="C818" s="8" t="s">
        <v>99</v>
      </c>
      <c r="D818" s="8" t="s">
        <v>1524</v>
      </c>
      <c r="E818" s="8" t="s">
        <v>1524</v>
      </c>
      <c r="F818" s="6">
        <v>910</v>
      </c>
      <c r="G818" s="6" t="b">
        <v>0</v>
      </c>
      <c r="H818" s="8" t="s">
        <v>240</v>
      </c>
      <c r="I818" s="6" t="b">
        <v>0</v>
      </c>
      <c r="J818" s="6" t="b">
        <v>0</v>
      </c>
      <c r="K818" s="6" t="b">
        <v>0</v>
      </c>
      <c r="L818" s="6" t="b">
        <v>1</v>
      </c>
      <c r="M818" s="6" t="b">
        <v>0</v>
      </c>
      <c r="N818" s="6">
        <v>5</v>
      </c>
      <c r="O818" s="8" t="s">
        <v>237</v>
      </c>
      <c r="P818" s="8" t="s">
        <v>350</v>
      </c>
      <c r="Q818" s="8" t="s">
        <v>239</v>
      </c>
      <c r="R818" s="6">
        <v>5</v>
      </c>
      <c r="S818" s="8" t="s">
        <v>75</v>
      </c>
      <c r="T818" s="9"/>
      <c r="U818" s="8" t="s">
        <v>240</v>
      </c>
      <c r="V818" s="8" t="s">
        <v>1012</v>
      </c>
      <c r="W818" s="8" t="s">
        <v>240</v>
      </c>
      <c r="X818" s="8" t="s">
        <v>240</v>
      </c>
      <c r="Y818" s="8" t="s">
        <v>240</v>
      </c>
      <c r="Z818" s="6" t="b">
        <v>0</v>
      </c>
      <c r="AA818" s="9"/>
      <c r="AB818" s="9"/>
    </row>
    <row r="819" spans="1:28" ht="16">
      <c r="A819" s="6">
        <v>911</v>
      </c>
      <c r="B819" s="8" t="s">
        <v>200</v>
      </c>
      <c r="C819" s="8" t="s">
        <v>1525</v>
      </c>
      <c r="D819" s="8" t="s">
        <v>1526</v>
      </c>
      <c r="E819" s="8" t="s">
        <v>1526</v>
      </c>
      <c r="F819" s="6">
        <v>911</v>
      </c>
      <c r="G819" s="6" t="b">
        <v>0</v>
      </c>
      <c r="H819" s="8" t="s">
        <v>240</v>
      </c>
      <c r="I819" s="6" t="b">
        <v>0</v>
      </c>
      <c r="J819" s="6" t="b">
        <v>0</v>
      </c>
      <c r="K819" s="6" t="b">
        <v>0</v>
      </c>
      <c r="L819" s="6" t="b">
        <v>1</v>
      </c>
      <c r="M819" s="6" t="b">
        <v>0</v>
      </c>
      <c r="N819" s="6">
        <v>5</v>
      </c>
      <c r="O819" s="8" t="s">
        <v>237</v>
      </c>
      <c r="P819" s="8" t="s">
        <v>238</v>
      </c>
      <c r="Q819" s="8" t="s">
        <v>446</v>
      </c>
      <c r="R819" s="6">
        <v>5</v>
      </c>
      <c r="S819" s="8" t="s">
        <v>75</v>
      </c>
      <c r="T819" s="9"/>
      <c r="U819" s="8" t="s">
        <v>240</v>
      </c>
      <c r="V819" s="8" t="s">
        <v>240</v>
      </c>
      <c r="W819" s="8" t="s">
        <v>240</v>
      </c>
      <c r="X819" s="8" t="s">
        <v>240</v>
      </c>
      <c r="Y819" s="8" t="s">
        <v>1527</v>
      </c>
      <c r="Z819" s="6" t="b">
        <v>0</v>
      </c>
      <c r="AA819" s="9"/>
      <c r="AB819" s="9"/>
    </row>
    <row r="820" spans="1:28" ht="16">
      <c r="A820" s="6">
        <v>912</v>
      </c>
      <c r="B820" s="8" t="s">
        <v>200</v>
      </c>
      <c r="C820" s="8" t="s">
        <v>1528</v>
      </c>
      <c r="D820" s="8" t="s">
        <v>1528</v>
      </c>
      <c r="E820" s="8" t="s">
        <v>1528</v>
      </c>
      <c r="F820" s="6">
        <v>912</v>
      </c>
      <c r="G820" s="6" t="b">
        <v>0</v>
      </c>
      <c r="H820" s="8" t="s">
        <v>240</v>
      </c>
      <c r="I820" s="6" t="b">
        <v>0</v>
      </c>
      <c r="J820" s="6" t="b">
        <v>0</v>
      </c>
      <c r="K820" s="6" t="b">
        <v>0</v>
      </c>
      <c r="L820" s="6" t="b">
        <v>1</v>
      </c>
      <c r="M820" s="6" t="b">
        <v>0</v>
      </c>
      <c r="N820" s="6">
        <v>5</v>
      </c>
      <c r="O820" s="8" t="s">
        <v>237</v>
      </c>
      <c r="P820" s="8" t="s">
        <v>380</v>
      </c>
      <c r="Q820" s="8" t="s">
        <v>446</v>
      </c>
      <c r="R820" s="6">
        <v>5</v>
      </c>
      <c r="S820" s="8" t="s">
        <v>237</v>
      </c>
      <c r="T820" s="9"/>
      <c r="U820" s="8" t="s">
        <v>240</v>
      </c>
      <c r="V820" s="8" t="s">
        <v>524</v>
      </c>
      <c r="W820" s="8" t="s">
        <v>240</v>
      </c>
      <c r="X820" s="8" t="s">
        <v>240</v>
      </c>
      <c r="Y820" s="8" t="s">
        <v>240</v>
      </c>
      <c r="Z820" s="6" t="b">
        <v>0</v>
      </c>
      <c r="AA820" s="9"/>
      <c r="AB820" s="9"/>
    </row>
    <row r="821" spans="1:28" ht="16">
      <c r="A821" s="6">
        <v>913</v>
      </c>
      <c r="B821" s="8" t="s">
        <v>200</v>
      </c>
      <c r="C821" s="8" t="s">
        <v>1503</v>
      </c>
      <c r="D821" s="8" t="s">
        <v>1529</v>
      </c>
      <c r="E821" s="8" t="s">
        <v>1529</v>
      </c>
      <c r="F821" s="6">
        <v>913</v>
      </c>
      <c r="G821" s="6" t="b">
        <v>0</v>
      </c>
      <c r="H821" s="8" t="s">
        <v>240</v>
      </c>
      <c r="I821" s="6" t="b">
        <v>0</v>
      </c>
      <c r="J821" s="6" t="b">
        <v>0</v>
      </c>
      <c r="K821" s="6" t="b">
        <v>0</v>
      </c>
      <c r="L821" s="6" t="b">
        <v>1</v>
      </c>
      <c r="M821" s="6" t="b">
        <v>0</v>
      </c>
      <c r="N821" s="6">
        <v>5</v>
      </c>
      <c r="O821" s="8" t="s">
        <v>335</v>
      </c>
      <c r="P821" s="8" t="s">
        <v>238</v>
      </c>
      <c r="Q821" s="8" t="s">
        <v>446</v>
      </c>
      <c r="R821" s="6">
        <v>5</v>
      </c>
      <c r="S821" s="8" t="s">
        <v>75</v>
      </c>
      <c r="T821" s="9"/>
      <c r="U821" s="8" t="s">
        <v>240</v>
      </c>
      <c r="V821" s="8" t="s">
        <v>824</v>
      </c>
      <c r="W821" s="8" t="s">
        <v>240</v>
      </c>
      <c r="X821" s="8" t="s">
        <v>240</v>
      </c>
      <c r="Y821" s="8" t="s">
        <v>240</v>
      </c>
      <c r="Z821" s="6" t="b">
        <v>0</v>
      </c>
      <c r="AA821" s="9"/>
      <c r="AB821" s="9"/>
    </row>
    <row r="822" spans="1:28" ht="16">
      <c r="A822" s="6">
        <v>914</v>
      </c>
      <c r="B822" s="8" t="s">
        <v>200</v>
      </c>
      <c r="C822" s="8" t="s">
        <v>1503</v>
      </c>
      <c r="D822" s="8" t="s">
        <v>1530</v>
      </c>
      <c r="E822" s="8" t="s">
        <v>1530</v>
      </c>
      <c r="F822" s="6">
        <v>914</v>
      </c>
      <c r="G822" s="6" t="b">
        <v>0</v>
      </c>
      <c r="H822" s="8" t="s">
        <v>240</v>
      </c>
      <c r="I822" s="6" t="b">
        <v>0</v>
      </c>
      <c r="J822" s="6" t="b">
        <v>0</v>
      </c>
      <c r="K822" s="6" t="b">
        <v>0</v>
      </c>
      <c r="L822" s="6" t="b">
        <v>1</v>
      </c>
      <c r="M822" s="6" t="b">
        <v>0</v>
      </c>
      <c r="N822" s="6">
        <v>5</v>
      </c>
      <c r="O822" s="8" t="s">
        <v>335</v>
      </c>
      <c r="P822" s="8" t="s">
        <v>1176</v>
      </c>
      <c r="Q822" s="8" t="s">
        <v>446</v>
      </c>
      <c r="R822" s="6">
        <v>5</v>
      </c>
      <c r="S822" s="8" t="s">
        <v>372</v>
      </c>
      <c r="T822" s="9"/>
      <c r="U822" s="8" t="s">
        <v>240</v>
      </c>
      <c r="V822" s="8" t="s">
        <v>824</v>
      </c>
      <c r="W822" s="8" t="s">
        <v>240</v>
      </c>
      <c r="X822" s="8" t="s">
        <v>240</v>
      </c>
      <c r="Y822" s="8" t="s">
        <v>240</v>
      </c>
      <c r="Z822" s="6" t="b">
        <v>0</v>
      </c>
      <c r="AA822" s="9"/>
      <c r="AB822" s="9"/>
    </row>
    <row r="823" spans="1:28" ht="32">
      <c r="A823" s="6">
        <v>915</v>
      </c>
      <c r="B823" s="8" t="s">
        <v>200</v>
      </c>
      <c r="C823" s="8" t="s">
        <v>1531</v>
      </c>
      <c r="D823" s="8" t="s">
        <v>1531</v>
      </c>
      <c r="E823" s="8" t="s">
        <v>1531</v>
      </c>
      <c r="F823" s="6">
        <v>915</v>
      </c>
      <c r="G823" s="6" t="b">
        <v>0</v>
      </c>
      <c r="H823" s="8" t="s">
        <v>240</v>
      </c>
      <c r="I823" s="6" t="b">
        <v>0</v>
      </c>
      <c r="J823" s="6" t="b">
        <v>0</v>
      </c>
      <c r="K823" s="6" t="b">
        <v>0</v>
      </c>
      <c r="L823" s="6" t="b">
        <v>1</v>
      </c>
      <c r="M823" s="6" t="b">
        <v>0</v>
      </c>
      <c r="N823" s="6">
        <v>7</v>
      </c>
      <c r="O823" s="8" t="s">
        <v>237</v>
      </c>
      <c r="P823" s="8" t="s">
        <v>380</v>
      </c>
      <c r="Q823" s="8" t="s">
        <v>446</v>
      </c>
      <c r="R823" s="6">
        <v>7</v>
      </c>
      <c r="S823" s="8" t="s">
        <v>237</v>
      </c>
      <c r="T823" s="6">
        <v>5</v>
      </c>
      <c r="U823" s="8" t="s">
        <v>240</v>
      </c>
      <c r="V823" s="8" t="s">
        <v>1532</v>
      </c>
      <c r="W823" s="8" t="s">
        <v>240</v>
      </c>
      <c r="X823" s="8" t="s">
        <v>240</v>
      </c>
      <c r="Y823" s="8" t="s">
        <v>240</v>
      </c>
      <c r="Z823" s="6" t="b">
        <v>0</v>
      </c>
      <c r="AA823" s="9"/>
      <c r="AB823" s="9"/>
    </row>
    <row r="824" spans="1:28" ht="16">
      <c r="A824" s="6">
        <v>917</v>
      </c>
      <c r="B824" s="8" t="s">
        <v>200</v>
      </c>
      <c r="C824" s="8" t="s">
        <v>1503</v>
      </c>
      <c r="D824" s="8" t="s">
        <v>1533</v>
      </c>
      <c r="E824" s="8" t="s">
        <v>1533</v>
      </c>
      <c r="F824" s="6">
        <v>917</v>
      </c>
      <c r="G824" s="6" t="b">
        <v>0</v>
      </c>
      <c r="H824" s="8" t="s">
        <v>240</v>
      </c>
      <c r="I824" s="6" t="b">
        <v>0</v>
      </c>
      <c r="J824" s="6" t="b">
        <v>0</v>
      </c>
      <c r="K824" s="6" t="b">
        <v>0</v>
      </c>
      <c r="L824" s="6" t="b">
        <v>1</v>
      </c>
      <c r="M824" s="6" t="b">
        <v>0</v>
      </c>
      <c r="N824" s="6">
        <v>5</v>
      </c>
      <c r="O824" s="8" t="s">
        <v>335</v>
      </c>
      <c r="P824" s="8" t="s">
        <v>238</v>
      </c>
      <c r="Q824" s="8" t="s">
        <v>1119</v>
      </c>
      <c r="R824" s="6">
        <v>5</v>
      </c>
      <c r="S824" s="8" t="s">
        <v>75</v>
      </c>
      <c r="T824" s="9"/>
      <c r="U824" s="8" t="s">
        <v>240</v>
      </c>
      <c r="V824" s="8" t="s">
        <v>824</v>
      </c>
      <c r="W824" s="8" t="s">
        <v>240</v>
      </c>
      <c r="X824" s="8" t="s">
        <v>240</v>
      </c>
      <c r="Y824" s="8" t="s">
        <v>240</v>
      </c>
      <c r="Z824" s="6" t="b">
        <v>0</v>
      </c>
      <c r="AA824" s="9"/>
      <c r="AB824" s="9"/>
    </row>
    <row r="825" spans="1:28" ht="16">
      <c r="A825" s="6">
        <v>918</v>
      </c>
      <c r="B825" s="8" t="s">
        <v>200</v>
      </c>
      <c r="C825" s="8" t="s">
        <v>1534</v>
      </c>
      <c r="D825" s="8" t="s">
        <v>1535</v>
      </c>
      <c r="E825" s="8" t="s">
        <v>1535</v>
      </c>
      <c r="F825" s="6">
        <v>918</v>
      </c>
      <c r="G825" s="6" t="b">
        <v>0</v>
      </c>
      <c r="H825" s="8" t="s">
        <v>240</v>
      </c>
      <c r="I825" s="6" t="b">
        <v>0</v>
      </c>
      <c r="J825" s="6" t="b">
        <v>0</v>
      </c>
      <c r="K825" s="6" t="b">
        <v>0</v>
      </c>
      <c r="L825" s="6" t="b">
        <v>1</v>
      </c>
      <c r="M825" s="6" t="b">
        <v>0</v>
      </c>
      <c r="N825" s="6">
        <v>7</v>
      </c>
      <c r="O825" s="8" t="s">
        <v>341</v>
      </c>
      <c r="P825" s="8" t="s">
        <v>516</v>
      </c>
      <c r="Q825" s="8" t="s">
        <v>239</v>
      </c>
      <c r="R825" s="6">
        <v>7</v>
      </c>
      <c r="S825" s="8" t="s">
        <v>372</v>
      </c>
      <c r="T825" s="9"/>
      <c r="U825" s="8" t="s">
        <v>240</v>
      </c>
      <c r="V825" s="8" t="s">
        <v>1012</v>
      </c>
      <c r="W825" s="8" t="s">
        <v>240</v>
      </c>
      <c r="X825" s="8" t="s">
        <v>240</v>
      </c>
      <c r="Y825" s="8" t="s">
        <v>240</v>
      </c>
      <c r="Z825" s="6" t="b">
        <v>0</v>
      </c>
      <c r="AA825" s="9"/>
      <c r="AB825" s="9"/>
    </row>
    <row r="826" spans="1:28" ht="16">
      <c r="A826" s="6">
        <v>919</v>
      </c>
      <c r="B826" s="8" t="s">
        <v>200</v>
      </c>
      <c r="C826" s="8" t="s">
        <v>1536</v>
      </c>
      <c r="D826" s="8" t="s">
        <v>1537</v>
      </c>
      <c r="E826" s="8" t="s">
        <v>1537</v>
      </c>
      <c r="F826" s="6">
        <v>919</v>
      </c>
      <c r="G826" s="6" t="b">
        <v>0</v>
      </c>
      <c r="H826" s="8" t="s">
        <v>240</v>
      </c>
      <c r="I826" s="6" t="b">
        <v>0</v>
      </c>
      <c r="J826" s="6" t="b">
        <v>0</v>
      </c>
      <c r="K826" s="6" t="b">
        <v>0</v>
      </c>
      <c r="L826" s="6" t="b">
        <v>1</v>
      </c>
      <c r="M826" s="6" t="b">
        <v>0</v>
      </c>
      <c r="N826" s="6">
        <v>3</v>
      </c>
      <c r="O826" s="8" t="s">
        <v>237</v>
      </c>
      <c r="P826" s="8" t="s">
        <v>238</v>
      </c>
      <c r="Q826" s="8" t="s">
        <v>339</v>
      </c>
      <c r="R826" s="6">
        <v>4</v>
      </c>
      <c r="S826" s="8" t="s">
        <v>523</v>
      </c>
      <c r="T826" s="6">
        <v>4</v>
      </c>
      <c r="U826" s="8" t="s">
        <v>240</v>
      </c>
      <c r="V826" s="8" t="s">
        <v>824</v>
      </c>
      <c r="W826" s="8" t="s">
        <v>240</v>
      </c>
      <c r="X826" s="8" t="s">
        <v>240</v>
      </c>
      <c r="Y826" s="8" t="s">
        <v>1538</v>
      </c>
      <c r="Z826" s="6" t="b">
        <v>0</v>
      </c>
      <c r="AA826" s="9"/>
      <c r="AB826" s="9"/>
    </row>
    <row r="827" spans="1:28" ht="16">
      <c r="A827" s="6">
        <v>920</v>
      </c>
      <c r="B827" s="8" t="s">
        <v>200</v>
      </c>
      <c r="C827" s="8" t="s">
        <v>1528</v>
      </c>
      <c r="D827" s="8" t="s">
        <v>1539</v>
      </c>
      <c r="E827" s="8" t="s">
        <v>1539</v>
      </c>
      <c r="F827" s="6">
        <v>920</v>
      </c>
      <c r="G827" s="6" t="b">
        <v>0</v>
      </c>
      <c r="H827" s="8" t="s">
        <v>240</v>
      </c>
      <c r="I827" s="6" t="b">
        <v>0</v>
      </c>
      <c r="J827" s="6" t="b">
        <v>0</v>
      </c>
      <c r="K827" s="6" t="b">
        <v>0</v>
      </c>
      <c r="L827" s="6" t="b">
        <v>1</v>
      </c>
      <c r="M827" s="6" t="b">
        <v>0</v>
      </c>
      <c r="N827" s="6">
        <v>5</v>
      </c>
      <c r="O827" s="8" t="s">
        <v>237</v>
      </c>
      <c r="P827" s="8" t="s">
        <v>380</v>
      </c>
      <c r="Q827" s="8" t="s">
        <v>446</v>
      </c>
      <c r="R827" s="6">
        <v>5</v>
      </c>
      <c r="S827" s="8" t="s">
        <v>75</v>
      </c>
      <c r="T827" s="9"/>
      <c r="U827" s="8" t="s">
        <v>240</v>
      </c>
      <c r="V827" s="8" t="s">
        <v>524</v>
      </c>
      <c r="W827" s="8" t="s">
        <v>240</v>
      </c>
      <c r="X827" s="8" t="s">
        <v>240</v>
      </c>
      <c r="Y827" s="8" t="s">
        <v>240</v>
      </c>
      <c r="Z827" s="6" t="b">
        <v>0</v>
      </c>
      <c r="AA827" s="9"/>
      <c r="AB827" s="9"/>
    </row>
    <row r="828" spans="1:28" ht="16">
      <c r="A828" s="6">
        <v>921</v>
      </c>
      <c r="B828" s="8" t="s">
        <v>200</v>
      </c>
      <c r="C828" s="8" t="s">
        <v>1503</v>
      </c>
      <c r="D828" s="8" t="s">
        <v>1540</v>
      </c>
      <c r="E828" s="8" t="s">
        <v>1540</v>
      </c>
      <c r="F828" s="6">
        <v>921</v>
      </c>
      <c r="G828" s="6" t="b">
        <v>0</v>
      </c>
      <c r="H828" s="8" t="s">
        <v>240</v>
      </c>
      <c r="I828" s="6" t="b">
        <v>0</v>
      </c>
      <c r="J828" s="6" t="b">
        <v>0</v>
      </c>
      <c r="K828" s="6" t="b">
        <v>0</v>
      </c>
      <c r="L828" s="6" t="b">
        <v>1</v>
      </c>
      <c r="M828" s="6" t="b">
        <v>0</v>
      </c>
      <c r="N828" s="6">
        <v>5</v>
      </c>
      <c r="O828" s="8" t="s">
        <v>335</v>
      </c>
      <c r="P828" s="8" t="s">
        <v>1176</v>
      </c>
      <c r="Q828" s="8" t="s">
        <v>446</v>
      </c>
      <c r="R828" s="6">
        <v>5</v>
      </c>
      <c r="S828" s="8" t="s">
        <v>75</v>
      </c>
      <c r="T828" s="9"/>
      <c r="U828" s="8" t="s">
        <v>240</v>
      </c>
      <c r="V828" s="8" t="s">
        <v>866</v>
      </c>
      <c r="W828" s="8" t="s">
        <v>240</v>
      </c>
      <c r="X828" s="8" t="s">
        <v>240</v>
      </c>
      <c r="Y828" s="8" t="s">
        <v>240</v>
      </c>
      <c r="Z828" s="6" t="b">
        <v>0</v>
      </c>
      <c r="AA828" s="9"/>
      <c r="AB828" s="9"/>
    </row>
    <row r="829" spans="1:28" ht="16">
      <c r="A829" s="6">
        <v>922</v>
      </c>
      <c r="B829" s="8" t="s">
        <v>200</v>
      </c>
      <c r="C829" s="8" t="s">
        <v>1503</v>
      </c>
      <c r="D829" s="8" t="s">
        <v>1541</v>
      </c>
      <c r="E829" s="8" t="s">
        <v>1541</v>
      </c>
      <c r="F829" s="6">
        <v>922</v>
      </c>
      <c r="G829" s="6" t="b">
        <v>0</v>
      </c>
      <c r="H829" s="8" t="s">
        <v>240</v>
      </c>
      <c r="I829" s="6" t="b">
        <v>0</v>
      </c>
      <c r="J829" s="6" t="b">
        <v>0</v>
      </c>
      <c r="K829" s="6" t="b">
        <v>0</v>
      </c>
      <c r="L829" s="6" t="b">
        <v>1</v>
      </c>
      <c r="M829" s="6" t="b">
        <v>0</v>
      </c>
      <c r="N829" s="6">
        <v>5</v>
      </c>
      <c r="O829" s="8" t="s">
        <v>335</v>
      </c>
      <c r="P829" s="8" t="s">
        <v>1176</v>
      </c>
      <c r="Q829" s="8" t="s">
        <v>446</v>
      </c>
      <c r="R829" s="6">
        <v>5</v>
      </c>
      <c r="S829" s="8" t="s">
        <v>75</v>
      </c>
      <c r="T829" s="9"/>
      <c r="U829" s="8" t="s">
        <v>240</v>
      </c>
      <c r="V829" s="8" t="s">
        <v>866</v>
      </c>
      <c r="W829" s="8" t="s">
        <v>240</v>
      </c>
      <c r="X829" s="8" t="s">
        <v>240</v>
      </c>
      <c r="Y829" s="8" t="s">
        <v>240</v>
      </c>
      <c r="Z829" s="6" t="b">
        <v>0</v>
      </c>
      <c r="AA829" s="9"/>
      <c r="AB829" s="9"/>
    </row>
    <row r="830" spans="1:28" ht="16">
      <c r="A830" s="6">
        <v>923</v>
      </c>
      <c r="B830" s="8" t="s">
        <v>200</v>
      </c>
      <c r="C830" s="8" t="s">
        <v>1542</v>
      </c>
      <c r="D830" s="8" t="s">
        <v>1542</v>
      </c>
      <c r="E830" s="8" t="s">
        <v>1542</v>
      </c>
      <c r="F830" s="6">
        <v>923</v>
      </c>
      <c r="G830" s="6" t="b">
        <v>0</v>
      </c>
      <c r="H830" s="8" t="s">
        <v>240</v>
      </c>
      <c r="I830" s="6" t="b">
        <v>0</v>
      </c>
      <c r="J830" s="6" t="b">
        <v>0</v>
      </c>
      <c r="K830" s="6" t="b">
        <v>0</v>
      </c>
      <c r="L830" s="6" t="b">
        <v>1</v>
      </c>
      <c r="M830" s="6" t="b">
        <v>0</v>
      </c>
      <c r="N830" s="6">
        <v>5</v>
      </c>
      <c r="O830" s="8" t="s">
        <v>331</v>
      </c>
      <c r="P830" s="8" t="s">
        <v>380</v>
      </c>
      <c r="Q830" s="8" t="s">
        <v>446</v>
      </c>
      <c r="R830" s="6">
        <v>5</v>
      </c>
      <c r="S830" s="8" t="s">
        <v>331</v>
      </c>
      <c r="T830" s="9"/>
      <c r="U830" s="8" t="s">
        <v>240</v>
      </c>
      <c r="V830" s="8" t="s">
        <v>496</v>
      </c>
      <c r="W830" s="8" t="s">
        <v>240</v>
      </c>
      <c r="X830" s="8" t="s">
        <v>240</v>
      </c>
      <c r="Y830" s="8" t="s">
        <v>240</v>
      </c>
      <c r="Z830" s="6" t="b">
        <v>0</v>
      </c>
      <c r="AA830" s="9"/>
      <c r="AB830" s="9"/>
    </row>
    <row r="831" spans="1:28" ht="16">
      <c r="A831" s="6">
        <v>925</v>
      </c>
      <c r="B831" s="8" t="s">
        <v>200</v>
      </c>
      <c r="C831" s="8" t="s">
        <v>1542</v>
      </c>
      <c r="D831" s="8" t="s">
        <v>1543</v>
      </c>
      <c r="E831" s="8" t="s">
        <v>1543</v>
      </c>
      <c r="F831" s="6">
        <v>925</v>
      </c>
      <c r="G831" s="6" t="b">
        <v>0</v>
      </c>
      <c r="H831" s="8" t="s">
        <v>240</v>
      </c>
      <c r="I831" s="6" t="b">
        <v>0</v>
      </c>
      <c r="J831" s="6" t="b">
        <v>0</v>
      </c>
      <c r="K831" s="6" t="b">
        <v>0</v>
      </c>
      <c r="L831" s="6" t="b">
        <v>1</v>
      </c>
      <c r="M831" s="6" t="b">
        <v>0</v>
      </c>
      <c r="N831" s="6">
        <v>5</v>
      </c>
      <c r="O831" s="8" t="s">
        <v>331</v>
      </c>
      <c r="P831" s="8" t="s">
        <v>380</v>
      </c>
      <c r="Q831" s="8" t="s">
        <v>446</v>
      </c>
      <c r="R831" s="6">
        <v>5</v>
      </c>
      <c r="S831" s="8" t="s">
        <v>75</v>
      </c>
      <c r="T831" s="9"/>
      <c r="U831" s="8" t="s">
        <v>240</v>
      </c>
      <c r="V831" s="8" t="s">
        <v>1012</v>
      </c>
      <c r="W831" s="8" t="s">
        <v>240</v>
      </c>
      <c r="X831" s="8" t="s">
        <v>240</v>
      </c>
      <c r="Y831" s="8" t="s">
        <v>1544</v>
      </c>
      <c r="Z831" s="6" t="b">
        <v>0</v>
      </c>
      <c r="AA831" s="9"/>
      <c r="AB831" s="9"/>
    </row>
    <row r="832" spans="1:28" ht="16">
      <c r="A832" s="6">
        <v>926</v>
      </c>
      <c r="B832" s="8" t="s">
        <v>200</v>
      </c>
      <c r="C832" s="8" t="s">
        <v>98</v>
      </c>
      <c r="D832" s="8" t="s">
        <v>1545</v>
      </c>
      <c r="E832" s="8" t="s">
        <v>1545</v>
      </c>
      <c r="F832" s="6">
        <v>926</v>
      </c>
      <c r="G832" s="6" t="b">
        <v>0</v>
      </c>
      <c r="H832" s="8" t="s">
        <v>240</v>
      </c>
      <c r="I832" s="6" t="b">
        <v>0</v>
      </c>
      <c r="J832" s="6" t="b">
        <v>0</v>
      </c>
      <c r="K832" s="6" t="b">
        <v>0</v>
      </c>
      <c r="L832" s="6" t="b">
        <v>1</v>
      </c>
      <c r="M832" s="6" t="b">
        <v>0</v>
      </c>
      <c r="N832" s="6">
        <v>4</v>
      </c>
      <c r="O832" s="8" t="s">
        <v>331</v>
      </c>
      <c r="P832" s="8" t="s">
        <v>516</v>
      </c>
      <c r="Q832" s="8" t="s">
        <v>898</v>
      </c>
      <c r="R832" s="6">
        <v>6</v>
      </c>
      <c r="S832" s="8" t="s">
        <v>347</v>
      </c>
      <c r="T832" s="6">
        <v>6</v>
      </c>
      <c r="U832" s="8" t="s">
        <v>240</v>
      </c>
      <c r="V832" s="8" t="s">
        <v>482</v>
      </c>
      <c r="W832" s="8" t="s">
        <v>240</v>
      </c>
      <c r="X832" s="8" t="s">
        <v>240</v>
      </c>
      <c r="Y832" s="8" t="s">
        <v>1546</v>
      </c>
      <c r="Z832" s="6" t="b">
        <v>0</v>
      </c>
      <c r="AA832" s="9"/>
      <c r="AB832" s="9"/>
    </row>
    <row r="833" spans="1:28" ht="16">
      <c r="A833" s="6">
        <v>928</v>
      </c>
      <c r="B833" s="8" t="s">
        <v>200</v>
      </c>
      <c r="C833" s="8" t="s">
        <v>98</v>
      </c>
      <c r="D833" s="8" t="s">
        <v>1547</v>
      </c>
      <c r="E833" s="8" t="s">
        <v>1545</v>
      </c>
      <c r="F833" s="6">
        <v>926</v>
      </c>
      <c r="G833" s="6" t="b">
        <v>0</v>
      </c>
      <c r="H833" s="8" t="s">
        <v>240</v>
      </c>
      <c r="I833" s="6" t="b">
        <v>0</v>
      </c>
      <c r="J833" s="6" t="b">
        <v>0</v>
      </c>
      <c r="K833" s="6" t="b">
        <v>0</v>
      </c>
      <c r="L833" s="6" t="b">
        <v>1</v>
      </c>
      <c r="M833" s="6" t="b">
        <v>0</v>
      </c>
      <c r="N833" s="6">
        <v>4</v>
      </c>
      <c r="O833" s="8" t="s">
        <v>331</v>
      </c>
      <c r="P833" s="8" t="s">
        <v>350</v>
      </c>
      <c r="Q833" s="8" t="s">
        <v>335</v>
      </c>
      <c r="R833" s="6">
        <v>8</v>
      </c>
      <c r="S833" s="8" t="s">
        <v>347</v>
      </c>
      <c r="T833" s="6">
        <v>6</v>
      </c>
      <c r="U833" s="8" t="s">
        <v>240</v>
      </c>
      <c r="V833" s="8" t="s">
        <v>482</v>
      </c>
      <c r="W833" s="8" t="s">
        <v>240</v>
      </c>
      <c r="X833" s="8" t="s">
        <v>240</v>
      </c>
      <c r="Y833" s="8" t="s">
        <v>240</v>
      </c>
      <c r="Z833" s="6" t="b">
        <v>0</v>
      </c>
      <c r="AA833" s="9"/>
      <c r="AB833" s="9"/>
    </row>
    <row r="834" spans="1:28" ht="32">
      <c r="A834" s="6">
        <v>929</v>
      </c>
      <c r="B834" s="8" t="s">
        <v>200</v>
      </c>
      <c r="C834" s="8" t="s">
        <v>98</v>
      </c>
      <c r="D834" s="8" t="s">
        <v>1548</v>
      </c>
      <c r="E834" s="8" t="s">
        <v>1545</v>
      </c>
      <c r="F834" s="6">
        <v>926</v>
      </c>
      <c r="G834" s="6" t="b">
        <v>0</v>
      </c>
      <c r="H834" s="8" t="s">
        <v>240</v>
      </c>
      <c r="I834" s="6" t="b">
        <v>0</v>
      </c>
      <c r="J834" s="6" t="b">
        <v>0</v>
      </c>
      <c r="K834" s="6" t="b">
        <v>0</v>
      </c>
      <c r="L834" s="6" t="b">
        <v>1</v>
      </c>
      <c r="M834" s="6" t="b">
        <v>0</v>
      </c>
      <c r="N834" s="6">
        <v>4</v>
      </c>
      <c r="O834" s="8" t="s">
        <v>331</v>
      </c>
      <c r="P834" s="8" t="s">
        <v>350</v>
      </c>
      <c r="Q834" s="8" t="s">
        <v>339</v>
      </c>
      <c r="R834" s="6">
        <v>5</v>
      </c>
      <c r="S834" s="8" t="s">
        <v>347</v>
      </c>
      <c r="T834" s="6">
        <v>5</v>
      </c>
      <c r="U834" s="8" t="s">
        <v>240</v>
      </c>
      <c r="V834" s="8" t="s">
        <v>482</v>
      </c>
      <c r="W834" s="8" t="s">
        <v>240</v>
      </c>
      <c r="X834" s="8" t="s">
        <v>240</v>
      </c>
      <c r="Y834" s="8" t="s">
        <v>240</v>
      </c>
      <c r="Z834" s="6" t="b">
        <v>0</v>
      </c>
      <c r="AA834" s="9"/>
      <c r="AB834" s="9"/>
    </row>
    <row r="835" spans="1:28" ht="32">
      <c r="A835" s="6">
        <v>930</v>
      </c>
      <c r="B835" s="8" t="s">
        <v>200</v>
      </c>
      <c r="C835" s="8" t="s">
        <v>1503</v>
      </c>
      <c r="D835" s="8" t="s">
        <v>1503</v>
      </c>
      <c r="E835" s="8" t="s">
        <v>1503</v>
      </c>
      <c r="F835" s="6">
        <v>930</v>
      </c>
      <c r="G835" s="6" t="b">
        <v>0</v>
      </c>
      <c r="H835" s="8" t="s">
        <v>240</v>
      </c>
      <c r="I835" s="6" t="b">
        <v>0</v>
      </c>
      <c r="J835" s="6" t="b">
        <v>0</v>
      </c>
      <c r="K835" s="6" t="b">
        <v>0</v>
      </c>
      <c r="L835" s="6" t="b">
        <v>1</v>
      </c>
      <c r="M835" s="6" t="b">
        <v>0</v>
      </c>
      <c r="N835" s="6">
        <v>5</v>
      </c>
      <c r="O835" s="8" t="s">
        <v>335</v>
      </c>
      <c r="P835" s="8" t="s">
        <v>238</v>
      </c>
      <c r="Q835" s="8" t="s">
        <v>1184</v>
      </c>
      <c r="R835" s="6">
        <v>5</v>
      </c>
      <c r="S835" s="8" t="s">
        <v>335</v>
      </c>
      <c r="T835" s="6">
        <v>5</v>
      </c>
      <c r="U835" s="8" t="s">
        <v>240</v>
      </c>
      <c r="V835" s="8" t="s">
        <v>1120</v>
      </c>
      <c r="W835" s="8" t="s">
        <v>240</v>
      </c>
      <c r="X835" s="8" t="s">
        <v>240</v>
      </c>
      <c r="Y835" s="8" t="s">
        <v>1549</v>
      </c>
      <c r="Z835" s="6" t="b">
        <v>0</v>
      </c>
      <c r="AA835" s="9"/>
      <c r="AB835" s="9"/>
    </row>
    <row r="836" spans="1:28" ht="16">
      <c r="A836" s="6">
        <v>932</v>
      </c>
      <c r="B836" s="8" t="s">
        <v>200</v>
      </c>
      <c r="C836" s="8" t="s">
        <v>1503</v>
      </c>
      <c r="D836" s="8" t="s">
        <v>1550</v>
      </c>
      <c r="E836" s="8" t="s">
        <v>1550</v>
      </c>
      <c r="F836" s="6">
        <v>932</v>
      </c>
      <c r="G836" s="6" t="b">
        <v>0</v>
      </c>
      <c r="H836" s="8" t="s">
        <v>240</v>
      </c>
      <c r="I836" s="6" t="b">
        <v>0</v>
      </c>
      <c r="J836" s="6" t="b">
        <v>0</v>
      </c>
      <c r="K836" s="6" t="b">
        <v>0</v>
      </c>
      <c r="L836" s="6" t="b">
        <v>1</v>
      </c>
      <c r="M836" s="6" t="b">
        <v>0</v>
      </c>
      <c r="N836" s="6">
        <v>5</v>
      </c>
      <c r="O836" s="8" t="s">
        <v>335</v>
      </c>
      <c r="P836" s="8" t="s">
        <v>238</v>
      </c>
      <c r="Q836" s="8" t="s">
        <v>1119</v>
      </c>
      <c r="R836" s="6">
        <v>5</v>
      </c>
      <c r="S836" s="8" t="s">
        <v>75</v>
      </c>
      <c r="T836" s="9"/>
      <c r="U836" s="8" t="s">
        <v>240</v>
      </c>
      <c r="V836" s="8" t="s">
        <v>1551</v>
      </c>
      <c r="W836" s="8" t="s">
        <v>240</v>
      </c>
      <c r="X836" s="8" t="s">
        <v>240</v>
      </c>
      <c r="Y836" s="8" t="s">
        <v>240</v>
      </c>
      <c r="Z836" s="6" t="b">
        <v>0</v>
      </c>
      <c r="AA836" s="9"/>
      <c r="AB836" s="9"/>
    </row>
    <row r="837" spans="1:28" ht="32">
      <c r="A837" s="6">
        <v>933</v>
      </c>
      <c r="B837" s="8" t="s">
        <v>200</v>
      </c>
      <c r="C837" s="8" t="s">
        <v>100</v>
      </c>
      <c r="D837" s="8" t="s">
        <v>1552</v>
      </c>
      <c r="E837" s="8" t="s">
        <v>1552</v>
      </c>
      <c r="F837" s="6">
        <v>933</v>
      </c>
      <c r="G837" s="6" t="b">
        <v>0</v>
      </c>
      <c r="H837" s="8" t="s">
        <v>240</v>
      </c>
      <c r="I837" s="6" t="b">
        <v>0</v>
      </c>
      <c r="J837" s="6" t="b">
        <v>0</v>
      </c>
      <c r="K837" s="6" t="b">
        <v>0</v>
      </c>
      <c r="L837" s="6" t="b">
        <v>1</v>
      </c>
      <c r="M837" s="6" t="b">
        <v>0</v>
      </c>
      <c r="N837" s="6">
        <v>4</v>
      </c>
      <c r="O837" s="8" t="s">
        <v>331</v>
      </c>
      <c r="P837" s="8" t="s">
        <v>516</v>
      </c>
      <c r="Q837" s="8" t="s">
        <v>481</v>
      </c>
      <c r="R837" s="6">
        <v>5</v>
      </c>
      <c r="S837" s="8" t="s">
        <v>347</v>
      </c>
      <c r="T837" s="6">
        <v>5</v>
      </c>
      <c r="U837" s="8" t="s">
        <v>240</v>
      </c>
      <c r="V837" s="8" t="s">
        <v>482</v>
      </c>
      <c r="W837" s="8" t="s">
        <v>240</v>
      </c>
      <c r="X837" s="8" t="s">
        <v>240</v>
      </c>
      <c r="Y837" s="8" t="s">
        <v>1553</v>
      </c>
      <c r="Z837" s="6" t="b">
        <v>0</v>
      </c>
      <c r="AA837" s="9"/>
      <c r="AB837" s="9"/>
    </row>
    <row r="838" spans="1:28" ht="16">
      <c r="A838" s="6">
        <v>934</v>
      </c>
      <c r="B838" s="8" t="s">
        <v>200</v>
      </c>
      <c r="C838" s="8" t="s">
        <v>100</v>
      </c>
      <c r="D838" s="8" t="s">
        <v>1554</v>
      </c>
      <c r="E838" s="8" t="s">
        <v>1552</v>
      </c>
      <c r="F838" s="6">
        <v>933</v>
      </c>
      <c r="G838" s="6" t="b">
        <v>0</v>
      </c>
      <c r="H838" s="8" t="s">
        <v>240</v>
      </c>
      <c r="I838" s="6" t="b">
        <v>0</v>
      </c>
      <c r="J838" s="6" t="b">
        <v>0</v>
      </c>
      <c r="K838" s="6" t="b">
        <v>0</v>
      </c>
      <c r="L838" s="6" t="b">
        <v>1</v>
      </c>
      <c r="M838" s="6" t="b">
        <v>0</v>
      </c>
      <c r="N838" s="6">
        <v>4</v>
      </c>
      <c r="O838" s="8" t="s">
        <v>331</v>
      </c>
      <c r="P838" s="8" t="s">
        <v>516</v>
      </c>
      <c r="Q838" s="8" t="s">
        <v>335</v>
      </c>
      <c r="R838" s="6">
        <v>5</v>
      </c>
      <c r="S838" s="8" t="s">
        <v>335</v>
      </c>
      <c r="T838" s="6">
        <v>5</v>
      </c>
      <c r="U838" s="8" t="s">
        <v>240</v>
      </c>
      <c r="V838" s="8" t="s">
        <v>482</v>
      </c>
      <c r="W838" s="8" t="s">
        <v>240</v>
      </c>
      <c r="X838" s="8" t="s">
        <v>240</v>
      </c>
      <c r="Y838" s="8" t="s">
        <v>1555</v>
      </c>
      <c r="Z838" s="6" t="b">
        <v>0</v>
      </c>
      <c r="AA838" s="9"/>
      <c r="AB838" s="9"/>
    </row>
    <row r="839" spans="1:28" ht="32">
      <c r="A839" s="6">
        <v>935</v>
      </c>
      <c r="B839" s="8" t="s">
        <v>200</v>
      </c>
      <c r="C839" s="8" t="s">
        <v>98</v>
      </c>
      <c r="D839" s="8" t="s">
        <v>98</v>
      </c>
      <c r="E839" s="8" t="s">
        <v>98</v>
      </c>
      <c r="F839" s="6">
        <v>935</v>
      </c>
      <c r="G839" s="6" t="b">
        <v>0</v>
      </c>
      <c r="H839" s="8" t="s">
        <v>240</v>
      </c>
      <c r="I839" s="6" t="b">
        <v>0</v>
      </c>
      <c r="J839" s="6" t="b">
        <v>0</v>
      </c>
      <c r="K839" s="6" t="b">
        <v>0</v>
      </c>
      <c r="L839" s="6" t="b">
        <v>1</v>
      </c>
      <c r="M839" s="6" t="b">
        <v>0</v>
      </c>
      <c r="N839" s="6">
        <v>4</v>
      </c>
      <c r="O839" s="8" t="s">
        <v>331</v>
      </c>
      <c r="P839" s="8" t="s">
        <v>822</v>
      </c>
      <c r="Q839" s="8" t="s">
        <v>823</v>
      </c>
      <c r="R839" s="6">
        <v>4</v>
      </c>
      <c r="S839" s="8" t="s">
        <v>331</v>
      </c>
      <c r="T839" s="6">
        <v>5</v>
      </c>
      <c r="U839" s="8" t="s">
        <v>240</v>
      </c>
      <c r="V839" s="8" t="s">
        <v>1231</v>
      </c>
      <c r="W839" s="8" t="s">
        <v>240</v>
      </c>
      <c r="X839" s="8" t="s">
        <v>240</v>
      </c>
      <c r="Y839" s="8" t="s">
        <v>240</v>
      </c>
      <c r="Z839" s="6" t="b">
        <v>0</v>
      </c>
      <c r="AA839" s="6">
        <v>2</v>
      </c>
      <c r="AB839" s="9"/>
    </row>
    <row r="840" spans="1:28" ht="16">
      <c r="A840" s="6">
        <v>937</v>
      </c>
      <c r="B840" s="8" t="s">
        <v>200</v>
      </c>
      <c r="C840" s="8" t="s">
        <v>1534</v>
      </c>
      <c r="D840" s="8" t="s">
        <v>1556</v>
      </c>
      <c r="E840" s="8" t="s">
        <v>1556</v>
      </c>
      <c r="F840" s="6">
        <v>937</v>
      </c>
      <c r="G840" s="6" t="b">
        <v>0</v>
      </c>
      <c r="H840" s="8" t="s">
        <v>240</v>
      </c>
      <c r="I840" s="6" t="b">
        <v>0</v>
      </c>
      <c r="J840" s="6" t="b">
        <v>0</v>
      </c>
      <c r="K840" s="6" t="b">
        <v>0</v>
      </c>
      <c r="L840" s="6" t="b">
        <v>1</v>
      </c>
      <c r="M840" s="6" t="b">
        <v>0</v>
      </c>
      <c r="N840" s="6">
        <v>7</v>
      </c>
      <c r="O840" s="8" t="s">
        <v>341</v>
      </c>
      <c r="P840" s="8" t="s">
        <v>240</v>
      </c>
      <c r="Q840" s="8" t="s">
        <v>240</v>
      </c>
      <c r="R840" s="6">
        <v>7</v>
      </c>
      <c r="S840" s="8" t="s">
        <v>75</v>
      </c>
      <c r="T840" s="9"/>
      <c r="U840" s="8" t="s">
        <v>1557</v>
      </c>
      <c r="V840" s="8" t="s">
        <v>1164</v>
      </c>
      <c r="W840" s="8" t="s">
        <v>240</v>
      </c>
      <c r="X840" s="8" t="s">
        <v>240</v>
      </c>
      <c r="Y840" s="8" t="s">
        <v>240</v>
      </c>
      <c r="Z840" s="6" t="b">
        <v>0</v>
      </c>
      <c r="AA840" s="9"/>
      <c r="AB840" s="9"/>
    </row>
    <row r="841" spans="1:28" ht="16">
      <c r="A841" s="6">
        <v>938</v>
      </c>
      <c r="B841" s="8" t="s">
        <v>200</v>
      </c>
      <c r="C841" s="8" t="s">
        <v>99</v>
      </c>
      <c r="D841" s="8" t="s">
        <v>1558</v>
      </c>
      <c r="E841" s="8" t="s">
        <v>1558</v>
      </c>
      <c r="F841" s="6">
        <v>938</v>
      </c>
      <c r="G841" s="6" t="b">
        <v>0</v>
      </c>
      <c r="H841" s="8" t="s">
        <v>240</v>
      </c>
      <c r="I841" s="6" t="b">
        <v>0</v>
      </c>
      <c r="J841" s="6" t="b">
        <v>0</v>
      </c>
      <c r="K841" s="6" t="b">
        <v>0</v>
      </c>
      <c r="L841" s="6" t="b">
        <v>1</v>
      </c>
      <c r="M841" s="6" t="b">
        <v>0</v>
      </c>
      <c r="N841" s="6">
        <v>5</v>
      </c>
      <c r="O841" s="8" t="s">
        <v>237</v>
      </c>
      <c r="P841" s="8" t="s">
        <v>350</v>
      </c>
      <c r="Q841" s="8" t="s">
        <v>927</v>
      </c>
      <c r="R841" s="6">
        <v>8.5</v>
      </c>
      <c r="S841" s="8" t="s">
        <v>247</v>
      </c>
      <c r="T841" s="9"/>
      <c r="U841" s="8" t="s">
        <v>240</v>
      </c>
      <c r="V841" s="8" t="s">
        <v>1559</v>
      </c>
      <c r="W841" s="8" t="s">
        <v>240</v>
      </c>
      <c r="X841" s="8" t="s">
        <v>240</v>
      </c>
      <c r="Y841" s="8" t="s">
        <v>240</v>
      </c>
      <c r="Z841" s="6" t="b">
        <v>0</v>
      </c>
      <c r="AA841" s="9"/>
      <c r="AB841" s="9"/>
    </row>
    <row r="842" spans="1:28" ht="16">
      <c r="A842" s="6">
        <v>940</v>
      </c>
      <c r="B842" s="8" t="s">
        <v>200</v>
      </c>
      <c r="C842" s="8" t="s">
        <v>1503</v>
      </c>
      <c r="D842" s="8" t="s">
        <v>1560</v>
      </c>
      <c r="E842" s="8" t="s">
        <v>1560</v>
      </c>
      <c r="F842" s="6">
        <v>940</v>
      </c>
      <c r="G842" s="6" t="b">
        <v>0</v>
      </c>
      <c r="H842" s="8" t="s">
        <v>240</v>
      </c>
      <c r="I842" s="6" t="b">
        <v>0</v>
      </c>
      <c r="J842" s="6" t="b">
        <v>0</v>
      </c>
      <c r="K842" s="6" t="b">
        <v>0</v>
      </c>
      <c r="L842" s="6" t="b">
        <v>1</v>
      </c>
      <c r="M842" s="6" t="b">
        <v>0</v>
      </c>
      <c r="N842" s="6">
        <v>5</v>
      </c>
      <c r="O842" s="8" t="s">
        <v>335</v>
      </c>
      <c r="P842" s="8" t="s">
        <v>240</v>
      </c>
      <c r="Q842" s="8" t="s">
        <v>240</v>
      </c>
      <c r="R842" s="6">
        <v>5</v>
      </c>
      <c r="S842" s="8" t="s">
        <v>75</v>
      </c>
      <c r="T842" s="9"/>
      <c r="U842" s="8" t="s">
        <v>240</v>
      </c>
      <c r="V842" s="8" t="s">
        <v>1551</v>
      </c>
      <c r="W842" s="8" t="s">
        <v>240</v>
      </c>
      <c r="X842" s="8" t="s">
        <v>240</v>
      </c>
      <c r="Y842" s="8" t="s">
        <v>240</v>
      </c>
      <c r="Z842" s="6" t="b">
        <v>0</v>
      </c>
      <c r="AA842" s="9"/>
      <c r="AB842" s="9"/>
    </row>
    <row r="843" spans="1:28" ht="16">
      <c r="A843" s="6">
        <v>942</v>
      </c>
      <c r="B843" s="8" t="s">
        <v>200</v>
      </c>
      <c r="C843" s="8" t="s">
        <v>1528</v>
      </c>
      <c r="D843" s="8" t="s">
        <v>1561</v>
      </c>
      <c r="E843" s="8" t="s">
        <v>1561</v>
      </c>
      <c r="F843" s="6">
        <v>942</v>
      </c>
      <c r="G843" s="6" t="b">
        <v>0</v>
      </c>
      <c r="H843" s="8" t="s">
        <v>240</v>
      </c>
      <c r="I843" s="6" t="b">
        <v>0</v>
      </c>
      <c r="J843" s="6" t="b">
        <v>0</v>
      </c>
      <c r="K843" s="6" t="b">
        <v>0</v>
      </c>
      <c r="L843" s="6" t="b">
        <v>1</v>
      </c>
      <c r="M843" s="6" t="b">
        <v>0</v>
      </c>
      <c r="N843" s="6">
        <v>5</v>
      </c>
      <c r="O843" s="8" t="s">
        <v>237</v>
      </c>
      <c r="P843" s="8" t="s">
        <v>380</v>
      </c>
      <c r="Q843" s="8" t="s">
        <v>446</v>
      </c>
      <c r="R843" s="6">
        <v>5</v>
      </c>
      <c r="S843" s="8" t="s">
        <v>75</v>
      </c>
      <c r="T843" s="9"/>
      <c r="U843" s="8" t="s">
        <v>240</v>
      </c>
      <c r="V843" s="8" t="s">
        <v>524</v>
      </c>
      <c r="W843" s="8" t="s">
        <v>240</v>
      </c>
      <c r="X843" s="8" t="s">
        <v>240</v>
      </c>
      <c r="Y843" s="8" t="s">
        <v>240</v>
      </c>
      <c r="Z843" s="6" t="b">
        <v>0</v>
      </c>
      <c r="AA843" s="9"/>
      <c r="AB843" s="9"/>
    </row>
    <row r="844" spans="1:28" ht="16">
      <c r="A844" s="6">
        <v>943</v>
      </c>
      <c r="B844" s="8" t="s">
        <v>200</v>
      </c>
      <c r="C844" s="8" t="s">
        <v>1536</v>
      </c>
      <c r="D844" s="8" t="s">
        <v>1536</v>
      </c>
      <c r="E844" s="8" t="s">
        <v>1536</v>
      </c>
      <c r="F844" s="6">
        <v>943</v>
      </c>
      <c r="G844" s="6" t="b">
        <v>0</v>
      </c>
      <c r="H844" s="8" t="s">
        <v>240</v>
      </c>
      <c r="I844" s="6" t="b">
        <v>0</v>
      </c>
      <c r="J844" s="6" t="b">
        <v>0</v>
      </c>
      <c r="K844" s="6" t="b">
        <v>0</v>
      </c>
      <c r="L844" s="6" t="b">
        <v>1</v>
      </c>
      <c r="M844" s="6" t="b">
        <v>0</v>
      </c>
      <c r="N844" s="6">
        <v>3</v>
      </c>
      <c r="O844" s="8" t="s">
        <v>237</v>
      </c>
      <c r="P844" s="8" t="s">
        <v>238</v>
      </c>
      <c r="Q844" s="8" t="s">
        <v>381</v>
      </c>
      <c r="R844" s="6">
        <v>3</v>
      </c>
      <c r="S844" s="8" t="s">
        <v>75</v>
      </c>
      <c r="T844" s="9"/>
      <c r="U844" s="8" t="s">
        <v>240</v>
      </c>
      <c r="V844" s="8" t="s">
        <v>1120</v>
      </c>
      <c r="W844" s="8" t="s">
        <v>240</v>
      </c>
      <c r="X844" s="8" t="s">
        <v>240</v>
      </c>
      <c r="Y844" s="8" t="s">
        <v>240</v>
      </c>
      <c r="Z844" s="6" t="b">
        <v>0</v>
      </c>
      <c r="AA844" s="9"/>
      <c r="AB844" s="9"/>
    </row>
    <row r="845" spans="1:28" ht="16">
      <c r="A845" s="6">
        <v>944</v>
      </c>
      <c r="B845" s="8" t="s">
        <v>200</v>
      </c>
      <c r="C845" s="8" t="s">
        <v>1536</v>
      </c>
      <c r="D845" s="8" t="s">
        <v>1562</v>
      </c>
      <c r="E845" s="8" t="s">
        <v>1562</v>
      </c>
      <c r="F845" s="6">
        <v>944</v>
      </c>
      <c r="G845" s="6" t="b">
        <v>0</v>
      </c>
      <c r="H845" s="8" t="s">
        <v>240</v>
      </c>
      <c r="I845" s="6" t="b">
        <v>0</v>
      </c>
      <c r="J845" s="6" t="b">
        <v>0</v>
      </c>
      <c r="K845" s="6" t="b">
        <v>0</v>
      </c>
      <c r="L845" s="6" t="b">
        <v>1</v>
      </c>
      <c r="M845" s="6" t="b">
        <v>0</v>
      </c>
      <c r="N845" s="6">
        <v>3</v>
      </c>
      <c r="O845" s="8" t="s">
        <v>237</v>
      </c>
      <c r="P845" s="8" t="s">
        <v>238</v>
      </c>
      <c r="Q845" s="8" t="s">
        <v>1119</v>
      </c>
      <c r="R845" s="6">
        <v>4</v>
      </c>
      <c r="S845" s="8" t="s">
        <v>341</v>
      </c>
      <c r="T845" s="6">
        <v>4</v>
      </c>
      <c r="U845" s="8" t="s">
        <v>240</v>
      </c>
      <c r="V845" s="8" t="s">
        <v>1551</v>
      </c>
      <c r="W845" s="8" t="s">
        <v>240</v>
      </c>
      <c r="X845" s="8" t="s">
        <v>240</v>
      </c>
      <c r="Y845" s="8" t="s">
        <v>240</v>
      </c>
      <c r="Z845" s="6" t="b">
        <v>0</v>
      </c>
      <c r="AA845" s="9"/>
      <c r="AB845" s="9"/>
    </row>
    <row r="846" spans="1:28" ht="16">
      <c r="A846" s="6">
        <v>945</v>
      </c>
      <c r="B846" s="8" t="s">
        <v>200</v>
      </c>
      <c r="C846" s="8" t="s">
        <v>1563</v>
      </c>
      <c r="D846" s="8" t="s">
        <v>1563</v>
      </c>
      <c r="E846" s="8" t="s">
        <v>1563</v>
      </c>
      <c r="F846" s="6">
        <v>945</v>
      </c>
      <c r="G846" s="6" t="b">
        <v>0</v>
      </c>
      <c r="H846" s="8" t="s">
        <v>240</v>
      </c>
      <c r="I846" s="6" t="b">
        <v>0</v>
      </c>
      <c r="J846" s="6" t="b">
        <v>0</v>
      </c>
      <c r="K846" s="6" t="b">
        <v>0</v>
      </c>
      <c r="L846" s="6" t="b">
        <v>1</v>
      </c>
      <c r="M846" s="6" t="b">
        <v>0</v>
      </c>
      <c r="N846" s="6">
        <v>5</v>
      </c>
      <c r="O846" s="8" t="s">
        <v>237</v>
      </c>
      <c r="P846" s="8" t="s">
        <v>1564</v>
      </c>
      <c r="Q846" s="8" t="s">
        <v>446</v>
      </c>
      <c r="R846" s="6">
        <v>5</v>
      </c>
      <c r="S846" s="8" t="s">
        <v>237</v>
      </c>
      <c r="T846" s="9"/>
      <c r="U846" s="8" t="s">
        <v>240</v>
      </c>
      <c r="V846" s="8" t="s">
        <v>1120</v>
      </c>
      <c r="W846" s="8" t="s">
        <v>240</v>
      </c>
      <c r="X846" s="8" t="s">
        <v>240</v>
      </c>
      <c r="Y846" s="8" t="s">
        <v>240</v>
      </c>
      <c r="Z846" s="6" t="b">
        <v>0</v>
      </c>
      <c r="AA846" s="9"/>
      <c r="AB846" s="9"/>
    </row>
    <row r="847" spans="1:28" ht="32">
      <c r="A847" s="6">
        <v>946</v>
      </c>
      <c r="B847" s="8" t="s">
        <v>200</v>
      </c>
      <c r="C847" s="8" t="s">
        <v>1563</v>
      </c>
      <c r="D847" s="8" t="s">
        <v>1565</v>
      </c>
      <c r="E847" s="8" t="s">
        <v>1565</v>
      </c>
      <c r="F847" s="6">
        <v>946</v>
      </c>
      <c r="G847" s="6" t="b">
        <v>0</v>
      </c>
      <c r="H847" s="8" t="s">
        <v>240</v>
      </c>
      <c r="I847" s="6" t="b">
        <v>0</v>
      </c>
      <c r="J847" s="6" t="b">
        <v>0</v>
      </c>
      <c r="K847" s="6" t="b">
        <v>0</v>
      </c>
      <c r="L847" s="6" t="b">
        <v>1</v>
      </c>
      <c r="M847" s="6" t="b">
        <v>0</v>
      </c>
      <c r="N847" s="6">
        <v>5</v>
      </c>
      <c r="O847" s="8" t="s">
        <v>237</v>
      </c>
      <c r="P847" s="8" t="s">
        <v>380</v>
      </c>
      <c r="Q847" s="8" t="s">
        <v>481</v>
      </c>
      <c r="R847" s="6">
        <v>5</v>
      </c>
      <c r="S847" s="8" t="s">
        <v>335</v>
      </c>
      <c r="T847" s="6">
        <v>5</v>
      </c>
      <c r="U847" s="8" t="s">
        <v>240</v>
      </c>
      <c r="V847" s="8" t="s">
        <v>1120</v>
      </c>
      <c r="W847" s="8" t="s">
        <v>240</v>
      </c>
      <c r="X847" s="8" t="s">
        <v>240</v>
      </c>
      <c r="Y847" s="8" t="s">
        <v>1566</v>
      </c>
      <c r="Z847" s="6" t="b">
        <v>0</v>
      </c>
      <c r="AA847" s="9"/>
      <c r="AB847" s="9"/>
    </row>
    <row r="848" spans="1:28" ht="32">
      <c r="A848" s="6">
        <v>947</v>
      </c>
      <c r="B848" s="8" t="s">
        <v>200</v>
      </c>
      <c r="C848" s="8" t="s">
        <v>1542</v>
      </c>
      <c r="D848" s="8" t="s">
        <v>1567</v>
      </c>
      <c r="E848" s="8" t="s">
        <v>1567</v>
      </c>
      <c r="F848" s="6">
        <v>947</v>
      </c>
      <c r="G848" s="6" t="b">
        <v>0</v>
      </c>
      <c r="H848" s="8" t="s">
        <v>240</v>
      </c>
      <c r="I848" s="6" t="b">
        <v>0</v>
      </c>
      <c r="J848" s="6" t="b">
        <v>0</v>
      </c>
      <c r="K848" s="6" t="b">
        <v>0</v>
      </c>
      <c r="L848" s="6" t="b">
        <v>1</v>
      </c>
      <c r="M848" s="6" t="b">
        <v>0</v>
      </c>
      <c r="N848" s="6">
        <v>5</v>
      </c>
      <c r="O848" s="8" t="s">
        <v>331</v>
      </c>
      <c r="P848" s="8" t="s">
        <v>1458</v>
      </c>
      <c r="Q848" s="8" t="s">
        <v>1568</v>
      </c>
      <c r="R848" s="6">
        <v>5</v>
      </c>
      <c r="S848" s="8" t="s">
        <v>335</v>
      </c>
      <c r="T848" s="6">
        <v>5</v>
      </c>
      <c r="U848" s="8" t="s">
        <v>240</v>
      </c>
      <c r="V848" s="8" t="s">
        <v>482</v>
      </c>
      <c r="W848" s="8" t="s">
        <v>240</v>
      </c>
      <c r="X848" s="8" t="s">
        <v>240</v>
      </c>
      <c r="Y848" s="8" t="s">
        <v>240</v>
      </c>
      <c r="Z848" s="6" t="b">
        <v>0</v>
      </c>
      <c r="AA848" s="9"/>
      <c r="AB848" s="9"/>
    </row>
    <row r="849" spans="1:28" ht="16">
      <c r="A849" s="6">
        <v>949</v>
      </c>
      <c r="B849" s="8" t="s">
        <v>200</v>
      </c>
      <c r="C849" s="8" t="s">
        <v>1542</v>
      </c>
      <c r="D849" s="8" t="s">
        <v>1569</v>
      </c>
      <c r="E849" s="8" t="s">
        <v>1567</v>
      </c>
      <c r="F849" s="6">
        <v>947</v>
      </c>
      <c r="G849" s="6" t="b">
        <v>0</v>
      </c>
      <c r="H849" s="8" t="s">
        <v>240</v>
      </c>
      <c r="I849" s="6" t="b">
        <v>0</v>
      </c>
      <c r="J849" s="6" t="b">
        <v>0</v>
      </c>
      <c r="K849" s="6" t="b">
        <v>0</v>
      </c>
      <c r="L849" s="6" t="b">
        <v>1</v>
      </c>
      <c r="M849" s="6" t="b">
        <v>0</v>
      </c>
      <c r="N849" s="6">
        <v>5</v>
      </c>
      <c r="O849" s="8" t="s">
        <v>331</v>
      </c>
      <c r="P849" s="8" t="s">
        <v>516</v>
      </c>
      <c r="Q849" s="8" t="s">
        <v>502</v>
      </c>
      <c r="R849" s="6">
        <v>5</v>
      </c>
      <c r="S849" s="8" t="s">
        <v>75</v>
      </c>
      <c r="T849" s="9"/>
      <c r="U849" s="8" t="s">
        <v>240</v>
      </c>
      <c r="V849" s="8" t="s">
        <v>482</v>
      </c>
      <c r="W849" s="8" t="s">
        <v>240</v>
      </c>
      <c r="X849" s="8" t="s">
        <v>240</v>
      </c>
      <c r="Y849" s="8" t="s">
        <v>240</v>
      </c>
      <c r="Z849" s="6" t="b">
        <v>0</v>
      </c>
      <c r="AA849" s="9"/>
      <c r="AB849" s="9"/>
    </row>
    <row r="850" spans="1:28" ht="16">
      <c r="A850" s="6">
        <v>950</v>
      </c>
      <c r="B850" s="8" t="s">
        <v>200</v>
      </c>
      <c r="C850" s="8" t="s">
        <v>1542</v>
      </c>
      <c r="D850" s="8" t="s">
        <v>1570</v>
      </c>
      <c r="E850" s="8" t="s">
        <v>1567</v>
      </c>
      <c r="F850" s="6">
        <v>947</v>
      </c>
      <c r="G850" s="6" t="b">
        <v>0</v>
      </c>
      <c r="H850" s="8" t="s">
        <v>240</v>
      </c>
      <c r="I850" s="6" t="b">
        <v>0</v>
      </c>
      <c r="J850" s="6" t="b">
        <v>0</v>
      </c>
      <c r="K850" s="6" t="b">
        <v>0</v>
      </c>
      <c r="L850" s="6" t="b">
        <v>1</v>
      </c>
      <c r="M850" s="6" t="b">
        <v>0</v>
      </c>
      <c r="N850" s="6">
        <v>5</v>
      </c>
      <c r="O850" s="8" t="s">
        <v>331</v>
      </c>
      <c r="P850" s="8" t="s">
        <v>516</v>
      </c>
      <c r="Q850" s="8" t="s">
        <v>502</v>
      </c>
      <c r="R850" s="6">
        <v>5</v>
      </c>
      <c r="S850" s="8" t="s">
        <v>75</v>
      </c>
      <c r="T850" s="9"/>
      <c r="U850" s="8" t="s">
        <v>240</v>
      </c>
      <c r="V850" s="8" t="s">
        <v>482</v>
      </c>
      <c r="W850" s="8" t="s">
        <v>240</v>
      </c>
      <c r="X850" s="8" t="s">
        <v>240</v>
      </c>
      <c r="Y850" s="8" t="s">
        <v>240</v>
      </c>
      <c r="Z850" s="6" t="b">
        <v>0</v>
      </c>
      <c r="AA850" s="9"/>
      <c r="AB850" s="9"/>
    </row>
    <row r="851" spans="1:28" ht="16">
      <c r="A851" s="6">
        <v>951</v>
      </c>
      <c r="B851" s="8" t="s">
        <v>200</v>
      </c>
      <c r="C851" s="8" t="s">
        <v>1542</v>
      </c>
      <c r="D851" s="8" t="s">
        <v>1571</v>
      </c>
      <c r="E851" s="8" t="s">
        <v>1567</v>
      </c>
      <c r="F851" s="6">
        <v>947</v>
      </c>
      <c r="G851" s="6" t="b">
        <v>0</v>
      </c>
      <c r="H851" s="8" t="s">
        <v>240</v>
      </c>
      <c r="I851" s="6" t="b">
        <v>0</v>
      </c>
      <c r="J851" s="6" t="b">
        <v>0</v>
      </c>
      <c r="K851" s="6" t="b">
        <v>0</v>
      </c>
      <c r="L851" s="6" t="b">
        <v>1</v>
      </c>
      <c r="M851" s="6" t="b">
        <v>0</v>
      </c>
      <c r="N851" s="6">
        <v>5</v>
      </c>
      <c r="O851" s="8" t="s">
        <v>331</v>
      </c>
      <c r="P851" s="8" t="s">
        <v>516</v>
      </c>
      <c r="Q851" s="8" t="s">
        <v>502</v>
      </c>
      <c r="R851" s="6">
        <v>5</v>
      </c>
      <c r="S851" s="8" t="s">
        <v>347</v>
      </c>
      <c r="T851" s="9"/>
      <c r="U851" s="8" t="s">
        <v>240</v>
      </c>
      <c r="V851" s="8" t="s">
        <v>482</v>
      </c>
      <c r="W851" s="8" t="s">
        <v>240</v>
      </c>
      <c r="X851" s="8" t="s">
        <v>240</v>
      </c>
      <c r="Y851" s="8" t="s">
        <v>240</v>
      </c>
      <c r="Z851" s="6" t="b">
        <v>0</v>
      </c>
      <c r="AA851" s="9"/>
      <c r="AB851" s="9"/>
    </row>
    <row r="852" spans="1:28" ht="16">
      <c r="A852" s="6">
        <v>952</v>
      </c>
      <c r="B852" s="8" t="s">
        <v>200</v>
      </c>
      <c r="C852" s="8" t="s">
        <v>99</v>
      </c>
      <c r="D852" s="8" t="s">
        <v>1572</v>
      </c>
      <c r="E852" s="8" t="s">
        <v>1572</v>
      </c>
      <c r="F852" s="6">
        <v>952</v>
      </c>
      <c r="G852" s="6" t="b">
        <v>0</v>
      </c>
      <c r="H852" s="8" t="s">
        <v>240</v>
      </c>
      <c r="I852" s="6" t="b">
        <v>0</v>
      </c>
      <c r="J852" s="6" t="b">
        <v>0</v>
      </c>
      <c r="K852" s="6" t="b">
        <v>0</v>
      </c>
      <c r="L852" s="6" t="b">
        <v>1</v>
      </c>
      <c r="M852" s="6" t="b">
        <v>0</v>
      </c>
      <c r="N852" s="6">
        <v>5</v>
      </c>
      <c r="O852" s="8" t="s">
        <v>237</v>
      </c>
      <c r="P852" s="8" t="s">
        <v>338</v>
      </c>
      <c r="Q852" s="8" t="s">
        <v>1573</v>
      </c>
      <c r="R852" s="6">
        <v>5</v>
      </c>
      <c r="S852" s="8" t="s">
        <v>335</v>
      </c>
      <c r="T852" s="6">
        <v>5</v>
      </c>
      <c r="U852" s="8" t="s">
        <v>240</v>
      </c>
      <c r="V852" s="8" t="s">
        <v>1120</v>
      </c>
      <c r="W852" s="8" t="s">
        <v>240</v>
      </c>
      <c r="X852" s="8" t="s">
        <v>240</v>
      </c>
      <c r="Y852" s="8" t="s">
        <v>240</v>
      </c>
      <c r="Z852" s="6" t="b">
        <v>0</v>
      </c>
      <c r="AA852" s="9"/>
      <c r="AB852" s="9"/>
    </row>
    <row r="853" spans="1:28" ht="16">
      <c r="A853" s="6">
        <v>953</v>
      </c>
      <c r="B853" s="8" t="s">
        <v>200</v>
      </c>
      <c r="C853" s="8" t="s">
        <v>99</v>
      </c>
      <c r="D853" s="8" t="s">
        <v>1574</v>
      </c>
      <c r="E853" s="8" t="s">
        <v>1574</v>
      </c>
      <c r="F853" s="6">
        <v>953</v>
      </c>
      <c r="G853" s="6" t="b">
        <v>0</v>
      </c>
      <c r="H853" s="8" t="s">
        <v>240</v>
      </c>
      <c r="I853" s="6" t="b">
        <v>0</v>
      </c>
      <c r="J853" s="6" t="b">
        <v>0</v>
      </c>
      <c r="K853" s="6" t="b">
        <v>0</v>
      </c>
      <c r="L853" s="6" t="b">
        <v>1</v>
      </c>
      <c r="M853" s="6" t="b">
        <v>0</v>
      </c>
      <c r="N853" s="6">
        <v>5</v>
      </c>
      <c r="O853" s="8" t="s">
        <v>237</v>
      </c>
      <c r="P853" s="8" t="s">
        <v>240</v>
      </c>
      <c r="Q853" s="8" t="s">
        <v>240</v>
      </c>
      <c r="R853" s="6">
        <v>5</v>
      </c>
      <c r="S853" s="8" t="s">
        <v>75</v>
      </c>
      <c r="T853" s="9"/>
      <c r="U853" s="8" t="s">
        <v>240</v>
      </c>
      <c r="V853" s="8" t="s">
        <v>1120</v>
      </c>
      <c r="W853" s="8" t="s">
        <v>240</v>
      </c>
      <c r="X853" s="8" t="s">
        <v>240</v>
      </c>
      <c r="Y853" s="8" t="s">
        <v>240</v>
      </c>
      <c r="Z853" s="6" t="b">
        <v>0</v>
      </c>
      <c r="AA853" s="9"/>
      <c r="AB853" s="9"/>
    </row>
    <row r="854" spans="1:28" ht="16">
      <c r="A854" s="6">
        <v>954</v>
      </c>
      <c r="B854" s="8" t="s">
        <v>200</v>
      </c>
      <c r="C854" s="8" t="s">
        <v>99</v>
      </c>
      <c r="D854" s="8" t="s">
        <v>1575</v>
      </c>
      <c r="E854" s="8" t="s">
        <v>1574</v>
      </c>
      <c r="F854" s="6">
        <v>954</v>
      </c>
      <c r="G854" s="6" t="b">
        <v>0</v>
      </c>
      <c r="H854" s="8" t="s">
        <v>240</v>
      </c>
      <c r="I854" s="6" t="b">
        <v>0</v>
      </c>
      <c r="J854" s="6" t="b">
        <v>0</v>
      </c>
      <c r="K854" s="6" t="b">
        <v>0</v>
      </c>
      <c r="L854" s="6" t="b">
        <v>1</v>
      </c>
      <c r="M854" s="6" t="b">
        <v>0</v>
      </c>
      <c r="N854" s="6">
        <v>5</v>
      </c>
      <c r="O854" s="8" t="s">
        <v>237</v>
      </c>
      <c r="P854" s="8" t="s">
        <v>240</v>
      </c>
      <c r="Q854" s="8" t="s">
        <v>240</v>
      </c>
      <c r="R854" s="6">
        <v>5</v>
      </c>
      <c r="S854" s="8" t="s">
        <v>75</v>
      </c>
      <c r="T854" s="9"/>
      <c r="U854" s="8" t="s">
        <v>240</v>
      </c>
      <c r="V854" s="8" t="s">
        <v>1120</v>
      </c>
      <c r="W854" s="8" t="s">
        <v>240</v>
      </c>
      <c r="X854" s="8" t="s">
        <v>240</v>
      </c>
      <c r="Y854" s="8" t="s">
        <v>240</v>
      </c>
      <c r="Z854" s="6" t="b">
        <v>0</v>
      </c>
      <c r="AA854" s="9"/>
      <c r="AB854" s="9"/>
    </row>
    <row r="855" spans="1:28" ht="16">
      <c r="A855" s="6">
        <v>955</v>
      </c>
      <c r="B855" s="8" t="s">
        <v>200</v>
      </c>
      <c r="C855" s="8" t="s">
        <v>1576</v>
      </c>
      <c r="D855" s="8" t="s">
        <v>1576</v>
      </c>
      <c r="E855" s="8" t="s">
        <v>1576</v>
      </c>
      <c r="F855" s="6">
        <v>955</v>
      </c>
      <c r="G855" s="6" t="b">
        <v>0</v>
      </c>
      <c r="H855" s="8" t="s">
        <v>240</v>
      </c>
      <c r="I855" s="6" t="b">
        <v>0</v>
      </c>
      <c r="J855" s="6" t="b">
        <v>0</v>
      </c>
      <c r="K855" s="6" t="b">
        <v>0</v>
      </c>
      <c r="L855" s="6" t="b">
        <v>1</v>
      </c>
      <c r="M855" s="6" t="b">
        <v>0</v>
      </c>
      <c r="N855" s="6">
        <v>7</v>
      </c>
      <c r="O855" s="8" t="s">
        <v>341</v>
      </c>
      <c r="P855" s="8" t="s">
        <v>516</v>
      </c>
      <c r="Q855" s="8" t="s">
        <v>927</v>
      </c>
      <c r="R855" s="6">
        <v>7</v>
      </c>
      <c r="S855" s="8" t="s">
        <v>341</v>
      </c>
      <c r="T855" s="6">
        <v>5</v>
      </c>
      <c r="U855" s="8" t="s">
        <v>1577</v>
      </c>
      <c r="V855" s="8" t="s">
        <v>1164</v>
      </c>
      <c r="W855" s="8" t="s">
        <v>240</v>
      </c>
      <c r="X855" s="8" t="s">
        <v>240</v>
      </c>
      <c r="Y855" s="8" t="s">
        <v>240</v>
      </c>
      <c r="Z855" s="6" t="b">
        <v>0</v>
      </c>
      <c r="AA855" s="9"/>
      <c r="AB855" s="9"/>
    </row>
    <row r="856" spans="1:28" ht="32">
      <c r="A856" s="6">
        <v>956</v>
      </c>
      <c r="B856" s="8" t="s">
        <v>200</v>
      </c>
      <c r="C856" s="8" t="s">
        <v>99</v>
      </c>
      <c r="D856" s="8" t="s">
        <v>1578</v>
      </c>
      <c r="E856" s="8" t="s">
        <v>1578</v>
      </c>
      <c r="F856" s="6">
        <v>956</v>
      </c>
      <c r="G856" s="6" t="b">
        <v>0</v>
      </c>
      <c r="H856" s="8" t="s">
        <v>240</v>
      </c>
      <c r="I856" s="6" t="b">
        <v>0</v>
      </c>
      <c r="J856" s="6" t="b">
        <v>0</v>
      </c>
      <c r="K856" s="6" t="b">
        <v>0</v>
      </c>
      <c r="L856" s="6" t="b">
        <v>1</v>
      </c>
      <c r="M856" s="6" t="b">
        <v>0</v>
      </c>
      <c r="N856" s="6">
        <v>5</v>
      </c>
      <c r="O856" s="8" t="s">
        <v>237</v>
      </c>
      <c r="P856" s="8" t="s">
        <v>380</v>
      </c>
      <c r="Q856" s="8" t="s">
        <v>811</v>
      </c>
      <c r="R856" s="6">
        <v>5</v>
      </c>
      <c r="S856" s="8" t="s">
        <v>335</v>
      </c>
      <c r="T856" s="6">
        <v>5</v>
      </c>
      <c r="U856" s="8" t="s">
        <v>240</v>
      </c>
      <c r="V856" s="8" t="s">
        <v>1012</v>
      </c>
      <c r="W856" s="8" t="s">
        <v>240</v>
      </c>
      <c r="X856" s="8" t="s">
        <v>240</v>
      </c>
      <c r="Y856" s="8" t="s">
        <v>240</v>
      </c>
      <c r="Z856" s="6" t="b">
        <v>0</v>
      </c>
      <c r="AA856" s="9"/>
      <c r="AB856" s="9"/>
    </row>
    <row r="857" spans="1:28" ht="16">
      <c r="A857" s="6">
        <v>957</v>
      </c>
      <c r="B857" s="8" t="s">
        <v>200</v>
      </c>
      <c r="C857" s="8" t="s">
        <v>99</v>
      </c>
      <c r="D857" s="8" t="s">
        <v>1579</v>
      </c>
      <c r="E857" s="8" t="s">
        <v>1579</v>
      </c>
      <c r="F857" s="6">
        <v>957</v>
      </c>
      <c r="G857" s="6" t="b">
        <v>0</v>
      </c>
      <c r="H857" s="8" t="s">
        <v>240</v>
      </c>
      <c r="I857" s="6" t="b">
        <v>0</v>
      </c>
      <c r="J857" s="6" t="b">
        <v>0</v>
      </c>
      <c r="K857" s="6" t="b">
        <v>0</v>
      </c>
      <c r="L857" s="6" t="b">
        <v>1</v>
      </c>
      <c r="M857" s="6" t="b">
        <v>0</v>
      </c>
      <c r="N857" s="6">
        <v>5</v>
      </c>
      <c r="O857" s="8" t="s">
        <v>237</v>
      </c>
      <c r="P857" s="8" t="s">
        <v>238</v>
      </c>
      <c r="Q857" s="8" t="s">
        <v>335</v>
      </c>
      <c r="R857" s="6">
        <v>5</v>
      </c>
      <c r="S857" s="8" t="s">
        <v>335</v>
      </c>
      <c r="T857" s="6">
        <v>5</v>
      </c>
      <c r="U857" s="8" t="s">
        <v>240</v>
      </c>
      <c r="V857" s="8" t="s">
        <v>1580</v>
      </c>
      <c r="W857" s="8" t="s">
        <v>240</v>
      </c>
      <c r="X857" s="8" t="s">
        <v>240</v>
      </c>
      <c r="Y857" s="8" t="s">
        <v>1581</v>
      </c>
      <c r="Z857" s="6" t="b">
        <v>0</v>
      </c>
      <c r="AA857" s="9"/>
      <c r="AB857" s="9"/>
    </row>
    <row r="858" spans="1:28" ht="16">
      <c r="A858" s="6">
        <v>958</v>
      </c>
      <c r="B858" s="8" t="s">
        <v>200</v>
      </c>
      <c r="C858" s="8" t="s">
        <v>1582</v>
      </c>
      <c r="D858" s="8" t="s">
        <v>1583</v>
      </c>
      <c r="E858" s="8" t="s">
        <v>1583</v>
      </c>
      <c r="F858" s="6">
        <v>958</v>
      </c>
      <c r="G858" s="6" t="b">
        <v>0</v>
      </c>
      <c r="H858" s="8" t="s">
        <v>240</v>
      </c>
      <c r="I858" s="6" t="b">
        <v>0</v>
      </c>
      <c r="J858" s="6" t="b">
        <v>0</v>
      </c>
      <c r="K858" s="6" t="b">
        <v>0</v>
      </c>
      <c r="L858" s="6" t="b">
        <v>1</v>
      </c>
      <c r="M858" s="6" t="b">
        <v>0</v>
      </c>
      <c r="N858" s="6">
        <v>4</v>
      </c>
      <c r="O858" s="8" t="s">
        <v>237</v>
      </c>
      <c r="P858" s="8" t="s">
        <v>240</v>
      </c>
      <c r="Q858" s="8" t="s">
        <v>240</v>
      </c>
      <c r="R858" s="6">
        <v>6.9</v>
      </c>
      <c r="S858" s="8" t="s">
        <v>247</v>
      </c>
      <c r="T858" s="9"/>
      <c r="U858" s="8" t="s">
        <v>240</v>
      </c>
      <c r="V858" s="8" t="s">
        <v>1012</v>
      </c>
      <c r="W858" s="8" t="s">
        <v>240</v>
      </c>
      <c r="X858" s="8" t="s">
        <v>240</v>
      </c>
      <c r="Y858" s="8" t="s">
        <v>240</v>
      </c>
      <c r="Z858" s="6" t="b">
        <v>0</v>
      </c>
      <c r="AA858" s="9"/>
      <c r="AB858" s="9"/>
    </row>
    <row r="859" spans="1:28" ht="32">
      <c r="A859" s="6">
        <v>959</v>
      </c>
      <c r="B859" s="8" t="s">
        <v>200</v>
      </c>
      <c r="C859" s="8" t="s">
        <v>1582</v>
      </c>
      <c r="D859" s="8" t="s">
        <v>1584</v>
      </c>
      <c r="E859" s="8" t="s">
        <v>1583</v>
      </c>
      <c r="F859" s="6">
        <v>958</v>
      </c>
      <c r="G859" s="6" t="b">
        <v>0</v>
      </c>
      <c r="H859" s="8" t="s">
        <v>240</v>
      </c>
      <c r="I859" s="6" t="b">
        <v>0</v>
      </c>
      <c r="J859" s="6" t="b">
        <v>0</v>
      </c>
      <c r="K859" s="6" t="b">
        <v>0</v>
      </c>
      <c r="L859" s="6" t="b">
        <v>1</v>
      </c>
      <c r="M859" s="6" t="b">
        <v>0</v>
      </c>
      <c r="N859" s="6">
        <v>4</v>
      </c>
      <c r="O859" s="8" t="s">
        <v>237</v>
      </c>
      <c r="P859" s="8" t="s">
        <v>240</v>
      </c>
      <c r="Q859" s="8" t="s">
        <v>240</v>
      </c>
      <c r="R859" s="6">
        <v>4</v>
      </c>
      <c r="S859" s="8" t="s">
        <v>75</v>
      </c>
      <c r="T859" s="9"/>
      <c r="U859" s="8" t="s">
        <v>240</v>
      </c>
      <c r="V859" s="8" t="s">
        <v>1012</v>
      </c>
      <c r="W859" s="8" t="s">
        <v>240</v>
      </c>
      <c r="X859" s="8" t="s">
        <v>240</v>
      </c>
      <c r="Y859" s="8" t="s">
        <v>240</v>
      </c>
      <c r="Z859" s="6" t="b">
        <v>0</v>
      </c>
      <c r="AA859" s="9"/>
      <c r="AB859" s="9"/>
    </row>
    <row r="860" spans="1:28" ht="16">
      <c r="A860" s="6">
        <v>960</v>
      </c>
      <c r="B860" s="8" t="s">
        <v>200</v>
      </c>
      <c r="C860" s="8" t="s">
        <v>99</v>
      </c>
      <c r="D860" s="8" t="s">
        <v>1585</v>
      </c>
      <c r="E860" s="8" t="s">
        <v>1585</v>
      </c>
      <c r="F860" s="6">
        <v>960</v>
      </c>
      <c r="G860" s="6" t="b">
        <v>0</v>
      </c>
      <c r="H860" s="8" t="s">
        <v>240</v>
      </c>
      <c r="I860" s="6" t="b">
        <v>0</v>
      </c>
      <c r="J860" s="6" t="b">
        <v>0</v>
      </c>
      <c r="K860" s="6" t="b">
        <v>0</v>
      </c>
      <c r="L860" s="6" t="b">
        <v>1</v>
      </c>
      <c r="M860" s="6" t="b">
        <v>0</v>
      </c>
      <c r="N860" s="6">
        <v>5</v>
      </c>
      <c r="O860" s="8" t="s">
        <v>237</v>
      </c>
      <c r="P860" s="8" t="s">
        <v>380</v>
      </c>
      <c r="Q860" s="8" t="s">
        <v>927</v>
      </c>
      <c r="R860" s="6">
        <v>5</v>
      </c>
      <c r="S860" s="8" t="s">
        <v>75</v>
      </c>
      <c r="T860" s="9"/>
      <c r="U860" s="8" t="s">
        <v>240</v>
      </c>
      <c r="V860" s="8" t="s">
        <v>1012</v>
      </c>
      <c r="W860" s="8" t="s">
        <v>240</v>
      </c>
      <c r="X860" s="8" t="s">
        <v>240</v>
      </c>
      <c r="Y860" s="8" t="s">
        <v>240</v>
      </c>
      <c r="Z860" s="6" t="b">
        <v>0</v>
      </c>
      <c r="AA860" s="9"/>
      <c r="AB860" s="9"/>
    </row>
    <row r="861" spans="1:28" ht="16">
      <c r="A861" s="6">
        <v>961</v>
      </c>
      <c r="B861" s="8" t="s">
        <v>200</v>
      </c>
      <c r="C861" s="8" t="s">
        <v>99</v>
      </c>
      <c r="D861" s="8" t="s">
        <v>99</v>
      </c>
      <c r="E861" s="8" t="s">
        <v>99</v>
      </c>
      <c r="F861" s="6">
        <v>961</v>
      </c>
      <c r="G861" s="6" t="b">
        <v>0</v>
      </c>
      <c r="H861" s="8" t="s">
        <v>240</v>
      </c>
      <c r="I861" s="6" t="b">
        <v>0</v>
      </c>
      <c r="J861" s="6" t="b">
        <v>0</v>
      </c>
      <c r="K861" s="6" t="b">
        <v>0</v>
      </c>
      <c r="L861" s="6" t="b">
        <v>1</v>
      </c>
      <c r="M861" s="6" t="b">
        <v>0</v>
      </c>
      <c r="N861" s="6">
        <v>5</v>
      </c>
      <c r="O861" s="8" t="s">
        <v>237</v>
      </c>
      <c r="P861" s="8" t="s">
        <v>238</v>
      </c>
      <c r="Q861" s="8" t="s">
        <v>898</v>
      </c>
      <c r="R861" s="6">
        <v>5</v>
      </c>
      <c r="S861" s="8" t="s">
        <v>237</v>
      </c>
      <c r="T861" s="6">
        <v>5</v>
      </c>
      <c r="U861" s="8" t="s">
        <v>240</v>
      </c>
      <c r="V861" s="8" t="s">
        <v>1012</v>
      </c>
      <c r="W861" s="8" t="s">
        <v>240</v>
      </c>
      <c r="X861" s="8" t="s">
        <v>240</v>
      </c>
      <c r="Y861" s="8" t="s">
        <v>240</v>
      </c>
      <c r="Z861" s="6" t="b">
        <v>0</v>
      </c>
      <c r="AA861" s="9"/>
      <c r="AB861" s="9"/>
    </row>
    <row r="862" spans="1:28" ht="16">
      <c r="A862" s="6">
        <v>963</v>
      </c>
      <c r="B862" s="8" t="s">
        <v>200</v>
      </c>
      <c r="C862" s="8" t="s">
        <v>99</v>
      </c>
      <c r="D862" s="8" t="s">
        <v>1586</v>
      </c>
      <c r="E862" s="8" t="s">
        <v>1586</v>
      </c>
      <c r="F862" s="6">
        <v>963</v>
      </c>
      <c r="G862" s="6" t="b">
        <v>0</v>
      </c>
      <c r="H862" s="8" t="s">
        <v>240</v>
      </c>
      <c r="I862" s="6" t="b">
        <v>0</v>
      </c>
      <c r="J862" s="6" t="b">
        <v>0</v>
      </c>
      <c r="K862" s="6" t="b">
        <v>0</v>
      </c>
      <c r="L862" s="6" t="b">
        <v>1</v>
      </c>
      <c r="M862" s="6" t="b">
        <v>0</v>
      </c>
      <c r="N862" s="6">
        <v>5</v>
      </c>
      <c r="O862" s="8" t="s">
        <v>237</v>
      </c>
      <c r="P862" s="8" t="s">
        <v>350</v>
      </c>
      <c r="Q862" s="8" t="s">
        <v>898</v>
      </c>
      <c r="R862" s="6">
        <v>5</v>
      </c>
      <c r="S862" s="8" t="s">
        <v>75</v>
      </c>
      <c r="T862" s="9"/>
      <c r="U862" s="8" t="s">
        <v>240</v>
      </c>
      <c r="V862" s="8" t="s">
        <v>240</v>
      </c>
      <c r="W862" s="8" t="s">
        <v>240</v>
      </c>
      <c r="X862" s="8" t="s">
        <v>240</v>
      </c>
      <c r="Y862" s="8" t="s">
        <v>240</v>
      </c>
      <c r="Z862" s="6" t="b">
        <v>0</v>
      </c>
      <c r="AA862" s="9"/>
      <c r="AB862" s="9"/>
    </row>
    <row r="863" spans="1:28" ht="16">
      <c r="A863" s="6">
        <v>964</v>
      </c>
      <c r="B863" s="8" t="s">
        <v>200</v>
      </c>
      <c r="C863" s="8" t="s">
        <v>1503</v>
      </c>
      <c r="D863" s="8" t="s">
        <v>1587</v>
      </c>
      <c r="E863" s="8" t="s">
        <v>1587</v>
      </c>
      <c r="F863" s="6">
        <v>964</v>
      </c>
      <c r="G863" s="6" t="b">
        <v>0</v>
      </c>
      <c r="H863" s="8" t="s">
        <v>240</v>
      </c>
      <c r="I863" s="6" t="b">
        <v>0</v>
      </c>
      <c r="J863" s="6" t="b">
        <v>0</v>
      </c>
      <c r="K863" s="6" t="b">
        <v>0</v>
      </c>
      <c r="L863" s="6" t="b">
        <v>1</v>
      </c>
      <c r="M863" s="6" t="b">
        <v>0</v>
      </c>
      <c r="N863" s="6">
        <v>5</v>
      </c>
      <c r="O863" s="8" t="s">
        <v>335</v>
      </c>
      <c r="P863" s="8" t="s">
        <v>1177</v>
      </c>
      <c r="Q863" s="8" t="s">
        <v>876</v>
      </c>
      <c r="R863" s="6">
        <v>5</v>
      </c>
      <c r="S863" s="8" t="s">
        <v>335</v>
      </c>
      <c r="T863" s="6">
        <v>5</v>
      </c>
      <c r="U863" s="8" t="s">
        <v>240</v>
      </c>
      <c r="V863" s="8" t="s">
        <v>824</v>
      </c>
      <c r="W863" s="8" t="s">
        <v>240</v>
      </c>
      <c r="X863" s="8" t="s">
        <v>240</v>
      </c>
      <c r="Y863" s="8" t="s">
        <v>1588</v>
      </c>
      <c r="Z863" s="6" t="b">
        <v>0</v>
      </c>
      <c r="AA863" s="9"/>
      <c r="AB863" s="9"/>
    </row>
    <row r="864" spans="1:28" ht="16">
      <c r="A864" s="6">
        <v>965</v>
      </c>
      <c r="B864" s="8" t="s">
        <v>200</v>
      </c>
      <c r="C864" s="8" t="s">
        <v>1503</v>
      </c>
      <c r="D864" s="8" t="s">
        <v>1589</v>
      </c>
      <c r="E864" s="8" t="s">
        <v>1587</v>
      </c>
      <c r="F864" s="6">
        <v>964</v>
      </c>
      <c r="G864" s="6" t="b">
        <v>0</v>
      </c>
      <c r="H864" s="8" t="s">
        <v>240</v>
      </c>
      <c r="I864" s="6" t="b">
        <v>0</v>
      </c>
      <c r="J864" s="6" t="b">
        <v>0</v>
      </c>
      <c r="K864" s="6" t="b">
        <v>0</v>
      </c>
      <c r="L864" s="6" t="b">
        <v>1</v>
      </c>
      <c r="M864" s="6" t="b">
        <v>0</v>
      </c>
      <c r="N864" s="6">
        <v>5</v>
      </c>
      <c r="O864" s="8" t="s">
        <v>335</v>
      </c>
      <c r="P864" s="8" t="s">
        <v>1177</v>
      </c>
      <c r="Q864" s="8" t="s">
        <v>876</v>
      </c>
      <c r="R864" s="6">
        <v>5</v>
      </c>
      <c r="S864" s="8" t="s">
        <v>335</v>
      </c>
      <c r="T864" s="9"/>
      <c r="U864" s="8" t="s">
        <v>240</v>
      </c>
      <c r="V864" s="8" t="s">
        <v>824</v>
      </c>
      <c r="W864" s="8" t="s">
        <v>240</v>
      </c>
      <c r="X864" s="8" t="s">
        <v>240</v>
      </c>
      <c r="Y864" s="8" t="s">
        <v>240</v>
      </c>
      <c r="Z864" s="6" t="b">
        <v>0</v>
      </c>
      <c r="AA864" s="9"/>
      <c r="AB864" s="9"/>
    </row>
    <row r="865" spans="1:28" ht="16">
      <c r="A865" s="6">
        <v>966</v>
      </c>
      <c r="B865" s="8" t="s">
        <v>200</v>
      </c>
      <c r="C865" s="8" t="s">
        <v>1503</v>
      </c>
      <c r="D865" s="8" t="s">
        <v>1590</v>
      </c>
      <c r="E865" s="8" t="s">
        <v>1590</v>
      </c>
      <c r="F865" s="6">
        <v>966</v>
      </c>
      <c r="G865" s="6" t="b">
        <v>0</v>
      </c>
      <c r="H865" s="8" t="s">
        <v>240</v>
      </c>
      <c r="I865" s="6" t="b">
        <v>0</v>
      </c>
      <c r="J865" s="6" t="b">
        <v>0</v>
      </c>
      <c r="K865" s="6" t="b">
        <v>0</v>
      </c>
      <c r="L865" s="6" t="b">
        <v>1</v>
      </c>
      <c r="M865" s="6" t="b">
        <v>0</v>
      </c>
      <c r="N865" s="6">
        <v>5</v>
      </c>
      <c r="O865" s="8" t="s">
        <v>335</v>
      </c>
      <c r="P865" s="8" t="s">
        <v>238</v>
      </c>
      <c r="Q865" s="8" t="s">
        <v>1119</v>
      </c>
      <c r="R865" s="6">
        <v>5</v>
      </c>
      <c r="S865" s="8" t="s">
        <v>75</v>
      </c>
      <c r="T865" s="9"/>
      <c r="U865" s="8" t="s">
        <v>240</v>
      </c>
      <c r="V865" s="8" t="s">
        <v>1120</v>
      </c>
      <c r="W865" s="8" t="s">
        <v>240</v>
      </c>
      <c r="X865" s="8" t="s">
        <v>240</v>
      </c>
      <c r="Y865" s="8" t="s">
        <v>240</v>
      </c>
      <c r="Z865" s="6" t="b">
        <v>0</v>
      </c>
      <c r="AA865" s="9"/>
      <c r="AB865" s="9"/>
    </row>
    <row r="866" spans="1:28" ht="16">
      <c r="A866" s="6">
        <v>967</v>
      </c>
      <c r="B866" s="8" t="s">
        <v>200</v>
      </c>
      <c r="C866" s="8" t="s">
        <v>1503</v>
      </c>
      <c r="D866" s="8" t="s">
        <v>1591</v>
      </c>
      <c r="E866" s="8" t="s">
        <v>1591</v>
      </c>
      <c r="F866" s="6">
        <v>967</v>
      </c>
      <c r="G866" s="6" t="b">
        <v>0</v>
      </c>
      <c r="H866" s="8" t="s">
        <v>240</v>
      </c>
      <c r="I866" s="6" t="b">
        <v>0</v>
      </c>
      <c r="J866" s="6" t="b">
        <v>0</v>
      </c>
      <c r="K866" s="6" t="b">
        <v>0</v>
      </c>
      <c r="L866" s="6" t="b">
        <v>1</v>
      </c>
      <c r="M866" s="6" t="b">
        <v>0</v>
      </c>
      <c r="N866" s="6">
        <v>5</v>
      </c>
      <c r="O866" s="8" t="s">
        <v>335</v>
      </c>
      <c r="P866" s="8" t="s">
        <v>238</v>
      </c>
      <c r="Q866" s="8" t="s">
        <v>1119</v>
      </c>
      <c r="R866" s="6">
        <v>5</v>
      </c>
      <c r="S866" s="8" t="s">
        <v>75</v>
      </c>
      <c r="T866" s="9"/>
      <c r="U866" s="8" t="s">
        <v>240</v>
      </c>
      <c r="V866" s="8" t="s">
        <v>866</v>
      </c>
      <c r="W866" s="8" t="s">
        <v>240</v>
      </c>
      <c r="X866" s="8" t="s">
        <v>240</v>
      </c>
      <c r="Y866" s="8" t="s">
        <v>240</v>
      </c>
      <c r="Z866" s="6" t="b">
        <v>0</v>
      </c>
      <c r="AA866" s="9"/>
      <c r="AB866" s="9"/>
    </row>
    <row r="867" spans="1:28" ht="16">
      <c r="A867" s="6">
        <v>968</v>
      </c>
      <c r="B867" s="8" t="s">
        <v>200</v>
      </c>
      <c r="C867" s="8" t="s">
        <v>1531</v>
      </c>
      <c r="D867" s="8" t="s">
        <v>1592</v>
      </c>
      <c r="E867" s="8" t="s">
        <v>1592</v>
      </c>
      <c r="F867" s="6">
        <v>968</v>
      </c>
      <c r="G867" s="6" t="b">
        <v>0</v>
      </c>
      <c r="H867" s="8" t="s">
        <v>240</v>
      </c>
      <c r="I867" s="6" t="b">
        <v>0</v>
      </c>
      <c r="J867" s="6" t="b">
        <v>0</v>
      </c>
      <c r="K867" s="6" t="b">
        <v>0</v>
      </c>
      <c r="L867" s="6" t="b">
        <v>1</v>
      </c>
      <c r="M867" s="6" t="b">
        <v>0</v>
      </c>
      <c r="N867" s="6">
        <v>7</v>
      </c>
      <c r="O867" s="8" t="s">
        <v>237</v>
      </c>
      <c r="P867" s="8" t="s">
        <v>240</v>
      </c>
      <c r="Q867" s="8" t="s">
        <v>240</v>
      </c>
      <c r="R867" s="6">
        <v>7</v>
      </c>
      <c r="S867" s="8" t="s">
        <v>75</v>
      </c>
      <c r="T867" s="9"/>
      <c r="U867" s="8" t="s">
        <v>240</v>
      </c>
      <c r="V867" s="8" t="s">
        <v>1269</v>
      </c>
      <c r="W867" s="8" t="s">
        <v>240</v>
      </c>
      <c r="X867" s="8" t="s">
        <v>240</v>
      </c>
      <c r="Y867" s="8" t="s">
        <v>240</v>
      </c>
      <c r="Z867" s="6" t="b">
        <v>0</v>
      </c>
      <c r="AA867" s="9"/>
      <c r="AB867" s="9"/>
    </row>
    <row r="868" spans="1:28" ht="16">
      <c r="A868" s="6">
        <v>969</v>
      </c>
      <c r="B868" s="8" t="s">
        <v>200</v>
      </c>
      <c r="C868" s="8" t="s">
        <v>1503</v>
      </c>
      <c r="D868" s="8" t="s">
        <v>1593</v>
      </c>
      <c r="E868" s="8" t="s">
        <v>1593</v>
      </c>
      <c r="F868" s="6">
        <v>969</v>
      </c>
      <c r="G868" s="6" t="b">
        <v>0</v>
      </c>
      <c r="H868" s="8" t="s">
        <v>240</v>
      </c>
      <c r="I868" s="6" t="b">
        <v>0</v>
      </c>
      <c r="J868" s="6" t="b">
        <v>0</v>
      </c>
      <c r="K868" s="6" t="b">
        <v>0</v>
      </c>
      <c r="L868" s="6" t="b">
        <v>1</v>
      </c>
      <c r="M868" s="6" t="b">
        <v>0</v>
      </c>
      <c r="N868" s="6">
        <v>5</v>
      </c>
      <c r="O868" s="8" t="s">
        <v>335</v>
      </c>
      <c r="P868" s="8" t="s">
        <v>238</v>
      </c>
      <c r="Q868" s="8" t="s">
        <v>446</v>
      </c>
      <c r="R868" s="6">
        <v>5</v>
      </c>
      <c r="S868" s="8" t="s">
        <v>75</v>
      </c>
      <c r="T868" s="9"/>
      <c r="U868" s="8" t="s">
        <v>240</v>
      </c>
      <c r="V868" s="8" t="s">
        <v>824</v>
      </c>
      <c r="W868" s="8" t="s">
        <v>240</v>
      </c>
      <c r="X868" s="8" t="s">
        <v>240</v>
      </c>
      <c r="Y868" s="8" t="s">
        <v>240</v>
      </c>
      <c r="Z868" s="6" t="b">
        <v>0</v>
      </c>
      <c r="AA868" s="9"/>
      <c r="AB868" s="9"/>
    </row>
    <row r="869" spans="1:28" ht="16">
      <c r="A869" s="6">
        <v>970</v>
      </c>
      <c r="B869" s="8" t="s">
        <v>200</v>
      </c>
      <c r="C869" s="8" t="s">
        <v>99</v>
      </c>
      <c r="D869" s="8" t="s">
        <v>1594</v>
      </c>
      <c r="E869" s="8" t="s">
        <v>1594</v>
      </c>
      <c r="F869" s="6">
        <v>970</v>
      </c>
      <c r="G869" s="6" t="b">
        <v>0</v>
      </c>
      <c r="H869" s="8" t="s">
        <v>240</v>
      </c>
      <c r="I869" s="6" t="b">
        <v>0</v>
      </c>
      <c r="J869" s="6" t="b">
        <v>0</v>
      </c>
      <c r="K869" s="6" t="b">
        <v>0</v>
      </c>
      <c r="L869" s="6" t="b">
        <v>1</v>
      </c>
      <c r="M869" s="6" t="b">
        <v>0</v>
      </c>
      <c r="N869" s="6">
        <v>5</v>
      </c>
      <c r="O869" s="8" t="s">
        <v>237</v>
      </c>
      <c r="P869" s="8" t="s">
        <v>1595</v>
      </c>
      <c r="Q869" s="8" t="s">
        <v>1596</v>
      </c>
      <c r="R869" s="6">
        <v>5</v>
      </c>
      <c r="S869" s="8" t="s">
        <v>335</v>
      </c>
      <c r="T869" s="6">
        <v>5</v>
      </c>
      <c r="U869" s="8" t="s">
        <v>240</v>
      </c>
      <c r="V869" s="8" t="s">
        <v>1597</v>
      </c>
      <c r="W869" s="8" t="s">
        <v>240</v>
      </c>
      <c r="X869" s="8" t="s">
        <v>240</v>
      </c>
      <c r="Y869" s="8" t="s">
        <v>240</v>
      </c>
      <c r="Z869" s="6" t="b">
        <v>0</v>
      </c>
      <c r="AA869" s="9"/>
      <c r="AB869" s="9"/>
    </row>
    <row r="870" spans="1:28" ht="16">
      <c r="A870" s="6">
        <v>972</v>
      </c>
      <c r="B870" s="8" t="s">
        <v>200</v>
      </c>
      <c r="C870" s="8" t="s">
        <v>1503</v>
      </c>
      <c r="D870" s="8" t="s">
        <v>1598</v>
      </c>
      <c r="E870" s="8" t="s">
        <v>1598</v>
      </c>
      <c r="F870" s="6">
        <v>972</v>
      </c>
      <c r="G870" s="6" t="b">
        <v>0</v>
      </c>
      <c r="H870" s="8" t="s">
        <v>240</v>
      </c>
      <c r="I870" s="6" t="b">
        <v>0</v>
      </c>
      <c r="J870" s="6" t="b">
        <v>0</v>
      </c>
      <c r="K870" s="6" t="b">
        <v>0</v>
      </c>
      <c r="L870" s="6" t="b">
        <v>1</v>
      </c>
      <c r="M870" s="6" t="b">
        <v>0</v>
      </c>
      <c r="N870" s="6">
        <v>5</v>
      </c>
      <c r="O870" s="8" t="s">
        <v>335</v>
      </c>
      <c r="P870" s="8" t="s">
        <v>238</v>
      </c>
      <c r="Q870" s="8" t="s">
        <v>339</v>
      </c>
      <c r="R870" s="6">
        <v>5</v>
      </c>
      <c r="S870" s="8" t="s">
        <v>335</v>
      </c>
      <c r="T870" s="6">
        <v>5</v>
      </c>
      <c r="U870" s="8" t="s">
        <v>240</v>
      </c>
      <c r="V870" s="8" t="s">
        <v>1518</v>
      </c>
      <c r="W870" s="8" t="s">
        <v>240</v>
      </c>
      <c r="X870" s="8" t="s">
        <v>240</v>
      </c>
      <c r="Y870" s="8" t="s">
        <v>240</v>
      </c>
      <c r="Z870" s="6" t="b">
        <v>0</v>
      </c>
      <c r="AA870" s="9"/>
      <c r="AB870" s="9"/>
    </row>
    <row r="871" spans="1:28" ht="16">
      <c r="A871" s="6">
        <v>973</v>
      </c>
      <c r="B871" s="8" t="s">
        <v>200</v>
      </c>
      <c r="C871" s="8" t="s">
        <v>1599</v>
      </c>
      <c r="D871" s="8" t="s">
        <v>1599</v>
      </c>
      <c r="E871" s="8" t="s">
        <v>1599</v>
      </c>
      <c r="F871" s="6">
        <v>973</v>
      </c>
      <c r="G871" s="6" t="b">
        <v>0</v>
      </c>
      <c r="H871" s="8" t="s">
        <v>240</v>
      </c>
      <c r="I871" s="6" t="b">
        <v>0</v>
      </c>
      <c r="J871" s="6" t="b">
        <v>0</v>
      </c>
      <c r="K871" s="6" t="b">
        <v>0</v>
      </c>
      <c r="L871" s="6" t="b">
        <v>1</v>
      </c>
      <c r="M871" s="6" t="b">
        <v>0</v>
      </c>
      <c r="N871" s="6">
        <v>6</v>
      </c>
      <c r="O871" s="8" t="s">
        <v>237</v>
      </c>
      <c r="P871" s="8" t="s">
        <v>240</v>
      </c>
      <c r="Q871" s="8" t="s">
        <v>240</v>
      </c>
      <c r="R871" s="6">
        <v>6</v>
      </c>
      <c r="S871" s="8" t="s">
        <v>237</v>
      </c>
      <c r="T871" s="9"/>
      <c r="U871" s="8" t="s">
        <v>240</v>
      </c>
      <c r="V871" s="8" t="s">
        <v>240</v>
      </c>
      <c r="W871" s="8" t="s">
        <v>240</v>
      </c>
      <c r="X871" s="8" t="s">
        <v>240</v>
      </c>
      <c r="Y871" s="8" t="s">
        <v>240</v>
      </c>
      <c r="Z871" s="6" t="b">
        <v>0</v>
      </c>
      <c r="AA871" s="9"/>
      <c r="AB871" s="9"/>
    </row>
    <row r="872" spans="1:28" ht="16">
      <c r="A872" s="6">
        <v>975</v>
      </c>
      <c r="B872" s="8" t="s">
        <v>200</v>
      </c>
      <c r="C872" s="8" t="s">
        <v>98</v>
      </c>
      <c r="D872" s="8" t="s">
        <v>1600</v>
      </c>
      <c r="E872" s="8" t="s">
        <v>1600</v>
      </c>
      <c r="F872" s="6">
        <v>975</v>
      </c>
      <c r="G872" s="6" t="b">
        <v>0</v>
      </c>
      <c r="H872" s="8" t="s">
        <v>240</v>
      </c>
      <c r="I872" s="6" t="b">
        <v>0</v>
      </c>
      <c r="J872" s="6" t="b">
        <v>0</v>
      </c>
      <c r="K872" s="6" t="b">
        <v>0</v>
      </c>
      <c r="L872" s="6" t="b">
        <v>1</v>
      </c>
      <c r="M872" s="6" t="b">
        <v>0</v>
      </c>
      <c r="N872" s="6">
        <v>4</v>
      </c>
      <c r="O872" s="8" t="s">
        <v>331</v>
      </c>
      <c r="P872" s="8" t="s">
        <v>516</v>
      </c>
      <c r="Q872" s="8" t="s">
        <v>381</v>
      </c>
      <c r="R872" s="6">
        <v>2</v>
      </c>
      <c r="S872" s="8" t="s">
        <v>341</v>
      </c>
      <c r="T872" s="9"/>
      <c r="U872" s="8" t="s">
        <v>240</v>
      </c>
      <c r="V872" s="8" t="s">
        <v>482</v>
      </c>
      <c r="W872" s="8" t="s">
        <v>240</v>
      </c>
      <c r="X872" s="8" t="s">
        <v>240</v>
      </c>
      <c r="Y872" s="8" t="s">
        <v>1601</v>
      </c>
      <c r="Z872" s="6" t="b">
        <v>0</v>
      </c>
      <c r="AA872" s="9"/>
      <c r="AB872" s="9"/>
    </row>
    <row r="873" spans="1:28" ht="32">
      <c r="A873" s="6">
        <v>976</v>
      </c>
      <c r="B873" s="8" t="s">
        <v>200</v>
      </c>
      <c r="C873" s="8" t="s">
        <v>98</v>
      </c>
      <c r="D873" s="8" t="s">
        <v>1602</v>
      </c>
      <c r="E873" s="8" t="s">
        <v>1600</v>
      </c>
      <c r="F873" s="6">
        <v>975</v>
      </c>
      <c r="G873" s="6" t="b">
        <v>0</v>
      </c>
      <c r="H873" s="8" t="s">
        <v>240</v>
      </c>
      <c r="I873" s="6" t="b">
        <v>0</v>
      </c>
      <c r="J873" s="6" t="b">
        <v>0</v>
      </c>
      <c r="K873" s="6" t="b">
        <v>0</v>
      </c>
      <c r="L873" s="6" t="b">
        <v>1</v>
      </c>
      <c r="M873" s="6" t="b">
        <v>0</v>
      </c>
      <c r="N873" s="6">
        <v>4</v>
      </c>
      <c r="O873" s="8" t="s">
        <v>331</v>
      </c>
      <c r="P873" s="8" t="s">
        <v>1489</v>
      </c>
      <c r="Q873" s="8" t="s">
        <v>1596</v>
      </c>
      <c r="R873" s="6">
        <v>4</v>
      </c>
      <c r="S873" s="8" t="s">
        <v>347</v>
      </c>
      <c r="T873" s="6">
        <v>5</v>
      </c>
      <c r="U873" s="8" t="s">
        <v>240</v>
      </c>
      <c r="V873" s="8" t="s">
        <v>482</v>
      </c>
      <c r="W873" s="8" t="s">
        <v>240</v>
      </c>
      <c r="X873" s="8" t="s">
        <v>240</v>
      </c>
      <c r="Y873" s="8" t="s">
        <v>1603</v>
      </c>
      <c r="Z873" s="6" t="b">
        <v>0</v>
      </c>
      <c r="AA873" s="9"/>
      <c r="AB873" s="9"/>
    </row>
    <row r="874" spans="1:28" ht="16">
      <c r="A874" s="6">
        <v>978</v>
      </c>
      <c r="B874" s="8" t="s">
        <v>200</v>
      </c>
      <c r="C874" s="8" t="s">
        <v>98</v>
      </c>
      <c r="D874" s="8" t="s">
        <v>1604</v>
      </c>
      <c r="E874" s="8" t="s">
        <v>1604</v>
      </c>
      <c r="F874" s="6">
        <v>978</v>
      </c>
      <c r="G874" s="6" t="b">
        <v>0</v>
      </c>
      <c r="H874" s="8" t="s">
        <v>240</v>
      </c>
      <c r="I874" s="6" t="b">
        <v>0</v>
      </c>
      <c r="J874" s="6" t="b">
        <v>0</v>
      </c>
      <c r="K874" s="6" t="b">
        <v>0</v>
      </c>
      <c r="L874" s="6" t="b">
        <v>1</v>
      </c>
      <c r="M874" s="6" t="b">
        <v>0</v>
      </c>
      <c r="N874" s="6">
        <v>4</v>
      </c>
      <c r="O874" s="8" t="s">
        <v>331</v>
      </c>
      <c r="P874" s="8" t="s">
        <v>240</v>
      </c>
      <c r="Q874" s="8" t="s">
        <v>240</v>
      </c>
      <c r="R874" s="6">
        <v>2</v>
      </c>
      <c r="S874" s="8" t="s">
        <v>341</v>
      </c>
      <c r="T874" s="9"/>
      <c r="U874" s="8" t="s">
        <v>240</v>
      </c>
      <c r="V874" s="8" t="s">
        <v>482</v>
      </c>
      <c r="W874" s="8" t="s">
        <v>240</v>
      </c>
      <c r="X874" s="8" t="s">
        <v>240</v>
      </c>
      <c r="Y874" s="8" t="s">
        <v>240</v>
      </c>
      <c r="Z874" s="6" t="b">
        <v>0</v>
      </c>
      <c r="AA874" s="9"/>
      <c r="AB874" s="9"/>
    </row>
    <row r="875" spans="1:28" ht="32">
      <c r="A875" s="6">
        <v>979</v>
      </c>
      <c r="B875" s="8" t="s">
        <v>200</v>
      </c>
      <c r="C875" s="8" t="s">
        <v>98</v>
      </c>
      <c r="D875" s="8" t="s">
        <v>1605</v>
      </c>
      <c r="E875" s="8" t="s">
        <v>1604</v>
      </c>
      <c r="F875" s="6">
        <v>978</v>
      </c>
      <c r="G875" s="6" t="b">
        <v>0</v>
      </c>
      <c r="H875" s="8" t="s">
        <v>240</v>
      </c>
      <c r="I875" s="6" t="b">
        <v>0</v>
      </c>
      <c r="J875" s="6" t="b">
        <v>0</v>
      </c>
      <c r="K875" s="6" t="b">
        <v>0</v>
      </c>
      <c r="L875" s="6" t="b">
        <v>1</v>
      </c>
      <c r="M875" s="6" t="b">
        <v>0</v>
      </c>
      <c r="N875" s="6">
        <v>4</v>
      </c>
      <c r="O875" s="8" t="s">
        <v>331</v>
      </c>
      <c r="P875" s="8" t="s">
        <v>516</v>
      </c>
      <c r="Q875" s="8" t="s">
        <v>239</v>
      </c>
      <c r="R875" s="6">
        <v>3</v>
      </c>
      <c r="S875" s="8" t="s">
        <v>347</v>
      </c>
      <c r="T875" s="6">
        <v>3</v>
      </c>
      <c r="U875" s="8" t="s">
        <v>240</v>
      </c>
      <c r="V875" s="8" t="s">
        <v>482</v>
      </c>
      <c r="W875" s="8" t="s">
        <v>240</v>
      </c>
      <c r="X875" s="8" t="s">
        <v>240</v>
      </c>
      <c r="Y875" s="8" t="s">
        <v>240</v>
      </c>
      <c r="Z875" s="6" t="b">
        <v>0</v>
      </c>
      <c r="AA875" s="9"/>
      <c r="AB875" s="9"/>
    </row>
    <row r="876" spans="1:28" ht="32">
      <c r="A876" s="6">
        <v>981</v>
      </c>
      <c r="B876" s="8" t="s">
        <v>200</v>
      </c>
      <c r="C876" s="8" t="s">
        <v>98</v>
      </c>
      <c r="D876" s="8" t="s">
        <v>1606</v>
      </c>
      <c r="E876" s="8" t="s">
        <v>1604</v>
      </c>
      <c r="F876" s="6">
        <v>978</v>
      </c>
      <c r="G876" s="6" t="b">
        <v>0</v>
      </c>
      <c r="H876" s="8" t="s">
        <v>240</v>
      </c>
      <c r="I876" s="6" t="b">
        <v>0</v>
      </c>
      <c r="J876" s="6" t="b">
        <v>0</v>
      </c>
      <c r="K876" s="6" t="b">
        <v>0</v>
      </c>
      <c r="L876" s="6" t="b">
        <v>1</v>
      </c>
      <c r="M876" s="6" t="b">
        <v>0</v>
      </c>
      <c r="N876" s="6">
        <v>4</v>
      </c>
      <c r="O876" s="8" t="s">
        <v>331</v>
      </c>
      <c r="P876" s="8" t="s">
        <v>516</v>
      </c>
      <c r="Q876" s="8" t="s">
        <v>239</v>
      </c>
      <c r="R876" s="6">
        <v>4</v>
      </c>
      <c r="S876" s="8" t="s">
        <v>75</v>
      </c>
      <c r="T876" s="9"/>
      <c r="U876" s="8" t="s">
        <v>240</v>
      </c>
      <c r="V876" s="8" t="s">
        <v>482</v>
      </c>
      <c r="W876" s="8" t="s">
        <v>240</v>
      </c>
      <c r="X876" s="8" t="s">
        <v>240</v>
      </c>
      <c r="Y876" s="8" t="s">
        <v>240</v>
      </c>
      <c r="Z876" s="6" t="b">
        <v>0</v>
      </c>
      <c r="AA876" s="9"/>
      <c r="AB876" s="9"/>
    </row>
    <row r="877" spans="1:28" ht="16">
      <c r="A877" s="6">
        <v>982</v>
      </c>
      <c r="B877" s="8" t="s">
        <v>200</v>
      </c>
      <c r="C877" s="8" t="s">
        <v>1582</v>
      </c>
      <c r="D877" s="8" t="s">
        <v>1582</v>
      </c>
      <c r="E877" s="8" t="s">
        <v>1582</v>
      </c>
      <c r="F877" s="6">
        <v>982</v>
      </c>
      <c r="G877" s="6" t="b">
        <v>0</v>
      </c>
      <c r="H877" s="8" t="s">
        <v>240</v>
      </c>
      <c r="I877" s="6" t="b">
        <v>0</v>
      </c>
      <c r="J877" s="6" t="b">
        <v>0</v>
      </c>
      <c r="K877" s="6" t="b">
        <v>0</v>
      </c>
      <c r="L877" s="6" t="b">
        <v>1</v>
      </c>
      <c r="M877" s="6" t="b">
        <v>0</v>
      </c>
      <c r="N877" s="6">
        <v>4</v>
      </c>
      <c r="O877" s="8" t="s">
        <v>237</v>
      </c>
      <c r="P877" s="8" t="s">
        <v>338</v>
      </c>
      <c r="Q877" s="8" t="s">
        <v>446</v>
      </c>
      <c r="R877" s="6">
        <v>4</v>
      </c>
      <c r="S877" s="8" t="s">
        <v>237</v>
      </c>
      <c r="T877" s="9"/>
      <c r="U877" s="8" t="s">
        <v>240</v>
      </c>
      <c r="V877" s="8" t="s">
        <v>1607</v>
      </c>
      <c r="W877" s="8" t="s">
        <v>240</v>
      </c>
      <c r="X877" s="8" t="s">
        <v>240</v>
      </c>
      <c r="Y877" s="8" t="s">
        <v>240</v>
      </c>
      <c r="Z877" s="6" t="b">
        <v>0</v>
      </c>
      <c r="AA877" s="9"/>
      <c r="AB877" s="9"/>
    </row>
    <row r="878" spans="1:28" ht="16">
      <c r="A878" s="6">
        <v>984</v>
      </c>
      <c r="B878" s="8" t="s">
        <v>200</v>
      </c>
      <c r="C878" s="8" t="s">
        <v>1531</v>
      </c>
      <c r="D878" s="8" t="s">
        <v>1608</v>
      </c>
      <c r="E878" s="8" t="s">
        <v>1608</v>
      </c>
      <c r="F878" s="6">
        <v>984</v>
      </c>
      <c r="G878" s="6" t="b">
        <v>0</v>
      </c>
      <c r="H878" s="8" t="s">
        <v>240</v>
      </c>
      <c r="I878" s="6" t="b">
        <v>0</v>
      </c>
      <c r="J878" s="6" t="b">
        <v>0</v>
      </c>
      <c r="K878" s="6" t="b">
        <v>0</v>
      </c>
      <c r="L878" s="6" t="b">
        <v>1</v>
      </c>
      <c r="M878" s="6" t="b">
        <v>0</v>
      </c>
      <c r="N878" s="6">
        <v>7</v>
      </c>
      <c r="O878" s="8" t="s">
        <v>237</v>
      </c>
      <c r="P878" s="8" t="s">
        <v>240</v>
      </c>
      <c r="Q878" s="8" t="s">
        <v>240</v>
      </c>
      <c r="R878" s="6">
        <v>7</v>
      </c>
      <c r="S878" s="8" t="s">
        <v>75</v>
      </c>
      <c r="T878" s="9"/>
      <c r="U878" s="8" t="s">
        <v>240</v>
      </c>
      <c r="V878" s="8" t="s">
        <v>1269</v>
      </c>
      <c r="W878" s="8" t="s">
        <v>240</v>
      </c>
      <c r="X878" s="8" t="s">
        <v>240</v>
      </c>
      <c r="Y878" s="8" t="s">
        <v>240</v>
      </c>
      <c r="Z878" s="6" t="b">
        <v>0</v>
      </c>
      <c r="AA878" s="9"/>
      <c r="AB878" s="9"/>
    </row>
    <row r="879" spans="1:28" ht="32">
      <c r="A879" s="6">
        <v>985</v>
      </c>
      <c r="B879" s="8" t="s">
        <v>200</v>
      </c>
      <c r="C879" s="8" t="s">
        <v>98</v>
      </c>
      <c r="D879" s="8" t="s">
        <v>1609</v>
      </c>
      <c r="E879" s="8" t="s">
        <v>1609</v>
      </c>
      <c r="F879" s="6">
        <v>985</v>
      </c>
      <c r="G879" s="6" t="b">
        <v>0</v>
      </c>
      <c r="H879" s="8" t="s">
        <v>240</v>
      </c>
      <c r="I879" s="6" t="b">
        <v>0</v>
      </c>
      <c r="J879" s="6" t="b">
        <v>0</v>
      </c>
      <c r="K879" s="6" t="b">
        <v>0</v>
      </c>
      <c r="L879" s="6" t="b">
        <v>1</v>
      </c>
      <c r="M879" s="6" t="b">
        <v>0</v>
      </c>
      <c r="N879" s="6">
        <v>4</v>
      </c>
      <c r="O879" s="8" t="s">
        <v>331</v>
      </c>
      <c r="P879" s="8" t="s">
        <v>822</v>
      </c>
      <c r="Q879" s="8" t="s">
        <v>1610</v>
      </c>
      <c r="R879" s="6">
        <v>4</v>
      </c>
      <c r="S879" s="8" t="s">
        <v>347</v>
      </c>
      <c r="T879" s="6">
        <v>4</v>
      </c>
      <c r="U879" s="8" t="s">
        <v>240</v>
      </c>
      <c r="V879" s="8" t="s">
        <v>482</v>
      </c>
      <c r="W879" s="8" t="s">
        <v>240</v>
      </c>
      <c r="X879" s="8" t="s">
        <v>240</v>
      </c>
      <c r="Y879" s="8" t="s">
        <v>1611</v>
      </c>
      <c r="Z879" s="6" t="b">
        <v>0</v>
      </c>
      <c r="AA879" s="9"/>
      <c r="AB879" s="9"/>
    </row>
    <row r="880" spans="1:28" ht="32">
      <c r="A880" s="6">
        <v>987</v>
      </c>
      <c r="B880" s="8" t="s">
        <v>200</v>
      </c>
      <c r="C880" s="8" t="s">
        <v>98</v>
      </c>
      <c r="D880" s="8" t="s">
        <v>1612</v>
      </c>
      <c r="E880" s="8" t="s">
        <v>1609</v>
      </c>
      <c r="F880" s="6">
        <v>985</v>
      </c>
      <c r="G880" s="6" t="b">
        <v>0</v>
      </c>
      <c r="H880" s="8" t="s">
        <v>240</v>
      </c>
      <c r="I880" s="6" t="b">
        <v>0</v>
      </c>
      <c r="J880" s="6" t="b">
        <v>0</v>
      </c>
      <c r="K880" s="6" t="b">
        <v>0</v>
      </c>
      <c r="L880" s="6" t="b">
        <v>1</v>
      </c>
      <c r="M880" s="6" t="b">
        <v>0</v>
      </c>
      <c r="N880" s="6">
        <v>4</v>
      </c>
      <c r="O880" s="8" t="s">
        <v>331</v>
      </c>
      <c r="P880" s="8" t="s">
        <v>516</v>
      </c>
      <c r="Q880" s="8" t="s">
        <v>335</v>
      </c>
      <c r="R880" s="6">
        <v>4</v>
      </c>
      <c r="S880" s="8" t="s">
        <v>335</v>
      </c>
      <c r="T880" s="6">
        <v>4</v>
      </c>
      <c r="U880" s="8" t="s">
        <v>240</v>
      </c>
      <c r="V880" s="8" t="s">
        <v>482</v>
      </c>
      <c r="W880" s="8" t="s">
        <v>240</v>
      </c>
      <c r="X880" s="8" t="s">
        <v>240</v>
      </c>
      <c r="Y880" s="8" t="s">
        <v>1613</v>
      </c>
      <c r="Z880" s="6" t="b">
        <v>0</v>
      </c>
      <c r="AA880" s="9"/>
      <c r="AB880" s="9"/>
    </row>
    <row r="881" spans="1:28" ht="16">
      <c r="A881" s="6">
        <v>988</v>
      </c>
      <c r="B881" s="8" t="s">
        <v>200</v>
      </c>
      <c r="C881" s="8" t="s">
        <v>98</v>
      </c>
      <c r="D881" s="8" t="s">
        <v>1614</v>
      </c>
      <c r="E881" s="8" t="s">
        <v>1609</v>
      </c>
      <c r="F881" s="6">
        <v>985</v>
      </c>
      <c r="G881" s="6" t="b">
        <v>0</v>
      </c>
      <c r="H881" s="8" t="s">
        <v>240</v>
      </c>
      <c r="I881" s="6" t="b">
        <v>0</v>
      </c>
      <c r="J881" s="6" t="b">
        <v>0</v>
      </c>
      <c r="K881" s="6" t="b">
        <v>0</v>
      </c>
      <c r="L881" s="6" t="b">
        <v>1</v>
      </c>
      <c r="M881" s="6" t="b">
        <v>0</v>
      </c>
      <c r="N881" s="6">
        <v>4</v>
      </c>
      <c r="O881" s="8" t="s">
        <v>331</v>
      </c>
      <c r="P881" s="8" t="s">
        <v>516</v>
      </c>
      <c r="Q881" s="8" t="s">
        <v>335</v>
      </c>
      <c r="R881" s="6">
        <v>4</v>
      </c>
      <c r="S881" s="8" t="s">
        <v>523</v>
      </c>
      <c r="T881" s="6">
        <v>4</v>
      </c>
      <c r="U881" s="8" t="s">
        <v>240</v>
      </c>
      <c r="V881" s="8" t="s">
        <v>482</v>
      </c>
      <c r="W881" s="8" t="s">
        <v>240</v>
      </c>
      <c r="X881" s="8" t="s">
        <v>240</v>
      </c>
      <c r="Y881" s="8" t="s">
        <v>240</v>
      </c>
      <c r="Z881" s="6" t="b">
        <v>0</v>
      </c>
      <c r="AA881" s="9"/>
      <c r="AB881" s="9"/>
    </row>
    <row r="882" spans="1:28" ht="32">
      <c r="A882" s="6">
        <v>989</v>
      </c>
      <c r="B882" s="8" t="s">
        <v>200</v>
      </c>
      <c r="C882" s="8" t="s">
        <v>98</v>
      </c>
      <c r="D882" s="8" t="s">
        <v>1615</v>
      </c>
      <c r="E882" s="8" t="s">
        <v>1609</v>
      </c>
      <c r="F882" s="6">
        <v>985</v>
      </c>
      <c r="G882" s="6" t="b">
        <v>0</v>
      </c>
      <c r="H882" s="8" t="s">
        <v>240</v>
      </c>
      <c r="I882" s="6" t="b">
        <v>0</v>
      </c>
      <c r="J882" s="6" t="b">
        <v>0</v>
      </c>
      <c r="K882" s="6" t="b">
        <v>0</v>
      </c>
      <c r="L882" s="6" t="b">
        <v>1</v>
      </c>
      <c r="M882" s="6" t="b">
        <v>0</v>
      </c>
      <c r="N882" s="6">
        <v>4</v>
      </c>
      <c r="O882" s="8" t="s">
        <v>331</v>
      </c>
      <c r="P882" s="8" t="s">
        <v>516</v>
      </c>
      <c r="Q882" s="8" t="s">
        <v>335</v>
      </c>
      <c r="R882" s="6">
        <v>2</v>
      </c>
      <c r="S882" s="8" t="s">
        <v>347</v>
      </c>
      <c r="T882" s="6">
        <v>4</v>
      </c>
      <c r="U882" s="8" t="s">
        <v>240</v>
      </c>
      <c r="V882" s="8" t="s">
        <v>482</v>
      </c>
      <c r="W882" s="8" t="s">
        <v>240</v>
      </c>
      <c r="X882" s="8" t="s">
        <v>240</v>
      </c>
      <c r="Y882" s="8" t="s">
        <v>240</v>
      </c>
      <c r="Z882" s="6" t="b">
        <v>0</v>
      </c>
      <c r="AA882" s="9"/>
      <c r="AB882" s="9"/>
    </row>
    <row r="883" spans="1:28" ht="16">
      <c r="A883" s="6">
        <v>990</v>
      </c>
      <c r="B883" s="8" t="s">
        <v>200</v>
      </c>
      <c r="C883" s="8" t="s">
        <v>98</v>
      </c>
      <c r="D883" s="8" t="s">
        <v>1616</v>
      </c>
      <c r="E883" s="8" t="s">
        <v>1616</v>
      </c>
      <c r="F883" s="6">
        <v>990</v>
      </c>
      <c r="G883" s="6" t="b">
        <v>0</v>
      </c>
      <c r="H883" s="8" t="s">
        <v>240</v>
      </c>
      <c r="I883" s="6" t="b">
        <v>0</v>
      </c>
      <c r="J883" s="6" t="b">
        <v>0</v>
      </c>
      <c r="K883" s="6" t="b">
        <v>0</v>
      </c>
      <c r="L883" s="6" t="b">
        <v>1</v>
      </c>
      <c r="M883" s="6" t="b">
        <v>0</v>
      </c>
      <c r="N883" s="6">
        <v>4</v>
      </c>
      <c r="O883" s="8" t="s">
        <v>331</v>
      </c>
      <c r="P883" s="8" t="s">
        <v>516</v>
      </c>
      <c r="Q883" s="8" t="s">
        <v>381</v>
      </c>
      <c r="R883" s="6">
        <v>4</v>
      </c>
      <c r="S883" s="8" t="s">
        <v>75</v>
      </c>
      <c r="T883" s="9"/>
      <c r="U883" s="8" t="s">
        <v>240</v>
      </c>
      <c r="V883" s="8" t="s">
        <v>482</v>
      </c>
      <c r="W883" s="8" t="s">
        <v>240</v>
      </c>
      <c r="X883" s="8" t="s">
        <v>240</v>
      </c>
      <c r="Y883" s="8" t="s">
        <v>1617</v>
      </c>
      <c r="Z883" s="6" t="b">
        <v>0</v>
      </c>
      <c r="AA883" s="9"/>
      <c r="AB883" s="9"/>
    </row>
    <row r="884" spans="1:28" ht="32">
      <c r="A884" s="6">
        <v>992</v>
      </c>
      <c r="B884" s="8" t="s">
        <v>200</v>
      </c>
      <c r="C884" s="8" t="s">
        <v>98</v>
      </c>
      <c r="D884" s="8" t="s">
        <v>1618</v>
      </c>
      <c r="E884" s="8" t="s">
        <v>1616</v>
      </c>
      <c r="F884" s="6">
        <v>990</v>
      </c>
      <c r="G884" s="6" t="b">
        <v>0</v>
      </c>
      <c r="H884" s="8" t="s">
        <v>240</v>
      </c>
      <c r="I884" s="6" t="b">
        <v>0</v>
      </c>
      <c r="J884" s="6" t="b">
        <v>0</v>
      </c>
      <c r="K884" s="6" t="b">
        <v>0</v>
      </c>
      <c r="L884" s="6" t="b">
        <v>1</v>
      </c>
      <c r="M884" s="6" t="b">
        <v>0</v>
      </c>
      <c r="N884" s="6">
        <v>4</v>
      </c>
      <c r="O884" s="8" t="s">
        <v>331</v>
      </c>
      <c r="P884" s="8" t="s">
        <v>516</v>
      </c>
      <c r="Q884" s="8" t="s">
        <v>1619</v>
      </c>
      <c r="R884" s="6">
        <v>4</v>
      </c>
      <c r="S884" s="8" t="s">
        <v>75</v>
      </c>
      <c r="T884" s="6">
        <v>4</v>
      </c>
      <c r="U884" s="8" t="s">
        <v>240</v>
      </c>
      <c r="V884" s="8" t="s">
        <v>482</v>
      </c>
      <c r="W884" s="8" t="s">
        <v>240</v>
      </c>
      <c r="X884" s="8" t="s">
        <v>240</v>
      </c>
      <c r="Y884" s="8" t="s">
        <v>1620</v>
      </c>
      <c r="Z884" s="6" t="b">
        <v>0</v>
      </c>
      <c r="AA884" s="9"/>
      <c r="AB884" s="9"/>
    </row>
    <row r="885" spans="1:28" ht="16">
      <c r="A885" s="6">
        <v>993</v>
      </c>
      <c r="B885" s="8" t="s">
        <v>200</v>
      </c>
      <c r="C885" s="8" t="s">
        <v>99</v>
      </c>
      <c r="D885" s="8" t="s">
        <v>1621</v>
      </c>
      <c r="E885" s="8" t="s">
        <v>1621</v>
      </c>
      <c r="F885" s="6">
        <v>993</v>
      </c>
      <c r="G885" s="6" t="b">
        <v>0</v>
      </c>
      <c r="H885" s="8" t="s">
        <v>240</v>
      </c>
      <c r="I885" s="6" t="b">
        <v>0</v>
      </c>
      <c r="J885" s="6" t="b">
        <v>0</v>
      </c>
      <c r="K885" s="6" t="b">
        <v>0</v>
      </c>
      <c r="L885" s="6" t="b">
        <v>1</v>
      </c>
      <c r="M885" s="6" t="b">
        <v>0</v>
      </c>
      <c r="N885" s="6">
        <v>5</v>
      </c>
      <c r="O885" s="8" t="s">
        <v>237</v>
      </c>
      <c r="P885" s="8" t="s">
        <v>350</v>
      </c>
      <c r="Q885" s="8" t="s">
        <v>239</v>
      </c>
      <c r="R885" s="6">
        <v>5</v>
      </c>
      <c r="S885" s="8" t="s">
        <v>75</v>
      </c>
      <c r="T885" s="9"/>
      <c r="U885" s="8" t="s">
        <v>240</v>
      </c>
      <c r="V885" s="8" t="s">
        <v>496</v>
      </c>
      <c r="W885" s="8" t="s">
        <v>240</v>
      </c>
      <c r="X885" s="8" t="s">
        <v>240</v>
      </c>
      <c r="Y885" s="8" t="s">
        <v>240</v>
      </c>
      <c r="Z885" s="6" t="b">
        <v>0</v>
      </c>
      <c r="AA885" s="9"/>
      <c r="AB885" s="9"/>
    </row>
    <row r="886" spans="1:28" ht="32">
      <c r="A886" s="6">
        <v>994</v>
      </c>
      <c r="B886" s="8" t="s">
        <v>200</v>
      </c>
      <c r="C886" s="8" t="s">
        <v>1563</v>
      </c>
      <c r="D886" s="8" t="s">
        <v>1622</v>
      </c>
      <c r="E886" s="8" t="s">
        <v>1622</v>
      </c>
      <c r="F886" s="6">
        <v>994</v>
      </c>
      <c r="G886" s="6" t="b">
        <v>0</v>
      </c>
      <c r="H886" s="8" t="s">
        <v>240</v>
      </c>
      <c r="I886" s="6" t="b">
        <v>0</v>
      </c>
      <c r="J886" s="6" t="b">
        <v>0</v>
      </c>
      <c r="K886" s="6" t="b">
        <v>0</v>
      </c>
      <c r="L886" s="6" t="b">
        <v>1</v>
      </c>
      <c r="M886" s="6" t="b">
        <v>0</v>
      </c>
      <c r="N886" s="6">
        <v>5</v>
      </c>
      <c r="O886" s="8" t="s">
        <v>237</v>
      </c>
      <c r="P886" s="8" t="s">
        <v>380</v>
      </c>
      <c r="Q886" s="8" t="s">
        <v>811</v>
      </c>
      <c r="R886" s="6">
        <v>5</v>
      </c>
      <c r="S886" s="8" t="s">
        <v>335</v>
      </c>
      <c r="T886" s="6">
        <v>5</v>
      </c>
      <c r="U886" s="8" t="s">
        <v>240</v>
      </c>
      <c r="V886" s="8" t="s">
        <v>1012</v>
      </c>
      <c r="W886" s="8" t="s">
        <v>240</v>
      </c>
      <c r="X886" s="8" t="s">
        <v>240</v>
      </c>
      <c r="Y886" s="8" t="s">
        <v>1623</v>
      </c>
      <c r="Z886" s="6" t="b">
        <v>0</v>
      </c>
      <c r="AA886" s="9"/>
      <c r="AB886" s="9"/>
    </row>
    <row r="887" spans="1:28" ht="16">
      <c r="A887" s="6">
        <v>995</v>
      </c>
      <c r="B887" s="8" t="s">
        <v>200</v>
      </c>
      <c r="C887" s="8" t="s">
        <v>1599</v>
      </c>
      <c r="D887" s="8" t="s">
        <v>1624</v>
      </c>
      <c r="E887" s="8" t="s">
        <v>1624</v>
      </c>
      <c r="F887" s="6">
        <v>995</v>
      </c>
      <c r="G887" s="6" t="b">
        <v>0</v>
      </c>
      <c r="H887" s="8" t="s">
        <v>240</v>
      </c>
      <c r="I887" s="6" t="b">
        <v>0</v>
      </c>
      <c r="J887" s="6" t="b">
        <v>0</v>
      </c>
      <c r="K887" s="6" t="b">
        <v>0</v>
      </c>
      <c r="L887" s="6" t="b">
        <v>1</v>
      </c>
      <c r="M887" s="6" t="b">
        <v>0</v>
      </c>
      <c r="N887" s="6">
        <v>6</v>
      </c>
      <c r="O887" s="8" t="s">
        <v>237</v>
      </c>
      <c r="P887" s="8" t="s">
        <v>240</v>
      </c>
      <c r="Q887" s="8" t="s">
        <v>240</v>
      </c>
      <c r="R887" s="6">
        <v>6</v>
      </c>
      <c r="S887" s="8" t="s">
        <v>75</v>
      </c>
      <c r="T887" s="9"/>
      <c r="U887" s="8" t="s">
        <v>1625</v>
      </c>
      <c r="V887" s="8" t="s">
        <v>240</v>
      </c>
      <c r="W887" s="8" t="s">
        <v>240</v>
      </c>
      <c r="X887" s="8" t="s">
        <v>240</v>
      </c>
      <c r="Y887" s="8" t="s">
        <v>240</v>
      </c>
      <c r="Z887" s="6" t="b">
        <v>0</v>
      </c>
      <c r="AA887" s="9"/>
      <c r="AB887" s="9"/>
    </row>
    <row r="888" spans="1:28" ht="16">
      <c r="A888" s="6">
        <v>996</v>
      </c>
      <c r="B888" s="8" t="s">
        <v>200</v>
      </c>
      <c r="C888" s="8" t="s">
        <v>1521</v>
      </c>
      <c r="D888" s="8" t="s">
        <v>1626</v>
      </c>
      <c r="E888" s="8" t="s">
        <v>1626</v>
      </c>
      <c r="F888" s="6">
        <v>995</v>
      </c>
      <c r="G888" s="6" t="b">
        <v>0</v>
      </c>
      <c r="H888" s="8" t="s">
        <v>240</v>
      </c>
      <c r="I888" s="6" t="b">
        <v>0</v>
      </c>
      <c r="J888" s="6" t="b">
        <v>0</v>
      </c>
      <c r="K888" s="6" t="b">
        <v>0</v>
      </c>
      <c r="L888" s="6" t="b">
        <v>1</v>
      </c>
      <c r="M888" s="6" t="b">
        <v>0</v>
      </c>
      <c r="N888" s="6">
        <v>4</v>
      </c>
      <c r="O888" s="8" t="s">
        <v>237</v>
      </c>
      <c r="P888" s="8" t="s">
        <v>238</v>
      </c>
      <c r="Q888" s="8" t="s">
        <v>446</v>
      </c>
      <c r="R888" s="6">
        <v>4</v>
      </c>
      <c r="S888" s="8" t="s">
        <v>75</v>
      </c>
      <c r="T888" s="9"/>
      <c r="U888" s="8" t="s">
        <v>240</v>
      </c>
      <c r="V888" s="8" t="s">
        <v>1228</v>
      </c>
      <c r="W888" s="8" t="s">
        <v>240</v>
      </c>
      <c r="X888" s="8" t="s">
        <v>240</v>
      </c>
      <c r="Y888" s="8" t="s">
        <v>1627</v>
      </c>
      <c r="Z888" s="6" t="b">
        <v>0</v>
      </c>
      <c r="AA888" s="9"/>
      <c r="AB888" s="9"/>
    </row>
    <row r="889" spans="1:28" ht="16">
      <c r="A889" s="6">
        <v>997</v>
      </c>
      <c r="B889" s="8" t="s">
        <v>200</v>
      </c>
      <c r="C889" s="8" t="s">
        <v>1503</v>
      </c>
      <c r="D889" s="8" t="s">
        <v>1628</v>
      </c>
      <c r="E889" s="8" t="s">
        <v>1628</v>
      </c>
      <c r="F889" s="6">
        <v>997</v>
      </c>
      <c r="G889" s="6" t="b">
        <v>0</v>
      </c>
      <c r="H889" s="8" t="s">
        <v>240</v>
      </c>
      <c r="I889" s="6" t="b">
        <v>0</v>
      </c>
      <c r="J889" s="6" t="b">
        <v>0</v>
      </c>
      <c r="K889" s="6" t="b">
        <v>0</v>
      </c>
      <c r="L889" s="6" t="b">
        <v>1</v>
      </c>
      <c r="M889" s="6" t="b">
        <v>0</v>
      </c>
      <c r="N889" s="6">
        <v>5</v>
      </c>
      <c r="O889" s="8" t="s">
        <v>335</v>
      </c>
      <c r="P889" s="8" t="s">
        <v>1176</v>
      </c>
      <c r="Q889" s="8" t="s">
        <v>446</v>
      </c>
      <c r="R889" s="6">
        <v>5</v>
      </c>
      <c r="S889" s="8" t="s">
        <v>75</v>
      </c>
      <c r="T889" s="9"/>
      <c r="U889" s="8" t="s">
        <v>240</v>
      </c>
      <c r="V889" s="8" t="s">
        <v>1120</v>
      </c>
      <c r="W889" s="8" t="s">
        <v>240</v>
      </c>
      <c r="X889" s="8" t="s">
        <v>240</v>
      </c>
      <c r="Y889" s="8" t="s">
        <v>240</v>
      </c>
      <c r="Z889" s="6" t="b">
        <v>0</v>
      </c>
      <c r="AA889" s="9"/>
      <c r="AB889" s="9"/>
    </row>
    <row r="890" spans="1:28" ht="16">
      <c r="A890" s="6">
        <v>998</v>
      </c>
      <c r="B890" s="8" t="s">
        <v>200</v>
      </c>
      <c r="C890" s="8" t="s">
        <v>98</v>
      </c>
      <c r="D890" s="8" t="s">
        <v>1629</v>
      </c>
      <c r="E890" s="8" t="s">
        <v>1629</v>
      </c>
      <c r="F890" s="6">
        <v>998</v>
      </c>
      <c r="G890" s="6" t="b">
        <v>0</v>
      </c>
      <c r="H890" s="8" t="s">
        <v>240</v>
      </c>
      <c r="I890" s="6" t="b">
        <v>0</v>
      </c>
      <c r="J890" s="6" t="b">
        <v>0</v>
      </c>
      <c r="K890" s="6" t="b">
        <v>0</v>
      </c>
      <c r="L890" s="6" t="b">
        <v>1</v>
      </c>
      <c r="M890" s="6" t="b">
        <v>0</v>
      </c>
      <c r="N890" s="6">
        <v>4</v>
      </c>
      <c r="O890" s="8" t="s">
        <v>331</v>
      </c>
      <c r="P890" s="8" t="s">
        <v>516</v>
      </c>
      <c r="Q890" s="8" t="s">
        <v>502</v>
      </c>
      <c r="R890" s="6">
        <v>2</v>
      </c>
      <c r="S890" s="8" t="s">
        <v>335</v>
      </c>
      <c r="T890" s="6">
        <v>2</v>
      </c>
      <c r="U890" s="8" t="s">
        <v>240</v>
      </c>
      <c r="V890" s="8" t="s">
        <v>482</v>
      </c>
      <c r="W890" s="8" t="s">
        <v>483</v>
      </c>
      <c r="X890" s="8" t="s">
        <v>240</v>
      </c>
      <c r="Y890" s="8" t="s">
        <v>1630</v>
      </c>
      <c r="Z890" s="6" t="b">
        <v>0</v>
      </c>
      <c r="AA890" s="9"/>
      <c r="AB890" s="9"/>
    </row>
    <row r="891" spans="1:28" ht="16">
      <c r="A891" s="6">
        <v>1000</v>
      </c>
      <c r="B891" s="8" t="s">
        <v>200</v>
      </c>
      <c r="C891" s="8" t="s">
        <v>98</v>
      </c>
      <c r="D891" s="8" t="s">
        <v>1631</v>
      </c>
      <c r="E891" s="8" t="s">
        <v>1629</v>
      </c>
      <c r="F891" s="6">
        <v>998</v>
      </c>
      <c r="G891" s="6" t="b">
        <v>0</v>
      </c>
      <c r="H891" s="8" t="s">
        <v>240</v>
      </c>
      <c r="I891" s="6" t="b">
        <v>0</v>
      </c>
      <c r="J891" s="6" t="b">
        <v>0</v>
      </c>
      <c r="K891" s="6" t="b">
        <v>0</v>
      </c>
      <c r="L891" s="6" t="b">
        <v>1</v>
      </c>
      <c r="M891" s="6" t="b">
        <v>0</v>
      </c>
      <c r="N891" s="6">
        <v>4</v>
      </c>
      <c r="O891" s="8" t="s">
        <v>331</v>
      </c>
      <c r="P891" s="8" t="s">
        <v>516</v>
      </c>
      <c r="Q891" s="8" t="s">
        <v>335</v>
      </c>
      <c r="R891" s="6">
        <v>2</v>
      </c>
      <c r="S891" s="8" t="s">
        <v>335</v>
      </c>
      <c r="T891" s="6">
        <v>2</v>
      </c>
      <c r="U891" s="8" t="s">
        <v>240</v>
      </c>
      <c r="V891" s="8" t="s">
        <v>482</v>
      </c>
      <c r="W891" s="8" t="s">
        <v>483</v>
      </c>
      <c r="X891" s="8" t="s">
        <v>240</v>
      </c>
      <c r="Y891" s="8" t="s">
        <v>240</v>
      </c>
      <c r="Z891" s="6" t="b">
        <v>0</v>
      </c>
      <c r="AA891" s="9"/>
      <c r="AB891" s="9"/>
    </row>
    <row r="892" spans="1:28" ht="16">
      <c r="A892" s="6">
        <v>1001</v>
      </c>
      <c r="B892" s="8" t="s">
        <v>200</v>
      </c>
      <c r="C892" s="8" t="s">
        <v>98</v>
      </c>
      <c r="D892" s="8" t="s">
        <v>1632</v>
      </c>
      <c r="E892" s="8" t="s">
        <v>1629</v>
      </c>
      <c r="F892" s="6">
        <v>998</v>
      </c>
      <c r="G892" s="6" t="b">
        <v>0</v>
      </c>
      <c r="H892" s="8" t="s">
        <v>240</v>
      </c>
      <c r="I892" s="6" t="b">
        <v>0</v>
      </c>
      <c r="J892" s="6" t="b">
        <v>0</v>
      </c>
      <c r="K892" s="6" t="b">
        <v>0</v>
      </c>
      <c r="L892" s="6" t="b">
        <v>1</v>
      </c>
      <c r="M892" s="6" t="b">
        <v>0</v>
      </c>
      <c r="N892" s="6">
        <v>4</v>
      </c>
      <c r="O892" s="8" t="s">
        <v>331</v>
      </c>
      <c r="P892" s="8" t="s">
        <v>516</v>
      </c>
      <c r="Q892" s="8" t="s">
        <v>335</v>
      </c>
      <c r="R892" s="6">
        <v>2</v>
      </c>
      <c r="S892" s="8" t="s">
        <v>335</v>
      </c>
      <c r="T892" s="6">
        <v>2</v>
      </c>
      <c r="U892" s="8" t="s">
        <v>240</v>
      </c>
      <c r="V892" s="8" t="s">
        <v>482</v>
      </c>
      <c r="W892" s="8" t="s">
        <v>483</v>
      </c>
      <c r="X892" s="8" t="s">
        <v>240</v>
      </c>
      <c r="Y892" s="8" t="s">
        <v>1633</v>
      </c>
      <c r="Z892" s="6" t="b">
        <v>0</v>
      </c>
      <c r="AA892" s="9"/>
      <c r="AB892" s="9"/>
    </row>
    <row r="893" spans="1:28" ht="16">
      <c r="A893" s="6">
        <v>1002</v>
      </c>
      <c r="B893" s="8" t="s">
        <v>200</v>
      </c>
      <c r="C893" s="8" t="s">
        <v>100</v>
      </c>
      <c r="D893" s="8" t="s">
        <v>100</v>
      </c>
      <c r="E893" s="8" t="s">
        <v>100</v>
      </c>
      <c r="F893" s="6">
        <v>1002</v>
      </c>
      <c r="G893" s="6" t="b">
        <v>0</v>
      </c>
      <c r="H893" s="8" t="s">
        <v>240</v>
      </c>
      <c r="I893" s="6" t="b">
        <v>0</v>
      </c>
      <c r="J893" s="6" t="b">
        <v>0</v>
      </c>
      <c r="K893" s="6" t="b">
        <v>0</v>
      </c>
      <c r="L893" s="6" t="b">
        <v>1</v>
      </c>
      <c r="M893" s="6" t="b">
        <v>0</v>
      </c>
      <c r="N893" s="6">
        <v>4</v>
      </c>
      <c r="O893" s="8" t="s">
        <v>331</v>
      </c>
      <c r="P893" s="8" t="s">
        <v>516</v>
      </c>
      <c r="Q893" s="8" t="s">
        <v>381</v>
      </c>
      <c r="R893" s="6">
        <v>4</v>
      </c>
      <c r="S893" s="8" t="s">
        <v>331</v>
      </c>
      <c r="T893" s="9"/>
      <c r="U893" s="8" t="s">
        <v>240</v>
      </c>
      <c r="V893" s="8" t="s">
        <v>482</v>
      </c>
      <c r="W893" s="8" t="s">
        <v>240</v>
      </c>
      <c r="X893" s="8" t="s">
        <v>240</v>
      </c>
      <c r="Y893" s="8" t="s">
        <v>1634</v>
      </c>
      <c r="Z893" s="6" t="b">
        <v>0</v>
      </c>
      <c r="AA893" s="9"/>
      <c r="AB893" s="9"/>
    </row>
    <row r="894" spans="1:28" ht="32">
      <c r="A894" s="6">
        <v>1003</v>
      </c>
      <c r="B894" s="8" t="s">
        <v>200</v>
      </c>
      <c r="C894" s="8" t="s">
        <v>100</v>
      </c>
      <c r="D894" s="8" t="s">
        <v>1635</v>
      </c>
      <c r="E894" s="8" t="s">
        <v>1635</v>
      </c>
      <c r="F894" s="6">
        <v>1003</v>
      </c>
      <c r="G894" s="6" t="b">
        <v>0</v>
      </c>
      <c r="H894" s="8" t="s">
        <v>240</v>
      </c>
      <c r="I894" s="6" t="b">
        <v>0</v>
      </c>
      <c r="J894" s="6" t="b">
        <v>0</v>
      </c>
      <c r="K894" s="6" t="b">
        <v>0</v>
      </c>
      <c r="L894" s="6" t="b">
        <v>1</v>
      </c>
      <c r="M894" s="6" t="b">
        <v>0</v>
      </c>
      <c r="N894" s="6">
        <v>4</v>
      </c>
      <c r="O894" s="8" t="s">
        <v>331</v>
      </c>
      <c r="P894" s="8" t="s">
        <v>516</v>
      </c>
      <c r="Q894" s="8" t="s">
        <v>481</v>
      </c>
      <c r="R894" s="6">
        <v>4</v>
      </c>
      <c r="S894" s="8" t="s">
        <v>523</v>
      </c>
      <c r="T894" s="6">
        <v>4</v>
      </c>
      <c r="U894" s="8" t="s">
        <v>240</v>
      </c>
      <c r="V894" s="8" t="s">
        <v>482</v>
      </c>
      <c r="W894" s="8" t="s">
        <v>240</v>
      </c>
      <c r="X894" s="8" t="s">
        <v>240</v>
      </c>
      <c r="Y894" s="8" t="s">
        <v>1636</v>
      </c>
      <c r="Z894" s="6" t="b">
        <v>0</v>
      </c>
      <c r="AA894" s="9"/>
      <c r="AB894" s="9"/>
    </row>
    <row r="895" spans="1:28" ht="16">
      <c r="A895" s="6">
        <v>1004</v>
      </c>
      <c r="B895" s="8" t="s">
        <v>200</v>
      </c>
      <c r="C895" s="8" t="s">
        <v>100</v>
      </c>
      <c r="D895" s="8" t="s">
        <v>1637</v>
      </c>
      <c r="E895" s="8" t="s">
        <v>1635</v>
      </c>
      <c r="F895" s="6">
        <v>1003</v>
      </c>
      <c r="G895" s="6" t="b">
        <v>0</v>
      </c>
      <c r="H895" s="8" t="s">
        <v>240</v>
      </c>
      <c r="I895" s="6" t="b">
        <v>0</v>
      </c>
      <c r="J895" s="6" t="b">
        <v>0</v>
      </c>
      <c r="K895" s="6" t="b">
        <v>0</v>
      </c>
      <c r="L895" s="6" t="b">
        <v>1</v>
      </c>
      <c r="M895" s="6" t="b">
        <v>0</v>
      </c>
      <c r="N895" s="6">
        <v>4</v>
      </c>
      <c r="O895" s="8" t="s">
        <v>331</v>
      </c>
      <c r="P895" s="8" t="s">
        <v>516</v>
      </c>
      <c r="Q895" s="8" t="s">
        <v>339</v>
      </c>
      <c r="R895" s="6">
        <v>4</v>
      </c>
      <c r="S895" s="8" t="s">
        <v>347</v>
      </c>
      <c r="T895" s="6">
        <v>4</v>
      </c>
      <c r="U895" s="8" t="s">
        <v>240</v>
      </c>
      <c r="V895" s="8" t="s">
        <v>482</v>
      </c>
      <c r="W895" s="8" t="s">
        <v>240</v>
      </c>
      <c r="X895" s="8" t="s">
        <v>240</v>
      </c>
      <c r="Y895" s="8" t="s">
        <v>1638</v>
      </c>
      <c r="Z895" s="6" t="b">
        <v>0</v>
      </c>
      <c r="AA895" s="9"/>
      <c r="AB895" s="9"/>
    </row>
    <row r="896" spans="1:28" ht="16">
      <c r="A896" s="6">
        <v>1005</v>
      </c>
      <c r="B896" s="8" t="s">
        <v>200</v>
      </c>
      <c r="C896" s="8" t="s">
        <v>116</v>
      </c>
      <c r="D896" s="8" t="s">
        <v>116</v>
      </c>
      <c r="E896" s="8" t="s">
        <v>116</v>
      </c>
      <c r="F896" s="6">
        <v>1005</v>
      </c>
      <c r="G896" s="6" t="b">
        <v>0</v>
      </c>
      <c r="H896" s="8" t="s">
        <v>240</v>
      </c>
      <c r="I896" s="6" t="b">
        <v>0</v>
      </c>
      <c r="J896" s="6" t="b">
        <v>0</v>
      </c>
      <c r="K896" s="6" t="b">
        <v>0</v>
      </c>
      <c r="L896" s="6" t="b">
        <v>1</v>
      </c>
      <c r="M896" s="6" t="b">
        <v>0</v>
      </c>
      <c r="N896" s="6">
        <v>1</v>
      </c>
      <c r="O896" s="8" t="s">
        <v>237</v>
      </c>
      <c r="P896" s="8" t="s">
        <v>380</v>
      </c>
      <c r="Q896" s="8" t="s">
        <v>446</v>
      </c>
      <c r="R896" s="6">
        <v>1</v>
      </c>
      <c r="S896" s="8" t="s">
        <v>237</v>
      </c>
      <c r="T896" s="9"/>
      <c r="U896" s="8" t="s">
        <v>240</v>
      </c>
      <c r="V896" s="8" t="s">
        <v>965</v>
      </c>
      <c r="W896" s="8" t="s">
        <v>240</v>
      </c>
      <c r="X896" s="8" t="s">
        <v>240</v>
      </c>
      <c r="Y896" s="8" t="s">
        <v>240</v>
      </c>
      <c r="Z896" s="6" t="b">
        <v>0</v>
      </c>
      <c r="AA896" s="9"/>
      <c r="AB896" s="9"/>
    </row>
    <row r="897" spans="1:28" ht="16">
      <c r="A897" s="6">
        <v>1006</v>
      </c>
      <c r="B897" s="8" t="s">
        <v>200</v>
      </c>
      <c r="C897" s="8" t="s">
        <v>1534</v>
      </c>
      <c r="D897" s="8" t="s">
        <v>1639</v>
      </c>
      <c r="E897" s="8" t="s">
        <v>1639</v>
      </c>
      <c r="F897" s="6">
        <v>1006</v>
      </c>
      <c r="G897" s="6" t="b">
        <v>0</v>
      </c>
      <c r="H897" s="8" t="s">
        <v>240</v>
      </c>
      <c r="I897" s="6" t="b">
        <v>0</v>
      </c>
      <c r="J897" s="6" t="b">
        <v>0</v>
      </c>
      <c r="K897" s="6" t="b">
        <v>0</v>
      </c>
      <c r="L897" s="6" t="b">
        <v>1</v>
      </c>
      <c r="M897" s="6" t="b">
        <v>0</v>
      </c>
      <c r="N897" s="6">
        <v>7</v>
      </c>
      <c r="O897" s="8" t="s">
        <v>341</v>
      </c>
      <c r="P897" s="8" t="s">
        <v>516</v>
      </c>
      <c r="Q897" s="8" t="s">
        <v>239</v>
      </c>
      <c r="R897" s="6">
        <v>7</v>
      </c>
      <c r="S897" s="8" t="s">
        <v>75</v>
      </c>
      <c r="T897" s="9"/>
      <c r="U897" s="8" t="s">
        <v>240</v>
      </c>
      <c r="V897" s="8" t="s">
        <v>1012</v>
      </c>
      <c r="W897" s="8" t="s">
        <v>240</v>
      </c>
      <c r="X897" s="8" t="s">
        <v>240</v>
      </c>
      <c r="Y897" s="8" t="s">
        <v>240</v>
      </c>
      <c r="Z897" s="6" t="b">
        <v>0</v>
      </c>
      <c r="AA897" s="9"/>
      <c r="AB897" s="9"/>
    </row>
    <row r="898" spans="1:28" ht="16">
      <c r="A898" s="6">
        <v>1007</v>
      </c>
      <c r="B898" s="8" t="s">
        <v>200</v>
      </c>
      <c r="C898" s="8" t="s">
        <v>1534</v>
      </c>
      <c r="D898" s="8" t="s">
        <v>1534</v>
      </c>
      <c r="E898" s="8" t="s">
        <v>1534</v>
      </c>
      <c r="F898" s="6">
        <v>1007</v>
      </c>
      <c r="G898" s="6" t="b">
        <v>0</v>
      </c>
      <c r="H898" s="8" t="s">
        <v>240</v>
      </c>
      <c r="I898" s="6" t="b">
        <v>0</v>
      </c>
      <c r="J898" s="6" t="b">
        <v>0</v>
      </c>
      <c r="K898" s="6" t="b">
        <v>0</v>
      </c>
      <c r="L898" s="6" t="b">
        <v>1</v>
      </c>
      <c r="M898" s="6" t="b">
        <v>0</v>
      </c>
      <c r="N898" s="6">
        <v>7</v>
      </c>
      <c r="O898" s="8" t="s">
        <v>341</v>
      </c>
      <c r="P898" s="8" t="s">
        <v>516</v>
      </c>
      <c r="Q898" s="8" t="s">
        <v>927</v>
      </c>
      <c r="R898" s="6">
        <v>7</v>
      </c>
      <c r="S898" s="8" t="s">
        <v>341</v>
      </c>
      <c r="T898" s="6">
        <v>5</v>
      </c>
      <c r="U898" s="8" t="s">
        <v>1577</v>
      </c>
      <c r="V898" s="8" t="s">
        <v>1164</v>
      </c>
      <c r="W898" s="8" t="s">
        <v>240</v>
      </c>
      <c r="X898" s="8" t="s">
        <v>240</v>
      </c>
      <c r="Y898" s="8" t="s">
        <v>240</v>
      </c>
      <c r="Z898" s="6" t="b">
        <v>0</v>
      </c>
      <c r="AA898" s="9"/>
      <c r="AB898" s="9"/>
    </row>
    <row r="899" spans="1:28" ht="16">
      <c r="A899" s="6">
        <v>1008</v>
      </c>
      <c r="B899" s="8" t="s">
        <v>200</v>
      </c>
      <c r="C899" s="8" t="s">
        <v>99</v>
      </c>
      <c r="D899" s="8" t="s">
        <v>1640</v>
      </c>
      <c r="E899" s="8" t="s">
        <v>1640</v>
      </c>
      <c r="F899" s="6">
        <v>1008</v>
      </c>
      <c r="G899" s="6" t="b">
        <v>0</v>
      </c>
      <c r="H899" s="8" t="s">
        <v>240</v>
      </c>
      <c r="I899" s="6" t="b">
        <v>0</v>
      </c>
      <c r="J899" s="6" t="b">
        <v>0</v>
      </c>
      <c r="K899" s="6" t="b">
        <v>0</v>
      </c>
      <c r="L899" s="6" t="b">
        <v>1</v>
      </c>
      <c r="M899" s="6" t="b">
        <v>0</v>
      </c>
      <c r="N899" s="6">
        <v>5</v>
      </c>
      <c r="O899" s="8" t="s">
        <v>237</v>
      </c>
      <c r="P899" s="8" t="s">
        <v>350</v>
      </c>
      <c r="Q899" s="8" t="s">
        <v>239</v>
      </c>
      <c r="R899" s="6">
        <v>5</v>
      </c>
      <c r="S899" s="8" t="s">
        <v>75</v>
      </c>
      <c r="T899" s="9"/>
      <c r="U899" s="8" t="s">
        <v>240</v>
      </c>
      <c r="V899" s="8" t="s">
        <v>482</v>
      </c>
      <c r="W899" s="8" t="s">
        <v>240</v>
      </c>
      <c r="X899" s="8" t="s">
        <v>240</v>
      </c>
      <c r="Y899" s="8" t="s">
        <v>240</v>
      </c>
      <c r="Z899" s="6" t="b">
        <v>0</v>
      </c>
      <c r="AA899" s="9"/>
      <c r="AB899" s="9"/>
    </row>
    <row r="900" spans="1:28" ht="16">
      <c r="A900" s="6">
        <v>1009</v>
      </c>
      <c r="B900" s="8" t="s">
        <v>200</v>
      </c>
      <c r="C900" s="8" t="s">
        <v>1521</v>
      </c>
      <c r="D900" s="8" t="s">
        <v>1521</v>
      </c>
      <c r="E900" s="8" t="s">
        <v>1521</v>
      </c>
      <c r="F900" s="6">
        <v>1009</v>
      </c>
      <c r="G900" s="6" t="b">
        <v>0</v>
      </c>
      <c r="H900" s="8" t="s">
        <v>240</v>
      </c>
      <c r="I900" s="6" t="b">
        <v>0</v>
      </c>
      <c r="J900" s="6" t="b">
        <v>0</v>
      </c>
      <c r="K900" s="6" t="b">
        <v>0</v>
      </c>
      <c r="L900" s="6" t="b">
        <v>1</v>
      </c>
      <c r="M900" s="6" t="b">
        <v>0</v>
      </c>
      <c r="N900" s="6">
        <v>4</v>
      </c>
      <c r="O900" s="8" t="s">
        <v>237</v>
      </c>
      <c r="P900" s="8" t="s">
        <v>238</v>
      </c>
      <c r="Q900" s="8" t="s">
        <v>381</v>
      </c>
      <c r="R900" s="6">
        <v>4</v>
      </c>
      <c r="S900" s="8" t="s">
        <v>237</v>
      </c>
      <c r="T900" s="9"/>
      <c r="U900" s="8" t="s">
        <v>240</v>
      </c>
      <c r="V900" s="8" t="s">
        <v>1228</v>
      </c>
      <c r="W900" s="8" t="s">
        <v>240</v>
      </c>
      <c r="X900" s="8" t="s">
        <v>240</v>
      </c>
      <c r="Y900" s="8" t="s">
        <v>240</v>
      </c>
      <c r="Z900" s="6" t="b">
        <v>0</v>
      </c>
      <c r="AA900" s="9"/>
      <c r="AB900" s="9"/>
    </row>
    <row r="901" spans="1:28" ht="32">
      <c r="A901" s="6">
        <v>1010</v>
      </c>
      <c r="B901" s="8" t="s">
        <v>200</v>
      </c>
      <c r="C901" s="8" t="s">
        <v>98</v>
      </c>
      <c r="D901" s="8" t="s">
        <v>1641</v>
      </c>
      <c r="E901" s="8" t="s">
        <v>1641</v>
      </c>
      <c r="F901" s="6">
        <v>1010</v>
      </c>
      <c r="G901" s="6" t="b">
        <v>0</v>
      </c>
      <c r="H901" s="8" t="s">
        <v>240</v>
      </c>
      <c r="I901" s="6" t="b">
        <v>0</v>
      </c>
      <c r="J901" s="6" t="b">
        <v>0</v>
      </c>
      <c r="K901" s="6" t="b">
        <v>0</v>
      </c>
      <c r="L901" s="6" t="b">
        <v>1</v>
      </c>
      <c r="M901" s="6" t="b">
        <v>0</v>
      </c>
      <c r="N901" s="6">
        <v>4</v>
      </c>
      <c r="O901" s="8" t="s">
        <v>331</v>
      </c>
      <c r="P901" s="8" t="s">
        <v>516</v>
      </c>
      <c r="Q901" s="8" t="s">
        <v>481</v>
      </c>
      <c r="R901" s="6">
        <v>5</v>
      </c>
      <c r="S901" s="8" t="s">
        <v>347</v>
      </c>
      <c r="T901" s="6">
        <v>5</v>
      </c>
      <c r="U901" s="8" t="s">
        <v>240</v>
      </c>
      <c r="V901" s="8" t="s">
        <v>482</v>
      </c>
      <c r="W901" s="8" t="s">
        <v>240</v>
      </c>
      <c r="X901" s="8" t="s">
        <v>240</v>
      </c>
      <c r="Y901" s="8" t="s">
        <v>1642</v>
      </c>
      <c r="Z901" s="6" t="b">
        <v>0</v>
      </c>
      <c r="AA901" s="9"/>
      <c r="AB901" s="9"/>
    </row>
    <row r="902" spans="1:28" ht="16">
      <c r="A902" s="6">
        <v>1012</v>
      </c>
      <c r="B902" s="8" t="s">
        <v>200</v>
      </c>
      <c r="C902" s="8" t="s">
        <v>98</v>
      </c>
      <c r="D902" s="8" t="s">
        <v>1643</v>
      </c>
      <c r="E902" s="8" t="s">
        <v>1641</v>
      </c>
      <c r="F902" s="6">
        <v>1010</v>
      </c>
      <c r="G902" s="6" t="b">
        <v>0</v>
      </c>
      <c r="H902" s="8" t="s">
        <v>240</v>
      </c>
      <c r="I902" s="6" t="b">
        <v>0</v>
      </c>
      <c r="J902" s="6" t="b">
        <v>0</v>
      </c>
      <c r="K902" s="6" t="b">
        <v>0</v>
      </c>
      <c r="L902" s="6" t="b">
        <v>1</v>
      </c>
      <c r="M902" s="6" t="b">
        <v>0</v>
      </c>
      <c r="N902" s="6">
        <v>4</v>
      </c>
      <c r="O902" s="8" t="s">
        <v>331</v>
      </c>
      <c r="P902" s="8" t="s">
        <v>516</v>
      </c>
      <c r="Q902" s="8" t="s">
        <v>335</v>
      </c>
      <c r="R902" s="6">
        <v>5</v>
      </c>
      <c r="S902" s="8" t="s">
        <v>347</v>
      </c>
      <c r="T902" s="6">
        <v>5</v>
      </c>
      <c r="U902" s="8" t="s">
        <v>240</v>
      </c>
      <c r="V902" s="8" t="s">
        <v>482</v>
      </c>
      <c r="W902" s="8" t="s">
        <v>240</v>
      </c>
      <c r="X902" s="8" t="s">
        <v>240</v>
      </c>
      <c r="Y902" s="8" t="s">
        <v>240</v>
      </c>
      <c r="Z902" s="6" t="b">
        <v>0</v>
      </c>
      <c r="AA902" s="9"/>
      <c r="AB902" s="9"/>
    </row>
    <row r="903" spans="1:28" ht="16">
      <c r="A903" s="6">
        <v>1013</v>
      </c>
      <c r="B903" s="8" t="s">
        <v>200</v>
      </c>
      <c r="C903" s="8" t="s">
        <v>98</v>
      </c>
      <c r="D903" s="8" t="s">
        <v>1644</v>
      </c>
      <c r="E903" s="8" t="s">
        <v>1641</v>
      </c>
      <c r="F903" s="6">
        <v>1010</v>
      </c>
      <c r="G903" s="6" t="b">
        <v>0</v>
      </c>
      <c r="H903" s="8" t="s">
        <v>240</v>
      </c>
      <c r="I903" s="6" t="b">
        <v>0</v>
      </c>
      <c r="J903" s="6" t="b">
        <v>0</v>
      </c>
      <c r="K903" s="6" t="b">
        <v>0</v>
      </c>
      <c r="L903" s="6" t="b">
        <v>1</v>
      </c>
      <c r="M903" s="6" t="b">
        <v>0</v>
      </c>
      <c r="N903" s="6">
        <v>4</v>
      </c>
      <c r="O903" s="8" t="s">
        <v>331</v>
      </c>
      <c r="P903" s="8" t="s">
        <v>516</v>
      </c>
      <c r="Q903" s="8" t="s">
        <v>339</v>
      </c>
      <c r="R903" s="6">
        <v>5</v>
      </c>
      <c r="S903" s="8" t="s">
        <v>347</v>
      </c>
      <c r="T903" s="6">
        <v>5</v>
      </c>
      <c r="U903" s="8" t="s">
        <v>240</v>
      </c>
      <c r="V903" s="8" t="s">
        <v>482</v>
      </c>
      <c r="W903" s="8" t="s">
        <v>240</v>
      </c>
      <c r="X903" s="8" t="s">
        <v>240</v>
      </c>
      <c r="Y903" s="8" t="s">
        <v>240</v>
      </c>
      <c r="Z903" s="6" t="b">
        <v>0</v>
      </c>
      <c r="AA903" s="9"/>
      <c r="AB903" s="9"/>
    </row>
    <row r="904" spans="1:28" ht="16">
      <c r="A904" s="6">
        <v>1014</v>
      </c>
      <c r="B904" s="8" t="s">
        <v>200</v>
      </c>
      <c r="C904" s="8" t="s">
        <v>98</v>
      </c>
      <c r="D904" s="8" t="s">
        <v>1645</v>
      </c>
      <c r="E904" s="8" t="s">
        <v>1641</v>
      </c>
      <c r="F904" s="6">
        <v>1010</v>
      </c>
      <c r="G904" s="6" t="b">
        <v>0</v>
      </c>
      <c r="H904" s="8" t="s">
        <v>240</v>
      </c>
      <c r="I904" s="6" t="b">
        <v>0</v>
      </c>
      <c r="J904" s="6" t="b">
        <v>0</v>
      </c>
      <c r="K904" s="6" t="b">
        <v>0</v>
      </c>
      <c r="L904" s="6" t="b">
        <v>1</v>
      </c>
      <c r="M904" s="6" t="b">
        <v>0</v>
      </c>
      <c r="N904" s="6">
        <v>4</v>
      </c>
      <c r="O904" s="8" t="s">
        <v>331</v>
      </c>
      <c r="P904" s="8" t="s">
        <v>516</v>
      </c>
      <c r="Q904" s="8" t="s">
        <v>239</v>
      </c>
      <c r="R904" s="6">
        <v>5</v>
      </c>
      <c r="S904" s="8" t="s">
        <v>347</v>
      </c>
      <c r="T904" s="9"/>
      <c r="U904" s="8" t="s">
        <v>240</v>
      </c>
      <c r="V904" s="8" t="s">
        <v>482</v>
      </c>
      <c r="W904" s="8" t="s">
        <v>240</v>
      </c>
      <c r="X904" s="8" t="s">
        <v>240</v>
      </c>
      <c r="Y904" s="8" t="s">
        <v>240</v>
      </c>
      <c r="Z904" s="6" t="b">
        <v>0</v>
      </c>
      <c r="AA904" s="9"/>
      <c r="AB904" s="9"/>
    </row>
    <row r="905" spans="1:28" ht="16">
      <c r="A905" s="6">
        <v>1015</v>
      </c>
      <c r="B905" s="8" t="s">
        <v>200</v>
      </c>
      <c r="C905" s="8" t="s">
        <v>98</v>
      </c>
      <c r="D905" s="8" t="s">
        <v>1646</v>
      </c>
      <c r="E905" s="8" t="s">
        <v>1641</v>
      </c>
      <c r="F905" s="6">
        <v>1010</v>
      </c>
      <c r="G905" s="6" t="b">
        <v>0</v>
      </c>
      <c r="H905" s="8" t="s">
        <v>240</v>
      </c>
      <c r="I905" s="6" t="b">
        <v>0</v>
      </c>
      <c r="J905" s="6" t="b">
        <v>0</v>
      </c>
      <c r="K905" s="6" t="b">
        <v>0</v>
      </c>
      <c r="L905" s="6" t="b">
        <v>1</v>
      </c>
      <c r="M905" s="6" t="b">
        <v>0</v>
      </c>
      <c r="N905" s="6">
        <v>4</v>
      </c>
      <c r="O905" s="8" t="s">
        <v>331</v>
      </c>
      <c r="P905" s="8" t="s">
        <v>516</v>
      </c>
      <c r="Q905" s="8" t="s">
        <v>239</v>
      </c>
      <c r="R905" s="6">
        <v>5</v>
      </c>
      <c r="S905" s="8" t="s">
        <v>347</v>
      </c>
      <c r="T905" s="9"/>
      <c r="U905" s="8" t="s">
        <v>240</v>
      </c>
      <c r="V905" s="8" t="s">
        <v>482</v>
      </c>
      <c r="W905" s="8" t="s">
        <v>240</v>
      </c>
      <c r="X905" s="8" t="s">
        <v>240</v>
      </c>
      <c r="Y905" s="8" t="s">
        <v>240</v>
      </c>
      <c r="Z905" s="6" t="b">
        <v>0</v>
      </c>
      <c r="AA905" s="9"/>
      <c r="AB905" s="9"/>
    </row>
    <row r="906" spans="1:28" ht="16">
      <c r="A906" s="6">
        <v>1016</v>
      </c>
      <c r="B906" s="8" t="s">
        <v>200</v>
      </c>
      <c r="C906" s="8" t="s">
        <v>98</v>
      </c>
      <c r="D906" s="8" t="s">
        <v>1647</v>
      </c>
      <c r="E906" s="8" t="s">
        <v>1641</v>
      </c>
      <c r="F906" s="6">
        <v>1010</v>
      </c>
      <c r="G906" s="6" t="b">
        <v>0</v>
      </c>
      <c r="H906" s="8" t="s">
        <v>240</v>
      </c>
      <c r="I906" s="6" t="b">
        <v>0</v>
      </c>
      <c r="J906" s="6" t="b">
        <v>0</v>
      </c>
      <c r="K906" s="6" t="b">
        <v>0</v>
      </c>
      <c r="L906" s="6" t="b">
        <v>1</v>
      </c>
      <c r="M906" s="6" t="b">
        <v>0</v>
      </c>
      <c r="N906" s="6">
        <v>4</v>
      </c>
      <c r="O906" s="8" t="s">
        <v>331</v>
      </c>
      <c r="P906" s="8" t="s">
        <v>516</v>
      </c>
      <c r="Q906" s="8" t="s">
        <v>239</v>
      </c>
      <c r="R906" s="6">
        <v>5</v>
      </c>
      <c r="S906" s="8" t="s">
        <v>347</v>
      </c>
      <c r="T906" s="9"/>
      <c r="U906" s="8" t="s">
        <v>240</v>
      </c>
      <c r="V906" s="8" t="s">
        <v>482</v>
      </c>
      <c r="W906" s="8" t="s">
        <v>240</v>
      </c>
      <c r="X906" s="8" t="s">
        <v>240</v>
      </c>
      <c r="Y906" s="8" t="s">
        <v>240</v>
      </c>
      <c r="Z906" s="6" t="b">
        <v>0</v>
      </c>
      <c r="AA906" s="9"/>
      <c r="AB906" s="9"/>
    </row>
    <row r="907" spans="1:28" ht="16">
      <c r="A907" s="6">
        <v>1017</v>
      </c>
      <c r="B907" s="8" t="s">
        <v>200</v>
      </c>
      <c r="C907" s="8" t="s">
        <v>98</v>
      </c>
      <c r="D907" s="8" t="s">
        <v>1648</v>
      </c>
      <c r="E907" s="8" t="s">
        <v>1641</v>
      </c>
      <c r="F907" s="6">
        <v>1010</v>
      </c>
      <c r="G907" s="6" t="b">
        <v>0</v>
      </c>
      <c r="H907" s="8" t="s">
        <v>240</v>
      </c>
      <c r="I907" s="6" t="b">
        <v>0</v>
      </c>
      <c r="J907" s="6" t="b">
        <v>0</v>
      </c>
      <c r="K907" s="6" t="b">
        <v>0</v>
      </c>
      <c r="L907" s="6" t="b">
        <v>1</v>
      </c>
      <c r="M907" s="6" t="b">
        <v>0</v>
      </c>
      <c r="N907" s="6">
        <v>4</v>
      </c>
      <c r="O907" s="8" t="s">
        <v>331</v>
      </c>
      <c r="P907" s="8" t="s">
        <v>516</v>
      </c>
      <c r="Q907" s="8" t="s">
        <v>239</v>
      </c>
      <c r="R907" s="6">
        <v>5</v>
      </c>
      <c r="S907" s="8" t="s">
        <v>347</v>
      </c>
      <c r="T907" s="9"/>
      <c r="U907" s="8" t="s">
        <v>240</v>
      </c>
      <c r="V907" s="8" t="s">
        <v>482</v>
      </c>
      <c r="W907" s="8" t="s">
        <v>240</v>
      </c>
      <c r="X907" s="8" t="s">
        <v>240</v>
      </c>
      <c r="Y907" s="8" t="s">
        <v>240</v>
      </c>
      <c r="Z907" s="6" t="b">
        <v>0</v>
      </c>
      <c r="AA907" s="9"/>
      <c r="AB907" s="9"/>
    </row>
    <row r="908" spans="1:28" ht="16">
      <c r="A908" s="6">
        <v>1018</v>
      </c>
      <c r="B908" s="8" t="s">
        <v>200</v>
      </c>
      <c r="C908" s="8" t="s">
        <v>98</v>
      </c>
      <c r="D908" s="8" t="s">
        <v>1649</v>
      </c>
      <c r="E908" s="8" t="s">
        <v>1641</v>
      </c>
      <c r="F908" s="6">
        <v>1010</v>
      </c>
      <c r="G908" s="6" t="b">
        <v>0</v>
      </c>
      <c r="H908" s="8" t="s">
        <v>240</v>
      </c>
      <c r="I908" s="6" t="b">
        <v>0</v>
      </c>
      <c r="J908" s="6" t="b">
        <v>0</v>
      </c>
      <c r="K908" s="6" t="b">
        <v>0</v>
      </c>
      <c r="L908" s="6" t="b">
        <v>1</v>
      </c>
      <c r="M908" s="6" t="b">
        <v>0</v>
      </c>
      <c r="N908" s="6">
        <v>4</v>
      </c>
      <c r="O908" s="8" t="s">
        <v>331</v>
      </c>
      <c r="P908" s="8" t="s">
        <v>516</v>
      </c>
      <c r="Q908" s="8" t="s">
        <v>239</v>
      </c>
      <c r="R908" s="6">
        <v>5</v>
      </c>
      <c r="S908" s="8" t="s">
        <v>347</v>
      </c>
      <c r="T908" s="6">
        <v>5</v>
      </c>
      <c r="U908" s="8" t="s">
        <v>240</v>
      </c>
      <c r="V908" s="8" t="s">
        <v>482</v>
      </c>
      <c r="W908" s="8" t="s">
        <v>240</v>
      </c>
      <c r="X908" s="8" t="s">
        <v>240</v>
      </c>
      <c r="Y908" s="8" t="s">
        <v>240</v>
      </c>
      <c r="Z908" s="6" t="b">
        <v>0</v>
      </c>
      <c r="AA908" s="9"/>
      <c r="AB908" s="9"/>
    </row>
    <row r="909" spans="1:28" ht="16">
      <c r="A909" s="6">
        <v>1019</v>
      </c>
      <c r="B909" s="8" t="s">
        <v>200</v>
      </c>
      <c r="C909" s="8" t="s">
        <v>98</v>
      </c>
      <c r="D909" s="8" t="s">
        <v>1650</v>
      </c>
      <c r="E909" s="8" t="s">
        <v>1641</v>
      </c>
      <c r="F909" s="6">
        <v>1010</v>
      </c>
      <c r="G909" s="6" t="b">
        <v>0</v>
      </c>
      <c r="H909" s="8" t="s">
        <v>240</v>
      </c>
      <c r="I909" s="6" t="b">
        <v>0</v>
      </c>
      <c r="J909" s="6" t="b">
        <v>0</v>
      </c>
      <c r="K909" s="6" t="b">
        <v>0</v>
      </c>
      <c r="L909" s="6" t="b">
        <v>1</v>
      </c>
      <c r="M909" s="6" t="b">
        <v>0</v>
      </c>
      <c r="N909" s="6">
        <v>4</v>
      </c>
      <c r="O909" s="8" t="s">
        <v>331</v>
      </c>
      <c r="P909" s="8" t="s">
        <v>516</v>
      </c>
      <c r="Q909" s="8" t="s">
        <v>239</v>
      </c>
      <c r="R909" s="6">
        <v>5</v>
      </c>
      <c r="S909" s="8" t="s">
        <v>347</v>
      </c>
      <c r="T909" s="9"/>
      <c r="U909" s="8" t="s">
        <v>240</v>
      </c>
      <c r="V909" s="8" t="s">
        <v>482</v>
      </c>
      <c r="W909" s="8" t="s">
        <v>240</v>
      </c>
      <c r="X909" s="8" t="s">
        <v>240</v>
      </c>
      <c r="Y909" s="8" t="s">
        <v>240</v>
      </c>
      <c r="Z909" s="6" t="b">
        <v>0</v>
      </c>
      <c r="AA909" s="9"/>
      <c r="AB909" s="9"/>
    </row>
    <row r="910" spans="1:28" ht="32">
      <c r="A910" s="6">
        <v>1020</v>
      </c>
      <c r="B910" s="8" t="s">
        <v>200</v>
      </c>
      <c r="C910" s="8" t="s">
        <v>98</v>
      </c>
      <c r="D910" s="8" t="s">
        <v>1651</v>
      </c>
      <c r="E910" s="8" t="s">
        <v>1641</v>
      </c>
      <c r="F910" s="6">
        <v>1010</v>
      </c>
      <c r="G910" s="6" t="b">
        <v>0</v>
      </c>
      <c r="H910" s="8" t="s">
        <v>240</v>
      </c>
      <c r="I910" s="6" t="b">
        <v>0</v>
      </c>
      <c r="J910" s="6" t="b">
        <v>0</v>
      </c>
      <c r="K910" s="6" t="b">
        <v>0</v>
      </c>
      <c r="L910" s="6" t="b">
        <v>1</v>
      </c>
      <c r="M910" s="6" t="b">
        <v>0</v>
      </c>
      <c r="N910" s="6">
        <v>4</v>
      </c>
      <c r="O910" s="8" t="s">
        <v>331</v>
      </c>
      <c r="P910" s="8" t="s">
        <v>516</v>
      </c>
      <c r="Q910" s="8" t="s">
        <v>239</v>
      </c>
      <c r="R910" s="6">
        <v>5</v>
      </c>
      <c r="S910" s="8" t="s">
        <v>347</v>
      </c>
      <c r="T910" s="6">
        <v>5</v>
      </c>
      <c r="U910" s="8" t="s">
        <v>240</v>
      </c>
      <c r="V910" s="8" t="s">
        <v>482</v>
      </c>
      <c r="W910" s="8" t="s">
        <v>240</v>
      </c>
      <c r="X910" s="8" t="s">
        <v>240</v>
      </c>
      <c r="Y910" s="8" t="s">
        <v>240</v>
      </c>
      <c r="Z910" s="6" t="b">
        <v>0</v>
      </c>
      <c r="AA910" s="9"/>
      <c r="AB910" s="9"/>
    </row>
    <row r="911" spans="1:28" ht="32">
      <c r="A911" s="6">
        <v>1021</v>
      </c>
      <c r="B911" s="8" t="s">
        <v>200</v>
      </c>
      <c r="C911" s="8" t="s">
        <v>98</v>
      </c>
      <c r="D911" s="8" t="s">
        <v>1652</v>
      </c>
      <c r="E911" s="8" t="s">
        <v>1641</v>
      </c>
      <c r="F911" s="6">
        <v>1010</v>
      </c>
      <c r="G911" s="6" t="b">
        <v>0</v>
      </c>
      <c r="H911" s="8" t="s">
        <v>240</v>
      </c>
      <c r="I911" s="6" t="b">
        <v>0</v>
      </c>
      <c r="J911" s="6" t="b">
        <v>0</v>
      </c>
      <c r="K911" s="6" t="b">
        <v>0</v>
      </c>
      <c r="L911" s="6" t="b">
        <v>1</v>
      </c>
      <c r="M911" s="6" t="b">
        <v>0</v>
      </c>
      <c r="N911" s="6">
        <v>4</v>
      </c>
      <c r="O911" s="8" t="s">
        <v>331</v>
      </c>
      <c r="P911" s="8" t="s">
        <v>516</v>
      </c>
      <c r="Q911" s="8" t="s">
        <v>239</v>
      </c>
      <c r="R911" s="6">
        <v>6</v>
      </c>
      <c r="S911" s="8" t="s">
        <v>341</v>
      </c>
      <c r="T911" s="9"/>
      <c r="U911" s="8" t="s">
        <v>240</v>
      </c>
      <c r="V911" s="8" t="s">
        <v>482</v>
      </c>
      <c r="W911" s="8" t="s">
        <v>240</v>
      </c>
      <c r="X911" s="8" t="s">
        <v>240</v>
      </c>
      <c r="Y911" s="8" t="s">
        <v>240</v>
      </c>
      <c r="Z911" s="6" t="b">
        <v>0</v>
      </c>
      <c r="AA911" s="9"/>
      <c r="AB911" s="9"/>
    </row>
    <row r="912" spans="1:28" ht="32">
      <c r="A912" s="6">
        <v>1022</v>
      </c>
      <c r="B912" s="8" t="s">
        <v>200</v>
      </c>
      <c r="C912" s="8" t="s">
        <v>1531</v>
      </c>
      <c r="D912" s="8" t="s">
        <v>1653</v>
      </c>
      <c r="E912" s="8" t="s">
        <v>1653</v>
      </c>
      <c r="F912" s="6">
        <v>1022</v>
      </c>
      <c r="G912" s="6" t="b">
        <v>0</v>
      </c>
      <c r="H912" s="8" t="s">
        <v>240</v>
      </c>
      <c r="I912" s="6" t="b">
        <v>0</v>
      </c>
      <c r="J912" s="6" t="b">
        <v>0</v>
      </c>
      <c r="K912" s="6" t="b">
        <v>0</v>
      </c>
      <c r="L912" s="6" t="b">
        <v>1</v>
      </c>
      <c r="M912" s="6" t="b">
        <v>0</v>
      </c>
      <c r="N912" s="6">
        <v>7</v>
      </c>
      <c r="O912" s="8" t="s">
        <v>237</v>
      </c>
      <c r="P912" s="8" t="s">
        <v>380</v>
      </c>
      <c r="Q912" s="8" t="s">
        <v>446</v>
      </c>
      <c r="R912" s="6">
        <v>7</v>
      </c>
      <c r="S912" s="8" t="s">
        <v>75</v>
      </c>
      <c r="T912" s="9"/>
      <c r="U912" s="8" t="s">
        <v>240</v>
      </c>
      <c r="V912" s="8" t="s">
        <v>1654</v>
      </c>
      <c r="W912" s="8" t="s">
        <v>240</v>
      </c>
      <c r="X912" s="8" t="s">
        <v>240</v>
      </c>
      <c r="Y912" s="8" t="s">
        <v>240</v>
      </c>
      <c r="Z912" s="6" t="b">
        <v>0</v>
      </c>
      <c r="AA912" s="9"/>
      <c r="AB912" s="9"/>
    </row>
    <row r="913" spans="1:28" ht="32">
      <c r="A913" s="6">
        <v>1023</v>
      </c>
      <c r="B913" s="8" t="s">
        <v>200</v>
      </c>
      <c r="C913" s="8" t="s">
        <v>1531</v>
      </c>
      <c r="D913" s="8" t="s">
        <v>1655</v>
      </c>
      <c r="E913" s="8" t="s">
        <v>1653</v>
      </c>
      <c r="F913" s="6">
        <v>1022</v>
      </c>
      <c r="G913" s="6" t="b">
        <v>0</v>
      </c>
      <c r="H913" s="8" t="s">
        <v>240</v>
      </c>
      <c r="I913" s="6" t="b">
        <v>0</v>
      </c>
      <c r="J913" s="6" t="b">
        <v>0</v>
      </c>
      <c r="K913" s="6" t="b">
        <v>0</v>
      </c>
      <c r="L913" s="6" t="b">
        <v>1</v>
      </c>
      <c r="M913" s="6" t="b">
        <v>0</v>
      </c>
      <c r="N913" s="6">
        <v>7</v>
      </c>
      <c r="O913" s="8" t="s">
        <v>237</v>
      </c>
      <c r="P913" s="8" t="s">
        <v>380</v>
      </c>
      <c r="Q913" s="8" t="s">
        <v>446</v>
      </c>
      <c r="R913" s="6">
        <v>7</v>
      </c>
      <c r="S913" s="8" t="s">
        <v>75</v>
      </c>
      <c r="T913" s="9"/>
      <c r="U913" s="8" t="s">
        <v>240</v>
      </c>
      <c r="V913" s="8" t="s">
        <v>1654</v>
      </c>
      <c r="W913" s="8" t="s">
        <v>240</v>
      </c>
      <c r="X913" s="8" t="s">
        <v>240</v>
      </c>
      <c r="Y913" s="8" t="s">
        <v>240</v>
      </c>
      <c r="Z913" s="6" t="b">
        <v>0</v>
      </c>
      <c r="AA913" s="9"/>
      <c r="AB913" s="9"/>
    </row>
    <row r="914" spans="1:28" ht="16">
      <c r="A914" s="6">
        <v>1024</v>
      </c>
      <c r="B914" s="8" t="s">
        <v>200</v>
      </c>
      <c r="C914" s="8" t="s">
        <v>1521</v>
      </c>
      <c r="D914" s="8" t="s">
        <v>1656</v>
      </c>
      <c r="E914" s="8" t="s">
        <v>1656</v>
      </c>
      <c r="F914" s="6">
        <v>1024</v>
      </c>
      <c r="G914" s="6" t="b">
        <v>0</v>
      </c>
      <c r="H914" s="8" t="s">
        <v>240</v>
      </c>
      <c r="I914" s="6" t="b">
        <v>0</v>
      </c>
      <c r="J914" s="6" t="b">
        <v>0</v>
      </c>
      <c r="K914" s="6" t="b">
        <v>0</v>
      </c>
      <c r="L914" s="6" t="b">
        <v>1</v>
      </c>
      <c r="M914" s="6" t="b">
        <v>0</v>
      </c>
      <c r="N914" s="6">
        <v>4</v>
      </c>
      <c r="O914" s="8" t="s">
        <v>237</v>
      </c>
      <c r="P914" s="8" t="s">
        <v>240</v>
      </c>
      <c r="Q914" s="8" t="s">
        <v>240</v>
      </c>
      <c r="R914" s="6">
        <v>4</v>
      </c>
      <c r="S914" s="8" t="s">
        <v>75</v>
      </c>
      <c r="T914" s="9"/>
      <c r="U914" s="8" t="s">
        <v>240</v>
      </c>
      <c r="V914" s="8" t="s">
        <v>447</v>
      </c>
      <c r="W914" s="8" t="s">
        <v>240</v>
      </c>
      <c r="X914" s="8" t="s">
        <v>240</v>
      </c>
      <c r="Y914" s="8" t="s">
        <v>240</v>
      </c>
      <c r="Z914" s="6" t="b">
        <v>0</v>
      </c>
      <c r="AA914" s="9"/>
      <c r="AB914" s="9"/>
    </row>
    <row r="915" spans="1:28" ht="16">
      <c r="A915" s="6">
        <v>1025</v>
      </c>
      <c r="B915" s="8" t="s">
        <v>200</v>
      </c>
      <c r="C915" s="8" t="s">
        <v>1503</v>
      </c>
      <c r="D915" s="8" t="s">
        <v>1657</v>
      </c>
      <c r="E915" s="8" t="s">
        <v>1657</v>
      </c>
      <c r="F915" s="6">
        <v>1025</v>
      </c>
      <c r="G915" s="6" t="b">
        <v>0</v>
      </c>
      <c r="H915" s="8" t="s">
        <v>240</v>
      </c>
      <c r="I915" s="6" t="b">
        <v>0</v>
      </c>
      <c r="J915" s="6" t="b">
        <v>0</v>
      </c>
      <c r="K915" s="6" t="b">
        <v>0</v>
      </c>
      <c r="L915" s="6" t="b">
        <v>1</v>
      </c>
      <c r="M915" s="6" t="b">
        <v>0</v>
      </c>
      <c r="N915" s="6">
        <v>5</v>
      </c>
      <c r="O915" s="8" t="s">
        <v>335</v>
      </c>
      <c r="P915" s="8" t="s">
        <v>1176</v>
      </c>
      <c r="Q915" s="8" t="s">
        <v>446</v>
      </c>
      <c r="R915" s="6">
        <v>5</v>
      </c>
      <c r="S915" s="8" t="s">
        <v>75</v>
      </c>
      <c r="T915" s="9"/>
      <c r="U915" s="8" t="s">
        <v>240</v>
      </c>
      <c r="V915" s="8" t="s">
        <v>1518</v>
      </c>
      <c r="W915" s="8" t="s">
        <v>240</v>
      </c>
      <c r="X915" s="8" t="s">
        <v>240</v>
      </c>
      <c r="Y915" s="8" t="s">
        <v>240</v>
      </c>
      <c r="Z915" s="6" t="b">
        <v>0</v>
      </c>
      <c r="AA915" s="9"/>
      <c r="AB915" s="9"/>
    </row>
    <row r="916" spans="1:28" ht="16">
      <c r="A916" s="6">
        <v>1026</v>
      </c>
      <c r="B916" s="8" t="s">
        <v>200</v>
      </c>
      <c r="C916" s="8" t="s">
        <v>99</v>
      </c>
      <c r="D916" s="8" t="s">
        <v>1658</v>
      </c>
      <c r="E916" s="8" t="s">
        <v>1658</v>
      </c>
      <c r="F916" s="6">
        <v>1026</v>
      </c>
      <c r="G916" s="6" t="b">
        <v>0</v>
      </c>
      <c r="H916" s="8" t="s">
        <v>240</v>
      </c>
      <c r="I916" s="6" t="b">
        <v>0</v>
      </c>
      <c r="J916" s="6" t="b">
        <v>0</v>
      </c>
      <c r="K916" s="6" t="b">
        <v>0</v>
      </c>
      <c r="L916" s="6" t="b">
        <v>1</v>
      </c>
      <c r="M916" s="6" t="b">
        <v>0</v>
      </c>
      <c r="N916" s="6">
        <v>5</v>
      </c>
      <c r="O916" s="8" t="s">
        <v>237</v>
      </c>
      <c r="P916" s="8" t="s">
        <v>238</v>
      </c>
      <c r="Q916" s="8" t="s">
        <v>927</v>
      </c>
      <c r="R916" s="6">
        <v>10</v>
      </c>
      <c r="S916" s="8" t="s">
        <v>372</v>
      </c>
      <c r="T916" s="9"/>
      <c r="U916" s="8" t="s">
        <v>240</v>
      </c>
      <c r="V916" s="8" t="s">
        <v>1012</v>
      </c>
      <c r="W916" s="8" t="s">
        <v>240</v>
      </c>
      <c r="X916" s="8" t="s">
        <v>240</v>
      </c>
      <c r="Y916" s="8" t="s">
        <v>240</v>
      </c>
      <c r="Z916" s="6" t="b">
        <v>0</v>
      </c>
      <c r="AA916" s="9"/>
      <c r="AB916" s="9"/>
    </row>
    <row r="917" spans="1:28" ht="16">
      <c r="A917" s="6">
        <v>1028</v>
      </c>
      <c r="B917" s="8" t="s">
        <v>200</v>
      </c>
      <c r="C917" s="8" t="s">
        <v>1503</v>
      </c>
      <c r="D917" s="8" t="s">
        <v>1659</v>
      </c>
      <c r="E917" s="8" t="s">
        <v>1659</v>
      </c>
      <c r="F917" s="6">
        <v>1028</v>
      </c>
      <c r="G917" s="6" t="b">
        <v>0</v>
      </c>
      <c r="H917" s="8" t="s">
        <v>240</v>
      </c>
      <c r="I917" s="6" t="b">
        <v>0</v>
      </c>
      <c r="J917" s="6" t="b">
        <v>0</v>
      </c>
      <c r="K917" s="6" t="b">
        <v>0</v>
      </c>
      <c r="L917" s="6" t="b">
        <v>1</v>
      </c>
      <c r="M917" s="6" t="b">
        <v>0</v>
      </c>
      <c r="N917" s="6">
        <v>5</v>
      </c>
      <c r="O917" s="8" t="s">
        <v>335</v>
      </c>
      <c r="P917" s="8" t="s">
        <v>238</v>
      </c>
      <c r="Q917" s="8" t="s">
        <v>927</v>
      </c>
      <c r="R917" s="6">
        <v>5</v>
      </c>
      <c r="S917" s="8" t="s">
        <v>75</v>
      </c>
      <c r="T917" s="9"/>
      <c r="U917" s="8" t="s">
        <v>240</v>
      </c>
      <c r="V917" s="8" t="s">
        <v>866</v>
      </c>
      <c r="W917" s="8" t="s">
        <v>240</v>
      </c>
      <c r="X917" s="8" t="s">
        <v>240</v>
      </c>
      <c r="Y917" s="8" t="s">
        <v>240</v>
      </c>
      <c r="Z917" s="6" t="b">
        <v>0</v>
      </c>
      <c r="AA917" s="9"/>
      <c r="AB917" s="9"/>
    </row>
    <row r="918" spans="1:28" ht="32">
      <c r="A918" s="6">
        <v>1029</v>
      </c>
      <c r="B918" s="8" t="s">
        <v>194</v>
      </c>
      <c r="C918" s="8" t="s">
        <v>90</v>
      </c>
      <c r="D918" s="8" t="s">
        <v>1660</v>
      </c>
      <c r="E918" s="8" t="s">
        <v>1660</v>
      </c>
      <c r="F918" s="6">
        <v>1029</v>
      </c>
      <c r="G918" s="6" t="b">
        <v>0</v>
      </c>
      <c r="H918" s="8" t="s">
        <v>240</v>
      </c>
      <c r="I918" s="6" t="b">
        <v>0</v>
      </c>
      <c r="J918" s="6" t="b">
        <v>0</v>
      </c>
      <c r="K918" s="6" t="b">
        <v>1</v>
      </c>
      <c r="L918" s="6" t="b">
        <v>1</v>
      </c>
      <c r="M918" s="6" t="b">
        <v>0</v>
      </c>
      <c r="N918" s="6">
        <v>6</v>
      </c>
      <c r="O918" s="8" t="s">
        <v>331</v>
      </c>
      <c r="P918" s="8" t="s">
        <v>338</v>
      </c>
      <c r="Q918" s="8" t="s">
        <v>1661</v>
      </c>
      <c r="R918" s="6">
        <v>8</v>
      </c>
      <c r="S918" s="8" t="s">
        <v>347</v>
      </c>
      <c r="T918" s="6">
        <v>8</v>
      </c>
      <c r="U918" s="8" t="s">
        <v>240</v>
      </c>
      <c r="V918" s="8" t="s">
        <v>450</v>
      </c>
      <c r="W918" s="8" t="s">
        <v>240</v>
      </c>
      <c r="X918" s="8" t="s">
        <v>240</v>
      </c>
      <c r="Y918" s="8" t="s">
        <v>1662</v>
      </c>
      <c r="Z918" s="6" t="b">
        <v>0</v>
      </c>
      <c r="AA918" s="9"/>
      <c r="AB918" s="9"/>
    </row>
    <row r="919" spans="1:28" ht="32">
      <c r="A919" s="6">
        <v>1030</v>
      </c>
      <c r="B919" s="8" t="s">
        <v>194</v>
      </c>
      <c r="C919" s="8" t="s">
        <v>90</v>
      </c>
      <c r="D919" s="8" t="s">
        <v>1663</v>
      </c>
      <c r="E919" s="8" t="s">
        <v>1660</v>
      </c>
      <c r="F919" s="6">
        <v>1029</v>
      </c>
      <c r="G919" s="6" t="b">
        <v>0</v>
      </c>
      <c r="H919" s="8" t="s">
        <v>240</v>
      </c>
      <c r="I919" s="6" t="b">
        <v>0</v>
      </c>
      <c r="J919" s="6" t="b">
        <v>0</v>
      </c>
      <c r="K919" s="6" t="b">
        <v>1</v>
      </c>
      <c r="L919" s="6" t="b">
        <v>1</v>
      </c>
      <c r="M919" s="6" t="b">
        <v>0</v>
      </c>
      <c r="N919" s="6">
        <v>6</v>
      </c>
      <c r="O919" s="8" t="s">
        <v>331</v>
      </c>
      <c r="P919" s="8" t="s">
        <v>238</v>
      </c>
      <c r="Q919" s="8" t="s">
        <v>335</v>
      </c>
      <c r="R919" s="6">
        <v>8</v>
      </c>
      <c r="S919" s="8" t="s">
        <v>335</v>
      </c>
      <c r="T919" s="6">
        <v>8</v>
      </c>
      <c r="U919" s="8" t="s">
        <v>240</v>
      </c>
      <c r="V919" s="8" t="s">
        <v>450</v>
      </c>
      <c r="W919" s="8" t="s">
        <v>240</v>
      </c>
      <c r="X919" s="8" t="s">
        <v>240</v>
      </c>
      <c r="Y919" s="8" t="s">
        <v>240</v>
      </c>
      <c r="Z919" s="6" t="b">
        <v>0</v>
      </c>
      <c r="AA919" s="9"/>
      <c r="AB919" s="9"/>
    </row>
    <row r="920" spans="1:28" ht="32">
      <c r="A920" s="6">
        <v>1031</v>
      </c>
      <c r="B920" s="8" t="s">
        <v>194</v>
      </c>
      <c r="C920" s="8" t="s">
        <v>90</v>
      </c>
      <c r="D920" s="8" t="s">
        <v>1664</v>
      </c>
      <c r="E920" s="8" t="s">
        <v>1660</v>
      </c>
      <c r="F920" s="6">
        <v>1029</v>
      </c>
      <c r="G920" s="6" t="b">
        <v>0</v>
      </c>
      <c r="H920" s="8" t="s">
        <v>240</v>
      </c>
      <c r="I920" s="6" t="b">
        <v>0</v>
      </c>
      <c r="J920" s="6" t="b">
        <v>0</v>
      </c>
      <c r="K920" s="6" t="b">
        <v>1</v>
      </c>
      <c r="L920" s="6" t="b">
        <v>1</v>
      </c>
      <c r="M920" s="6" t="b">
        <v>0</v>
      </c>
      <c r="N920" s="6">
        <v>6</v>
      </c>
      <c r="O920" s="8" t="s">
        <v>331</v>
      </c>
      <c r="P920" s="8" t="s">
        <v>338</v>
      </c>
      <c r="Q920" s="8" t="s">
        <v>1661</v>
      </c>
      <c r="R920" s="6">
        <v>8</v>
      </c>
      <c r="S920" s="8" t="s">
        <v>347</v>
      </c>
      <c r="T920" s="9"/>
      <c r="U920" s="8" t="s">
        <v>240</v>
      </c>
      <c r="V920" s="8" t="s">
        <v>450</v>
      </c>
      <c r="W920" s="8" t="s">
        <v>240</v>
      </c>
      <c r="X920" s="8" t="s">
        <v>240</v>
      </c>
      <c r="Y920" s="8" t="s">
        <v>240</v>
      </c>
      <c r="Z920" s="6" t="b">
        <v>0</v>
      </c>
      <c r="AA920" s="9"/>
      <c r="AB920" s="9"/>
    </row>
    <row r="921" spans="1:28" ht="32">
      <c r="A921" s="6">
        <v>1032</v>
      </c>
      <c r="B921" s="8" t="s">
        <v>194</v>
      </c>
      <c r="C921" s="8" t="s">
        <v>90</v>
      </c>
      <c r="D921" s="8" t="s">
        <v>1665</v>
      </c>
      <c r="E921" s="8" t="s">
        <v>1660</v>
      </c>
      <c r="F921" s="6">
        <v>1029</v>
      </c>
      <c r="G921" s="6" t="b">
        <v>0</v>
      </c>
      <c r="H921" s="8" t="s">
        <v>240</v>
      </c>
      <c r="I921" s="6" t="b">
        <v>0</v>
      </c>
      <c r="J921" s="6" t="b">
        <v>0</v>
      </c>
      <c r="K921" s="6" t="b">
        <v>1</v>
      </c>
      <c r="L921" s="6" t="b">
        <v>1</v>
      </c>
      <c r="M921" s="6" t="b">
        <v>0</v>
      </c>
      <c r="N921" s="6">
        <v>6</v>
      </c>
      <c r="O921" s="8" t="s">
        <v>331</v>
      </c>
      <c r="P921" s="8" t="s">
        <v>338</v>
      </c>
      <c r="Q921" s="8" t="s">
        <v>1661</v>
      </c>
      <c r="R921" s="6">
        <v>8</v>
      </c>
      <c r="S921" s="8" t="s">
        <v>347</v>
      </c>
      <c r="T921" s="6">
        <v>8</v>
      </c>
      <c r="U921" s="8" t="s">
        <v>1666</v>
      </c>
      <c r="V921" s="8" t="s">
        <v>450</v>
      </c>
      <c r="W921" s="8" t="s">
        <v>240</v>
      </c>
      <c r="X921" s="8" t="s">
        <v>240</v>
      </c>
      <c r="Y921" s="8" t="s">
        <v>240</v>
      </c>
      <c r="Z921" s="6" t="b">
        <v>0</v>
      </c>
      <c r="AA921" s="9"/>
      <c r="AB921" s="9"/>
    </row>
    <row r="922" spans="1:28" ht="32">
      <c r="A922" s="6">
        <v>1033</v>
      </c>
      <c r="B922" s="8" t="s">
        <v>194</v>
      </c>
      <c r="C922" s="8" t="s">
        <v>90</v>
      </c>
      <c r="D922" s="8" t="s">
        <v>1667</v>
      </c>
      <c r="E922" s="8" t="s">
        <v>1660</v>
      </c>
      <c r="F922" s="6">
        <v>1029</v>
      </c>
      <c r="G922" s="6" t="b">
        <v>0</v>
      </c>
      <c r="H922" s="8" t="s">
        <v>240</v>
      </c>
      <c r="I922" s="6" t="b">
        <v>0</v>
      </c>
      <c r="J922" s="6" t="b">
        <v>0</v>
      </c>
      <c r="K922" s="6" t="b">
        <v>1</v>
      </c>
      <c r="L922" s="6" t="b">
        <v>1</v>
      </c>
      <c r="M922" s="6" t="b">
        <v>0</v>
      </c>
      <c r="N922" s="6">
        <v>6</v>
      </c>
      <c r="O922" s="8" t="s">
        <v>331</v>
      </c>
      <c r="P922" s="8" t="s">
        <v>338</v>
      </c>
      <c r="Q922" s="8" t="s">
        <v>1661</v>
      </c>
      <c r="R922" s="6">
        <v>7.1</v>
      </c>
      <c r="S922" s="8" t="s">
        <v>247</v>
      </c>
      <c r="T922" s="6">
        <v>8</v>
      </c>
      <c r="U922" s="8" t="s">
        <v>240</v>
      </c>
      <c r="V922" s="8" t="s">
        <v>450</v>
      </c>
      <c r="W922" s="8" t="s">
        <v>240</v>
      </c>
      <c r="X922" s="8" t="s">
        <v>240</v>
      </c>
      <c r="Y922" s="8" t="s">
        <v>240</v>
      </c>
      <c r="Z922" s="6" t="b">
        <v>0</v>
      </c>
      <c r="AA922" s="9"/>
      <c r="AB922" s="9"/>
    </row>
    <row r="923" spans="1:28" ht="32">
      <c r="A923" s="6">
        <v>1034</v>
      </c>
      <c r="B923" s="8" t="s">
        <v>194</v>
      </c>
      <c r="C923" s="8" t="s">
        <v>90</v>
      </c>
      <c r="D923" s="8" t="s">
        <v>1668</v>
      </c>
      <c r="E923" s="8" t="s">
        <v>1660</v>
      </c>
      <c r="F923" s="6">
        <v>1029</v>
      </c>
      <c r="G923" s="6" t="b">
        <v>0</v>
      </c>
      <c r="H923" s="8" t="s">
        <v>240</v>
      </c>
      <c r="I923" s="6" t="b">
        <v>0</v>
      </c>
      <c r="J923" s="6" t="b">
        <v>0</v>
      </c>
      <c r="K923" s="6" t="b">
        <v>1</v>
      </c>
      <c r="L923" s="6" t="b">
        <v>1</v>
      </c>
      <c r="M923" s="6" t="b">
        <v>0</v>
      </c>
      <c r="N923" s="6">
        <v>6</v>
      </c>
      <c r="O923" s="8" t="s">
        <v>331</v>
      </c>
      <c r="P923" s="8" t="s">
        <v>238</v>
      </c>
      <c r="Q923" s="8" t="s">
        <v>339</v>
      </c>
      <c r="R923" s="6">
        <v>8</v>
      </c>
      <c r="S923" s="8" t="s">
        <v>347</v>
      </c>
      <c r="T923" s="6">
        <v>8</v>
      </c>
      <c r="U923" s="8" t="s">
        <v>240</v>
      </c>
      <c r="V923" s="8" t="s">
        <v>450</v>
      </c>
      <c r="W923" s="8" t="s">
        <v>240</v>
      </c>
      <c r="X923" s="8" t="s">
        <v>240</v>
      </c>
      <c r="Y923" s="8" t="s">
        <v>240</v>
      </c>
      <c r="Z923" s="6" t="b">
        <v>0</v>
      </c>
      <c r="AA923" s="9"/>
      <c r="AB923" s="9"/>
    </row>
    <row r="924" spans="1:28" ht="32">
      <c r="A924" s="6">
        <v>1035</v>
      </c>
      <c r="B924" s="8" t="s">
        <v>194</v>
      </c>
      <c r="C924" s="8" t="s">
        <v>90</v>
      </c>
      <c r="D924" s="8" t="s">
        <v>1669</v>
      </c>
      <c r="E924" s="8" t="s">
        <v>1660</v>
      </c>
      <c r="F924" s="6">
        <v>1029</v>
      </c>
      <c r="G924" s="6" t="b">
        <v>0</v>
      </c>
      <c r="H924" s="8" t="s">
        <v>240</v>
      </c>
      <c r="I924" s="6" t="b">
        <v>0</v>
      </c>
      <c r="J924" s="6" t="b">
        <v>0</v>
      </c>
      <c r="K924" s="6" t="b">
        <v>1</v>
      </c>
      <c r="L924" s="6" t="b">
        <v>1</v>
      </c>
      <c r="M924" s="6" t="b">
        <v>0</v>
      </c>
      <c r="N924" s="6">
        <v>6</v>
      </c>
      <c r="O924" s="8" t="s">
        <v>331</v>
      </c>
      <c r="P924" s="8" t="s">
        <v>338</v>
      </c>
      <c r="Q924" s="8" t="s">
        <v>1661</v>
      </c>
      <c r="R924" s="6">
        <v>8</v>
      </c>
      <c r="S924" s="8" t="s">
        <v>347</v>
      </c>
      <c r="T924" s="6">
        <v>8</v>
      </c>
      <c r="U924" s="8" t="s">
        <v>1666</v>
      </c>
      <c r="V924" s="8" t="s">
        <v>450</v>
      </c>
      <c r="W924" s="8" t="s">
        <v>240</v>
      </c>
      <c r="X924" s="8" t="s">
        <v>240</v>
      </c>
      <c r="Y924" s="8" t="s">
        <v>240</v>
      </c>
      <c r="Z924" s="6" t="b">
        <v>0</v>
      </c>
      <c r="AA924" s="9"/>
      <c r="AB924" s="9"/>
    </row>
    <row r="925" spans="1:28" ht="32">
      <c r="A925" s="6">
        <v>1036</v>
      </c>
      <c r="B925" s="8" t="s">
        <v>194</v>
      </c>
      <c r="C925" s="8" t="s">
        <v>90</v>
      </c>
      <c r="D925" s="8" t="s">
        <v>1670</v>
      </c>
      <c r="E925" s="8" t="s">
        <v>1660</v>
      </c>
      <c r="F925" s="6">
        <v>1029</v>
      </c>
      <c r="G925" s="6" t="b">
        <v>0</v>
      </c>
      <c r="H925" s="8" t="s">
        <v>240</v>
      </c>
      <c r="I925" s="6" t="b">
        <v>0</v>
      </c>
      <c r="J925" s="6" t="b">
        <v>0</v>
      </c>
      <c r="K925" s="6" t="b">
        <v>1</v>
      </c>
      <c r="L925" s="6" t="b">
        <v>1</v>
      </c>
      <c r="M925" s="6" t="b">
        <v>0</v>
      </c>
      <c r="N925" s="6">
        <v>6</v>
      </c>
      <c r="O925" s="8" t="s">
        <v>331</v>
      </c>
      <c r="P925" s="8" t="s">
        <v>338</v>
      </c>
      <c r="Q925" s="8" t="s">
        <v>1661</v>
      </c>
      <c r="R925" s="6">
        <v>6</v>
      </c>
      <c r="S925" s="8" t="s">
        <v>75</v>
      </c>
      <c r="T925" s="6">
        <v>8</v>
      </c>
      <c r="U925" s="8" t="s">
        <v>240</v>
      </c>
      <c r="V925" s="8" t="s">
        <v>450</v>
      </c>
      <c r="W925" s="8" t="s">
        <v>240</v>
      </c>
      <c r="X925" s="8" t="s">
        <v>240</v>
      </c>
      <c r="Y925" s="8" t="s">
        <v>240</v>
      </c>
      <c r="Z925" s="6" t="b">
        <v>0</v>
      </c>
      <c r="AA925" s="9"/>
      <c r="AB925" s="9"/>
    </row>
    <row r="926" spans="1:28" ht="32">
      <c r="A926" s="6">
        <v>1037</v>
      </c>
      <c r="B926" s="8" t="s">
        <v>194</v>
      </c>
      <c r="C926" s="8" t="s">
        <v>90</v>
      </c>
      <c r="D926" s="8" t="s">
        <v>1671</v>
      </c>
      <c r="E926" s="8" t="s">
        <v>1660</v>
      </c>
      <c r="F926" s="6">
        <v>1029</v>
      </c>
      <c r="G926" s="6" t="b">
        <v>0</v>
      </c>
      <c r="H926" s="8" t="s">
        <v>240</v>
      </c>
      <c r="I926" s="6" t="b">
        <v>0</v>
      </c>
      <c r="J926" s="6" t="b">
        <v>0</v>
      </c>
      <c r="K926" s="6" t="b">
        <v>1</v>
      </c>
      <c r="L926" s="6" t="b">
        <v>1</v>
      </c>
      <c r="M926" s="6" t="b">
        <v>0</v>
      </c>
      <c r="N926" s="6">
        <v>6</v>
      </c>
      <c r="O926" s="8" t="s">
        <v>331</v>
      </c>
      <c r="P926" s="8" t="s">
        <v>238</v>
      </c>
      <c r="Q926" s="8" t="s">
        <v>335</v>
      </c>
      <c r="R926" s="6">
        <v>8</v>
      </c>
      <c r="S926" s="8" t="s">
        <v>335</v>
      </c>
      <c r="T926" s="6">
        <v>8</v>
      </c>
      <c r="U926" s="8" t="s">
        <v>240</v>
      </c>
      <c r="V926" s="8" t="s">
        <v>450</v>
      </c>
      <c r="W926" s="8" t="s">
        <v>240</v>
      </c>
      <c r="X926" s="8" t="s">
        <v>240</v>
      </c>
      <c r="Y926" s="8" t="s">
        <v>240</v>
      </c>
      <c r="Z926" s="6" t="b">
        <v>0</v>
      </c>
      <c r="AA926" s="9"/>
      <c r="AB926" s="9"/>
    </row>
    <row r="927" spans="1:28" ht="16">
      <c r="A927" s="6">
        <v>1038</v>
      </c>
      <c r="B927" s="8" t="s">
        <v>194</v>
      </c>
      <c r="C927" s="8" t="s">
        <v>90</v>
      </c>
      <c r="D927" s="8" t="s">
        <v>1672</v>
      </c>
      <c r="E927" s="8" t="s">
        <v>1672</v>
      </c>
      <c r="F927" s="6">
        <v>1038</v>
      </c>
      <c r="G927" s="6" t="b">
        <v>0</v>
      </c>
      <c r="H927" s="8" t="s">
        <v>240</v>
      </c>
      <c r="I927" s="6" t="b">
        <v>0</v>
      </c>
      <c r="J927" s="6" t="b">
        <v>0</v>
      </c>
      <c r="K927" s="6" t="b">
        <v>0</v>
      </c>
      <c r="L927" s="6" t="b">
        <v>1</v>
      </c>
      <c r="M927" s="6" t="b">
        <v>0</v>
      </c>
      <c r="N927" s="6">
        <v>6</v>
      </c>
      <c r="O927" s="8" t="s">
        <v>331</v>
      </c>
      <c r="P927" s="8" t="s">
        <v>380</v>
      </c>
      <c r="Q927" s="8" t="s">
        <v>446</v>
      </c>
      <c r="R927" s="6">
        <v>8</v>
      </c>
      <c r="S927" s="8" t="s">
        <v>237</v>
      </c>
      <c r="T927" s="9"/>
      <c r="U927" s="8" t="s">
        <v>240</v>
      </c>
      <c r="V927" s="8" t="s">
        <v>240</v>
      </c>
      <c r="W927" s="8" t="s">
        <v>240</v>
      </c>
      <c r="X927" s="8" t="s">
        <v>240</v>
      </c>
      <c r="Y927" s="8" t="s">
        <v>240</v>
      </c>
      <c r="Z927" s="6" t="b">
        <v>0</v>
      </c>
      <c r="AA927" s="9"/>
      <c r="AB927" s="9"/>
    </row>
    <row r="928" spans="1:28" ht="16">
      <c r="A928" s="6">
        <v>1039</v>
      </c>
      <c r="B928" s="8" t="s">
        <v>194</v>
      </c>
      <c r="C928" s="8" t="s">
        <v>90</v>
      </c>
      <c r="D928" s="8" t="s">
        <v>1673</v>
      </c>
      <c r="E928" s="8" t="s">
        <v>1673</v>
      </c>
      <c r="F928" s="6">
        <v>1039</v>
      </c>
      <c r="G928" s="6" t="b">
        <v>0</v>
      </c>
      <c r="H928" s="8" t="s">
        <v>240</v>
      </c>
      <c r="I928" s="6" t="b">
        <v>0</v>
      </c>
      <c r="J928" s="6" t="b">
        <v>1</v>
      </c>
      <c r="K928" s="6" t="b">
        <v>0</v>
      </c>
      <c r="L928" s="6" t="b">
        <v>1</v>
      </c>
      <c r="M928" s="6" t="b">
        <v>0</v>
      </c>
      <c r="N928" s="6">
        <v>6</v>
      </c>
      <c r="O928" s="8" t="s">
        <v>331</v>
      </c>
      <c r="P928" s="8" t="s">
        <v>350</v>
      </c>
      <c r="Q928" s="8" t="s">
        <v>446</v>
      </c>
      <c r="R928" s="6">
        <v>6</v>
      </c>
      <c r="S928" s="8" t="s">
        <v>75</v>
      </c>
      <c r="T928" s="9"/>
      <c r="U928" s="8" t="s">
        <v>240</v>
      </c>
      <c r="V928" s="8" t="s">
        <v>240</v>
      </c>
      <c r="W928" s="8" t="s">
        <v>240</v>
      </c>
      <c r="X928" s="8" t="s">
        <v>240</v>
      </c>
      <c r="Y928" s="8" t="s">
        <v>240</v>
      </c>
      <c r="Z928" s="6" t="b">
        <v>0</v>
      </c>
      <c r="AA928" s="9"/>
      <c r="AB928" s="9"/>
    </row>
    <row r="929" spans="1:28" ht="16">
      <c r="A929" s="6">
        <v>1040</v>
      </c>
      <c r="B929" s="8" t="s">
        <v>194</v>
      </c>
      <c r="C929" s="8" t="s">
        <v>90</v>
      </c>
      <c r="D929" s="8" t="s">
        <v>1674</v>
      </c>
      <c r="E929" s="8" t="s">
        <v>1674</v>
      </c>
      <c r="F929" s="6">
        <v>1040</v>
      </c>
      <c r="G929" s="6" t="b">
        <v>0</v>
      </c>
      <c r="H929" s="8" t="s">
        <v>240</v>
      </c>
      <c r="I929" s="6" t="b">
        <v>0</v>
      </c>
      <c r="J929" s="6" t="b">
        <v>1</v>
      </c>
      <c r="K929" s="6" t="b">
        <v>0</v>
      </c>
      <c r="L929" s="6" t="b">
        <v>1</v>
      </c>
      <c r="M929" s="6" t="b">
        <v>0</v>
      </c>
      <c r="N929" s="6">
        <v>6</v>
      </c>
      <c r="O929" s="8" t="s">
        <v>331</v>
      </c>
      <c r="P929" s="8" t="s">
        <v>240</v>
      </c>
      <c r="Q929" s="8" t="s">
        <v>240</v>
      </c>
      <c r="R929" s="6">
        <v>10</v>
      </c>
      <c r="S929" s="8" t="s">
        <v>347</v>
      </c>
      <c r="T929" s="6">
        <v>10</v>
      </c>
      <c r="U929" s="8" t="s">
        <v>240</v>
      </c>
      <c r="V929" s="8" t="s">
        <v>450</v>
      </c>
      <c r="W929" s="8" t="s">
        <v>240</v>
      </c>
      <c r="X929" s="8" t="s">
        <v>240</v>
      </c>
      <c r="Y929" s="8" t="s">
        <v>1675</v>
      </c>
      <c r="Z929" s="6" t="b">
        <v>0</v>
      </c>
      <c r="AA929" s="9"/>
      <c r="AB929" s="9"/>
    </row>
    <row r="930" spans="1:28" ht="16">
      <c r="A930" s="6">
        <v>1041</v>
      </c>
      <c r="B930" s="8" t="s">
        <v>194</v>
      </c>
      <c r="C930" s="8" t="s">
        <v>1676</v>
      </c>
      <c r="D930" s="8" t="s">
        <v>1677</v>
      </c>
      <c r="E930" s="8" t="s">
        <v>1677</v>
      </c>
      <c r="F930" s="6">
        <v>1041</v>
      </c>
      <c r="G930" s="6" t="b">
        <v>0</v>
      </c>
      <c r="H930" s="8" t="s">
        <v>240</v>
      </c>
      <c r="I930" s="6" t="b">
        <v>0</v>
      </c>
      <c r="J930" s="6" t="b">
        <v>0</v>
      </c>
      <c r="K930" s="6" t="b">
        <v>0</v>
      </c>
      <c r="L930" s="6" t="b">
        <v>1</v>
      </c>
      <c r="M930" s="6" t="b">
        <v>0</v>
      </c>
      <c r="N930" s="6">
        <v>8</v>
      </c>
      <c r="O930" s="8" t="s">
        <v>341</v>
      </c>
      <c r="P930" s="8" t="s">
        <v>1678</v>
      </c>
      <c r="Q930" s="8" t="s">
        <v>1679</v>
      </c>
      <c r="R930" s="6">
        <v>8</v>
      </c>
      <c r="S930" s="8" t="s">
        <v>341</v>
      </c>
      <c r="T930" s="9"/>
      <c r="U930" s="8" t="s">
        <v>240</v>
      </c>
      <c r="V930" s="8" t="s">
        <v>824</v>
      </c>
      <c r="W930" s="8" t="s">
        <v>240</v>
      </c>
      <c r="X930" s="8" t="s">
        <v>240</v>
      </c>
      <c r="Y930" s="8" t="s">
        <v>240</v>
      </c>
      <c r="Z930" s="6" t="b">
        <v>0</v>
      </c>
      <c r="AA930" s="9"/>
      <c r="AB930" s="9"/>
    </row>
    <row r="931" spans="1:28" ht="16">
      <c r="A931" s="6">
        <v>1042</v>
      </c>
      <c r="B931" s="8" t="s">
        <v>194</v>
      </c>
      <c r="C931" s="8" t="s">
        <v>1676</v>
      </c>
      <c r="D931" s="8" t="s">
        <v>1680</v>
      </c>
      <c r="E931" s="8" t="s">
        <v>1677</v>
      </c>
      <c r="F931" s="6">
        <v>1041</v>
      </c>
      <c r="G931" s="6" t="b">
        <v>0</v>
      </c>
      <c r="H931" s="8" t="s">
        <v>240</v>
      </c>
      <c r="I931" s="6" t="b">
        <v>0</v>
      </c>
      <c r="J931" s="6" t="b">
        <v>0</v>
      </c>
      <c r="K931" s="6" t="b">
        <v>0</v>
      </c>
      <c r="L931" s="6" t="b">
        <v>1</v>
      </c>
      <c r="M931" s="6" t="b">
        <v>0</v>
      </c>
      <c r="N931" s="6">
        <v>8</v>
      </c>
      <c r="O931" s="8" t="s">
        <v>341</v>
      </c>
      <c r="P931" s="8" t="s">
        <v>1678</v>
      </c>
      <c r="Q931" s="8" t="s">
        <v>1679</v>
      </c>
      <c r="R931" s="6">
        <v>8</v>
      </c>
      <c r="S931" s="8" t="s">
        <v>75</v>
      </c>
      <c r="T931" s="9"/>
      <c r="U931" s="8" t="s">
        <v>240</v>
      </c>
      <c r="V931" s="8" t="s">
        <v>824</v>
      </c>
      <c r="W931" s="8" t="s">
        <v>240</v>
      </c>
      <c r="X931" s="8" t="s">
        <v>240</v>
      </c>
      <c r="Y931" s="8" t="s">
        <v>1681</v>
      </c>
      <c r="Z931" s="6" t="b">
        <v>0</v>
      </c>
      <c r="AA931" s="9"/>
      <c r="AB931" s="9"/>
    </row>
    <row r="932" spans="1:28" ht="16">
      <c r="A932" s="6">
        <v>1043</v>
      </c>
      <c r="B932" s="8" t="s">
        <v>194</v>
      </c>
      <c r="C932" s="8" t="s">
        <v>124</v>
      </c>
      <c r="D932" s="8" t="s">
        <v>1682</v>
      </c>
      <c r="E932" s="8" t="s">
        <v>1682</v>
      </c>
      <c r="F932" s="6">
        <v>1043</v>
      </c>
      <c r="G932" s="6" t="b">
        <v>0</v>
      </c>
      <c r="H932" s="8" t="s">
        <v>240</v>
      </c>
      <c r="I932" s="6" t="b">
        <v>0</v>
      </c>
      <c r="J932" s="6" t="b">
        <v>0</v>
      </c>
      <c r="K932" s="6" t="b">
        <v>0</v>
      </c>
      <c r="L932" s="6" t="b">
        <v>1</v>
      </c>
      <c r="M932" s="6" t="b">
        <v>0</v>
      </c>
      <c r="N932" s="6">
        <v>6</v>
      </c>
      <c r="O932" s="8" t="s">
        <v>347</v>
      </c>
      <c r="P932" s="8" t="s">
        <v>238</v>
      </c>
      <c r="Q932" s="8" t="s">
        <v>446</v>
      </c>
      <c r="R932" s="6">
        <v>6</v>
      </c>
      <c r="S932" s="8" t="s">
        <v>75</v>
      </c>
      <c r="T932" s="9"/>
      <c r="U932" s="8" t="s">
        <v>240</v>
      </c>
      <c r="V932" s="8" t="s">
        <v>496</v>
      </c>
      <c r="W932" s="8" t="s">
        <v>240</v>
      </c>
      <c r="X932" s="8" t="s">
        <v>240</v>
      </c>
      <c r="Y932" s="8" t="s">
        <v>240</v>
      </c>
      <c r="Z932" s="6" t="b">
        <v>0</v>
      </c>
      <c r="AA932" s="9"/>
      <c r="AB932" s="9"/>
    </row>
    <row r="933" spans="1:28" ht="32">
      <c r="A933" s="6">
        <v>1044</v>
      </c>
      <c r="B933" s="8" t="s">
        <v>194</v>
      </c>
      <c r="C933" s="8" t="s">
        <v>124</v>
      </c>
      <c r="D933" s="8" t="s">
        <v>1683</v>
      </c>
      <c r="E933" s="8" t="s">
        <v>1682</v>
      </c>
      <c r="F933" s="6">
        <v>1043</v>
      </c>
      <c r="G933" s="6" t="b">
        <v>0</v>
      </c>
      <c r="H933" s="8" t="s">
        <v>240</v>
      </c>
      <c r="I933" s="6" t="b">
        <v>0</v>
      </c>
      <c r="J933" s="6" t="b">
        <v>0</v>
      </c>
      <c r="K933" s="6" t="b">
        <v>0</v>
      </c>
      <c r="L933" s="6" t="b">
        <v>1</v>
      </c>
      <c r="M933" s="6" t="b">
        <v>0</v>
      </c>
      <c r="N933" s="6">
        <v>6</v>
      </c>
      <c r="O933" s="8" t="s">
        <v>347</v>
      </c>
      <c r="P933" s="8" t="s">
        <v>238</v>
      </c>
      <c r="Q933" s="8" t="s">
        <v>446</v>
      </c>
      <c r="R933" s="6">
        <v>6</v>
      </c>
      <c r="S933" s="8" t="s">
        <v>75</v>
      </c>
      <c r="T933" s="9"/>
      <c r="U933" s="8" t="s">
        <v>240</v>
      </c>
      <c r="V933" s="8" t="s">
        <v>496</v>
      </c>
      <c r="W933" s="8" t="s">
        <v>240</v>
      </c>
      <c r="X933" s="8" t="s">
        <v>240</v>
      </c>
      <c r="Y933" s="8" t="s">
        <v>240</v>
      </c>
      <c r="Z933" s="6" t="b">
        <v>0</v>
      </c>
      <c r="AA933" s="9"/>
      <c r="AB933" s="9"/>
    </row>
    <row r="934" spans="1:28" ht="16">
      <c r="A934" s="6">
        <v>1045</v>
      </c>
      <c r="B934" s="8" t="s">
        <v>194</v>
      </c>
      <c r="C934" s="8" t="s">
        <v>90</v>
      </c>
      <c r="D934" s="8" t="s">
        <v>1684</v>
      </c>
      <c r="E934" s="8" t="s">
        <v>1684</v>
      </c>
      <c r="F934" s="6">
        <v>1045</v>
      </c>
      <c r="G934" s="6" t="b">
        <v>0</v>
      </c>
      <c r="H934" s="8" t="s">
        <v>240</v>
      </c>
      <c r="I934" s="6" t="b">
        <v>0</v>
      </c>
      <c r="J934" s="6" t="b">
        <v>0</v>
      </c>
      <c r="K934" s="6" t="b">
        <v>0</v>
      </c>
      <c r="L934" s="6" t="b">
        <v>1</v>
      </c>
      <c r="M934" s="6" t="b">
        <v>0</v>
      </c>
      <c r="N934" s="6">
        <v>6</v>
      </c>
      <c r="O934" s="8" t="s">
        <v>331</v>
      </c>
      <c r="P934" s="8" t="s">
        <v>238</v>
      </c>
      <c r="Q934" s="8" t="s">
        <v>239</v>
      </c>
      <c r="R934" s="6">
        <v>6</v>
      </c>
      <c r="S934" s="8" t="s">
        <v>75</v>
      </c>
      <c r="T934" s="9"/>
      <c r="U934" s="8" t="s">
        <v>240</v>
      </c>
      <c r="V934" s="8" t="s">
        <v>240</v>
      </c>
      <c r="W934" s="8" t="s">
        <v>240</v>
      </c>
      <c r="X934" s="8" t="s">
        <v>240</v>
      </c>
      <c r="Y934" s="8" t="s">
        <v>1685</v>
      </c>
      <c r="Z934" s="6" t="b">
        <v>0</v>
      </c>
      <c r="AA934" s="9"/>
      <c r="AB934" s="9"/>
    </row>
    <row r="935" spans="1:28" ht="16">
      <c r="A935" s="6">
        <v>1046</v>
      </c>
      <c r="B935" s="8" t="s">
        <v>194</v>
      </c>
      <c r="C935" s="8" t="s">
        <v>90</v>
      </c>
      <c r="D935" s="8" t="s">
        <v>1686</v>
      </c>
      <c r="E935" s="8" t="s">
        <v>1684</v>
      </c>
      <c r="F935" s="6">
        <v>1045</v>
      </c>
      <c r="G935" s="6" t="b">
        <v>0</v>
      </c>
      <c r="H935" s="8" t="s">
        <v>240</v>
      </c>
      <c r="I935" s="6" t="b">
        <v>0</v>
      </c>
      <c r="J935" s="6" t="b">
        <v>0</v>
      </c>
      <c r="K935" s="6" t="b">
        <v>0</v>
      </c>
      <c r="L935" s="6" t="b">
        <v>1</v>
      </c>
      <c r="M935" s="6" t="b">
        <v>0</v>
      </c>
      <c r="N935" s="6">
        <v>6</v>
      </c>
      <c r="O935" s="8" t="s">
        <v>331</v>
      </c>
      <c r="P935" s="8" t="s">
        <v>238</v>
      </c>
      <c r="Q935" s="8" t="s">
        <v>239</v>
      </c>
      <c r="R935" s="6">
        <v>6</v>
      </c>
      <c r="S935" s="8" t="s">
        <v>75</v>
      </c>
      <c r="T935" s="9"/>
      <c r="U935" s="8" t="s">
        <v>1687</v>
      </c>
      <c r="V935" s="8" t="s">
        <v>450</v>
      </c>
      <c r="W935" s="8" t="s">
        <v>240</v>
      </c>
      <c r="X935" s="8" t="s">
        <v>240</v>
      </c>
      <c r="Y935" s="8" t="s">
        <v>240</v>
      </c>
      <c r="Z935" s="6" t="b">
        <v>0</v>
      </c>
      <c r="AA935" s="9"/>
      <c r="AB935" s="9"/>
    </row>
    <row r="936" spans="1:28" ht="16">
      <c r="A936" s="6">
        <v>1047</v>
      </c>
      <c r="B936" s="8" t="s">
        <v>194</v>
      </c>
      <c r="C936" s="8" t="s">
        <v>1676</v>
      </c>
      <c r="D936" s="8" t="s">
        <v>1688</v>
      </c>
      <c r="E936" s="8" t="s">
        <v>1688</v>
      </c>
      <c r="F936" s="6">
        <v>1047</v>
      </c>
      <c r="G936" s="6" t="b">
        <v>0</v>
      </c>
      <c r="H936" s="8" t="s">
        <v>240</v>
      </c>
      <c r="I936" s="6" t="b">
        <v>0</v>
      </c>
      <c r="J936" s="6" t="b">
        <v>0</v>
      </c>
      <c r="K936" s="6" t="b">
        <v>0</v>
      </c>
      <c r="L936" s="6" t="b">
        <v>1</v>
      </c>
      <c r="M936" s="6" t="b">
        <v>0</v>
      </c>
      <c r="N936" s="6">
        <v>8</v>
      </c>
      <c r="O936" s="8" t="s">
        <v>341</v>
      </c>
      <c r="P936" s="8" t="s">
        <v>255</v>
      </c>
      <c r="Q936" s="8" t="s">
        <v>898</v>
      </c>
      <c r="R936" s="6">
        <v>6</v>
      </c>
      <c r="S936" s="8" t="s">
        <v>341</v>
      </c>
      <c r="T936" s="9"/>
      <c r="U936" s="8" t="s">
        <v>240</v>
      </c>
      <c r="V936" s="8" t="s">
        <v>824</v>
      </c>
      <c r="W936" s="8" t="s">
        <v>240</v>
      </c>
      <c r="X936" s="8" t="s">
        <v>240</v>
      </c>
      <c r="Y936" s="8" t="s">
        <v>1689</v>
      </c>
      <c r="Z936" s="6" t="b">
        <v>0</v>
      </c>
      <c r="AA936" s="9"/>
      <c r="AB936" s="9"/>
    </row>
    <row r="937" spans="1:28" ht="32">
      <c r="A937" s="6">
        <v>1048</v>
      </c>
      <c r="B937" s="8" t="s">
        <v>194</v>
      </c>
      <c r="C937" s="8" t="s">
        <v>1676</v>
      </c>
      <c r="D937" s="8" t="s">
        <v>1690</v>
      </c>
      <c r="E937" s="8" t="s">
        <v>1688</v>
      </c>
      <c r="F937" s="6">
        <v>1047</v>
      </c>
      <c r="G937" s="6" t="b">
        <v>0</v>
      </c>
      <c r="H937" s="8" t="s">
        <v>240</v>
      </c>
      <c r="I937" s="6" t="b">
        <v>0</v>
      </c>
      <c r="J937" s="6" t="b">
        <v>0</v>
      </c>
      <c r="K937" s="6" t="b">
        <v>0</v>
      </c>
      <c r="L937" s="6" t="b">
        <v>1</v>
      </c>
      <c r="M937" s="6" t="b">
        <v>0</v>
      </c>
      <c r="N937" s="6">
        <v>8</v>
      </c>
      <c r="O937" s="8" t="s">
        <v>341</v>
      </c>
      <c r="P937" s="8" t="s">
        <v>255</v>
      </c>
      <c r="Q937" s="8" t="s">
        <v>898</v>
      </c>
      <c r="R937" s="6">
        <v>6</v>
      </c>
      <c r="S937" s="8" t="s">
        <v>341</v>
      </c>
      <c r="T937" s="9"/>
      <c r="U937" s="8" t="s">
        <v>240</v>
      </c>
      <c r="V937" s="8" t="s">
        <v>824</v>
      </c>
      <c r="W937" s="8" t="s">
        <v>240</v>
      </c>
      <c r="X937" s="8" t="s">
        <v>240</v>
      </c>
      <c r="Y937" s="8" t="s">
        <v>240</v>
      </c>
      <c r="Z937" s="6" t="b">
        <v>0</v>
      </c>
      <c r="AA937" s="9"/>
      <c r="AB937" s="9"/>
    </row>
    <row r="938" spans="1:28" ht="32">
      <c r="A938" s="6">
        <v>1049</v>
      </c>
      <c r="B938" s="8" t="s">
        <v>194</v>
      </c>
      <c r="C938" s="8" t="s">
        <v>108</v>
      </c>
      <c r="D938" s="8" t="s">
        <v>1691</v>
      </c>
      <c r="E938" s="8" t="s">
        <v>1691</v>
      </c>
      <c r="F938" s="6">
        <v>1049</v>
      </c>
      <c r="G938" s="6" t="b">
        <v>0</v>
      </c>
      <c r="H938" s="8" t="s">
        <v>240</v>
      </c>
      <c r="I938" s="6" t="b">
        <v>0</v>
      </c>
      <c r="J938" s="6" t="b">
        <v>0</v>
      </c>
      <c r="K938" s="6" t="b">
        <v>0</v>
      </c>
      <c r="L938" s="6" t="b">
        <v>1</v>
      </c>
      <c r="M938" s="6" t="b">
        <v>0</v>
      </c>
      <c r="N938" s="6">
        <v>3</v>
      </c>
      <c r="O938" s="8" t="s">
        <v>347</v>
      </c>
      <c r="P938" s="8" t="s">
        <v>350</v>
      </c>
      <c r="Q938" s="8" t="s">
        <v>481</v>
      </c>
      <c r="R938" s="6">
        <v>3</v>
      </c>
      <c r="S938" s="8" t="s">
        <v>347</v>
      </c>
      <c r="T938" s="6">
        <v>3</v>
      </c>
      <c r="U938" s="8" t="s">
        <v>240</v>
      </c>
      <c r="V938" s="8" t="s">
        <v>482</v>
      </c>
      <c r="W938" s="8" t="s">
        <v>240</v>
      </c>
      <c r="X938" s="8" t="s">
        <v>240</v>
      </c>
      <c r="Y938" s="8" t="s">
        <v>1692</v>
      </c>
      <c r="Z938" s="6" t="b">
        <v>0</v>
      </c>
      <c r="AA938" s="9"/>
      <c r="AB938" s="9"/>
    </row>
    <row r="939" spans="1:28" ht="16">
      <c r="A939" s="6">
        <v>1050</v>
      </c>
      <c r="B939" s="8" t="s">
        <v>194</v>
      </c>
      <c r="C939" s="8" t="s">
        <v>1693</v>
      </c>
      <c r="D939" s="8" t="s">
        <v>1693</v>
      </c>
      <c r="E939" s="8" t="s">
        <v>1693</v>
      </c>
      <c r="F939" s="6">
        <v>1050</v>
      </c>
      <c r="G939" s="6" t="b">
        <v>0</v>
      </c>
      <c r="H939" s="8" t="s">
        <v>240</v>
      </c>
      <c r="I939" s="6" t="b">
        <v>0</v>
      </c>
      <c r="J939" s="6" t="b">
        <v>0</v>
      </c>
      <c r="K939" s="6" t="b">
        <v>0</v>
      </c>
      <c r="L939" s="6" t="b">
        <v>1</v>
      </c>
      <c r="M939" s="6" t="b">
        <v>0</v>
      </c>
      <c r="N939" s="6">
        <v>6</v>
      </c>
      <c r="O939" s="8" t="s">
        <v>237</v>
      </c>
      <c r="P939" s="8" t="s">
        <v>238</v>
      </c>
      <c r="Q939" s="8" t="s">
        <v>381</v>
      </c>
      <c r="R939" s="6">
        <v>6</v>
      </c>
      <c r="S939" s="8" t="s">
        <v>237</v>
      </c>
      <c r="T939" s="6">
        <v>6</v>
      </c>
      <c r="U939" s="8" t="s">
        <v>240</v>
      </c>
      <c r="V939" s="8" t="s">
        <v>450</v>
      </c>
      <c r="W939" s="8" t="s">
        <v>240</v>
      </c>
      <c r="X939" s="8" t="s">
        <v>240</v>
      </c>
      <c r="Y939" s="8" t="s">
        <v>240</v>
      </c>
      <c r="Z939" s="6" t="b">
        <v>0</v>
      </c>
      <c r="AA939" s="9"/>
      <c r="AB939" s="9"/>
    </row>
    <row r="940" spans="1:28" ht="16">
      <c r="A940" s="6">
        <v>1051</v>
      </c>
      <c r="B940" s="8" t="s">
        <v>194</v>
      </c>
      <c r="C940" s="8" t="s">
        <v>1694</v>
      </c>
      <c r="D940" s="8" t="s">
        <v>1695</v>
      </c>
      <c r="E940" s="8" t="s">
        <v>1695</v>
      </c>
      <c r="F940" s="6">
        <v>1051</v>
      </c>
      <c r="G940" s="6" t="b">
        <v>0</v>
      </c>
      <c r="H940" s="8" t="s">
        <v>240</v>
      </c>
      <c r="I940" s="6" t="b">
        <v>0</v>
      </c>
      <c r="J940" s="6" t="b">
        <v>0</v>
      </c>
      <c r="K940" s="6" t="b">
        <v>0</v>
      </c>
      <c r="L940" s="6" t="b">
        <v>1</v>
      </c>
      <c r="M940" s="6" t="b">
        <v>0</v>
      </c>
      <c r="N940" s="6">
        <v>4</v>
      </c>
      <c r="O940" s="8" t="s">
        <v>880</v>
      </c>
      <c r="P940" s="8" t="s">
        <v>238</v>
      </c>
      <c r="Q940" s="8" t="s">
        <v>446</v>
      </c>
      <c r="R940" s="6">
        <v>4</v>
      </c>
      <c r="S940" s="8" t="s">
        <v>75</v>
      </c>
      <c r="T940" s="9"/>
      <c r="U940" s="8" t="s">
        <v>240</v>
      </c>
      <c r="V940" s="8" t="s">
        <v>1696</v>
      </c>
      <c r="W940" s="8" t="s">
        <v>240</v>
      </c>
      <c r="X940" s="8" t="s">
        <v>240</v>
      </c>
      <c r="Y940" s="8" t="s">
        <v>240</v>
      </c>
      <c r="Z940" s="6" t="b">
        <v>0</v>
      </c>
      <c r="AA940" s="9"/>
      <c r="AB940" s="9"/>
    </row>
    <row r="941" spans="1:28" ht="16">
      <c r="A941" s="6">
        <v>1052</v>
      </c>
      <c r="B941" s="8" t="s">
        <v>194</v>
      </c>
      <c r="C941" s="8" t="s">
        <v>1697</v>
      </c>
      <c r="D941" s="8" t="s">
        <v>1697</v>
      </c>
      <c r="E941" s="8" t="s">
        <v>1697</v>
      </c>
      <c r="F941" s="6">
        <v>1052</v>
      </c>
      <c r="G941" s="6" t="b">
        <v>0</v>
      </c>
      <c r="H941" s="8" t="s">
        <v>240</v>
      </c>
      <c r="I941" s="6" t="b">
        <v>0</v>
      </c>
      <c r="J941" s="6" t="b">
        <v>0</v>
      </c>
      <c r="K941" s="6" t="b">
        <v>0</v>
      </c>
      <c r="L941" s="6" t="b">
        <v>1</v>
      </c>
      <c r="M941" s="6" t="b">
        <v>0</v>
      </c>
      <c r="N941" s="6">
        <v>2</v>
      </c>
      <c r="O941" s="8" t="s">
        <v>331</v>
      </c>
      <c r="P941" s="8" t="s">
        <v>1176</v>
      </c>
      <c r="Q941" s="8" t="s">
        <v>446</v>
      </c>
      <c r="R941" s="6">
        <v>2</v>
      </c>
      <c r="S941" s="8" t="s">
        <v>331</v>
      </c>
      <c r="T941" s="9"/>
      <c r="U941" s="8" t="s">
        <v>240</v>
      </c>
      <c r="V941" s="8" t="s">
        <v>240</v>
      </c>
      <c r="W941" s="8" t="s">
        <v>240</v>
      </c>
      <c r="X941" s="8" t="s">
        <v>240</v>
      </c>
      <c r="Y941" s="8" t="s">
        <v>240</v>
      </c>
      <c r="Z941" s="6" t="b">
        <v>0</v>
      </c>
      <c r="AA941" s="9"/>
      <c r="AB941" s="9"/>
    </row>
    <row r="942" spans="1:28" ht="16">
      <c r="A942" s="6">
        <v>1053</v>
      </c>
      <c r="B942" s="8" t="s">
        <v>194</v>
      </c>
      <c r="C942" s="8" t="s">
        <v>1697</v>
      </c>
      <c r="D942" s="8" t="s">
        <v>1698</v>
      </c>
      <c r="E942" s="8" t="s">
        <v>1698</v>
      </c>
      <c r="F942" s="6">
        <v>1053</v>
      </c>
      <c r="G942" s="6" t="b">
        <v>0</v>
      </c>
      <c r="H942" s="8" t="s">
        <v>240</v>
      </c>
      <c r="I942" s="6" t="b">
        <v>0</v>
      </c>
      <c r="J942" s="6" t="b">
        <v>0</v>
      </c>
      <c r="K942" s="6" t="b">
        <v>0</v>
      </c>
      <c r="L942" s="6" t="b">
        <v>1</v>
      </c>
      <c r="M942" s="6" t="b">
        <v>0</v>
      </c>
      <c r="N942" s="6">
        <v>2</v>
      </c>
      <c r="O942" s="8" t="s">
        <v>331</v>
      </c>
      <c r="P942" s="8" t="s">
        <v>238</v>
      </c>
      <c r="Q942" s="8" t="s">
        <v>502</v>
      </c>
      <c r="R942" s="6">
        <v>2</v>
      </c>
      <c r="S942" s="8" t="s">
        <v>335</v>
      </c>
      <c r="T942" s="6">
        <v>4</v>
      </c>
      <c r="U942" s="8" t="s">
        <v>240</v>
      </c>
      <c r="V942" s="8" t="s">
        <v>1696</v>
      </c>
      <c r="W942" s="8" t="s">
        <v>483</v>
      </c>
      <c r="X942" s="8" t="s">
        <v>240</v>
      </c>
      <c r="Y942" s="8" t="s">
        <v>240</v>
      </c>
      <c r="Z942" s="6" t="b">
        <v>0</v>
      </c>
      <c r="AA942" s="9"/>
      <c r="AB942" s="9"/>
    </row>
    <row r="943" spans="1:28" ht="16">
      <c r="A943" s="6">
        <v>1054</v>
      </c>
      <c r="B943" s="8" t="s">
        <v>194</v>
      </c>
      <c r="C943" s="8" t="s">
        <v>1697</v>
      </c>
      <c r="D943" s="8" t="s">
        <v>1699</v>
      </c>
      <c r="E943" s="8" t="s">
        <v>1698</v>
      </c>
      <c r="F943" s="6">
        <v>1053</v>
      </c>
      <c r="G943" s="6" t="b">
        <v>0</v>
      </c>
      <c r="H943" s="8" t="s">
        <v>240</v>
      </c>
      <c r="I943" s="6" t="b">
        <v>0</v>
      </c>
      <c r="J943" s="6" t="b">
        <v>0</v>
      </c>
      <c r="K943" s="6" t="b">
        <v>0</v>
      </c>
      <c r="L943" s="6" t="b">
        <v>1</v>
      </c>
      <c r="M943" s="6" t="b">
        <v>0</v>
      </c>
      <c r="N943" s="6">
        <v>2</v>
      </c>
      <c r="O943" s="8" t="s">
        <v>331</v>
      </c>
      <c r="P943" s="8" t="s">
        <v>238</v>
      </c>
      <c r="Q943" s="8" t="s">
        <v>239</v>
      </c>
      <c r="R943" s="6">
        <v>2</v>
      </c>
      <c r="S943" s="8" t="s">
        <v>347</v>
      </c>
      <c r="T943" s="9"/>
      <c r="U943" s="8" t="s">
        <v>240</v>
      </c>
      <c r="V943" s="8" t="s">
        <v>1696</v>
      </c>
      <c r="W943" s="8" t="s">
        <v>483</v>
      </c>
      <c r="X943" s="8" t="s">
        <v>240</v>
      </c>
      <c r="Y943" s="8" t="s">
        <v>240</v>
      </c>
      <c r="Z943" s="6" t="b">
        <v>0</v>
      </c>
      <c r="AA943" s="9"/>
      <c r="AB943" s="9"/>
    </row>
    <row r="944" spans="1:28" ht="16">
      <c r="A944" s="6">
        <v>1055</v>
      </c>
      <c r="B944" s="8" t="s">
        <v>194</v>
      </c>
      <c r="C944" s="8" t="s">
        <v>124</v>
      </c>
      <c r="D944" s="8" t="s">
        <v>1700</v>
      </c>
      <c r="E944" s="8" t="s">
        <v>1700</v>
      </c>
      <c r="F944" s="6">
        <v>1055</v>
      </c>
      <c r="G944" s="6" t="b">
        <v>0</v>
      </c>
      <c r="H944" s="8" t="s">
        <v>240</v>
      </c>
      <c r="I944" s="6" t="b">
        <v>0</v>
      </c>
      <c r="J944" s="6" t="b">
        <v>0</v>
      </c>
      <c r="K944" s="6" t="b">
        <v>0</v>
      </c>
      <c r="L944" s="6" t="b">
        <v>1</v>
      </c>
      <c r="M944" s="6" t="b">
        <v>0</v>
      </c>
      <c r="N944" s="6">
        <v>6</v>
      </c>
      <c r="O944" s="8" t="s">
        <v>347</v>
      </c>
      <c r="P944" s="8" t="s">
        <v>822</v>
      </c>
      <c r="Q944" s="8" t="s">
        <v>446</v>
      </c>
      <c r="R944" s="6">
        <v>2</v>
      </c>
      <c r="S944" s="8" t="s">
        <v>341</v>
      </c>
      <c r="T944" s="6">
        <v>6</v>
      </c>
      <c r="U944" s="8" t="s">
        <v>240</v>
      </c>
      <c r="V944" s="8" t="s">
        <v>510</v>
      </c>
      <c r="W944" s="8" t="s">
        <v>240</v>
      </c>
      <c r="X944" s="8" t="s">
        <v>240</v>
      </c>
      <c r="Y944" s="8" t="s">
        <v>240</v>
      </c>
      <c r="Z944" s="6" t="b">
        <v>0</v>
      </c>
      <c r="AA944" s="9"/>
      <c r="AB944" s="9"/>
    </row>
    <row r="945" spans="1:28" ht="16">
      <c r="A945" s="6">
        <v>1056</v>
      </c>
      <c r="B945" s="8" t="s">
        <v>194</v>
      </c>
      <c r="C945" s="8" t="s">
        <v>124</v>
      </c>
      <c r="D945" s="8" t="s">
        <v>1701</v>
      </c>
      <c r="E945" s="8" t="s">
        <v>1701</v>
      </c>
      <c r="F945" s="6">
        <v>1056</v>
      </c>
      <c r="G945" s="6" t="b">
        <v>0</v>
      </c>
      <c r="H945" s="8" t="s">
        <v>240</v>
      </c>
      <c r="I945" s="6" t="b">
        <v>0</v>
      </c>
      <c r="J945" s="6" t="b">
        <v>0</v>
      </c>
      <c r="K945" s="6" t="b">
        <v>0</v>
      </c>
      <c r="L945" s="6" t="b">
        <v>1</v>
      </c>
      <c r="M945" s="6" t="b">
        <v>0</v>
      </c>
      <c r="N945" s="6">
        <v>6</v>
      </c>
      <c r="O945" s="8" t="s">
        <v>347</v>
      </c>
      <c r="P945" s="8" t="s">
        <v>238</v>
      </c>
      <c r="Q945" s="8" t="s">
        <v>502</v>
      </c>
      <c r="R945" s="6">
        <v>6</v>
      </c>
      <c r="S945" s="8" t="s">
        <v>347</v>
      </c>
      <c r="T945" s="9"/>
      <c r="U945" s="8" t="s">
        <v>240</v>
      </c>
      <c r="V945" s="8" t="s">
        <v>496</v>
      </c>
      <c r="W945" s="8" t="s">
        <v>240</v>
      </c>
      <c r="X945" s="8" t="s">
        <v>240</v>
      </c>
      <c r="Y945" s="8" t="s">
        <v>1702</v>
      </c>
      <c r="Z945" s="6" t="b">
        <v>0</v>
      </c>
      <c r="AA945" s="9"/>
      <c r="AB945" s="9"/>
    </row>
    <row r="946" spans="1:28" ht="16">
      <c r="A946" s="6">
        <v>1057</v>
      </c>
      <c r="B946" s="8" t="s">
        <v>194</v>
      </c>
      <c r="C946" s="8" t="s">
        <v>124</v>
      </c>
      <c r="D946" s="8" t="s">
        <v>1703</v>
      </c>
      <c r="E946" s="8" t="s">
        <v>1701</v>
      </c>
      <c r="F946" s="6">
        <v>1056</v>
      </c>
      <c r="G946" s="6" t="b">
        <v>0</v>
      </c>
      <c r="H946" s="8" t="s">
        <v>240</v>
      </c>
      <c r="I946" s="6" t="b">
        <v>0</v>
      </c>
      <c r="J946" s="6" t="b">
        <v>0</v>
      </c>
      <c r="K946" s="6" t="b">
        <v>0</v>
      </c>
      <c r="L946" s="6" t="b">
        <v>1</v>
      </c>
      <c r="M946" s="6" t="b">
        <v>0</v>
      </c>
      <c r="N946" s="6">
        <v>6</v>
      </c>
      <c r="O946" s="8" t="s">
        <v>347</v>
      </c>
      <c r="P946" s="8" t="s">
        <v>238</v>
      </c>
      <c r="Q946" s="8" t="s">
        <v>502</v>
      </c>
      <c r="R946" s="6">
        <v>6</v>
      </c>
      <c r="S946" s="8" t="s">
        <v>347</v>
      </c>
      <c r="T946" s="9"/>
      <c r="U946" s="8" t="s">
        <v>1704</v>
      </c>
      <c r="V946" s="8" t="s">
        <v>496</v>
      </c>
      <c r="W946" s="8" t="s">
        <v>240</v>
      </c>
      <c r="X946" s="8" t="s">
        <v>240</v>
      </c>
      <c r="Y946" s="8" t="s">
        <v>240</v>
      </c>
      <c r="Z946" s="6" t="b">
        <v>0</v>
      </c>
      <c r="AA946" s="9"/>
      <c r="AB946" s="9"/>
    </row>
    <row r="947" spans="1:28" ht="16">
      <c r="A947" s="6">
        <v>1058</v>
      </c>
      <c r="B947" s="8" t="s">
        <v>194</v>
      </c>
      <c r="C947" s="8" t="s">
        <v>124</v>
      </c>
      <c r="D947" s="8" t="s">
        <v>1705</v>
      </c>
      <c r="E947" s="8" t="s">
        <v>1701</v>
      </c>
      <c r="F947" s="6">
        <v>1056</v>
      </c>
      <c r="G947" s="6" t="b">
        <v>0</v>
      </c>
      <c r="H947" s="8" t="s">
        <v>240</v>
      </c>
      <c r="I947" s="6" t="b">
        <v>0</v>
      </c>
      <c r="J947" s="6" t="b">
        <v>0</v>
      </c>
      <c r="K947" s="6" t="b">
        <v>0</v>
      </c>
      <c r="L947" s="6" t="b">
        <v>1</v>
      </c>
      <c r="M947" s="6" t="b">
        <v>0</v>
      </c>
      <c r="N947" s="6">
        <v>6</v>
      </c>
      <c r="O947" s="8" t="s">
        <v>347</v>
      </c>
      <c r="P947" s="8" t="s">
        <v>238</v>
      </c>
      <c r="Q947" s="8" t="s">
        <v>502</v>
      </c>
      <c r="R947" s="6">
        <v>6</v>
      </c>
      <c r="S947" s="8" t="s">
        <v>347</v>
      </c>
      <c r="T947" s="9"/>
      <c r="U947" s="8" t="s">
        <v>1706</v>
      </c>
      <c r="V947" s="8" t="s">
        <v>496</v>
      </c>
      <c r="W947" s="8" t="s">
        <v>240</v>
      </c>
      <c r="X947" s="8" t="s">
        <v>240</v>
      </c>
      <c r="Y947" s="8" t="s">
        <v>240</v>
      </c>
      <c r="Z947" s="6" t="b">
        <v>0</v>
      </c>
      <c r="AA947" s="9"/>
      <c r="AB947" s="9"/>
    </row>
    <row r="948" spans="1:28" ht="16">
      <c r="A948" s="6">
        <v>1059</v>
      </c>
      <c r="B948" s="8" t="s">
        <v>194</v>
      </c>
      <c r="C948" s="8" t="s">
        <v>124</v>
      </c>
      <c r="D948" s="8" t="s">
        <v>1707</v>
      </c>
      <c r="E948" s="8" t="s">
        <v>1701</v>
      </c>
      <c r="F948" s="6">
        <v>1056</v>
      </c>
      <c r="G948" s="6" t="b">
        <v>0</v>
      </c>
      <c r="H948" s="8" t="s">
        <v>240</v>
      </c>
      <c r="I948" s="6" t="b">
        <v>0</v>
      </c>
      <c r="J948" s="6" t="b">
        <v>0</v>
      </c>
      <c r="K948" s="6" t="b">
        <v>0</v>
      </c>
      <c r="L948" s="6" t="b">
        <v>1</v>
      </c>
      <c r="M948" s="6" t="b">
        <v>0</v>
      </c>
      <c r="N948" s="6">
        <v>6</v>
      </c>
      <c r="O948" s="8" t="s">
        <v>347</v>
      </c>
      <c r="P948" s="8" t="s">
        <v>238</v>
      </c>
      <c r="Q948" s="8" t="s">
        <v>502</v>
      </c>
      <c r="R948" s="6">
        <v>6</v>
      </c>
      <c r="S948" s="8" t="s">
        <v>75</v>
      </c>
      <c r="T948" s="9"/>
      <c r="U948" s="8" t="s">
        <v>240</v>
      </c>
      <c r="V948" s="8" t="s">
        <v>240</v>
      </c>
      <c r="W948" s="8" t="s">
        <v>240</v>
      </c>
      <c r="X948" s="8" t="s">
        <v>240</v>
      </c>
      <c r="Y948" s="8" t="s">
        <v>1708</v>
      </c>
      <c r="Z948" s="6" t="b">
        <v>0</v>
      </c>
      <c r="AA948" s="9"/>
      <c r="AB948" s="9"/>
    </row>
    <row r="949" spans="1:28" ht="16">
      <c r="A949" s="6">
        <v>1060</v>
      </c>
      <c r="B949" s="8" t="s">
        <v>194</v>
      </c>
      <c r="C949" s="8" t="s">
        <v>124</v>
      </c>
      <c r="D949" s="8" t="s">
        <v>1709</v>
      </c>
      <c r="E949" s="8" t="s">
        <v>1701</v>
      </c>
      <c r="F949" s="6">
        <v>1056</v>
      </c>
      <c r="G949" s="6" t="b">
        <v>0</v>
      </c>
      <c r="H949" s="8" t="s">
        <v>240</v>
      </c>
      <c r="I949" s="6" t="b">
        <v>0</v>
      </c>
      <c r="J949" s="6" t="b">
        <v>0</v>
      </c>
      <c r="K949" s="6" t="b">
        <v>0</v>
      </c>
      <c r="L949" s="6" t="b">
        <v>1</v>
      </c>
      <c r="M949" s="6" t="b">
        <v>0</v>
      </c>
      <c r="N949" s="6">
        <v>6</v>
      </c>
      <c r="O949" s="8" t="s">
        <v>347</v>
      </c>
      <c r="P949" s="8" t="s">
        <v>238</v>
      </c>
      <c r="Q949" s="8" t="s">
        <v>502</v>
      </c>
      <c r="R949" s="6">
        <v>6</v>
      </c>
      <c r="S949" s="8" t="s">
        <v>347</v>
      </c>
      <c r="T949" s="9"/>
      <c r="U949" s="8" t="s">
        <v>240</v>
      </c>
      <c r="V949" s="8" t="s">
        <v>496</v>
      </c>
      <c r="W949" s="8" t="s">
        <v>240</v>
      </c>
      <c r="X949" s="8" t="s">
        <v>240</v>
      </c>
      <c r="Y949" s="8" t="s">
        <v>240</v>
      </c>
      <c r="Z949" s="6" t="b">
        <v>0</v>
      </c>
      <c r="AA949" s="9"/>
      <c r="AB949" s="9"/>
    </row>
    <row r="950" spans="1:28" ht="16">
      <c r="A950" s="6">
        <v>1061</v>
      </c>
      <c r="B950" s="8" t="s">
        <v>194</v>
      </c>
      <c r="C950" s="8" t="s">
        <v>1710</v>
      </c>
      <c r="D950" s="8" t="s">
        <v>1711</v>
      </c>
      <c r="E950" s="8" t="s">
        <v>1711</v>
      </c>
      <c r="F950" s="6">
        <v>1061</v>
      </c>
      <c r="G950" s="6" t="b">
        <v>0</v>
      </c>
      <c r="H950" s="8" t="s">
        <v>240</v>
      </c>
      <c r="I950" s="6" t="b">
        <v>0</v>
      </c>
      <c r="J950" s="6" t="b">
        <v>0</v>
      </c>
      <c r="K950" s="6" t="b">
        <v>0</v>
      </c>
      <c r="L950" s="6" t="b">
        <v>1</v>
      </c>
      <c r="M950" s="6" t="b">
        <v>0</v>
      </c>
      <c r="N950" s="6">
        <v>8</v>
      </c>
      <c r="O950" s="8" t="s">
        <v>341</v>
      </c>
      <c r="P950" s="8" t="s">
        <v>350</v>
      </c>
      <c r="Q950" s="8" t="s">
        <v>446</v>
      </c>
      <c r="R950" s="6">
        <v>8</v>
      </c>
      <c r="S950" s="8" t="s">
        <v>75</v>
      </c>
      <c r="T950" s="6">
        <v>9</v>
      </c>
      <c r="U950" s="8" t="s">
        <v>240</v>
      </c>
      <c r="V950" s="8" t="s">
        <v>496</v>
      </c>
      <c r="W950" s="8" t="s">
        <v>240</v>
      </c>
      <c r="X950" s="8" t="s">
        <v>240</v>
      </c>
      <c r="Y950" s="8" t="s">
        <v>240</v>
      </c>
      <c r="Z950" s="6" t="b">
        <v>0</v>
      </c>
      <c r="AA950" s="9"/>
      <c r="AB950" s="9"/>
    </row>
    <row r="951" spans="1:28" ht="32">
      <c r="A951" s="6">
        <v>1062</v>
      </c>
      <c r="B951" s="8" t="s">
        <v>194</v>
      </c>
      <c r="C951" s="8" t="s">
        <v>1710</v>
      </c>
      <c r="D951" s="8" t="s">
        <v>1712</v>
      </c>
      <c r="E951" s="8" t="s">
        <v>1711</v>
      </c>
      <c r="F951" s="6">
        <v>1061</v>
      </c>
      <c r="G951" s="6" t="b">
        <v>0</v>
      </c>
      <c r="H951" s="8" t="s">
        <v>240</v>
      </c>
      <c r="I951" s="6" t="b">
        <v>0</v>
      </c>
      <c r="J951" s="6" t="b">
        <v>0</v>
      </c>
      <c r="K951" s="6" t="b">
        <v>0</v>
      </c>
      <c r="L951" s="6" t="b">
        <v>1</v>
      </c>
      <c r="M951" s="6" t="b">
        <v>0</v>
      </c>
      <c r="N951" s="6">
        <v>8</v>
      </c>
      <c r="O951" s="8" t="s">
        <v>341</v>
      </c>
      <c r="P951" s="8" t="s">
        <v>350</v>
      </c>
      <c r="Q951" s="8" t="s">
        <v>446</v>
      </c>
      <c r="R951" s="6">
        <v>8</v>
      </c>
      <c r="S951" s="8" t="s">
        <v>75</v>
      </c>
      <c r="T951" s="9"/>
      <c r="U951" s="8" t="s">
        <v>240</v>
      </c>
      <c r="V951" s="8" t="s">
        <v>496</v>
      </c>
      <c r="W951" s="8" t="s">
        <v>240</v>
      </c>
      <c r="X951" s="8" t="s">
        <v>240</v>
      </c>
      <c r="Y951" s="8" t="s">
        <v>240</v>
      </c>
      <c r="Z951" s="6" t="b">
        <v>0</v>
      </c>
      <c r="AA951" s="9"/>
      <c r="AB951" s="9"/>
    </row>
    <row r="952" spans="1:28" ht="16">
      <c r="A952" s="6">
        <v>1063</v>
      </c>
      <c r="B952" s="8" t="s">
        <v>194</v>
      </c>
      <c r="C952" s="8" t="s">
        <v>1713</v>
      </c>
      <c r="D952" s="8" t="s">
        <v>1714</v>
      </c>
      <c r="E952" s="8" t="s">
        <v>1714</v>
      </c>
      <c r="F952" s="6">
        <v>1063</v>
      </c>
      <c r="G952" s="6" t="b">
        <v>0</v>
      </c>
      <c r="H952" s="8" t="s">
        <v>240</v>
      </c>
      <c r="I952" s="6" t="b">
        <v>0</v>
      </c>
      <c r="J952" s="6" t="b">
        <v>0</v>
      </c>
      <c r="K952" s="6" t="b">
        <v>0</v>
      </c>
      <c r="L952" s="6" t="b">
        <v>1</v>
      </c>
      <c r="M952" s="6" t="b">
        <v>0</v>
      </c>
      <c r="N952" s="6">
        <v>0</v>
      </c>
      <c r="O952" s="8" t="s">
        <v>331</v>
      </c>
      <c r="P952" s="8" t="s">
        <v>516</v>
      </c>
      <c r="Q952" s="8" t="s">
        <v>446</v>
      </c>
      <c r="R952" s="6">
        <v>0</v>
      </c>
      <c r="S952" s="8" t="s">
        <v>347</v>
      </c>
      <c r="T952" s="9"/>
      <c r="U952" s="8" t="s">
        <v>240</v>
      </c>
      <c r="V952" s="8" t="s">
        <v>482</v>
      </c>
      <c r="W952" s="8" t="s">
        <v>386</v>
      </c>
      <c r="X952" s="8" t="s">
        <v>240</v>
      </c>
      <c r="Y952" s="8" t="s">
        <v>240</v>
      </c>
      <c r="Z952" s="6" t="b">
        <v>0</v>
      </c>
      <c r="AA952" s="9"/>
      <c r="AB952" s="9"/>
    </row>
    <row r="953" spans="1:28" ht="16">
      <c r="A953" s="6">
        <v>1064</v>
      </c>
      <c r="B953" s="8" t="s">
        <v>194</v>
      </c>
      <c r="C953" s="8" t="s">
        <v>1713</v>
      </c>
      <c r="D953" s="8" t="s">
        <v>1713</v>
      </c>
      <c r="E953" s="8" t="s">
        <v>1713</v>
      </c>
      <c r="F953" s="6">
        <v>1064</v>
      </c>
      <c r="G953" s="6" t="b">
        <v>0</v>
      </c>
      <c r="H953" s="8" t="s">
        <v>240</v>
      </c>
      <c r="I953" s="6" t="b">
        <v>0</v>
      </c>
      <c r="J953" s="6" t="b">
        <v>0</v>
      </c>
      <c r="K953" s="6" t="b">
        <v>0</v>
      </c>
      <c r="L953" s="6" t="b">
        <v>1</v>
      </c>
      <c r="M953" s="6" t="b">
        <v>0</v>
      </c>
      <c r="N953" s="6">
        <v>0</v>
      </c>
      <c r="O953" s="8" t="s">
        <v>331</v>
      </c>
      <c r="P953" s="8" t="s">
        <v>516</v>
      </c>
      <c r="Q953" s="8" t="s">
        <v>502</v>
      </c>
      <c r="R953" s="6">
        <v>0</v>
      </c>
      <c r="S953" s="8" t="s">
        <v>331</v>
      </c>
      <c r="T953" s="6">
        <v>0</v>
      </c>
      <c r="U953" s="8" t="s">
        <v>240</v>
      </c>
      <c r="V953" s="8" t="s">
        <v>482</v>
      </c>
      <c r="W953" s="8" t="s">
        <v>240</v>
      </c>
      <c r="X953" s="8" t="s">
        <v>240</v>
      </c>
      <c r="Y953" s="8" t="s">
        <v>240</v>
      </c>
      <c r="Z953" s="6" t="b">
        <v>0</v>
      </c>
      <c r="AA953" s="9"/>
      <c r="AB953" s="9"/>
    </row>
    <row r="954" spans="1:28" ht="16">
      <c r="A954" s="6">
        <v>1066</v>
      </c>
      <c r="B954" s="8" t="s">
        <v>194</v>
      </c>
      <c r="C954" s="8" t="s">
        <v>1715</v>
      </c>
      <c r="D954" s="8" t="s">
        <v>1716</v>
      </c>
      <c r="E954" s="8" t="s">
        <v>1716</v>
      </c>
      <c r="F954" s="6">
        <v>1066</v>
      </c>
      <c r="G954" s="6" t="b">
        <v>0</v>
      </c>
      <c r="H954" s="8" t="s">
        <v>240</v>
      </c>
      <c r="I954" s="6" t="b">
        <v>0</v>
      </c>
      <c r="J954" s="6" t="b">
        <v>0</v>
      </c>
      <c r="K954" s="6" t="b">
        <v>0</v>
      </c>
      <c r="L954" s="6" t="b">
        <v>1</v>
      </c>
      <c r="M954" s="6" t="b">
        <v>0</v>
      </c>
      <c r="N954" s="6">
        <v>6</v>
      </c>
      <c r="O954" s="8" t="s">
        <v>347</v>
      </c>
      <c r="P954" s="8" t="s">
        <v>338</v>
      </c>
      <c r="Q954" s="8" t="s">
        <v>1490</v>
      </c>
      <c r="R954" s="6">
        <v>6</v>
      </c>
      <c r="S954" s="8" t="s">
        <v>75</v>
      </c>
      <c r="T954" s="9"/>
      <c r="U954" s="8" t="s">
        <v>240</v>
      </c>
      <c r="V954" s="8" t="s">
        <v>1717</v>
      </c>
      <c r="W954" s="8" t="s">
        <v>240</v>
      </c>
      <c r="X954" s="8" t="s">
        <v>240</v>
      </c>
      <c r="Y954" s="8" t="s">
        <v>240</v>
      </c>
      <c r="Z954" s="6" t="b">
        <v>0</v>
      </c>
      <c r="AA954" s="9"/>
      <c r="AB954" s="9"/>
    </row>
    <row r="955" spans="1:28" ht="32">
      <c r="A955" s="6">
        <v>1067</v>
      </c>
      <c r="B955" s="8" t="s">
        <v>194</v>
      </c>
      <c r="C955" s="8" t="s">
        <v>1715</v>
      </c>
      <c r="D955" s="8" t="s">
        <v>1718</v>
      </c>
      <c r="E955" s="8" t="s">
        <v>1716</v>
      </c>
      <c r="F955" s="6">
        <v>1066</v>
      </c>
      <c r="G955" s="6" t="b">
        <v>0</v>
      </c>
      <c r="H955" s="8" t="s">
        <v>240</v>
      </c>
      <c r="I955" s="6" t="b">
        <v>0</v>
      </c>
      <c r="J955" s="6" t="b">
        <v>0</v>
      </c>
      <c r="K955" s="6" t="b">
        <v>0</v>
      </c>
      <c r="L955" s="6" t="b">
        <v>1</v>
      </c>
      <c r="M955" s="6" t="b">
        <v>0</v>
      </c>
      <c r="N955" s="6">
        <v>6</v>
      </c>
      <c r="O955" s="8" t="s">
        <v>347</v>
      </c>
      <c r="P955" s="8" t="s">
        <v>338</v>
      </c>
      <c r="Q955" s="8" t="s">
        <v>1490</v>
      </c>
      <c r="R955" s="6">
        <v>6</v>
      </c>
      <c r="S955" s="8" t="s">
        <v>75</v>
      </c>
      <c r="T955" s="9"/>
      <c r="U955" s="8" t="s">
        <v>240</v>
      </c>
      <c r="V955" s="8" t="s">
        <v>1717</v>
      </c>
      <c r="W955" s="8" t="s">
        <v>240</v>
      </c>
      <c r="X955" s="8" t="s">
        <v>240</v>
      </c>
      <c r="Y955" s="8" t="s">
        <v>240</v>
      </c>
      <c r="Z955" s="6" t="b">
        <v>0</v>
      </c>
      <c r="AA955" s="9"/>
      <c r="AB955" s="9"/>
    </row>
    <row r="956" spans="1:28" ht="32">
      <c r="A956" s="6">
        <v>1068</v>
      </c>
      <c r="B956" s="8" t="s">
        <v>194</v>
      </c>
      <c r="C956" s="8" t="s">
        <v>90</v>
      </c>
      <c r="D956" s="8" t="s">
        <v>1719</v>
      </c>
      <c r="E956" s="8" t="s">
        <v>1719</v>
      </c>
      <c r="F956" s="6">
        <v>1068</v>
      </c>
      <c r="G956" s="6" t="b">
        <v>0</v>
      </c>
      <c r="H956" s="8" t="s">
        <v>240</v>
      </c>
      <c r="I956" s="6" t="b">
        <v>0</v>
      </c>
      <c r="J956" s="6" t="b">
        <v>1</v>
      </c>
      <c r="K956" s="6" t="b">
        <v>0</v>
      </c>
      <c r="L956" s="6" t="b">
        <v>1</v>
      </c>
      <c r="M956" s="6" t="b">
        <v>0</v>
      </c>
      <c r="N956" s="6">
        <v>6</v>
      </c>
      <c r="O956" s="8" t="s">
        <v>331</v>
      </c>
      <c r="P956" s="8" t="s">
        <v>380</v>
      </c>
      <c r="Q956" s="8" t="s">
        <v>811</v>
      </c>
      <c r="R956" s="6">
        <v>5</v>
      </c>
      <c r="S956" s="8" t="s">
        <v>347</v>
      </c>
      <c r="T956" s="6">
        <v>5</v>
      </c>
      <c r="U956" s="8" t="s">
        <v>240</v>
      </c>
      <c r="V956" s="8" t="s">
        <v>496</v>
      </c>
      <c r="W956" s="8" t="s">
        <v>240</v>
      </c>
      <c r="X956" s="8" t="s">
        <v>240</v>
      </c>
      <c r="Y956" s="8" t="s">
        <v>1720</v>
      </c>
      <c r="Z956" s="6" t="b">
        <v>0</v>
      </c>
      <c r="AA956" s="9"/>
      <c r="AB956" s="9"/>
    </row>
    <row r="957" spans="1:28" ht="16">
      <c r="A957" s="6">
        <v>1069</v>
      </c>
      <c r="B957" s="8" t="s">
        <v>194</v>
      </c>
      <c r="C957" s="8" t="s">
        <v>90</v>
      </c>
      <c r="D957" s="8" t="s">
        <v>1721</v>
      </c>
      <c r="E957" s="8" t="s">
        <v>1719</v>
      </c>
      <c r="F957" s="6">
        <v>1068</v>
      </c>
      <c r="G957" s="6" t="b">
        <v>0</v>
      </c>
      <c r="H957" s="8" t="s">
        <v>240</v>
      </c>
      <c r="I957" s="6" t="b">
        <v>0</v>
      </c>
      <c r="J957" s="6" t="b">
        <v>1</v>
      </c>
      <c r="K957" s="6" t="b">
        <v>0</v>
      </c>
      <c r="L957" s="6" t="b">
        <v>1</v>
      </c>
      <c r="M957" s="6" t="b">
        <v>0</v>
      </c>
      <c r="N957" s="6">
        <v>6</v>
      </c>
      <c r="O957" s="8" t="s">
        <v>331</v>
      </c>
      <c r="P957" s="8" t="s">
        <v>380</v>
      </c>
      <c r="Q957" s="8" t="s">
        <v>335</v>
      </c>
      <c r="R957" s="6">
        <v>5</v>
      </c>
      <c r="S957" s="8" t="s">
        <v>335</v>
      </c>
      <c r="T957" s="6">
        <v>5</v>
      </c>
      <c r="U957" s="8" t="s">
        <v>240</v>
      </c>
      <c r="V957" s="8" t="s">
        <v>496</v>
      </c>
      <c r="W957" s="8" t="s">
        <v>240</v>
      </c>
      <c r="X957" s="8" t="s">
        <v>240</v>
      </c>
      <c r="Y957" s="8" t="s">
        <v>240</v>
      </c>
      <c r="Z957" s="6" t="b">
        <v>0</v>
      </c>
      <c r="AA957" s="9"/>
      <c r="AB957" s="9"/>
    </row>
    <row r="958" spans="1:28" ht="32">
      <c r="A958" s="6">
        <v>1070</v>
      </c>
      <c r="B958" s="8" t="s">
        <v>194</v>
      </c>
      <c r="C958" s="8" t="s">
        <v>90</v>
      </c>
      <c r="D958" s="8" t="s">
        <v>1722</v>
      </c>
      <c r="E958" s="8" t="s">
        <v>1719</v>
      </c>
      <c r="F958" s="6">
        <v>1068</v>
      </c>
      <c r="G958" s="6" t="b">
        <v>0</v>
      </c>
      <c r="H958" s="8" t="s">
        <v>240</v>
      </c>
      <c r="I958" s="6" t="b">
        <v>0</v>
      </c>
      <c r="J958" s="6" t="b">
        <v>1</v>
      </c>
      <c r="K958" s="6" t="b">
        <v>0</v>
      </c>
      <c r="L958" s="6" t="b">
        <v>1</v>
      </c>
      <c r="M958" s="6" t="b">
        <v>0</v>
      </c>
      <c r="N958" s="6">
        <v>6</v>
      </c>
      <c r="O958" s="8" t="s">
        <v>331</v>
      </c>
      <c r="P958" s="8" t="s">
        <v>380</v>
      </c>
      <c r="Q958" s="8" t="s">
        <v>811</v>
      </c>
      <c r="R958" s="6">
        <v>5</v>
      </c>
      <c r="S958" s="8" t="s">
        <v>347</v>
      </c>
      <c r="T958" s="9"/>
      <c r="U958" s="8" t="s">
        <v>240</v>
      </c>
      <c r="V958" s="8" t="s">
        <v>496</v>
      </c>
      <c r="W958" s="8" t="s">
        <v>240</v>
      </c>
      <c r="X958" s="8" t="s">
        <v>240</v>
      </c>
      <c r="Y958" s="8" t="s">
        <v>240</v>
      </c>
      <c r="Z958" s="6" t="b">
        <v>0</v>
      </c>
      <c r="AA958" s="9"/>
      <c r="AB958" s="9"/>
    </row>
    <row r="959" spans="1:28" ht="32">
      <c r="A959" s="6">
        <v>1071</v>
      </c>
      <c r="B959" s="8" t="s">
        <v>194</v>
      </c>
      <c r="C959" s="8" t="s">
        <v>90</v>
      </c>
      <c r="D959" s="8" t="s">
        <v>1723</v>
      </c>
      <c r="E959" s="8" t="s">
        <v>1719</v>
      </c>
      <c r="F959" s="6">
        <v>1068</v>
      </c>
      <c r="G959" s="6" t="b">
        <v>0</v>
      </c>
      <c r="H959" s="8" t="s">
        <v>240</v>
      </c>
      <c r="I959" s="6" t="b">
        <v>0</v>
      </c>
      <c r="J959" s="6" t="b">
        <v>1</v>
      </c>
      <c r="K959" s="6" t="b">
        <v>0</v>
      </c>
      <c r="L959" s="6" t="b">
        <v>1</v>
      </c>
      <c r="M959" s="6" t="b">
        <v>0</v>
      </c>
      <c r="N959" s="6">
        <v>6</v>
      </c>
      <c r="O959" s="8" t="s">
        <v>331</v>
      </c>
      <c r="P959" s="8" t="s">
        <v>380</v>
      </c>
      <c r="Q959" s="8" t="s">
        <v>811</v>
      </c>
      <c r="R959" s="6">
        <v>5</v>
      </c>
      <c r="S959" s="8" t="s">
        <v>347</v>
      </c>
      <c r="T959" s="9"/>
      <c r="U959" s="8" t="s">
        <v>240</v>
      </c>
      <c r="V959" s="8" t="s">
        <v>496</v>
      </c>
      <c r="W959" s="8" t="s">
        <v>240</v>
      </c>
      <c r="X959" s="8" t="s">
        <v>240</v>
      </c>
      <c r="Y959" s="8" t="s">
        <v>240</v>
      </c>
      <c r="Z959" s="6" t="b">
        <v>0</v>
      </c>
      <c r="AA959" s="9"/>
      <c r="AB959" s="9"/>
    </row>
    <row r="960" spans="1:28" ht="32">
      <c r="A960" s="6">
        <v>1072</v>
      </c>
      <c r="B960" s="8" t="s">
        <v>194</v>
      </c>
      <c r="C960" s="8" t="s">
        <v>90</v>
      </c>
      <c r="D960" s="8" t="s">
        <v>1724</v>
      </c>
      <c r="E960" s="8" t="s">
        <v>1719</v>
      </c>
      <c r="F960" s="6">
        <v>1068</v>
      </c>
      <c r="G960" s="6" t="b">
        <v>0</v>
      </c>
      <c r="H960" s="8" t="s">
        <v>240</v>
      </c>
      <c r="I960" s="6" t="b">
        <v>0</v>
      </c>
      <c r="J960" s="6" t="b">
        <v>1</v>
      </c>
      <c r="K960" s="6" t="b">
        <v>0</v>
      </c>
      <c r="L960" s="6" t="b">
        <v>1</v>
      </c>
      <c r="M960" s="6" t="b">
        <v>0</v>
      </c>
      <c r="N960" s="6">
        <v>6</v>
      </c>
      <c r="O960" s="8" t="s">
        <v>331</v>
      </c>
      <c r="P960" s="8" t="s">
        <v>380</v>
      </c>
      <c r="Q960" s="8" t="s">
        <v>811</v>
      </c>
      <c r="R960" s="6">
        <v>6</v>
      </c>
      <c r="S960" s="8" t="s">
        <v>75</v>
      </c>
      <c r="T960" s="6">
        <v>5</v>
      </c>
      <c r="U960" s="8" t="s">
        <v>240</v>
      </c>
      <c r="V960" s="8" t="s">
        <v>240</v>
      </c>
      <c r="W960" s="8" t="s">
        <v>240</v>
      </c>
      <c r="X960" s="8" t="s">
        <v>240</v>
      </c>
      <c r="Y960" s="8" t="s">
        <v>240</v>
      </c>
      <c r="Z960" s="6" t="b">
        <v>0</v>
      </c>
      <c r="AA960" s="9"/>
      <c r="AB960" s="9"/>
    </row>
    <row r="961" spans="1:28" ht="16">
      <c r="A961" s="6">
        <v>1073</v>
      </c>
      <c r="B961" s="8" t="s">
        <v>194</v>
      </c>
      <c r="C961" s="8" t="s">
        <v>90</v>
      </c>
      <c r="D961" s="8" t="s">
        <v>1725</v>
      </c>
      <c r="E961" s="8" t="s">
        <v>1725</v>
      </c>
      <c r="F961" s="6">
        <v>1073</v>
      </c>
      <c r="G961" s="6" t="b">
        <v>0</v>
      </c>
      <c r="H961" s="8" t="s">
        <v>240</v>
      </c>
      <c r="I961" s="6" t="b">
        <v>0</v>
      </c>
      <c r="J961" s="6" t="b">
        <v>1</v>
      </c>
      <c r="K961" s="6" t="b">
        <v>0</v>
      </c>
      <c r="L961" s="6" t="b">
        <v>1</v>
      </c>
      <c r="M961" s="6" t="b">
        <v>0</v>
      </c>
      <c r="N961" s="6">
        <v>6</v>
      </c>
      <c r="O961" s="8" t="s">
        <v>331</v>
      </c>
      <c r="P961" s="8" t="s">
        <v>350</v>
      </c>
      <c r="Q961" s="8" t="s">
        <v>335</v>
      </c>
      <c r="R961" s="6">
        <v>6</v>
      </c>
      <c r="S961" s="8" t="s">
        <v>75</v>
      </c>
      <c r="T961" s="9"/>
      <c r="U961" s="8" t="s">
        <v>240</v>
      </c>
      <c r="V961" s="8" t="s">
        <v>450</v>
      </c>
      <c r="W961" s="8" t="s">
        <v>240</v>
      </c>
      <c r="X961" s="8" t="s">
        <v>240</v>
      </c>
      <c r="Y961" s="8" t="s">
        <v>240</v>
      </c>
      <c r="Z961" s="6" t="b">
        <v>0</v>
      </c>
      <c r="AA961" s="9"/>
      <c r="AB961" s="9"/>
    </row>
    <row r="962" spans="1:28" ht="16">
      <c r="A962" s="6">
        <v>1074</v>
      </c>
      <c r="B962" s="8" t="s">
        <v>194</v>
      </c>
      <c r="C962" s="8" t="s">
        <v>90</v>
      </c>
      <c r="D962" s="8" t="s">
        <v>1726</v>
      </c>
      <c r="E962" s="8" t="s">
        <v>1726</v>
      </c>
      <c r="F962" s="6">
        <v>1074</v>
      </c>
      <c r="G962" s="6" t="b">
        <v>0</v>
      </c>
      <c r="H962" s="8" t="s">
        <v>240</v>
      </c>
      <c r="I962" s="6" t="b">
        <v>1</v>
      </c>
      <c r="J962" s="6" t="b">
        <v>0</v>
      </c>
      <c r="K962" s="6" t="b">
        <v>0</v>
      </c>
      <c r="L962" s="6" t="b">
        <v>1</v>
      </c>
      <c r="M962" s="6" t="b">
        <v>0</v>
      </c>
      <c r="N962" s="6">
        <v>6</v>
      </c>
      <c r="O962" s="8" t="s">
        <v>331</v>
      </c>
      <c r="P962" s="8" t="s">
        <v>1727</v>
      </c>
      <c r="Q962" s="8" t="s">
        <v>446</v>
      </c>
      <c r="R962" s="6">
        <v>6</v>
      </c>
      <c r="S962" s="8" t="s">
        <v>347</v>
      </c>
      <c r="T962" s="6">
        <v>6</v>
      </c>
      <c r="U962" s="8" t="s">
        <v>1728</v>
      </c>
      <c r="V962" s="8" t="s">
        <v>1012</v>
      </c>
      <c r="W962" s="8" t="s">
        <v>240</v>
      </c>
      <c r="X962" s="8" t="s">
        <v>240</v>
      </c>
      <c r="Y962" s="8" t="s">
        <v>240</v>
      </c>
      <c r="Z962" s="6" t="b">
        <v>0</v>
      </c>
      <c r="AA962" s="9"/>
      <c r="AB962" s="9"/>
    </row>
    <row r="963" spans="1:28" ht="32">
      <c r="A963" s="6">
        <v>1076</v>
      </c>
      <c r="B963" s="8" t="s">
        <v>194</v>
      </c>
      <c r="C963" s="8" t="s">
        <v>90</v>
      </c>
      <c r="D963" s="8" t="s">
        <v>1729</v>
      </c>
      <c r="E963" s="8" t="s">
        <v>1726</v>
      </c>
      <c r="F963" s="6">
        <v>1074</v>
      </c>
      <c r="G963" s="6" t="b">
        <v>0</v>
      </c>
      <c r="H963" s="8" t="s">
        <v>240</v>
      </c>
      <c r="I963" s="6" t="b">
        <v>1</v>
      </c>
      <c r="J963" s="6" t="b">
        <v>0</v>
      </c>
      <c r="K963" s="6" t="b">
        <v>0</v>
      </c>
      <c r="L963" s="6" t="b">
        <v>1</v>
      </c>
      <c r="M963" s="6" t="b">
        <v>0</v>
      </c>
      <c r="N963" s="6">
        <v>6</v>
      </c>
      <c r="O963" s="8" t="s">
        <v>331</v>
      </c>
      <c r="P963" s="8" t="s">
        <v>1727</v>
      </c>
      <c r="Q963" s="8" t="s">
        <v>446</v>
      </c>
      <c r="R963" s="6">
        <v>6</v>
      </c>
      <c r="S963" s="8" t="s">
        <v>335</v>
      </c>
      <c r="T963" s="6">
        <v>6</v>
      </c>
      <c r="U963" s="8" t="s">
        <v>1730</v>
      </c>
      <c r="V963" s="8" t="s">
        <v>1012</v>
      </c>
      <c r="W963" s="8" t="s">
        <v>240</v>
      </c>
      <c r="X963" s="8" t="s">
        <v>240</v>
      </c>
      <c r="Y963" s="8" t="s">
        <v>240</v>
      </c>
      <c r="Z963" s="6" t="b">
        <v>0</v>
      </c>
      <c r="AA963" s="9"/>
      <c r="AB963" s="9"/>
    </row>
    <row r="964" spans="1:28" ht="16">
      <c r="A964" s="6">
        <v>1078</v>
      </c>
      <c r="B964" s="8" t="s">
        <v>194</v>
      </c>
      <c r="C964" s="8" t="s">
        <v>90</v>
      </c>
      <c r="D964" s="8" t="s">
        <v>1731</v>
      </c>
      <c r="E964" s="8" t="s">
        <v>1731</v>
      </c>
      <c r="F964" s="6">
        <v>1078</v>
      </c>
      <c r="G964" s="6" t="b">
        <v>0</v>
      </c>
      <c r="H964" s="8" t="s">
        <v>240</v>
      </c>
      <c r="I964" s="6" t="b">
        <v>0</v>
      </c>
      <c r="J964" s="6" t="b">
        <v>0</v>
      </c>
      <c r="K964" s="6" t="b">
        <v>0</v>
      </c>
      <c r="L964" s="6" t="b">
        <v>1</v>
      </c>
      <c r="M964" s="6" t="b">
        <v>0</v>
      </c>
      <c r="N964" s="6">
        <v>6</v>
      </c>
      <c r="O964" s="8" t="s">
        <v>331</v>
      </c>
      <c r="P964" s="8" t="s">
        <v>238</v>
      </c>
      <c r="Q964" s="8" t="s">
        <v>335</v>
      </c>
      <c r="R964" s="6">
        <v>6</v>
      </c>
      <c r="S964" s="8" t="s">
        <v>347</v>
      </c>
      <c r="T964" s="9"/>
      <c r="U964" s="8" t="s">
        <v>240</v>
      </c>
      <c r="V964" s="8" t="s">
        <v>450</v>
      </c>
      <c r="W964" s="8" t="s">
        <v>240</v>
      </c>
      <c r="X964" s="8" t="s">
        <v>240</v>
      </c>
      <c r="Y964" s="8" t="s">
        <v>240</v>
      </c>
      <c r="Z964" s="6" t="b">
        <v>0</v>
      </c>
      <c r="AA964" s="9"/>
      <c r="AB964" s="9"/>
    </row>
    <row r="965" spans="1:28" ht="16">
      <c r="A965" s="6">
        <v>1079</v>
      </c>
      <c r="B965" s="8" t="s">
        <v>194</v>
      </c>
      <c r="C965" s="8" t="s">
        <v>90</v>
      </c>
      <c r="D965" s="8" t="s">
        <v>1732</v>
      </c>
      <c r="E965" s="8" t="s">
        <v>1731</v>
      </c>
      <c r="F965" s="6">
        <v>1078</v>
      </c>
      <c r="G965" s="6" t="b">
        <v>0</v>
      </c>
      <c r="H965" s="8" t="s">
        <v>240</v>
      </c>
      <c r="I965" s="6" t="b">
        <v>0</v>
      </c>
      <c r="J965" s="6" t="b">
        <v>0</v>
      </c>
      <c r="K965" s="6" t="b">
        <v>0</v>
      </c>
      <c r="L965" s="6" t="b">
        <v>1</v>
      </c>
      <c r="M965" s="6" t="b">
        <v>0</v>
      </c>
      <c r="N965" s="6">
        <v>6</v>
      </c>
      <c r="O965" s="8" t="s">
        <v>331</v>
      </c>
      <c r="P965" s="8" t="s">
        <v>238</v>
      </c>
      <c r="Q965" s="8" t="s">
        <v>335</v>
      </c>
      <c r="R965" s="6">
        <v>6</v>
      </c>
      <c r="S965" s="8" t="s">
        <v>347</v>
      </c>
      <c r="T965" s="6">
        <v>6</v>
      </c>
      <c r="U965" s="8" t="s">
        <v>1733</v>
      </c>
      <c r="V965" s="8" t="s">
        <v>450</v>
      </c>
      <c r="W965" s="8" t="s">
        <v>240</v>
      </c>
      <c r="X965" s="8" t="s">
        <v>240</v>
      </c>
      <c r="Y965" s="8" t="s">
        <v>1734</v>
      </c>
      <c r="Z965" s="6" t="b">
        <v>0</v>
      </c>
      <c r="AA965" s="9"/>
      <c r="AB965" s="9"/>
    </row>
    <row r="966" spans="1:28" ht="16">
      <c r="A966" s="6">
        <v>1080</v>
      </c>
      <c r="B966" s="8" t="s">
        <v>194</v>
      </c>
      <c r="C966" s="8" t="s">
        <v>90</v>
      </c>
      <c r="D966" s="8" t="s">
        <v>1735</v>
      </c>
      <c r="E966" s="8" t="s">
        <v>1735</v>
      </c>
      <c r="F966" s="6">
        <v>1080</v>
      </c>
      <c r="G966" s="6" t="b">
        <v>0</v>
      </c>
      <c r="H966" s="8" t="s">
        <v>240</v>
      </c>
      <c r="I966" s="6" t="b">
        <v>0</v>
      </c>
      <c r="J966" s="6" t="b">
        <v>1</v>
      </c>
      <c r="K966" s="6" t="b">
        <v>0</v>
      </c>
      <c r="L966" s="6" t="b">
        <v>1</v>
      </c>
      <c r="M966" s="6" t="b">
        <v>0</v>
      </c>
      <c r="N966" s="6">
        <v>6</v>
      </c>
      <c r="O966" s="8" t="s">
        <v>331</v>
      </c>
      <c r="P966" s="8" t="s">
        <v>238</v>
      </c>
      <c r="Q966" s="8" t="s">
        <v>446</v>
      </c>
      <c r="R966" s="6">
        <v>5</v>
      </c>
      <c r="S966" s="8" t="s">
        <v>347</v>
      </c>
      <c r="T966" s="9"/>
      <c r="U966" s="8" t="s">
        <v>240</v>
      </c>
      <c r="V966" s="8" t="s">
        <v>1736</v>
      </c>
      <c r="W966" s="8" t="s">
        <v>240</v>
      </c>
      <c r="X966" s="8" t="s">
        <v>240</v>
      </c>
      <c r="Y966" s="8" t="s">
        <v>1737</v>
      </c>
      <c r="Z966" s="6" t="b">
        <v>0</v>
      </c>
      <c r="AA966" s="9"/>
      <c r="AB966" s="9"/>
    </row>
    <row r="967" spans="1:28" ht="32">
      <c r="A967" s="6">
        <v>1081</v>
      </c>
      <c r="B967" s="8" t="s">
        <v>194</v>
      </c>
      <c r="C967" s="8" t="s">
        <v>90</v>
      </c>
      <c r="D967" s="8" t="s">
        <v>1738</v>
      </c>
      <c r="E967" s="8" t="s">
        <v>1735</v>
      </c>
      <c r="F967" s="6">
        <v>1080</v>
      </c>
      <c r="G967" s="6" t="b">
        <v>0</v>
      </c>
      <c r="H967" s="8" t="s">
        <v>240</v>
      </c>
      <c r="I967" s="6" t="b">
        <v>0</v>
      </c>
      <c r="J967" s="6" t="b">
        <v>1</v>
      </c>
      <c r="K967" s="6" t="b">
        <v>0</v>
      </c>
      <c r="L967" s="6" t="b">
        <v>1</v>
      </c>
      <c r="M967" s="6" t="b">
        <v>0</v>
      </c>
      <c r="N967" s="6">
        <v>6</v>
      </c>
      <c r="O967" s="8" t="s">
        <v>331</v>
      </c>
      <c r="P967" s="8" t="s">
        <v>238</v>
      </c>
      <c r="Q967" s="8" t="s">
        <v>446</v>
      </c>
      <c r="R967" s="6">
        <v>5</v>
      </c>
      <c r="S967" s="8" t="s">
        <v>335</v>
      </c>
      <c r="T967" s="6">
        <v>5</v>
      </c>
      <c r="U967" s="8" t="s">
        <v>1739</v>
      </c>
      <c r="V967" s="8" t="s">
        <v>1736</v>
      </c>
      <c r="W967" s="8" t="s">
        <v>240</v>
      </c>
      <c r="X967" s="8" t="s">
        <v>240</v>
      </c>
      <c r="Y967" s="8" t="s">
        <v>240</v>
      </c>
      <c r="Z967" s="6" t="b">
        <v>0</v>
      </c>
      <c r="AA967" s="9"/>
      <c r="AB967" s="9"/>
    </row>
    <row r="968" spans="1:28" ht="32">
      <c r="A968" s="6">
        <v>1082</v>
      </c>
      <c r="B968" s="8" t="s">
        <v>194</v>
      </c>
      <c r="C968" s="8" t="s">
        <v>90</v>
      </c>
      <c r="D968" s="8" t="s">
        <v>1740</v>
      </c>
      <c r="E968" s="8" t="s">
        <v>1735</v>
      </c>
      <c r="F968" s="6">
        <v>1080</v>
      </c>
      <c r="G968" s="6" t="b">
        <v>0</v>
      </c>
      <c r="H968" s="8" t="s">
        <v>240</v>
      </c>
      <c r="I968" s="6" t="b">
        <v>0</v>
      </c>
      <c r="J968" s="6" t="b">
        <v>1</v>
      </c>
      <c r="K968" s="6" t="b">
        <v>0</v>
      </c>
      <c r="L968" s="6" t="b">
        <v>1</v>
      </c>
      <c r="M968" s="6" t="b">
        <v>0</v>
      </c>
      <c r="N968" s="6">
        <v>6</v>
      </c>
      <c r="O968" s="8" t="s">
        <v>331</v>
      </c>
      <c r="P968" s="8" t="s">
        <v>238</v>
      </c>
      <c r="Q968" s="8" t="s">
        <v>335</v>
      </c>
      <c r="R968" s="6">
        <v>5</v>
      </c>
      <c r="S968" s="8" t="s">
        <v>335</v>
      </c>
      <c r="T968" s="6">
        <v>5</v>
      </c>
      <c r="U968" s="8" t="s">
        <v>240</v>
      </c>
      <c r="V968" s="8" t="s">
        <v>1736</v>
      </c>
      <c r="W968" s="8" t="s">
        <v>240</v>
      </c>
      <c r="X968" s="8" t="s">
        <v>240</v>
      </c>
      <c r="Y968" s="8" t="s">
        <v>240</v>
      </c>
      <c r="Z968" s="6" t="b">
        <v>0</v>
      </c>
      <c r="AA968" s="9"/>
      <c r="AB968" s="9"/>
    </row>
    <row r="969" spans="1:28" ht="16">
      <c r="A969" s="6">
        <v>1083</v>
      </c>
      <c r="B969" s="8" t="s">
        <v>194</v>
      </c>
      <c r="C969" s="8" t="s">
        <v>124</v>
      </c>
      <c r="D969" s="8" t="s">
        <v>124</v>
      </c>
      <c r="E969" s="8" t="s">
        <v>124</v>
      </c>
      <c r="F969" s="6">
        <v>1083</v>
      </c>
      <c r="G969" s="6" t="b">
        <v>0</v>
      </c>
      <c r="H969" s="8" t="s">
        <v>240</v>
      </c>
      <c r="I969" s="6" t="b">
        <v>0</v>
      </c>
      <c r="J969" s="6" t="b">
        <v>0</v>
      </c>
      <c r="K969" s="6" t="b">
        <v>0</v>
      </c>
      <c r="L969" s="6" t="b">
        <v>1</v>
      </c>
      <c r="M969" s="6" t="b">
        <v>0</v>
      </c>
      <c r="N969" s="6">
        <v>6</v>
      </c>
      <c r="O969" s="8" t="s">
        <v>347</v>
      </c>
      <c r="P969" s="8" t="s">
        <v>238</v>
      </c>
      <c r="Q969" s="8" t="s">
        <v>502</v>
      </c>
      <c r="R969" s="6">
        <v>6</v>
      </c>
      <c r="S969" s="8" t="s">
        <v>347</v>
      </c>
      <c r="T969" s="6">
        <v>6</v>
      </c>
      <c r="U969" s="8" t="s">
        <v>240</v>
      </c>
      <c r="V969" s="8" t="s">
        <v>1696</v>
      </c>
      <c r="W969" s="8" t="s">
        <v>240</v>
      </c>
      <c r="X969" s="8" t="s">
        <v>240</v>
      </c>
      <c r="Y969" s="8" t="s">
        <v>1741</v>
      </c>
      <c r="Z969" s="6" t="b">
        <v>0</v>
      </c>
      <c r="AA969" s="9"/>
      <c r="AB969" s="9"/>
    </row>
    <row r="970" spans="1:28" ht="16">
      <c r="A970" s="6">
        <v>1084</v>
      </c>
      <c r="B970" s="8" t="s">
        <v>194</v>
      </c>
      <c r="C970" s="8" t="s">
        <v>1742</v>
      </c>
      <c r="D970" s="8" t="s">
        <v>1743</v>
      </c>
      <c r="E970" s="8" t="s">
        <v>1743</v>
      </c>
      <c r="F970" s="6">
        <v>1084</v>
      </c>
      <c r="G970" s="6" t="b">
        <v>0</v>
      </c>
      <c r="H970" s="8" t="s">
        <v>240</v>
      </c>
      <c r="I970" s="6" t="b">
        <v>0</v>
      </c>
      <c r="J970" s="6" t="b">
        <v>0</v>
      </c>
      <c r="K970" s="6" t="b">
        <v>0</v>
      </c>
      <c r="L970" s="6" t="b">
        <v>1</v>
      </c>
      <c r="M970" s="6" t="b">
        <v>0</v>
      </c>
      <c r="N970" s="6">
        <v>8</v>
      </c>
      <c r="O970" s="8" t="s">
        <v>341</v>
      </c>
      <c r="P970" s="8" t="s">
        <v>238</v>
      </c>
      <c r="Q970" s="8" t="s">
        <v>381</v>
      </c>
      <c r="R970" s="6">
        <v>8</v>
      </c>
      <c r="S970" s="8" t="s">
        <v>347</v>
      </c>
      <c r="T970" s="6">
        <v>8</v>
      </c>
      <c r="U970" s="8" t="s">
        <v>240</v>
      </c>
      <c r="V970" s="8" t="s">
        <v>450</v>
      </c>
      <c r="W970" s="8" t="s">
        <v>240</v>
      </c>
      <c r="X970" s="8" t="s">
        <v>240</v>
      </c>
      <c r="Y970" s="8" t="s">
        <v>240</v>
      </c>
      <c r="Z970" s="6" t="b">
        <v>0</v>
      </c>
      <c r="AA970" s="9"/>
      <c r="AB970" s="9"/>
    </row>
    <row r="971" spans="1:28" ht="32">
      <c r="A971" s="6">
        <v>1085</v>
      </c>
      <c r="B971" s="8" t="s">
        <v>194</v>
      </c>
      <c r="C971" s="8" t="s">
        <v>1742</v>
      </c>
      <c r="D971" s="8" t="s">
        <v>1744</v>
      </c>
      <c r="E971" s="8" t="s">
        <v>1743</v>
      </c>
      <c r="F971" s="6">
        <v>1084</v>
      </c>
      <c r="G971" s="6" t="b">
        <v>0</v>
      </c>
      <c r="H971" s="8" t="s">
        <v>240</v>
      </c>
      <c r="I971" s="6" t="b">
        <v>0</v>
      </c>
      <c r="J971" s="6" t="b">
        <v>0</v>
      </c>
      <c r="K971" s="6" t="b">
        <v>0</v>
      </c>
      <c r="L971" s="6" t="b">
        <v>1</v>
      </c>
      <c r="M971" s="6" t="b">
        <v>0</v>
      </c>
      <c r="N971" s="6">
        <v>8</v>
      </c>
      <c r="O971" s="8" t="s">
        <v>341</v>
      </c>
      <c r="P971" s="8" t="s">
        <v>238</v>
      </c>
      <c r="Q971" s="8" t="s">
        <v>381</v>
      </c>
      <c r="R971" s="6">
        <v>8</v>
      </c>
      <c r="S971" s="8" t="s">
        <v>347</v>
      </c>
      <c r="T971" s="9"/>
      <c r="U971" s="8" t="s">
        <v>240</v>
      </c>
      <c r="V971" s="8" t="s">
        <v>450</v>
      </c>
      <c r="W971" s="8" t="s">
        <v>240</v>
      </c>
      <c r="X971" s="8" t="s">
        <v>240</v>
      </c>
      <c r="Y971" s="8" t="s">
        <v>240</v>
      </c>
      <c r="Z971" s="6" t="b">
        <v>0</v>
      </c>
      <c r="AA971" s="9"/>
      <c r="AB971" s="9"/>
    </row>
    <row r="972" spans="1:28" ht="16">
      <c r="A972" s="6">
        <v>1086</v>
      </c>
      <c r="B972" s="8" t="s">
        <v>194</v>
      </c>
      <c r="C972" s="8" t="s">
        <v>131</v>
      </c>
      <c r="D972" s="8" t="s">
        <v>1745</v>
      </c>
      <c r="E972" s="8" t="s">
        <v>1745</v>
      </c>
      <c r="F972" s="6">
        <v>1086</v>
      </c>
      <c r="G972" s="6" t="b">
        <v>0</v>
      </c>
      <c r="H972" s="8" t="s">
        <v>240</v>
      </c>
      <c r="I972" s="6" t="b">
        <v>0</v>
      </c>
      <c r="J972" s="6" t="b">
        <v>0</v>
      </c>
      <c r="K972" s="6" t="b">
        <v>0</v>
      </c>
      <c r="L972" s="6" t="b">
        <v>1</v>
      </c>
      <c r="M972" s="6" t="b">
        <v>0</v>
      </c>
      <c r="N972" s="6">
        <v>6</v>
      </c>
      <c r="O972" s="8" t="s">
        <v>331</v>
      </c>
      <c r="P972" s="8" t="s">
        <v>238</v>
      </c>
      <c r="Q972" s="8" t="s">
        <v>502</v>
      </c>
      <c r="R972" s="6">
        <v>6</v>
      </c>
      <c r="S972" s="8" t="s">
        <v>335</v>
      </c>
      <c r="T972" s="6">
        <v>6</v>
      </c>
      <c r="U972" s="8" t="s">
        <v>240</v>
      </c>
      <c r="V972" s="8" t="s">
        <v>1696</v>
      </c>
      <c r="W972" s="8" t="s">
        <v>240</v>
      </c>
      <c r="X972" s="8" t="s">
        <v>240</v>
      </c>
      <c r="Y972" s="8" t="s">
        <v>1746</v>
      </c>
      <c r="Z972" s="6" t="b">
        <v>0</v>
      </c>
      <c r="AA972" s="9"/>
      <c r="AB972" s="9"/>
    </row>
    <row r="973" spans="1:28" ht="16">
      <c r="A973" s="6">
        <v>1087</v>
      </c>
      <c r="B973" s="8" t="s">
        <v>194</v>
      </c>
      <c r="C973" s="8" t="s">
        <v>131</v>
      </c>
      <c r="D973" s="8" t="s">
        <v>1747</v>
      </c>
      <c r="E973" s="8" t="s">
        <v>1745</v>
      </c>
      <c r="F973" s="6">
        <v>1086</v>
      </c>
      <c r="G973" s="6" t="b">
        <v>0</v>
      </c>
      <c r="H973" s="8" t="s">
        <v>240</v>
      </c>
      <c r="I973" s="6" t="b">
        <v>0</v>
      </c>
      <c r="J973" s="6" t="b">
        <v>0</v>
      </c>
      <c r="K973" s="6" t="b">
        <v>0</v>
      </c>
      <c r="L973" s="6" t="b">
        <v>1</v>
      </c>
      <c r="M973" s="6" t="b">
        <v>0</v>
      </c>
      <c r="N973" s="6">
        <v>6</v>
      </c>
      <c r="O973" s="8" t="s">
        <v>331</v>
      </c>
      <c r="P973" s="8" t="s">
        <v>238</v>
      </c>
      <c r="Q973" s="8" t="s">
        <v>502</v>
      </c>
      <c r="R973" s="6">
        <v>6</v>
      </c>
      <c r="S973" s="8" t="s">
        <v>523</v>
      </c>
      <c r="T973" s="9"/>
      <c r="U973" s="8" t="s">
        <v>1748</v>
      </c>
      <c r="V973" s="8" t="s">
        <v>1696</v>
      </c>
      <c r="W973" s="8" t="s">
        <v>240</v>
      </c>
      <c r="X973" s="8" t="s">
        <v>240</v>
      </c>
      <c r="Y973" s="8" t="s">
        <v>1749</v>
      </c>
      <c r="Z973" s="6" t="b">
        <v>0</v>
      </c>
      <c r="AA973" s="9"/>
      <c r="AB973" s="9"/>
    </row>
    <row r="974" spans="1:28" ht="32">
      <c r="A974" s="6">
        <v>1088</v>
      </c>
      <c r="B974" s="8" t="s">
        <v>194</v>
      </c>
      <c r="C974" s="8" t="s">
        <v>90</v>
      </c>
      <c r="D974" s="8" t="s">
        <v>90</v>
      </c>
      <c r="E974" s="8" t="s">
        <v>90</v>
      </c>
      <c r="F974" s="6">
        <v>1088</v>
      </c>
      <c r="G974" s="6" t="b">
        <v>0</v>
      </c>
      <c r="H974" s="8" t="s">
        <v>240</v>
      </c>
      <c r="I974" s="6" t="b">
        <v>0</v>
      </c>
      <c r="J974" s="6" t="b">
        <v>0</v>
      </c>
      <c r="K974" s="6" t="b">
        <v>0</v>
      </c>
      <c r="L974" s="6" t="b">
        <v>1</v>
      </c>
      <c r="M974" s="6" t="b">
        <v>0</v>
      </c>
      <c r="N974" s="6">
        <v>6</v>
      </c>
      <c r="O974" s="8" t="s">
        <v>331</v>
      </c>
      <c r="P974" s="8" t="s">
        <v>1750</v>
      </c>
      <c r="Q974" s="8" t="s">
        <v>446</v>
      </c>
      <c r="R974" s="6">
        <v>6</v>
      </c>
      <c r="S974" s="8" t="s">
        <v>331</v>
      </c>
      <c r="T974" s="9"/>
      <c r="U974" s="8" t="s">
        <v>240</v>
      </c>
      <c r="V974" s="8" t="s">
        <v>496</v>
      </c>
      <c r="W974" s="8" t="s">
        <v>240</v>
      </c>
      <c r="X974" s="8" t="s">
        <v>240</v>
      </c>
      <c r="Y974" s="8" t="s">
        <v>1751</v>
      </c>
      <c r="Z974" s="6" t="b">
        <v>0</v>
      </c>
      <c r="AA974" s="6">
        <v>3</v>
      </c>
      <c r="AB974" s="9"/>
    </row>
    <row r="975" spans="1:28" ht="32">
      <c r="A975" s="6">
        <v>1089</v>
      </c>
      <c r="B975" s="8" t="s">
        <v>194</v>
      </c>
      <c r="C975" s="8" t="s">
        <v>126</v>
      </c>
      <c r="D975" s="8" t="s">
        <v>127</v>
      </c>
      <c r="E975" s="8" t="s">
        <v>127</v>
      </c>
      <c r="F975" s="6">
        <v>1089</v>
      </c>
      <c r="G975" s="6" t="b">
        <v>0</v>
      </c>
      <c r="H975" s="8" t="s">
        <v>240</v>
      </c>
      <c r="I975" s="6" t="b">
        <v>0</v>
      </c>
      <c r="J975" s="6" t="b">
        <v>0</v>
      </c>
      <c r="K975" s="6" t="b">
        <v>0</v>
      </c>
      <c r="L975" s="6" t="b">
        <v>1</v>
      </c>
      <c r="M975" s="6" t="b">
        <v>0</v>
      </c>
      <c r="N975" s="6">
        <v>8</v>
      </c>
      <c r="O975" s="8" t="s">
        <v>331</v>
      </c>
      <c r="P975" s="8" t="s">
        <v>333</v>
      </c>
      <c r="Q975" s="8" t="s">
        <v>1752</v>
      </c>
      <c r="R975" s="6">
        <v>10</v>
      </c>
      <c r="S975" s="8" t="s">
        <v>347</v>
      </c>
      <c r="T975" s="6">
        <v>10</v>
      </c>
      <c r="U975" s="8" t="s">
        <v>240</v>
      </c>
      <c r="V975" s="8" t="s">
        <v>496</v>
      </c>
      <c r="W975" s="8" t="s">
        <v>240</v>
      </c>
      <c r="X975" s="8" t="s">
        <v>240</v>
      </c>
      <c r="Y975" s="8" t="s">
        <v>1753</v>
      </c>
      <c r="Z975" s="6" t="b">
        <v>0</v>
      </c>
      <c r="AA975" s="6">
        <v>1</v>
      </c>
      <c r="AB975" s="9"/>
    </row>
    <row r="976" spans="1:28" ht="32">
      <c r="A976" s="6">
        <v>1090</v>
      </c>
      <c r="B976" s="8" t="s">
        <v>194</v>
      </c>
      <c r="C976" s="8" t="s">
        <v>126</v>
      </c>
      <c r="D976" s="8" t="s">
        <v>1754</v>
      </c>
      <c r="E976" s="8" t="s">
        <v>127</v>
      </c>
      <c r="F976" s="6">
        <v>1089</v>
      </c>
      <c r="G976" s="6" t="b">
        <v>0</v>
      </c>
      <c r="H976" s="8" t="s">
        <v>240</v>
      </c>
      <c r="I976" s="6" t="b">
        <v>0</v>
      </c>
      <c r="J976" s="6" t="b">
        <v>0</v>
      </c>
      <c r="K976" s="6" t="b">
        <v>0</v>
      </c>
      <c r="L976" s="6" t="b">
        <v>1</v>
      </c>
      <c r="M976" s="6" t="b">
        <v>0</v>
      </c>
      <c r="N976" s="6">
        <v>8</v>
      </c>
      <c r="O976" s="8" t="s">
        <v>331</v>
      </c>
      <c r="P976" s="8" t="s">
        <v>350</v>
      </c>
      <c r="Q976" s="8" t="s">
        <v>335</v>
      </c>
      <c r="R976" s="6">
        <v>10</v>
      </c>
      <c r="S976" s="8" t="s">
        <v>335</v>
      </c>
      <c r="T976" s="6">
        <v>10</v>
      </c>
      <c r="U976" s="8" t="s">
        <v>240</v>
      </c>
      <c r="V976" s="8" t="s">
        <v>496</v>
      </c>
      <c r="W976" s="8" t="s">
        <v>240</v>
      </c>
      <c r="X976" s="8" t="s">
        <v>240</v>
      </c>
      <c r="Y976" s="8" t="s">
        <v>240</v>
      </c>
      <c r="Z976" s="6" t="b">
        <v>0</v>
      </c>
      <c r="AA976" s="9"/>
      <c r="AB976" s="9"/>
    </row>
    <row r="977" spans="1:28" ht="32">
      <c r="A977" s="6">
        <v>1091</v>
      </c>
      <c r="B977" s="8" t="s">
        <v>194</v>
      </c>
      <c r="C977" s="8" t="s">
        <v>126</v>
      </c>
      <c r="D977" s="8" t="s">
        <v>1755</v>
      </c>
      <c r="E977" s="8" t="s">
        <v>127</v>
      </c>
      <c r="F977" s="6">
        <v>1089</v>
      </c>
      <c r="G977" s="6" t="b">
        <v>0</v>
      </c>
      <c r="H977" s="8" t="s">
        <v>240</v>
      </c>
      <c r="I977" s="6" t="b">
        <v>0</v>
      </c>
      <c r="J977" s="6" t="b">
        <v>0</v>
      </c>
      <c r="K977" s="6" t="b">
        <v>0</v>
      </c>
      <c r="L977" s="6" t="b">
        <v>1</v>
      </c>
      <c r="M977" s="6" t="b">
        <v>0</v>
      </c>
      <c r="N977" s="6">
        <v>8</v>
      </c>
      <c r="O977" s="8" t="s">
        <v>331</v>
      </c>
      <c r="P977" s="8" t="s">
        <v>333</v>
      </c>
      <c r="Q977" s="8" t="s">
        <v>1752</v>
      </c>
      <c r="R977" s="6">
        <v>8</v>
      </c>
      <c r="S977" s="8" t="s">
        <v>75</v>
      </c>
      <c r="T977" s="9"/>
      <c r="U977" s="8" t="s">
        <v>240</v>
      </c>
      <c r="V977" s="8" t="s">
        <v>240</v>
      </c>
      <c r="W977" s="8" t="s">
        <v>240</v>
      </c>
      <c r="X977" s="8" t="s">
        <v>240</v>
      </c>
      <c r="Y977" s="8" t="s">
        <v>240</v>
      </c>
      <c r="Z977" s="6" t="b">
        <v>0</v>
      </c>
      <c r="AA977" s="9"/>
      <c r="AB977" s="9"/>
    </row>
    <row r="978" spans="1:28" ht="32">
      <c r="A978" s="6">
        <v>1092</v>
      </c>
      <c r="B978" s="8" t="s">
        <v>194</v>
      </c>
      <c r="C978" s="8" t="s">
        <v>126</v>
      </c>
      <c r="D978" s="8" t="s">
        <v>1756</v>
      </c>
      <c r="E978" s="8" t="s">
        <v>127</v>
      </c>
      <c r="F978" s="6">
        <v>1089</v>
      </c>
      <c r="G978" s="6" t="b">
        <v>0</v>
      </c>
      <c r="H978" s="8" t="s">
        <v>240</v>
      </c>
      <c r="I978" s="6" t="b">
        <v>0</v>
      </c>
      <c r="J978" s="6" t="b">
        <v>0</v>
      </c>
      <c r="K978" s="6" t="b">
        <v>0</v>
      </c>
      <c r="L978" s="6" t="b">
        <v>1</v>
      </c>
      <c r="M978" s="6" t="b">
        <v>0</v>
      </c>
      <c r="N978" s="6">
        <v>8</v>
      </c>
      <c r="O978" s="8" t="s">
        <v>331</v>
      </c>
      <c r="P978" s="8" t="s">
        <v>350</v>
      </c>
      <c r="Q978" s="8" t="s">
        <v>335</v>
      </c>
      <c r="R978" s="6">
        <v>10</v>
      </c>
      <c r="S978" s="8" t="s">
        <v>335</v>
      </c>
      <c r="T978" s="6">
        <v>10</v>
      </c>
      <c r="U978" s="8" t="s">
        <v>240</v>
      </c>
      <c r="V978" s="8" t="s">
        <v>496</v>
      </c>
      <c r="W978" s="8" t="s">
        <v>240</v>
      </c>
      <c r="X978" s="8" t="s">
        <v>240</v>
      </c>
      <c r="Y978" s="8" t="s">
        <v>240</v>
      </c>
      <c r="Z978" s="6" t="b">
        <v>0</v>
      </c>
      <c r="AA978" s="9"/>
      <c r="AB978" s="9"/>
    </row>
    <row r="979" spans="1:28" ht="32">
      <c r="A979" s="6">
        <v>1093</v>
      </c>
      <c r="B979" s="8" t="s">
        <v>194</v>
      </c>
      <c r="C979" s="8" t="s">
        <v>126</v>
      </c>
      <c r="D979" s="8" t="s">
        <v>1757</v>
      </c>
      <c r="E979" s="8" t="s">
        <v>127</v>
      </c>
      <c r="F979" s="6">
        <v>1089</v>
      </c>
      <c r="G979" s="6" t="b">
        <v>0</v>
      </c>
      <c r="H979" s="8" t="s">
        <v>240</v>
      </c>
      <c r="I979" s="6" t="b">
        <v>0</v>
      </c>
      <c r="J979" s="6" t="b">
        <v>0</v>
      </c>
      <c r="K979" s="6" t="b">
        <v>0</v>
      </c>
      <c r="L979" s="6" t="b">
        <v>1</v>
      </c>
      <c r="M979" s="6" t="b">
        <v>0</v>
      </c>
      <c r="N979" s="6">
        <v>8</v>
      </c>
      <c r="O979" s="8" t="s">
        <v>331</v>
      </c>
      <c r="P979" s="8" t="s">
        <v>333</v>
      </c>
      <c r="Q979" s="8" t="s">
        <v>1752</v>
      </c>
      <c r="R979" s="6">
        <v>10</v>
      </c>
      <c r="S979" s="8" t="s">
        <v>347</v>
      </c>
      <c r="T979" s="9"/>
      <c r="U979" s="8" t="s">
        <v>240</v>
      </c>
      <c r="V979" s="8" t="s">
        <v>496</v>
      </c>
      <c r="W979" s="8" t="s">
        <v>240</v>
      </c>
      <c r="X979" s="8" t="s">
        <v>240</v>
      </c>
      <c r="Y979" s="8" t="s">
        <v>240</v>
      </c>
      <c r="Z979" s="6" t="b">
        <v>0</v>
      </c>
      <c r="AA979" s="9"/>
      <c r="AB979" s="9"/>
    </row>
    <row r="980" spans="1:28" ht="16">
      <c r="A980" s="6">
        <v>1094</v>
      </c>
      <c r="B980" s="8" t="s">
        <v>194</v>
      </c>
      <c r="C980" s="8" t="s">
        <v>1758</v>
      </c>
      <c r="D980" s="8" t="s">
        <v>1759</v>
      </c>
      <c r="E980" s="8" t="s">
        <v>1759</v>
      </c>
      <c r="F980" s="6">
        <v>1094</v>
      </c>
      <c r="G980" s="6" t="b">
        <v>0</v>
      </c>
      <c r="H980" s="8" t="s">
        <v>240</v>
      </c>
      <c r="I980" s="6" t="b">
        <v>0</v>
      </c>
      <c r="J980" s="6" t="b">
        <v>0</v>
      </c>
      <c r="K980" s="6" t="b">
        <v>0</v>
      </c>
      <c r="L980" s="6" t="b">
        <v>1</v>
      </c>
      <c r="M980" s="6" t="b">
        <v>0</v>
      </c>
      <c r="N980" s="6">
        <v>6</v>
      </c>
      <c r="O980" s="8" t="s">
        <v>331</v>
      </c>
      <c r="P980" s="8" t="s">
        <v>1760</v>
      </c>
      <c r="Q980" s="8" t="s">
        <v>1761</v>
      </c>
      <c r="R980" s="6">
        <v>6</v>
      </c>
      <c r="S980" s="8" t="s">
        <v>347</v>
      </c>
      <c r="T980" s="6">
        <v>5</v>
      </c>
      <c r="U980" s="8" t="s">
        <v>240</v>
      </c>
      <c r="V980" s="8" t="s">
        <v>1696</v>
      </c>
      <c r="W980" s="8" t="s">
        <v>240</v>
      </c>
      <c r="X980" s="8" t="s">
        <v>240</v>
      </c>
      <c r="Y980" s="8" t="s">
        <v>1762</v>
      </c>
      <c r="Z980" s="6" t="b">
        <v>0</v>
      </c>
      <c r="AA980" s="9"/>
      <c r="AB980" s="9"/>
    </row>
    <row r="981" spans="1:28" ht="32">
      <c r="A981" s="6">
        <v>1095</v>
      </c>
      <c r="B981" s="8" t="s">
        <v>194</v>
      </c>
      <c r="C981" s="8" t="s">
        <v>126</v>
      </c>
      <c r="D981" s="8" t="s">
        <v>1763</v>
      </c>
      <c r="E981" s="8" t="s">
        <v>1763</v>
      </c>
      <c r="F981" s="6">
        <v>1095</v>
      </c>
      <c r="G981" s="6" t="b">
        <v>0</v>
      </c>
      <c r="H981" s="8" t="s">
        <v>240</v>
      </c>
      <c r="I981" s="6" t="b">
        <v>0</v>
      </c>
      <c r="J981" s="6" t="b">
        <v>0</v>
      </c>
      <c r="K981" s="6" t="b">
        <v>0</v>
      </c>
      <c r="L981" s="6" t="b">
        <v>1</v>
      </c>
      <c r="M981" s="6" t="b">
        <v>0</v>
      </c>
      <c r="N981" s="6">
        <v>8</v>
      </c>
      <c r="O981" s="8" t="s">
        <v>331</v>
      </c>
      <c r="P981" s="8" t="s">
        <v>822</v>
      </c>
      <c r="Q981" s="8" t="s">
        <v>446</v>
      </c>
      <c r="R981" s="6">
        <v>8</v>
      </c>
      <c r="S981" s="8" t="s">
        <v>347</v>
      </c>
      <c r="T981" s="6">
        <v>9</v>
      </c>
      <c r="U981" s="8" t="s">
        <v>240</v>
      </c>
      <c r="V981" s="8" t="s">
        <v>496</v>
      </c>
      <c r="W981" s="8" t="s">
        <v>240</v>
      </c>
      <c r="X981" s="8" t="s">
        <v>240</v>
      </c>
      <c r="Y981" s="8" t="s">
        <v>240</v>
      </c>
      <c r="Z981" s="6" t="b">
        <v>0</v>
      </c>
      <c r="AA981" s="9"/>
      <c r="AB981" s="9"/>
    </row>
    <row r="982" spans="1:28" ht="32">
      <c r="A982" s="6">
        <v>1096</v>
      </c>
      <c r="B982" s="8" t="s">
        <v>194</v>
      </c>
      <c r="C982" s="8" t="s">
        <v>126</v>
      </c>
      <c r="D982" s="8" t="s">
        <v>1764</v>
      </c>
      <c r="E982" s="8" t="s">
        <v>1763</v>
      </c>
      <c r="F982" s="6">
        <v>1095</v>
      </c>
      <c r="G982" s="6" t="b">
        <v>0</v>
      </c>
      <c r="H982" s="8" t="s">
        <v>240</v>
      </c>
      <c r="I982" s="6" t="b">
        <v>0</v>
      </c>
      <c r="J982" s="6" t="b">
        <v>0</v>
      </c>
      <c r="K982" s="6" t="b">
        <v>0</v>
      </c>
      <c r="L982" s="6" t="b">
        <v>1</v>
      </c>
      <c r="M982" s="6" t="b">
        <v>0</v>
      </c>
      <c r="N982" s="6">
        <v>8</v>
      </c>
      <c r="O982" s="8" t="s">
        <v>331</v>
      </c>
      <c r="P982" s="8" t="s">
        <v>822</v>
      </c>
      <c r="Q982" s="8" t="s">
        <v>446</v>
      </c>
      <c r="R982" s="6">
        <v>8</v>
      </c>
      <c r="S982" s="8" t="s">
        <v>347</v>
      </c>
      <c r="T982" s="9"/>
      <c r="U982" s="8" t="s">
        <v>240</v>
      </c>
      <c r="V982" s="8" t="s">
        <v>496</v>
      </c>
      <c r="W982" s="8" t="s">
        <v>240</v>
      </c>
      <c r="X982" s="8" t="s">
        <v>240</v>
      </c>
      <c r="Y982" s="8" t="s">
        <v>240</v>
      </c>
      <c r="Z982" s="6" t="b">
        <v>0</v>
      </c>
      <c r="AA982" s="9"/>
      <c r="AB982" s="9"/>
    </row>
    <row r="983" spans="1:28" ht="16">
      <c r="A983" s="6">
        <v>1097</v>
      </c>
      <c r="B983" s="8" t="s">
        <v>194</v>
      </c>
      <c r="C983" s="8" t="s">
        <v>90</v>
      </c>
      <c r="D983" s="8" t="s">
        <v>1765</v>
      </c>
      <c r="E983" s="8" t="s">
        <v>1765</v>
      </c>
      <c r="F983" s="6">
        <v>1097</v>
      </c>
      <c r="G983" s="6" t="b">
        <v>0</v>
      </c>
      <c r="H983" s="8" t="s">
        <v>240</v>
      </c>
      <c r="I983" s="6" t="b">
        <v>1</v>
      </c>
      <c r="J983" s="6" t="b">
        <v>0</v>
      </c>
      <c r="K983" s="6" t="b">
        <v>0</v>
      </c>
      <c r="L983" s="6" t="b">
        <v>1</v>
      </c>
      <c r="M983" s="6" t="b">
        <v>0</v>
      </c>
      <c r="N983" s="6">
        <v>6</v>
      </c>
      <c r="O983" s="8" t="s">
        <v>331</v>
      </c>
      <c r="P983" s="8" t="s">
        <v>255</v>
      </c>
      <c r="Q983" s="8" t="s">
        <v>762</v>
      </c>
      <c r="R983" s="6">
        <v>7</v>
      </c>
      <c r="S983" s="8" t="s">
        <v>347</v>
      </c>
      <c r="T983" s="6">
        <v>5</v>
      </c>
      <c r="U983" s="8" t="s">
        <v>240</v>
      </c>
      <c r="V983" s="8" t="s">
        <v>240</v>
      </c>
      <c r="W983" s="8" t="s">
        <v>240</v>
      </c>
      <c r="X983" s="8" t="s">
        <v>240</v>
      </c>
      <c r="Y983" s="8" t="s">
        <v>1766</v>
      </c>
      <c r="Z983" s="6" t="b">
        <v>0</v>
      </c>
      <c r="AA983" s="9"/>
      <c r="AB983" s="9"/>
    </row>
    <row r="984" spans="1:28" ht="32">
      <c r="A984" s="6">
        <v>1098</v>
      </c>
      <c r="B984" s="8" t="s">
        <v>194</v>
      </c>
      <c r="C984" s="8" t="s">
        <v>90</v>
      </c>
      <c r="D984" s="8" t="s">
        <v>1767</v>
      </c>
      <c r="E984" s="8" t="s">
        <v>1765</v>
      </c>
      <c r="F984" s="6">
        <v>1097</v>
      </c>
      <c r="G984" s="6" t="b">
        <v>0</v>
      </c>
      <c r="H984" s="8" t="s">
        <v>240</v>
      </c>
      <c r="I984" s="6" t="b">
        <v>1</v>
      </c>
      <c r="J984" s="6" t="b">
        <v>0</v>
      </c>
      <c r="K984" s="6" t="b">
        <v>0</v>
      </c>
      <c r="L984" s="6" t="b">
        <v>1</v>
      </c>
      <c r="M984" s="6" t="b">
        <v>0</v>
      </c>
      <c r="N984" s="6">
        <v>6</v>
      </c>
      <c r="O984" s="8" t="s">
        <v>331</v>
      </c>
      <c r="P984" s="8" t="s">
        <v>255</v>
      </c>
      <c r="Q984" s="8" t="s">
        <v>762</v>
      </c>
      <c r="R984" s="6">
        <v>7</v>
      </c>
      <c r="S984" s="8" t="s">
        <v>347</v>
      </c>
      <c r="T984" s="9"/>
      <c r="U984" s="8" t="s">
        <v>240</v>
      </c>
      <c r="V984" s="8" t="s">
        <v>240</v>
      </c>
      <c r="W984" s="8" t="s">
        <v>240</v>
      </c>
      <c r="X984" s="8" t="s">
        <v>240</v>
      </c>
      <c r="Y984" s="8" t="s">
        <v>240</v>
      </c>
      <c r="Z984" s="6" t="b">
        <v>0</v>
      </c>
      <c r="AA984" s="9"/>
      <c r="AB984" s="9"/>
    </row>
    <row r="985" spans="1:28" ht="32">
      <c r="A985" s="6">
        <v>1099</v>
      </c>
      <c r="B985" s="8" t="s">
        <v>194</v>
      </c>
      <c r="C985" s="8" t="s">
        <v>90</v>
      </c>
      <c r="D985" s="8" t="s">
        <v>1768</v>
      </c>
      <c r="E985" s="8" t="s">
        <v>1765</v>
      </c>
      <c r="F985" s="6">
        <v>1097</v>
      </c>
      <c r="G985" s="6" t="b">
        <v>0</v>
      </c>
      <c r="H985" s="8" t="s">
        <v>240</v>
      </c>
      <c r="I985" s="6" t="b">
        <v>1</v>
      </c>
      <c r="J985" s="6" t="b">
        <v>0</v>
      </c>
      <c r="K985" s="6" t="b">
        <v>0</v>
      </c>
      <c r="L985" s="6" t="b">
        <v>1</v>
      </c>
      <c r="M985" s="6" t="b">
        <v>0</v>
      </c>
      <c r="N985" s="6">
        <v>6</v>
      </c>
      <c r="O985" s="8" t="s">
        <v>331</v>
      </c>
      <c r="P985" s="8" t="s">
        <v>255</v>
      </c>
      <c r="Q985" s="8" t="s">
        <v>335</v>
      </c>
      <c r="R985" s="6">
        <v>7</v>
      </c>
      <c r="S985" s="8" t="s">
        <v>335</v>
      </c>
      <c r="T985" s="6">
        <v>5</v>
      </c>
      <c r="U985" s="8" t="s">
        <v>240</v>
      </c>
      <c r="V985" s="8" t="s">
        <v>240</v>
      </c>
      <c r="W985" s="8" t="s">
        <v>240</v>
      </c>
      <c r="X985" s="8" t="s">
        <v>240</v>
      </c>
      <c r="Y985" s="8" t="s">
        <v>240</v>
      </c>
      <c r="Z985" s="6" t="b">
        <v>0</v>
      </c>
      <c r="AA985" s="9"/>
      <c r="AB985" s="9"/>
    </row>
    <row r="986" spans="1:28" ht="32">
      <c r="A986" s="6">
        <v>1100</v>
      </c>
      <c r="B986" s="8" t="s">
        <v>194</v>
      </c>
      <c r="C986" s="8" t="s">
        <v>90</v>
      </c>
      <c r="D986" s="8" t="s">
        <v>1769</v>
      </c>
      <c r="E986" s="8" t="s">
        <v>1765</v>
      </c>
      <c r="F986" s="6">
        <v>1097</v>
      </c>
      <c r="G986" s="6" t="b">
        <v>0</v>
      </c>
      <c r="H986" s="8" t="s">
        <v>240</v>
      </c>
      <c r="I986" s="6" t="b">
        <v>1</v>
      </c>
      <c r="J986" s="6" t="b">
        <v>0</v>
      </c>
      <c r="K986" s="6" t="b">
        <v>0</v>
      </c>
      <c r="L986" s="6" t="b">
        <v>1</v>
      </c>
      <c r="M986" s="6" t="b">
        <v>0</v>
      </c>
      <c r="N986" s="6">
        <v>6</v>
      </c>
      <c r="O986" s="8" t="s">
        <v>331</v>
      </c>
      <c r="P986" s="8" t="s">
        <v>255</v>
      </c>
      <c r="Q986" s="8" t="s">
        <v>335</v>
      </c>
      <c r="R986" s="6">
        <v>7</v>
      </c>
      <c r="S986" s="8" t="s">
        <v>335</v>
      </c>
      <c r="T986" s="6">
        <v>5</v>
      </c>
      <c r="U986" s="8" t="s">
        <v>240</v>
      </c>
      <c r="V986" s="8" t="s">
        <v>240</v>
      </c>
      <c r="W986" s="8" t="s">
        <v>240</v>
      </c>
      <c r="X986" s="8" t="s">
        <v>240</v>
      </c>
      <c r="Y986" s="8" t="s">
        <v>240</v>
      </c>
      <c r="Z986" s="6" t="b">
        <v>0</v>
      </c>
      <c r="AA986" s="9"/>
      <c r="AB986" s="9"/>
    </row>
    <row r="987" spans="1:28" ht="16">
      <c r="A987" s="6">
        <v>1102</v>
      </c>
      <c r="B987" s="8" t="s">
        <v>194</v>
      </c>
      <c r="C987" s="8" t="s">
        <v>131</v>
      </c>
      <c r="D987" s="8" t="s">
        <v>1770</v>
      </c>
      <c r="E987" s="8" t="s">
        <v>1770</v>
      </c>
      <c r="F987" s="6">
        <v>1102</v>
      </c>
      <c r="G987" s="6" t="b">
        <v>0</v>
      </c>
      <c r="H987" s="8" t="s">
        <v>240</v>
      </c>
      <c r="I987" s="6" t="b">
        <v>0</v>
      </c>
      <c r="J987" s="6" t="b">
        <v>0</v>
      </c>
      <c r="K987" s="6" t="b">
        <v>0</v>
      </c>
      <c r="L987" s="6" t="b">
        <v>1</v>
      </c>
      <c r="M987" s="6" t="b">
        <v>0</v>
      </c>
      <c r="N987" s="6">
        <v>6</v>
      </c>
      <c r="O987" s="8" t="s">
        <v>331</v>
      </c>
      <c r="P987" s="8" t="s">
        <v>238</v>
      </c>
      <c r="Q987" s="8" t="s">
        <v>335</v>
      </c>
      <c r="R987" s="6">
        <v>6</v>
      </c>
      <c r="S987" s="8" t="s">
        <v>335</v>
      </c>
      <c r="T987" s="6">
        <v>6</v>
      </c>
      <c r="U987" s="8" t="s">
        <v>240</v>
      </c>
      <c r="V987" s="8" t="s">
        <v>482</v>
      </c>
      <c r="W987" s="8" t="s">
        <v>240</v>
      </c>
      <c r="X987" s="8" t="s">
        <v>240</v>
      </c>
      <c r="Y987" s="8" t="s">
        <v>1771</v>
      </c>
      <c r="Z987" s="6" t="b">
        <v>0</v>
      </c>
      <c r="AA987" s="9"/>
      <c r="AB987" s="9"/>
    </row>
    <row r="988" spans="1:28" ht="16">
      <c r="A988" s="6">
        <v>1103</v>
      </c>
      <c r="B988" s="8" t="s">
        <v>194</v>
      </c>
      <c r="C988" s="8" t="s">
        <v>131</v>
      </c>
      <c r="D988" s="8" t="s">
        <v>1772</v>
      </c>
      <c r="E988" s="8" t="s">
        <v>1770</v>
      </c>
      <c r="F988" s="6">
        <v>1102</v>
      </c>
      <c r="G988" s="6" t="b">
        <v>0</v>
      </c>
      <c r="H988" s="8" t="s">
        <v>240</v>
      </c>
      <c r="I988" s="6" t="b">
        <v>0</v>
      </c>
      <c r="J988" s="6" t="b">
        <v>0</v>
      </c>
      <c r="K988" s="6" t="b">
        <v>0</v>
      </c>
      <c r="L988" s="6" t="b">
        <v>1</v>
      </c>
      <c r="M988" s="6" t="b">
        <v>0</v>
      </c>
      <c r="N988" s="6">
        <v>6</v>
      </c>
      <c r="O988" s="8" t="s">
        <v>331</v>
      </c>
      <c r="P988" s="8" t="s">
        <v>238</v>
      </c>
      <c r="Q988" s="8" t="s">
        <v>335</v>
      </c>
      <c r="R988" s="6">
        <v>6</v>
      </c>
      <c r="S988" s="8" t="s">
        <v>335</v>
      </c>
      <c r="T988" s="9"/>
      <c r="U988" s="8" t="s">
        <v>240</v>
      </c>
      <c r="V988" s="8" t="s">
        <v>482</v>
      </c>
      <c r="W988" s="8" t="s">
        <v>240</v>
      </c>
      <c r="X988" s="8" t="s">
        <v>240</v>
      </c>
      <c r="Y988" s="8" t="s">
        <v>240</v>
      </c>
      <c r="Z988" s="6" t="b">
        <v>0</v>
      </c>
      <c r="AA988" s="9"/>
      <c r="AB988" s="9"/>
    </row>
    <row r="989" spans="1:28" ht="16">
      <c r="A989" s="6">
        <v>1104</v>
      </c>
      <c r="B989" s="8" t="s">
        <v>194</v>
      </c>
      <c r="C989" s="8" t="s">
        <v>1773</v>
      </c>
      <c r="D989" s="8" t="s">
        <v>1774</v>
      </c>
      <c r="E989" s="8" t="s">
        <v>1774</v>
      </c>
      <c r="F989" s="6">
        <v>1104</v>
      </c>
      <c r="G989" s="6" t="b">
        <v>0</v>
      </c>
      <c r="H989" s="8" t="s">
        <v>240</v>
      </c>
      <c r="I989" s="6" t="b">
        <v>0</v>
      </c>
      <c r="J989" s="6" t="b">
        <v>0</v>
      </c>
      <c r="K989" s="6" t="b">
        <v>0</v>
      </c>
      <c r="L989" s="6" t="b">
        <v>1</v>
      </c>
      <c r="M989" s="6" t="b">
        <v>0</v>
      </c>
      <c r="N989" s="6">
        <v>3</v>
      </c>
      <c r="O989" s="8" t="s">
        <v>75</v>
      </c>
      <c r="P989" s="8" t="s">
        <v>240</v>
      </c>
      <c r="Q989" s="8" t="s">
        <v>240</v>
      </c>
      <c r="R989" s="6">
        <v>3</v>
      </c>
      <c r="S989" s="8" t="s">
        <v>75</v>
      </c>
      <c r="T989" s="9"/>
      <c r="U989" s="8" t="s">
        <v>240</v>
      </c>
      <c r="V989" s="8" t="s">
        <v>240</v>
      </c>
      <c r="W989" s="8" t="s">
        <v>240</v>
      </c>
      <c r="X989" s="8" t="s">
        <v>240</v>
      </c>
      <c r="Y989" s="8" t="s">
        <v>240</v>
      </c>
      <c r="Z989" s="6" t="b">
        <v>0</v>
      </c>
      <c r="AA989" s="9"/>
      <c r="AB989" s="9"/>
    </row>
    <row r="990" spans="1:28" ht="16">
      <c r="A990" s="6">
        <v>1105</v>
      </c>
      <c r="B990" s="8" t="s">
        <v>195</v>
      </c>
      <c r="C990" s="8" t="s">
        <v>162</v>
      </c>
      <c r="D990" s="8" t="s">
        <v>1011</v>
      </c>
      <c r="E990" s="8" t="s">
        <v>1011</v>
      </c>
      <c r="F990" s="6">
        <v>1105</v>
      </c>
      <c r="G990" s="6" t="b">
        <v>0</v>
      </c>
      <c r="H990" s="8" t="s">
        <v>240</v>
      </c>
      <c r="I990" s="6" t="b">
        <v>0</v>
      </c>
      <c r="J990" s="6" t="b">
        <v>0</v>
      </c>
      <c r="K990" s="6" t="b">
        <v>0</v>
      </c>
      <c r="L990" s="6" t="b">
        <v>1</v>
      </c>
      <c r="M990" s="6" t="b">
        <v>0</v>
      </c>
      <c r="N990" s="6">
        <v>3</v>
      </c>
      <c r="O990" s="8" t="s">
        <v>331</v>
      </c>
      <c r="P990" s="8" t="s">
        <v>238</v>
      </c>
      <c r="Q990" s="8" t="s">
        <v>446</v>
      </c>
      <c r="R990" s="6">
        <v>5</v>
      </c>
      <c r="S990" s="8" t="s">
        <v>347</v>
      </c>
      <c r="T990" s="9"/>
      <c r="U990" s="8" t="s">
        <v>240</v>
      </c>
      <c r="V990" s="8" t="s">
        <v>1012</v>
      </c>
      <c r="W990" s="8" t="s">
        <v>240</v>
      </c>
      <c r="X990" s="8" t="s">
        <v>240</v>
      </c>
      <c r="Y990" s="8" t="s">
        <v>240</v>
      </c>
      <c r="Z990" s="6" t="b">
        <v>0</v>
      </c>
      <c r="AA990" s="9"/>
      <c r="AB990" s="9"/>
    </row>
    <row r="991" spans="1:28" ht="16">
      <c r="A991" s="6">
        <v>1106</v>
      </c>
      <c r="B991" s="8" t="s">
        <v>195</v>
      </c>
      <c r="C991" s="8" t="s">
        <v>113</v>
      </c>
      <c r="D991" s="8" t="s">
        <v>1775</v>
      </c>
      <c r="E991" s="8" t="s">
        <v>1775</v>
      </c>
      <c r="F991" s="6">
        <v>1106</v>
      </c>
      <c r="G991" s="6" t="b">
        <v>0</v>
      </c>
      <c r="H991" s="8" t="s">
        <v>240</v>
      </c>
      <c r="I991" s="6" t="b">
        <v>0</v>
      </c>
      <c r="J991" s="6" t="b">
        <v>0</v>
      </c>
      <c r="K991" s="6" t="b">
        <v>0</v>
      </c>
      <c r="L991" s="6" t="b">
        <v>1</v>
      </c>
      <c r="M991" s="6" t="b">
        <v>0</v>
      </c>
      <c r="N991" s="6">
        <v>1</v>
      </c>
      <c r="O991" s="8" t="s">
        <v>75</v>
      </c>
      <c r="P991" s="8" t="s">
        <v>240</v>
      </c>
      <c r="Q991" s="8" t="s">
        <v>240</v>
      </c>
      <c r="R991" s="6">
        <v>4</v>
      </c>
      <c r="S991" s="8" t="s">
        <v>1619</v>
      </c>
      <c r="T991" s="9"/>
      <c r="U991" s="8" t="s">
        <v>240</v>
      </c>
      <c r="V991" s="8" t="s">
        <v>240</v>
      </c>
      <c r="W991" s="8" t="s">
        <v>240</v>
      </c>
      <c r="X991" s="8" t="s">
        <v>240</v>
      </c>
      <c r="Y991" s="8" t="s">
        <v>240</v>
      </c>
      <c r="Z991" s="6" t="b">
        <v>0</v>
      </c>
      <c r="AA991" s="9"/>
      <c r="AB991" s="9"/>
    </row>
    <row r="992" spans="1:28" ht="16">
      <c r="A992" s="6">
        <v>1107</v>
      </c>
      <c r="B992" s="8" t="s">
        <v>194</v>
      </c>
      <c r="C992" s="8" t="s">
        <v>90</v>
      </c>
      <c r="D992" s="8" t="s">
        <v>1776</v>
      </c>
      <c r="E992" s="8" t="s">
        <v>1776</v>
      </c>
      <c r="F992" s="6">
        <v>1107</v>
      </c>
      <c r="G992" s="6" t="b">
        <v>0</v>
      </c>
      <c r="H992" s="8" t="s">
        <v>240</v>
      </c>
      <c r="I992" s="6" t="b">
        <v>0</v>
      </c>
      <c r="J992" s="6" t="b">
        <v>0</v>
      </c>
      <c r="K992" s="6" t="b">
        <v>1</v>
      </c>
      <c r="L992" s="6" t="b">
        <v>1</v>
      </c>
      <c r="M992" s="6" t="b">
        <v>0</v>
      </c>
      <c r="N992" s="6">
        <v>6</v>
      </c>
      <c r="O992" s="8" t="s">
        <v>331</v>
      </c>
      <c r="P992" s="8" t="s">
        <v>238</v>
      </c>
      <c r="Q992" s="8" t="s">
        <v>927</v>
      </c>
      <c r="R992" s="6">
        <v>8</v>
      </c>
      <c r="S992" s="8" t="s">
        <v>347</v>
      </c>
      <c r="T992" s="9"/>
      <c r="U992" s="8" t="s">
        <v>240</v>
      </c>
      <c r="V992" s="8" t="s">
        <v>496</v>
      </c>
      <c r="W992" s="8" t="s">
        <v>240</v>
      </c>
      <c r="X992" s="8" t="s">
        <v>240</v>
      </c>
      <c r="Y992" s="8" t="s">
        <v>1777</v>
      </c>
      <c r="Z992" s="6" t="b">
        <v>0</v>
      </c>
      <c r="AA992" s="9"/>
      <c r="AB992" s="9"/>
    </row>
    <row r="993" spans="1:28" ht="32">
      <c r="A993" s="6">
        <v>1108</v>
      </c>
      <c r="B993" s="8" t="s">
        <v>194</v>
      </c>
      <c r="C993" s="8" t="s">
        <v>90</v>
      </c>
      <c r="D993" s="8" t="s">
        <v>1778</v>
      </c>
      <c r="E993" s="8" t="s">
        <v>1776</v>
      </c>
      <c r="F993" s="6">
        <v>1107</v>
      </c>
      <c r="G993" s="6" t="b">
        <v>0</v>
      </c>
      <c r="H993" s="8" t="s">
        <v>240</v>
      </c>
      <c r="I993" s="6" t="b">
        <v>0</v>
      </c>
      <c r="J993" s="6" t="b">
        <v>0</v>
      </c>
      <c r="K993" s="6" t="b">
        <v>1</v>
      </c>
      <c r="L993" s="6" t="b">
        <v>1</v>
      </c>
      <c r="M993" s="6" t="b">
        <v>0</v>
      </c>
      <c r="N993" s="6">
        <v>6</v>
      </c>
      <c r="O993" s="8" t="s">
        <v>331</v>
      </c>
      <c r="P993" s="8" t="s">
        <v>238</v>
      </c>
      <c r="Q993" s="8" t="s">
        <v>927</v>
      </c>
      <c r="R993" s="6">
        <v>8</v>
      </c>
      <c r="S993" s="8" t="s">
        <v>347</v>
      </c>
      <c r="T993" s="6">
        <v>8</v>
      </c>
      <c r="U993" s="8" t="s">
        <v>1779</v>
      </c>
      <c r="V993" s="8" t="s">
        <v>496</v>
      </c>
      <c r="W993" s="8" t="s">
        <v>240</v>
      </c>
      <c r="X993" s="8" t="s">
        <v>240</v>
      </c>
      <c r="Y993" s="8" t="s">
        <v>240</v>
      </c>
      <c r="Z993" s="6" t="b">
        <v>0</v>
      </c>
      <c r="AA993" s="9"/>
      <c r="AB993" s="9"/>
    </row>
    <row r="994" spans="1:28" ht="32">
      <c r="A994" s="6">
        <v>1109</v>
      </c>
      <c r="B994" s="8" t="s">
        <v>194</v>
      </c>
      <c r="C994" s="8" t="s">
        <v>90</v>
      </c>
      <c r="D994" s="8" t="s">
        <v>1780</v>
      </c>
      <c r="E994" s="8" t="s">
        <v>1776</v>
      </c>
      <c r="F994" s="6">
        <v>1107</v>
      </c>
      <c r="G994" s="6" t="b">
        <v>0</v>
      </c>
      <c r="H994" s="8" t="s">
        <v>240</v>
      </c>
      <c r="I994" s="6" t="b">
        <v>0</v>
      </c>
      <c r="J994" s="6" t="b">
        <v>0</v>
      </c>
      <c r="K994" s="6" t="b">
        <v>1</v>
      </c>
      <c r="L994" s="6" t="b">
        <v>1</v>
      </c>
      <c r="M994" s="6" t="b">
        <v>0</v>
      </c>
      <c r="N994" s="6">
        <v>6</v>
      </c>
      <c r="O994" s="8" t="s">
        <v>331</v>
      </c>
      <c r="P994" s="8" t="s">
        <v>238</v>
      </c>
      <c r="Q994" s="8" t="s">
        <v>927</v>
      </c>
      <c r="R994" s="6">
        <v>8</v>
      </c>
      <c r="S994" s="8" t="s">
        <v>347</v>
      </c>
      <c r="T994" s="6">
        <v>8</v>
      </c>
      <c r="U994" s="8" t="s">
        <v>1779</v>
      </c>
      <c r="V994" s="8" t="s">
        <v>496</v>
      </c>
      <c r="W994" s="8" t="s">
        <v>240</v>
      </c>
      <c r="X994" s="8" t="s">
        <v>240</v>
      </c>
      <c r="Y994" s="8" t="s">
        <v>240</v>
      </c>
      <c r="Z994" s="6" t="b">
        <v>0</v>
      </c>
      <c r="AA994" s="9"/>
      <c r="AB994" s="9"/>
    </row>
    <row r="995" spans="1:28" ht="16">
      <c r="A995" s="6">
        <v>1110</v>
      </c>
      <c r="B995" s="8" t="s">
        <v>194</v>
      </c>
      <c r="C995" s="8" t="s">
        <v>101</v>
      </c>
      <c r="D995" s="8" t="s">
        <v>1781</v>
      </c>
      <c r="E995" s="8" t="s">
        <v>1781</v>
      </c>
      <c r="F995" s="6">
        <v>1110</v>
      </c>
      <c r="G995" s="6" t="b">
        <v>0</v>
      </c>
      <c r="H995" s="8" t="s">
        <v>240</v>
      </c>
      <c r="I995" s="6" t="b">
        <v>0</v>
      </c>
      <c r="J995" s="6" t="b">
        <v>0</v>
      </c>
      <c r="K995" s="6" t="b">
        <v>0</v>
      </c>
      <c r="L995" s="6" t="b">
        <v>1</v>
      </c>
      <c r="M995" s="6" t="b">
        <v>0</v>
      </c>
      <c r="N995" s="6">
        <v>6</v>
      </c>
      <c r="O995" s="8" t="s">
        <v>347</v>
      </c>
      <c r="P995" s="8" t="s">
        <v>255</v>
      </c>
      <c r="Q995" s="8" t="s">
        <v>446</v>
      </c>
      <c r="R995" s="6">
        <v>4</v>
      </c>
      <c r="S995" s="8" t="s">
        <v>341</v>
      </c>
      <c r="T995" s="9"/>
      <c r="U995" s="8" t="s">
        <v>1782</v>
      </c>
      <c r="V995" s="8" t="s">
        <v>482</v>
      </c>
      <c r="W995" s="8" t="s">
        <v>483</v>
      </c>
      <c r="X995" s="8" t="s">
        <v>240</v>
      </c>
      <c r="Y995" s="8" t="s">
        <v>240</v>
      </c>
      <c r="Z995" s="6" t="b">
        <v>0</v>
      </c>
      <c r="AA995" s="9"/>
      <c r="AB995" s="9"/>
    </row>
    <row r="996" spans="1:28" ht="16">
      <c r="A996" s="6">
        <v>1111</v>
      </c>
      <c r="B996" s="8" t="s">
        <v>194</v>
      </c>
      <c r="C996" s="8" t="s">
        <v>101</v>
      </c>
      <c r="D996" s="8" t="s">
        <v>1783</v>
      </c>
      <c r="E996" s="8" t="s">
        <v>1781</v>
      </c>
      <c r="F996" s="6">
        <v>1110</v>
      </c>
      <c r="G996" s="6" t="b">
        <v>0</v>
      </c>
      <c r="H996" s="8" t="s">
        <v>240</v>
      </c>
      <c r="I996" s="6" t="b">
        <v>0</v>
      </c>
      <c r="J996" s="6" t="b">
        <v>0</v>
      </c>
      <c r="K996" s="6" t="b">
        <v>0</v>
      </c>
      <c r="L996" s="6" t="b">
        <v>1</v>
      </c>
      <c r="M996" s="6" t="b">
        <v>0</v>
      </c>
      <c r="N996" s="6">
        <v>6</v>
      </c>
      <c r="O996" s="8" t="s">
        <v>347</v>
      </c>
      <c r="P996" s="8" t="s">
        <v>255</v>
      </c>
      <c r="Q996" s="8" t="s">
        <v>446</v>
      </c>
      <c r="R996" s="6">
        <v>0</v>
      </c>
      <c r="S996" s="8" t="s">
        <v>347</v>
      </c>
      <c r="T996" s="9"/>
      <c r="U996" s="8" t="s">
        <v>240</v>
      </c>
      <c r="V996" s="8" t="s">
        <v>482</v>
      </c>
      <c r="W996" s="8" t="s">
        <v>483</v>
      </c>
      <c r="X996" s="8" t="s">
        <v>240</v>
      </c>
      <c r="Y996" s="8" t="s">
        <v>1784</v>
      </c>
      <c r="Z996" s="6" t="b">
        <v>0</v>
      </c>
      <c r="AA996" s="9"/>
      <c r="AB996" s="9"/>
    </row>
    <row r="997" spans="1:28" ht="16">
      <c r="A997" s="6">
        <v>1112</v>
      </c>
      <c r="B997" s="8" t="s">
        <v>194</v>
      </c>
      <c r="C997" s="8" t="s">
        <v>101</v>
      </c>
      <c r="D997" s="8" t="s">
        <v>1785</v>
      </c>
      <c r="E997" s="8" t="s">
        <v>1781</v>
      </c>
      <c r="F997" s="6">
        <v>1110</v>
      </c>
      <c r="G997" s="6" t="b">
        <v>0</v>
      </c>
      <c r="H997" s="8" t="s">
        <v>240</v>
      </c>
      <c r="I997" s="6" t="b">
        <v>0</v>
      </c>
      <c r="J997" s="6" t="b">
        <v>0</v>
      </c>
      <c r="K997" s="6" t="b">
        <v>0</v>
      </c>
      <c r="L997" s="6" t="b">
        <v>1</v>
      </c>
      <c r="M997" s="6" t="b">
        <v>0</v>
      </c>
      <c r="N997" s="6">
        <v>6</v>
      </c>
      <c r="O997" s="8" t="s">
        <v>347</v>
      </c>
      <c r="P997" s="8" t="s">
        <v>255</v>
      </c>
      <c r="Q997" s="8" t="s">
        <v>446</v>
      </c>
      <c r="R997" s="6">
        <v>4</v>
      </c>
      <c r="S997" s="8" t="s">
        <v>247</v>
      </c>
      <c r="T997" s="6">
        <v>2</v>
      </c>
      <c r="U997" s="8" t="s">
        <v>1786</v>
      </c>
      <c r="V997" s="8" t="s">
        <v>482</v>
      </c>
      <c r="W997" s="8" t="s">
        <v>483</v>
      </c>
      <c r="X997" s="8" t="s">
        <v>240</v>
      </c>
      <c r="Y997" s="8" t="s">
        <v>1787</v>
      </c>
      <c r="Z997" s="6" t="b">
        <v>0</v>
      </c>
      <c r="AA997" s="9"/>
      <c r="AB997" s="9"/>
    </row>
    <row r="998" spans="1:28" ht="16">
      <c r="A998" s="6">
        <v>1113</v>
      </c>
      <c r="B998" s="8" t="s">
        <v>194</v>
      </c>
      <c r="C998" s="8" t="s">
        <v>90</v>
      </c>
      <c r="D998" s="8" t="s">
        <v>1788</v>
      </c>
      <c r="E998" s="8" t="s">
        <v>1788</v>
      </c>
      <c r="F998" s="6">
        <v>1113</v>
      </c>
      <c r="G998" s="6" t="b">
        <v>0</v>
      </c>
      <c r="H998" s="8" t="s">
        <v>240</v>
      </c>
      <c r="I998" s="6" t="b">
        <v>0</v>
      </c>
      <c r="J998" s="6" t="b">
        <v>0</v>
      </c>
      <c r="K998" s="6" t="b">
        <v>1</v>
      </c>
      <c r="L998" s="6" t="b">
        <v>1</v>
      </c>
      <c r="M998" s="6" t="b">
        <v>0</v>
      </c>
      <c r="N998" s="6">
        <v>6</v>
      </c>
      <c r="O998" s="8" t="s">
        <v>331</v>
      </c>
      <c r="P998" s="8" t="s">
        <v>238</v>
      </c>
      <c r="Q998" s="8" t="s">
        <v>927</v>
      </c>
      <c r="R998" s="6">
        <v>4</v>
      </c>
      <c r="S998" s="8" t="s">
        <v>341</v>
      </c>
      <c r="T998" s="6">
        <v>4</v>
      </c>
      <c r="U998" s="8" t="s">
        <v>240</v>
      </c>
      <c r="V998" s="8" t="s">
        <v>496</v>
      </c>
      <c r="W998" s="8" t="s">
        <v>240</v>
      </c>
      <c r="X998" s="8" t="s">
        <v>240</v>
      </c>
      <c r="Y998" s="8" t="s">
        <v>240</v>
      </c>
      <c r="Z998" s="6" t="b">
        <v>0</v>
      </c>
      <c r="AA998" s="9"/>
      <c r="AB998" s="9"/>
    </row>
    <row r="999" spans="1:28" ht="32">
      <c r="A999" s="6">
        <v>1114</v>
      </c>
      <c r="B999" s="8" t="s">
        <v>194</v>
      </c>
      <c r="C999" s="8" t="s">
        <v>90</v>
      </c>
      <c r="D999" s="8" t="s">
        <v>1789</v>
      </c>
      <c r="E999" s="8" t="s">
        <v>1788</v>
      </c>
      <c r="F999" s="6">
        <v>1113</v>
      </c>
      <c r="G999" s="6" t="b">
        <v>0</v>
      </c>
      <c r="H999" s="8" t="s">
        <v>240</v>
      </c>
      <c r="I999" s="6" t="b">
        <v>0</v>
      </c>
      <c r="J999" s="6" t="b">
        <v>0</v>
      </c>
      <c r="K999" s="6" t="b">
        <v>1</v>
      </c>
      <c r="L999" s="6" t="b">
        <v>1</v>
      </c>
      <c r="M999" s="6" t="b">
        <v>0</v>
      </c>
      <c r="N999" s="6">
        <v>6</v>
      </c>
      <c r="O999" s="8" t="s">
        <v>331</v>
      </c>
      <c r="P999" s="8" t="s">
        <v>238</v>
      </c>
      <c r="Q999" s="8" t="s">
        <v>927</v>
      </c>
      <c r="R999" s="6">
        <v>4</v>
      </c>
      <c r="S999" s="8" t="s">
        <v>341</v>
      </c>
      <c r="T999" s="9"/>
      <c r="U999" s="8" t="s">
        <v>240</v>
      </c>
      <c r="V999" s="8" t="s">
        <v>496</v>
      </c>
      <c r="W999" s="8" t="s">
        <v>240</v>
      </c>
      <c r="X999" s="8" t="s">
        <v>240</v>
      </c>
      <c r="Y999" s="8" t="s">
        <v>240</v>
      </c>
      <c r="Z999" s="6" t="b">
        <v>0</v>
      </c>
      <c r="AA999" s="9"/>
      <c r="AB999" s="9"/>
    </row>
    <row r="1000" spans="1:28" ht="32">
      <c r="A1000" s="6">
        <v>1115</v>
      </c>
      <c r="B1000" s="8" t="s">
        <v>194</v>
      </c>
      <c r="C1000" s="8" t="s">
        <v>90</v>
      </c>
      <c r="D1000" s="8" t="s">
        <v>1790</v>
      </c>
      <c r="E1000" s="8" t="s">
        <v>1790</v>
      </c>
      <c r="F1000" s="6">
        <v>1115</v>
      </c>
      <c r="G1000" s="6" t="b">
        <v>0</v>
      </c>
      <c r="H1000" s="8" t="s">
        <v>240</v>
      </c>
      <c r="I1000" s="6" t="b">
        <v>0</v>
      </c>
      <c r="J1000" s="6" t="b">
        <v>0</v>
      </c>
      <c r="K1000" s="6" t="b">
        <v>1</v>
      </c>
      <c r="L1000" s="6" t="b">
        <v>1</v>
      </c>
      <c r="M1000" s="6" t="b">
        <v>0</v>
      </c>
      <c r="N1000" s="6">
        <v>6</v>
      </c>
      <c r="O1000" s="8" t="s">
        <v>331</v>
      </c>
      <c r="P1000" s="8" t="s">
        <v>238</v>
      </c>
      <c r="Q1000" s="8" t="s">
        <v>811</v>
      </c>
      <c r="R1000" s="6">
        <v>6</v>
      </c>
      <c r="S1000" s="8" t="s">
        <v>347</v>
      </c>
      <c r="T1000" s="6">
        <v>6</v>
      </c>
      <c r="U1000" s="8" t="s">
        <v>240</v>
      </c>
      <c r="V1000" s="8" t="s">
        <v>450</v>
      </c>
      <c r="W1000" s="8" t="s">
        <v>240</v>
      </c>
      <c r="X1000" s="8" t="s">
        <v>240</v>
      </c>
      <c r="Y1000" s="8" t="s">
        <v>1791</v>
      </c>
      <c r="Z1000" s="6" t="b">
        <v>0</v>
      </c>
      <c r="AA1000" s="9"/>
      <c r="AB1000" s="9"/>
    </row>
    <row r="1001" spans="1:28" ht="16">
      <c r="A1001" s="6">
        <v>1116</v>
      </c>
      <c r="B1001" s="8" t="s">
        <v>194</v>
      </c>
      <c r="C1001" s="8" t="s">
        <v>90</v>
      </c>
      <c r="D1001" s="8" t="s">
        <v>1792</v>
      </c>
      <c r="E1001" s="8" t="s">
        <v>1790</v>
      </c>
      <c r="F1001" s="6">
        <v>1115</v>
      </c>
      <c r="G1001" s="6" t="b">
        <v>0</v>
      </c>
      <c r="H1001" s="8" t="s">
        <v>240</v>
      </c>
      <c r="I1001" s="6" t="b">
        <v>0</v>
      </c>
      <c r="J1001" s="6" t="b">
        <v>0</v>
      </c>
      <c r="K1001" s="6" t="b">
        <v>1</v>
      </c>
      <c r="L1001" s="6" t="b">
        <v>1</v>
      </c>
      <c r="M1001" s="6" t="b">
        <v>0</v>
      </c>
      <c r="N1001" s="6">
        <v>6</v>
      </c>
      <c r="O1001" s="8" t="s">
        <v>331</v>
      </c>
      <c r="P1001" s="8" t="s">
        <v>238</v>
      </c>
      <c r="Q1001" s="8" t="s">
        <v>335</v>
      </c>
      <c r="R1001" s="6">
        <v>6</v>
      </c>
      <c r="S1001" s="8" t="s">
        <v>347</v>
      </c>
      <c r="T1001" s="6">
        <v>6</v>
      </c>
      <c r="U1001" s="8" t="s">
        <v>1733</v>
      </c>
      <c r="V1001" s="8" t="s">
        <v>450</v>
      </c>
      <c r="W1001" s="8" t="s">
        <v>240</v>
      </c>
      <c r="X1001" s="8" t="s">
        <v>240</v>
      </c>
      <c r="Y1001" s="8" t="s">
        <v>240</v>
      </c>
      <c r="Z1001" s="6" t="b">
        <v>0</v>
      </c>
      <c r="AA1001" s="9"/>
      <c r="AB1001" s="9"/>
    </row>
    <row r="1002" spans="1:28" ht="32">
      <c r="A1002" s="6">
        <v>1117</v>
      </c>
      <c r="B1002" s="8" t="s">
        <v>194</v>
      </c>
      <c r="C1002" s="8" t="s">
        <v>90</v>
      </c>
      <c r="D1002" s="8" t="s">
        <v>1793</v>
      </c>
      <c r="E1002" s="8" t="s">
        <v>1790</v>
      </c>
      <c r="F1002" s="6">
        <v>1115</v>
      </c>
      <c r="G1002" s="6" t="b">
        <v>0</v>
      </c>
      <c r="H1002" s="8" t="s">
        <v>240</v>
      </c>
      <c r="I1002" s="6" t="b">
        <v>0</v>
      </c>
      <c r="J1002" s="6" t="b">
        <v>0</v>
      </c>
      <c r="K1002" s="6" t="b">
        <v>1</v>
      </c>
      <c r="L1002" s="6" t="b">
        <v>1</v>
      </c>
      <c r="M1002" s="6" t="b">
        <v>0</v>
      </c>
      <c r="N1002" s="6">
        <v>6</v>
      </c>
      <c r="O1002" s="8" t="s">
        <v>331</v>
      </c>
      <c r="P1002" s="8" t="s">
        <v>238</v>
      </c>
      <c r="Q1002" s="8" t="s">
        <v>335</v>
      </c>
      <c r="R1002" s="6">
        <v>6</v>
      </c>
      <c r="S1002" s="8" t="s">
        <v>335</v>
      </c>
      <c r="T1002" s="6">
        <v>6</v>
      </c>
      <c r="U1002" s="8" t="s">
        <v>240</v>
      </c>
      <c r="V1002" s="8" t="s">
        <v>450</v>
      </c>
      <c r="W1002" s="8" t="s">
        <v>240</v>
      </c>
      <c r="X1002" s="8" t="s">
        <v>240</v>
      </c>
      <c r="Y1002" s="8" t="s">
        <v>240</v>
      </c>
      <c r="Z1002" s="6" t="b">
        <v>0</v>
      </c>
      <c r="AA1002" s="9"/>
      <c r="AB1002" s="9"/>
    </row>
    <row r="1003" spans="1:28" ht="32">
      <c r="A1003" s="6">
        <v>1118</v>
      </c>
      <c r="B1003" s="8" t="s">
        <v>194</v>
      </c>
      <c r="C1003" s="8" t="s">
        <v>90</v>
      </c>
      <c r="D1003" s="8" t="s">
        <v>1794</v>
      </c>
      <c r="E1003" s="8" t="s">
        <v>1790</v>
      </c>
      <c r="F1003" s="6">
        <v>1115</v>
      </c>
      <c r="G1003" s="6" t="b">
        <v>0</v>
      </c>
      <c r="H1003" s="8" t="s">
        <v>240</v>
      </c>
      <c r="I1003" s="6" t="b">
        <v>0</v>
      </c>
      <c r="J1003" s="6" t="b">
        <v>0</v>
      </c>
      <c r="K1003" s="6" t="b">
        <v>1</v>
      </c>
      <c r="L1003" s="6" t="b">
        <v>1</v>
      </c>
      <c r="M1003" s="6" t="b">
        <v>0</v>
      </c>
      <c r="N1003" s="6">
        <v>6</v>
      </c>
      <c r="O1003" s="8" t="s">
        <v>331</v>
      </c>
      <c r="P1003" s="8" t="s">
        <v>238</v>
      </c>
      <c r="Q1003" s="8" t="s">
        <v>811</v>
      </c>
      <c r="R1003" s="6">
        <v>6</v>
      </c>
      <c r="S1003" s="8" t="s">
        <v>347</v>
      </c>
      <c r="T1003" s="9"/>
      <c r="U1003" s="8" t="s">
        <v>240</v>
      </c>
      <c r="V1003" s="8" t="s">
        <v>450</v>
      </c>
      <c r="W1003" s="8" t="s">
        <v>240</v>
      </c>
      <c r="X1003" s="8" t="s">
        <v>240</v>
      </c>
      <c r="Y1003" s="8" t="s">
        <v>240</v>
      </c>
      <c r="Z1003" s="6" t="b">
        <v>0</v>
      </c>
      <c r="AA1003" s="9"/>
      <c r="AB1003" s="9"/>
    </row>
    <row r="1004" spans="1:28" ht="32">
      <c r="A1004" s="6">
        <v>1119</v>
      </c>
      <c r="B1004" s="8" t="s">
        <v>194</v>
      </c>
      <c r="C1004" s="8" t="s">
        <v>90</v>
      </c>
      <c r="D1004" s="8" t="s">
        <v>1795</v>
      </c>
      <c r="E1004" s="8" t="s">
        <v>1790</v>
      </c>
      <c r="F1004" s="6">
        <v>1115</v>
      </c>
      <c r="G1004" s="6" t="b">
        <v>0</v>
      </c>
      <c r="H1004" s="8" t="s">
        <v>240</v>
      </c>
      <c r="I1004" s="6" t="b">
        <v>0</v>
      </c>
      <c r="J1004" s="6" t="b">
        <v>0</v>
      </c>
      <c r="K1004" s="6" t="b">
        <v>1</v>
      </c>
      <c r="L1004" s="6" t="b">
        <v>1</v>
      </c>
      <c r="M1004" s="6" t="b">
        <v>0</v>
      </c>
      <c r="N1004" s="6">
        <v>6</v>
      </c>
      <c r="O1004" s="8" t="s">
        <v>331</v>
      </c>
      <c r="P1004" s="8" t="s">
        <v>238</v>
      </c>
      <c r="Q1004" s="8" t="s">
        <v>811</v>
      </c>
      <c r="R1004" s="6">
        <v>6</v>
      </c>
      <c r="S1004" s="8" t="s">
        <v>347</v>
      </c>
      <c r="T1004" s="9"/>
      <c r="U1004" s="8" t="s">
        <v>240</v>
      </c>
      <c r="V1004" s="8" t="s">
        <v>450</v>
      </c>
      <c r="W1004" s="8" t="s">
        <v>240</v>
      </c>
      <c r="X1004" s="8" t="s">
        <v>240</v>
      </c>
      <c r="Y1004" s="8" t="s">
        <v>240</v>
      </c>
      <c r="Z1004" s="6" t="b">
        <v>0</v>
      </c>
      <c r="AA1004" s="9"/>
      <c r="AB1004" s="9"/>
    </row>
    <row r="1005" spans="1:28" ht="32">
      <c r="A1005" s="6">
        <v>1120</v>
      </c>
      <c r="B1005" s="8" t="s">
        <v>194</v>
      </c>
      <c r="C1005" s="8" t="s">
        <v>90</v>
      </c>
      <c r="D1005" s="8" t="s">
        <v>1796</v>
      </c>
      <c r="E1005" s="8" t="s">
        <v>1790</v>
      </c>
      <c r="F1005" s="6">
        <v>1115</v>
      </c>
      <c r="G1005" s="6" t="b">
        <v>0</v>
      </c>
      <c r="H1005" s="8" t="s">
        <v>240</v>
      </c>
      <c r="I1005" s="6" t="b">
        <v>0</v>
      </c>
      <c r="J1005" s="6" t="b">
        <v>0</v>
      </c>
      <c r="K1005" s="6" t="b">
        <v>1</v>
      </c>
      <c r="L1005" s="6" t="b">
        <v>1</v>
      </c>
      <c r="M1005" s="6" t="b">
        <v>0</v>
      </c>
      <c r="N1005" s="6">
        <v>6</v>
      </c>
      <c r="O1005" s="8" t="s">
        <v>331</v>
      </c>
      <c r="P1005" s="8" t="s">
        <v>238</v>
      </c>
      <c r="Q1005" s="8" t="s">
        <v>335</v>
      </c>
      <c r="R1005" s="6">
        <v>6</v>
      </c>
      <c r="S1005" s="8" t="s">
        <v>347</v>
      </c>
      <c r="T1005" s="6">
        <v>6</v>
      </c>
      <c r="U1005" s="8" t="s">
        <v>1290</v>
      </c>
      <c r="V1005" s="8" t="s">
        <v>450</v>
      </c>
      <c r="W1005" s="8" t="s">
        <v>240</v>
      </c>
      <c r="X1005" s="8" t="s">
        <v>240</v>
      </c>
      <c r="Y1005" s="8" t="s">
        <v>240</v>
      </c>
      <c r="Z1005" s="6" t="b">
        <v>0</v>
      </c>
      <c r="AA1005" s="9"/>
      <c r="AB1005" s="9"/>
    </row>
    <row r="1006" spans="1:28" ht="32">
      <c r="A1006" s="6">
        <v>1121</v>
      </c>
      <c r="B1006" s="8" t="s">
        <v>194</v>
      </c>
      <c r="C1006" s="8" t="s">
        <v>90</v>
      </c>
      <c r="D1006" s="8" t="s">
        <v>1797</v>
      </c>
      <c r="E1006" s="8" t="s">
        <v>1790</v>
      </c>
      <c r="F1006" s="6">
        <v>1115</v>
      </c>
      <c r="G1006" s="6" t="b">
        <v>0</v>
      </c>
      <c r="H1006" s="8" t="s">
        <v>240</v>
      </c>
      <c r="I1006" s="6" t="b">
        <v>0</v>
      </c>
      <c r="J1006" s="6" t="b">
        <v>0</v>
      </c>
      <c r="K1006" s="6" t="b">
        <v>1</v>
      </c>
      <c r="L1006" s="6" t="b">
        <v>1</v>
      </c>
      <c r="M1006" s="6" t="b">
        <v>0</v>
      </c>
      <c r="N1006" s="6">
        <v>6</v>
      </c>
      <c r="O1006" s="8" t="s">
        <v>331</v>
      </c>
      <c r="P1006" s="8" t="s">
        <v>238</v>
      </c>
      <c r="Q1006" s="8" t="s">
        <v>335</v>
      </c>
      <c r="R1006" s="6">
        <v>6</v>
      </c>
      <c r="S1006" s="8" t="s">
        <v>347</v>
      </c>
      <c r="T1006" s="6">
        <v>6</v>
      </c>
      <c r="U1006" s="8" t="s">
        <v>1290</v>
      </c>
      <c r="V1006" s="8" t="s">
        <v>450</v>
      </c>
      <c r="W1006" s="8" t="s">
        <v>240</v>
      </c>
      <c r="X1006" s="8" t="s">
        <v>240</v>
      </c>
      <c r="Y1006" s="8" t="s">
        <v>1798</v>
      </c>
      <c r="Z1006" s="6" t="b">
        <v>0</v>
      </c>
      <c r="AA1006" s="9"/>
      <c r="AB1006" s="9"/>
    </row>
    <row r="1007" spans="1:28" ht="32">
      <c r="A1007" s="6">
        <v>1122</v>
      </c>
      <c r="B1007" s="8" t="s">
        <v>194</v>
      </c>
      <c r="C1007" s="8" t="s">
        <v>90</v>
      </c>
      <c r="D1007" s="8" t="s">
        <v>1799</v>
      </c>
      <c r="E1007" s="8" t="s">
        <v>1790</v>
      </c>
      <c r="F1007" s="6">
        <v>1115</v>
      </c>
      <c r="G1007" s="6" t="b">
        <v>0</v>
      </c>
      <c r="H1007" s="8" t="s">
        <v>240</v>
      </c>
      <c r="I1007" s="6" t="b">
        <v>0</v>
      </c>
      <c r="J1007" s="6" t="b">
        <v>0</v>
      </c>
      <c r="K1007" s="6" t="b">
        <v>1</v>
      </c>
      <c r="L1007" s="6" t="b">
        <v>1</v>
      </c>
      <c r="M1007" s="6" t="b">
        <v>0</v>
      </c>
      <c r="N1007" s="6">
        <v>6</v>
      </c>
      <c r="O1007" s="8" t="s">
        <v>331</v>
      </c>
      <c r="P1007" s="8" t="s">
        <v>238</v>
      </c>
      <c r="Q1007" s="8" t="s">
        <v>335</v>
      </c>
      <c r="R1007" s="6">
        <v>6</v>
      </c>
      <c r="S1007" s="8" t="s">
        <v>335</v>
      </c>
      <c r="T1007" s="6">
        <v>6</v>
      </c>
      <c r="U1007" s="8" t="s">
        <v>240</v>
      </c>
      <c r="V1007" s="8" t="s">
        <v>450</v>
      </c>
      <c r="W1007" s="8" t="s">
        <v>240</v>
      </c>
      <c r="X1007" s="8" t="s">
        <v>240</v>
      </c>
      <c r="Y1007" s="8" t="s">
        <v>240</v>
      </c>
      <c r="Z1007" s="6" t="b">
        <v>0</v>
      </c>
      <c r="AA1007" s="9"/>
      <c r="AB1007" s="9"/>
    </row>
    <row r="1008" spans="1:28" ht="32">
      <c r="A1008" s="6">
        <v>1123</v>
      </c>
      <c r="B1008" s="8" t="s">
        <v>194</v>
      </c>
      <c r="C1008" s="8" t="s">
        <v>90</v>
      </c>
      <c r="D1008" s="8" t="s">
        <v>1800</v>
      </c>
      <c r="E1008" s="8" t="s">
        <v>1790</v>
      </c>
      <c r="F1008" s="6">
        <v>1115</v>
      </c>
      <c r="G1008" s="6" t="b">
        <v>0</v>
      </c>
      <c r="H1008" s="8" t="s">
        <v>240</v>
      </c>
      <c r="I1008" s="6" t="b">
        <v>0</v>
      </c>
      <c r="J1008" s="6" t="b">
        <v>0</v>
      </c>
      <c r="K1008" s="6" t="b">
        <v>1</v>
      </c>
      <c r="L1008" s="6" t="b">
        <v>1</v>
      </c>
      <c r="M1008" s="6" t="b">
        <v>0</v>
      </c>
      <c r="N1008" s="6">
        <v>6</v>
      </c>
      <c r="O1008" s="8" t="s">
        <v>331</v>
      </c>
      <c r="P1008" s="8" t="s">
        <v>238</v>
      </c>
      <c r="Q1008" s="8" t="s">
        <v>335</v>
      </c>
      <c r="R1008" s="6">
        <v>6</v>
      </c>
      <c r="S1008" s="8" t="s">
        <v>347</v>
      </c>
      <c r="T1008" s="6">
        <v>6</v>
      </c>
      <c r="U1008" s="8" t="s">
        <v>1801</v>
      </c>
      <c r="V1008" s="8" t="s">
        <v>450</v>
      </c>
      <c r="W1008" s="8" t="s">
        <v>240</v>
      </c>
      <c r="X1008" s="8" t="s">
        <v>240</v>
      </c>
      <c r="Y1008" s="8" t="s">
        <v>240</v>
      </c>
      <c r="Z1008" s="6" t="b">
        <v>0</v>
      </c>
      <c r="AA1008" s="9"/>
      <c r="AB1008" s="9"/>
    </row>
    <row r="1009" spans="1:28" ht="32">
      <c r="A1009" s="6">
        <v>1124</v>
      </c>
      <c r="B1009" s="8" t="s">
        <v>194</v>
      </c>
      <c r="C1009" s="8" t="s">
        <v>90</v>
      </c>
      <c r="D1009" s="8" t="s">
        <v>1802</v>
      </c>
      <c r="E1009" s="8" t="s">
        <v>1790</v>
      </c>
      <c r="F1009" s="6">
        <v>1115</v>
      </c>
      <c r="G1009" s="6" t="b">
        <v>0</v>
      </c>
      <c r="H1009" s="8" t="s">
        <v>240</v>
      </c>
      <c r="I1009" s="6" t="b">
        <v>0</v>
      </c>
      <c r="J1009" s="6" t="b">
        <v>0</v>
      </c>
      <c r="K1009" s="6" t="b">
        <v>1</v>
      </c>
      <c r="L1009" s="6" t="b">
        <v>1</v>
      </c>
      <c r="M1009" s="6" t="b">
        <v>0</v>
      </c>
      <c r="N1009" s="6">
        <v>6</v>
      </c>
      <c r="O1009" s="8" t="s">
        <v>331</v>
      </c>
      <c r="P1009" s="8" t="s">
        <v>238</v>
      </c>
      <c r="Q1009" s="8" t="s">
        <v>335</v>
      </c>
      <c r="R1009" s="6">
        <v>6</v>
      </c>
      <c r="S1009" s="8" t="s">
        <v>347</v>
      </c>
      <c r="T1009" s="6">
        <v>6</v>
      </c>
      <c r="U1009" s="8" t="s">
        <v>1801</v>
      </c>
      <c r="V1009" s="8" t="s">
        <v>450</v>
      </c>
      <c r="W1009" s="8" t="s">
        <v>240</v>
      </c>
      <c r="X1009" s="8" t="s">
        <v>240</v>
      </c>
      <c r="Y1009" s="8" t="s">
        <v>1803</v>
      </c>
      <c r="Z1009" s="6" t="b">
        <v>0</v>
      </c>
      <c r="AA1009" s="9"/>
      <c r="AB1009" s="9"/>
    </row>
    <row r="1010" spans="1:28" ht="32">
      <c r="A1010" s="6">
        <v>1125</v>
      </c>
      <c r="B1010" s="8" t="s">
        <v>194</v>
      </c>
      <c r="C1010" s="8" t="s">
        <v>90</v>
      </c>
      <c r="D1010" s="8" t="s">
        <v>1804</v>
      </c>
      <c r="E1010" s="8" t="s">
        <v>1790</v>
      </c>
      <c r="F1010" s="6">
        <v>1115</v>
      </c>
      <c r="G1010" s="6" t="b">
        <v>0</v>
      </c>
      <c r="H1010" s="8" t="s">
        <v>240</v>
      </c>
      <c r="I1010" s="6" t="b">
        <v>0</v>
      </c>
      <c r="J1010" s="6" t="b">
        <v>0</v>
      </c>
      <c r="K1010" s="6" t="b">
        <v>1</v>
      </c>
      <c r="L1010" s="6" t="b">
        <v>1</v>
      </c>
      <c r="M1010" s="6" t="b">
        <v>0</v>
      </c>
      <c r="N1010" s="6">
        <v>6</v>
      </c>
      <c r="O1010" s="8" t="s">
        <v>331</v>
      </c>
      <c r="P1010" s="8" t="s">
        <v>238</v>
      </c>
      <c r="Q1010" s="8" t="s">
        <v>335</v>
      </c>
      <c r="R1010" s="6">
        <v>6</v>
      </c>
      <c r="S1010" s="8" t="s">
        <v>335</v>
      </c>
      <c r="T1010" s="6">
        <v>6</v>
      </c>
      <c r="U1010" s="8" t="s">
        <v>240</v>
      </c>
      <c r="V1010" s="8" t="s">
        <v>450</v>
      </c>
      <c r="W1010" s="8" t="s">
        <v>240</v>
      </c>
      <c r="X1010" s="8" t="s">
        <v>240</v>
      </c>
      <c r="Y1010" s="8" t="s">
        <v>240</v>
      </c>
      <c r="Z1010" s="6" t="b">
        <v>0</v>
      </c>
      <c r="AA1010" s="9"/>
      <c r="AB1010" s="9"/>
    </row>
    <row r="1011" spans="1:28" ht="32">
      <c r="A1011" s="6">
        <v>1126</v>
      </c>
      <c r="B1011" s="8" t="s">
        <v>194</v>
      </c>
      <c r="C1011" s="8" t="s">
        <v>90</v>
      </c>
      <c r="D1011" s="8" t="s">
        <v>1805</v>
      </c>
      <c r="E1011" s="8" t="s">
        <v>1790</v>
      </c>
      <c r="F1011" s="6">
        <v>1115</v>
      </c>
      <c r="G1011" s="6" t="b">
        <v>0</v>
      </c>
      <c r="H1011" s="8" t="s">
        <v>240</v>
      </c>
      <c r="I1011" s="6" t="b">
        <v>0</v>
      </c>
      <c r="J1011" s="6" t="b">
        <v>0</v>
      </c>
      <c r="K1011" s="6" t="b">
        <v>1</v>
      </c>
      <c r="L1011" s="6" t="b">
        <v>1</v>
      </c>
      <c r="M1011" s="6" t="b">
        <v>0</v>
      </c>
      <c r="N1011" s="6">
        <v>6</v>
      </c>
      <c r="O1011" s="8" t="s">
        <v>331</v>
      </c>
      <c r="P1011" s="8" t="s">
        <v>238</v>
      </c>
      <c r="Q1011" s="8" t="s">
        <v>335</v>
      </c>
      <c r="R1011" s="6">
        <v>6</v>
      </c>
      <c r="S1011" s="8" t="s">
        <v>335</v>
      </c>
      <c r="T1011" s="6">
        <v>6</v>
      </c>
      <c r="U1011" s="8" t="s">
        <v>240</v>
      </c>
      <c r="V1011" s="8" t="s">
        <v>450</v>
      </c>
      <c r="W1011" s="8" t="s">
        <v>240</v>
      </c>
      <c r="X1011" s="8" t="s">
        <v>240</v>
      </c>
      <c r="Y1011" s="8" t="s">
        <v>240</v>
      </c>
      <c r="Z1011" s="6" t="b">
        <v>0</v>
      </c>
      <c r="AA1011" s="9"/>
      <c r="AB1011" s="9"/>
    </row>
    <row r="1012" spans="1:28" ht="16">
      <c r="A1012" s="6">
        <v>1127</v>
      </c>
      <c r="B1012" s="8" t="s">
        <v>194</v>
      </c>
      <c r="C1012" s="8" t="s">
        <v>90</v>
      </c>
      <c r="D1012" s="8" t="s">
        <v>1806</v>
      </c>
      <c r="E1012" s="8" t="s">
        <v>1806</v>
      </c>
      <c r="F1012" s="6">
        <v>1127</v>
      </c>
      <c r="G1012" s="6" t="b">
        <v>0</v>
      </c>
      <c r="H1012" s="8" t="s">
        <v>240</v>
      </c>
      <c r="I1012" s="6" t="b">
        <v>1</v>
      </c>
      <c r="J1012" s="6" t="b">
        <v>0</v>
      </c>
      <c r="K1012" s="6" t="b">
        <v>0</v>
      </c>
      <c r="L1012" s="6" t="b">
        <v>1</v>
      </c>
      <c r="M1012" s="6" t="b">
        <v>0</v>
      </c>
      <c r="N1012" s="6">
        <v>6</v>
      </c>
      <c r="O1012" s="8" t="s">
        <v>331</v>
      </c>
      <c r="P1012" s="8" t="s">
        <v>350</v>
      </c>
      <c r="Q1012" s="8" t="s">
        <v>388</v>
      </c>
      <c r="R1012" s="6">
        <v>4</v>
      </c>
      <c r="S1012" s="8" t="s">
        <v>335</v>
      </c>
      <c r="T1012" s="9"/>
      <c r="U1012" s="8" t="s">
        <v>240</v>
      </c>
      <c r="V1012" s="8" t="s">
        <v>240</v>
      </c>
      <c r="W1012" s="8" t="s">
        <v>386</v>
      </c>
      <c r="X1012" s="8" t="s">
        <v>240</v>
      </c>
      <c r="Y1012" s="8" t="s">
        <v>1807</v>
      </c>
      <c r="Z1012" s="6" t="b">
        <v>0</v>
      </c>
      <c r="AA1012" s="9"/>
      <c r="AB1012" s="9"/>
    </row>
    <row r="1013" spans="1:28" ht="32">
      <c r="A1013" s="6">
        <v>1128</v>
      </c>
      <c r="B1013" s="8" t="s">
        <v>194</v>
      </c>
      <c r="C1013" s="8" t="s">
        <v>90</v>
      </c>
      <c r="D1013" s="8" t="s">
        <v>1808</v>
      </c>
      <c r="E1013" s="8" t="s">
        <v>1806</v>
      </c>
      <c r="F1013" s="6">
        <v>1127</v>
      </c>
      <c r="G1013" s="6" t="b">
        <v>0</v>
      </c>
      <c r="H1013" s="8" t="s">
        <v>240</v>
      </c>
      <c r="I1013" s="6" t="b">
        <v>1</v>
      </c>
      <c r="J1013" s="6" t="b">
        <v>0</v>
      </c>
      <c r="K1013" s="6" t="b">
        <v>0</v>
      </c>
      <c r="L1013" s="6" t="b">
        <v>1</v>
      </c>
      <c r="M1013" s="6" t="b">
        <v>0</v>
      </c>
      <c r="N1013" s="6">
        <v>6</v>
      </c>
      <c r="O1013" s="8" t="s">
        <v>331</v>
      </c>
      <c r="P1013" s="8" t="s">
        <v>1678</v>
      </c>
      <c r="Q1013" s="8" t="s">
        <v>1517</v>
      </c>
      <c r="R1013" s="6">
        <v>4</v>
      </c>
      <c r="S1013" s="8" t="s">
        <v>335</v>
      </c>
      <c r="T1013" s="9"/>
      <c r="U1013" s="8" t="s">
        <v>1809</v>
      </c>
      <c r="V1013" s="8" t="s">
        <v>1363</v>
      </c>
      <c r="W1013" s="8" t="s">
        <v>386</v>
      </c>
      <c r="X1013" s="8" t="s">
        <v>240</v>
      </c>
      <c r="Y1013" s="8" t="s">
        <v>240</v>
      </c>
      <c r="Z1013" s="6" t="b">
        <v>0</v>
      </c>
      <c r="AA1013" s="9"/>
      <c r="AB1013" s="9"/>
    </row>
    <row r="1014" spans="1:28" ht="16">
      <c r="A1014" s="6">
        <v>1129</v>
      </c>
      <c r="B1014" s="8" t="s">
        <v>194</v>
      </c>
      <c r="C1014" s="8" t="s">
        <v>90</v>
      </c>
      <c r="D1014" s="8" t="s">
        <v>1810</v>
      </c>
      <c r="E1014" s="8" t="s">
        <v>1810</v>
      </c>
      <c r="F1014" s="6">
        <v>1129</v>
      </c>
      <c r="G1014" s="6" t="b">
        <v>0</v>
      </c>
      <c r="H1014" s="8" t="s">
        <v>240</v>
      </c>
      <c r="I1014" s="6" t="b">
        <v>0</v>
      </c>
      <c r="J1014" s="6" t="b">
        <v>1</v>
      </c>
      <c r="K1014" s="6" t="b">
        <v>0</v>
      </c>
      <c r="L1014" s="6" t="b">
        <v>1</v>
      </c>
      <c r="M1014" s="6" t="b">
        <v>0</v>
      </c>
      <c r="N1014" s="6">
        <v>6</v>
      </c>
      <c r="O1014" s="8" t="s">
        <v>331</v>
      </c>
      <c r="P1014" s="8" t="s">
        <v>350</v>
      </c>
      <c r="Q1014" s="8" t="s">
        <v>762</v>
      </c>
      <c r="R1014" s="6">
        <v>4</v>
      </c>
      <c r="S1014" s="8" t="s">
        <v>335</v>
      </c>
      <c r="T1014" s="6">
        <v>4</v>
      </c>
      <c r="U1014" s="8" t="s">
        <v>240</v>
      </c>
      <c r="V1014" s="8" t="s">
        <v>450</v>
      </c>
      <c r="W1014" s="8" t="s">
        <v>240</v>
      </c>
      <c r="X1014" s="8" t="s">
        <v>240</v>
      </c>
      <c r="Y1014" s="8" t="s">
        <v>1811</v>
      </c>
      <c r="Z1014" s="6" t="b">
        <v>0</v>
      </c>
      <c r="AA1014" s="9"/>
      <c r="AB1014" s="9"/>
    </row>
    <row r="1015" spans="1:28" ht="32">
      <c r="A1015" s="6">
        <v>1130</v>
      </c>
      <c r="B1015" s="8" t="s">
        <v>194</v>
      </c>
      <c r="C1015" s="8" t="s">
        <v>90</v>
      </c>
      <c r="D1015" s="8" t="s">
        <v>1812</v>
      </c>
      <c r="E1015" s="8" t="s">
        <v>1810</v>
      </c>
      <c r="F1015" s="6">
        <v>1129</v>
      </c>
      <c r="G1015" s="6" t="b">
        <v>0</v>
      </c>
      <c r="H1015" s="8" t="s">
        <v>240</v>
      </c>
      <c r="I1015" s="6" t="b">
        <v>0</v>
      </c>
      <c r="J1015" s="6" t="b">
        <v>1</v>
      </c>
      <c r="K1015" s="6" t="b">
        <v>0</v>
      </c>
      <c r="L1015" s="6" t="b">
        <v>1</v>
      </c>
      <c r="M1015" s="6" t="b">
        <v>0</v>
      </c>
      <c r="N1015" s="6">
        <v>6</v>
      </c>
      <c r="O1015" s="8" t="s">
        <v>331</v>
      </c>
      <c r="P1015" s="8" t="s">
        <v>350</v>
      </c>
      <c r="Q1015" s="8" t="s">
        <v>762</v>
      </c>
      <c r="R1015" s="6">
        <v>6</v>
      </c>
      <c r="S1015" s="8" t="s">
        <v>75</v>
      </c>
      <c r="T1015" s="6">
        <v>4</v>
      </c>
      <c r="U1015" s="8" t="s">
        <v>240</v>
      </c>
      <c r="V1015" s="8" t="s">
        <v>240</v>
      </c>
      <c r="W1015" s="8" t="s">
        <v>240</v>
      </c>
      <c r="X1015" s="8" t="s">
        <v>240</v>
      </c>
      <c r="Y1015" s="8" t="s">
        <v>1813</v>
      </c>
      <c r="Z1015" s="6" t="b">
        <v>0</v>
      </c>
      <c r="AA1015" s="9"/>
      <c r="AB1015" s="9"/>
    </row>
    <row r="1016" spans="1:28" ht="16">
      <c r="A1016" s="6">
        <v>1131</v>
      </c>
      <c r="B1016" s="8" t="s">
        <v>194</v>
      </c>
      <c r="C1016" s="8" t="s">
        <v>90</v>
      </c>
      <c r="D1016" s="8" t="s">
        <v>1814</v>
      </c>
      <c r="E1016" s="8" t="s">
        <v>1810</v>
      </c>
      <c r="F1016" s="6">
        <v>1129</v>
      </c>
      <c r="G1016" s="6" t="b">
        <v>0</v>
      </c>
      <c r="H1016" s="8" t="s">
        <v>240</v>
      </c>
      <c r="I1016" s="6" t="b">
        <v>0</v>
      </c>
      <c r="J1016" s="6" t="b">
        <v>1</v>
      </c>
      <c r="K1016" s="6" t="b">
        <v>0</v>
      </c>
      <c r="L1016" s="6" t="b">
        <v>1</v>
      </c>
      <c r="M1016" s="6" t="b">
        <v>0</v>
      </c>
      <c r="N1016" s="6">
        <v>6</v>
      </c>
      <c r="O1016" s="8" t="s">
        <v>331</v>
      </c>
      <c r="P1016" s="8" t="s">
        <v>350</v>
      </c>
      <c r="Q1016" s="8" t="s">
        <v>335</v>
      </c>
      <c r="R1016" s="6">
        <v>4</v>
      </c>
      <c r="S1016" s="8" t="s">
        <v>335</v>
      </c>
      <c r="T1016" s="6">
        <v>4</v>
      </c>
      <c r="U1016" s="8" t="s">
        <v>240</v>
      </c>
      <c r="V1016" s="8" t="s">
        <v>450</v>
      </c>
      <c r="W1016" s="8" t="s">
        <v>240</v>
      </c>
      <c r="X1016" s="8" t="s">
        <v>240</v>
      </c>
      <c r="Y1016" s="8" t="s">
        <v>240</v>
      </c>
      <c r="Z1016" s="6" t="b">
        <v>0</v>
      </c>
      <c r="AA1016" s="9"/>
      <c r="AB1016" s="9"/>
    </row>
    <row r="1017" spans="1:28" ht="16">
      <c r="A1017" s="6">
        <v>1132</v>
      </c>
      <c r="B1017" s="8" t="s">
        <v>194</v>
      </c>
      <c r="C1017" s="8" t="s">
        <v>90</v>
      </c>
      <c r="D1017" s="8" t="s">
        <v>1815</v>
      </c>
      <c r="E1017" s="8" t="s">
        <v>1815</v>
      </c>
      <c r="F1017" s="6">
        <v>1132</v>
      </c>
      <c r="G1017" s="6" t="b">
        <v>0</v>
      </c>
      <c r="H1017" s="8" t="s">
        <v>240</v>
      </c>
      <c r="I1017" s="6" t="b">
        <v>0</v>
      </c>
      <c r="J1017" s="6" t="b">
        <v>1</v>
      </c>
      <c r="K1017" s="6" t="b">
        <v>0</v>
      </c>
      <c r="L1017" s="6" t="b">
        <v>1</v>
      </c>
      <c r="M1017" s="6" t="b">
        <v>0</v>
      </c>
      <c r="N1017" s="6">
        <v>6</v>
      </c>
      <c r="O1017" s="8" t="s">
        <v>331</v>
      </c>
      <c r="P1017" s="8" t="s">
        <v>333</v>
      </c>
      <c r="Q1017" s="8" t="s">
        <v>1490</v>
      </c>
      <c r="R1017" s="6">
        <v>7</v>
      </c>
      <c r="S1017" s="8" t="s">
        <v>347</v>
      </c>
      <c r="T1017" s="9"/>
      <c r="U1017" s="8" t="s">
        <v>240</v>
      </c>
      <c r="V1017" s="8" t="s">
        <v>482</v>
      </c>
      <c r="W1017" s="8" t="s">
        <v>240</v>
      </c>
      <c r="X1017" s="8" t="s">
        <v>240</v>
      </c>
      <c r="Y1017" s="8" t="s">
        <v>1816</v>
      </c>
      <c r="Z1017" s="6" t="b">
        <v>0</v>
      </c>
      <c r="AA1017" s="9"/>
      <c r="AB1017" s="9"/>
    </row>
    <row r="1018" spans="1:28" ht="32">
      <c r="A1018" s="6">
        <v>1133</v>
      </c>
      <c r="B1018" s="8" t="s">
        <v>194</v>
      </c>
      <c r="C1018" s="8" t="s">
        <v>90</v>
      </c>
      <c r="D1018" s="8" t="s">
        <v>1817</v>
      </c>
      <c r="E1018" s="8" t="s">
        <v>1815</v>
      </c>
      <c r="F1018" s="6">
        <v>1132</v>
      </c>
      <c r="G1018" s="6" t="b">
        <v>0</v>
      </c>
      <c r="H1018" s="8" t="s">
        <v>240</v>
      </c>
      <c r="I1018" s="6" t="b">
        <v>0</v>
      </c>
      <c r="J1018" s="6" t="b">
        <v>1</v>
      </c>
      <c r="K1018" s="6" t="b">
        <v>0</v>
      </c>
      <c r="L1018" s="6" t="b">
        <v>1</v>
      </c>
      <c r="M1018" s="6" t="b">
        <v>0</v>
      </c>
      <c r="N1018" s="6">
        <v>6</v>
      </c>
      <c r="O1018" s="8" t="s">
        <v>331</v>
      </c>
      <c r="P1018" s="8" t="s">
        <v>333</v>
      </c>
      <c r="Q1018" s="8" t="s">
        <v>1490</v>
      </c>
      <c r="R1018" s="6">
        <v>7</v>
      </c>
      <c r="S1018" s="8" t="s">
        <v>347</v>
      </c>
      <c r="T1018" s="9"/>
      <c r="U1018" s="8" t="s">
        <v>240</v>
      </c>
      <c r="V1018" s="8" t="s">
        <v>482</v>
      </c>
      <c r="W1018" s="8" t="s">
        <v>240</v>
      </c>
      <c r="X1018" s="8" t="s">
        <v>240</v>
      </c>
      <c r="Y1018" s="8" t="s">
        <v>240</v>
      </c>
      <c r="Z1018" s="6" t="b">
        <v>0</v>
      </c>
      <c r="AA1018" s="9"/>
      <c r="AB1018" s="9"/>
    </row>
    <row r="1019" spans="1:28" ht="16">
      <c r="A1019" s="6">
        <v>1134</v>
      </c>
      <c r="B1019" s="8" t="s">
        <v>194</v>
      </c>
      <c r="C1019" s="8" t="s">
        <v>90</v>
      </c>
      <c r="D1019" s="8" t="s">
        <v>1818</v>
      </c>
      <c r="E1019" s="8" t="s">
        <v>1815</v>
      </c>
      <c r="F1019" s="6">
        <v>1132</v>
      </c>
      <c r="G1019" s="6" t="b">
        <v>0</v>
      </c>
      <c r="H1019" s="8" t="s">
        <v>240</v>
      </c>
      <c r="I1019" s="6" t="b">
        <v>0</v>
      </c>
      <c r="J1019" s="6" t="b">
        <v>1</v>
      </c>
      <c r="K1019" s="6" t="b">
        <v>0</v>
      </c>
      <c r="L1019" s="6" t="b">
        <v>1</v>
      </c>
      <c r="M1019" s="6" t="b">
        <v>0</v>
      </c>
      <c r="N1019" s="6">
        <v>6</v>
      </c>
      <c r="O1019" s="8" t="s">
        <v>331</v>
      </c>
      <c r="P1019" s="8" t="s">
        <v>333</v>
      </c>
      <c r="Q1019" s="8" t="s">
        <v>1490</v>
      </c>
      <c r="R1019" s="6">
        <v>7</v>
      </c>
      <c r="S1019" s="8" t="s">
        <v>347</v>
      </c>
      <c r="T1019" s="9"/>
      <c r="U1019" s="8" t="s">
        <v>240</v>
      </c>
      <c r="V1019" s="8" t="s">
        <v>482</v>
      </c>
      <c r="W1019" s="8" t="s">
        <v>240</v>
      </c>
      <c r="X1019" s="8" t="s">
        <v>240</v>
      </c>
      <c r="Y1019" s="8" t="s">
        <v>240</v>
      </c>
      <c r="Z1019" s="6" t="b">
        <v>0</v>
      </c>
      <c r="AA1019" s="9"/>
      <c r="AB1019" s="9"/>
    </row>
    <row r="1020" spans="1:28" ht="16">
      <c r="A1020" s="6">
        <v>1135</v>
      </c>
      <c r="B1020" s="8" t="s">
        <v>194</v>
      </c>
      <c r="C1020" s="8" t="s">
        <v>90</v>
      </c>
      <c r="D1020" s="8" t="s">
        <v>1819</v>
      </c>
      <c r="E1020" s="8" t="s">
        <v>1815</v>
      </c>
      <c r="F1020" s="6">
        <v>1132</v>
      </c>
      <c r="G1020" s="6" t="b">
        <v>0</v>
      </c>
      <c r="H1020" s="8" t="s">
        <v>240</v>
      </c>
      <c r="I1020" s="6" t="b">
        <v>0</v>
      </c>
      <c r="J1020" s="6" t="b">
        <v>1</v>
      </c>
      <c r="K1020" s="6" t="b">
        <v>0</v>
      </c>
      <c r="L1020" s="6" t="b">
        <v>1</v>
      </c>
      <c r="M1020" s="6" t="b">
        <v>0</v>
      </c>
      <c r="N1020" s="6">
        <v>6</v>
      </c>
      <c r="O1020" s="8" t="s">
        <v>331</v>
      </c>
      <c r="P1020" s="8" t="s">
        <v>333</v>
      </c>
      <c r="Q1020" s="8" t="s">
        <v>1490</v>
      </c>
      <c r="R1020" s="6">
        <v>9</v>
      </c>
      <c r="S1020" s="8" t="s">
        <v>247</v>
      </c>
      <c r="T1020" s="9"/>
      <c r="U1020" s="8" t="s">
        <v>1820</v>
      </c>
      <c r="V1020" s="8" t="s">
        <v>482</v>
      </c>
      <c r="W1020" s="8" t="s">
        <v>240</v>
      </c>
      <c r="X1020" s="8" t="s">
        <v>240</v>
      </c>
      <c r="Y1020" s="8" t="s">
        <v>240</v>
      </c>
      <c r="Z1020" s="6" t="b">
        <v>0</v>
      </c>
      <c r="AA1020" s="9"/>
      <c r="AB1020" s="9"/>
    </row>
    <row r="1021" spans="1:28" ht="32">
      <c r="A1021" s="6">
        <v>1136</v>
      </c>
      <c r="B1021" s="8" t="s">
        <v>194</v>
      </c>
      <c r="C1021" s="8" t="s">
        <v>90</v>
      </c>
      <c r="D1021" s="8" t="s">
        <v>1821</v>
      </c>
      <c r="E1021" s="8" t="s">
        <v>1815</v>
      </c>
      <c r="F1021" s="6">
        <v>1132</v>
      </c>
      <c r="G1021" s="6" t="b">
        <v>0</v>
      </c>
      <c r="H1021" s="8" t="s">
        <v>240</v>
      </c>
      <c r="I1021" s="6" t="b">
        <v>0</v>
      </c>
      <c r="J1021" s="6" t="b">
        <v>1</v>
      </c>
      <c r="K1021" s="6" t="b">
        <v>0</v>
      </c>
      <c r="L1021" s="6" t="b">
        <v>1</v>
      </c>
      <c r="M1021" s="6" t="b">
        <v>0</v>
      </c>
      <c r="N1021" s="6">
        <v>6</v>
      </c>
      <c r="O1021" s="8" t="s">
        <v>331</v>
      </c>
      <c r="P1021" s="8" t="s">
        <v>350</v>
      </c>
      <c r="Q1021" s="8" t="s">
        <v>335</v>
      </c>
      <c r="R1021" s="6">
        <v>7</v>
      </c>
      <c r="S1021" s="8" t="s">
        <v>335</v>
      </c>
      <c r="T1021" s="6">
        <v>7</v>
      </c>
      <c r="U1021" s="8" t="s">
        <v>240</v>
      </c>
      <c r="V1021" s="8" t="s">
        <v>482</v>
      </c>
      <c r="W1021" s="8" t="s">
        <v>240</v>
      </c>
      <c r="X1021" s="8" t="s">
        <v>240</v>
      </c>
      <c r="Y1021" s="8" t="s">
        <v>240</v>
      </c>
      <c r="Z1021" s="6" t="b">
        <v>0</v>
      </c>
      <c r="AA1021" s="9"/>
      <c r="AB1021" s="9"/>
    </row>
    <row r="1022" spans="1:28" ht="16">
      <c r="A1022" s="6">
        <v>1137</v>
      </c>
      <c r="B1022" s="8" t="s">
        <v>194</v>
      </c>
      <c r="C1022" s="8" t="s">
        <v>90</v>
      </c>
      <c r="D1022" s="8" t="s">
        <v>1822</v>
      </c>
      <c r="E1022" s="8" t="s">
        <v>1815</v>
      </c>
      <c r="F1022" s="6">
        <v>1132</v>
      </c>
      <c r="G1022" s="6" t="b">
        <v>0</v>
      </c>
      <c r="H1022" s="8" t="s">
        <v>240</v>
      </c>
      <c r="I1022" s="6" t="b">
        <v>0</v>
      </c>
      <c r="J1022" s="6" t="b">
        <v>1</v>
      </c>
      <c r="K1022" s="6" t="b">
        <v>0</v>
      </c>
      <c r="L1022" s="6" t="b">
        <v>1</v>
      </c>
      <c r="M1022" s="6" t="b">
        <v>0</v>
      </c>
      <c r="N1022" s="6">
        <v>6</v>
      </c>
      <c r="O1022" s="8" t="s">
        <v>331</v>
      </c>
      <c r="P1022" s="8" t="s">
        <v>333</v>
      </c>
      <c r="Q1022" s="8" t="s">
        <v>1490</v>
      </c>
      <c r="R1022" s="6">
        <v>9</v>
      </c>
      <c r="S1022" s="8" t="s">
        <v>247</v>
      </c>
      <c r="T1022" s="9"/>
      <c r="U1022" s="8" t="s">
        <v>1820</v>
      </c>
      <c r="V1022" s="8" t="s">
        <v>482</v>
      </c>
      <c r="W1022" s="8" t="s">
        <v>240</v>
      </c>
      <c r="X1022" s="8" t="s">
        <v>240</v>
      </c>
      <c r="Y1022" s="8" t="s">
        <v>240</v>
      </c>
      <c r="Z1022" s="6" t="b">
        <v>0</v>
      </c>
      <c r="AA1022" s="9"/>
      <c r="AB1022" s="9"/>
    </row>
    <row r="1023" spans="1:28" ht="16">
      <c r="A1023" s="6">
        <v>1138</v>
      </c>
      <c r="B1023" s="8" t="s">
        <v>194</v>
      </c>
      <c r="C1023" s="8" t="s">
        <v>90</v>
      </c>
      <c r="D1023" s="8" t="s">
        <v>1823</v>
      </c>
      <c r="E1023" s="8" t="s">
        <v>1815</v>
      </c>
      <c r="F1023" s="6">
        <v>1132</v>
      </c>
      <c r="G1023" s="6" t="b">
        <v>0</v>
      </c>
      <c r="H1023" s="8" t="s">
        <v>240</v>
      </c>
      <c r="I1023" s="6" t="b">
        <v>0</v>
      </c>
      <c r="J1023" s="6" t="b">
        <v>1</v>
      </c>
      <c r="K1023" s="6" t="b">
        <v>0</v>
      </c>
      <c r="L1023" s="6" t="b">
        <v>1</v>
      </c>
      <c r="M1023" s="6" t="b">
        <v>0</v>
      </c>
      <c r="N1023" s="6">
        <v>6</v>
      </c>
      <c r="O1023" s="8" t="s">
        <v>331</v>
      </c>
      <c r="P1023" s="8" t="s">
        <v>333</v>
      </c>
      <c r="Q1023" s="8" t="s">
        <v>1490</v>
      </c>
      <c r="R1023" s="6">
        <v>7</v>
      </c>
      <c r="S1023" s="8" t="s">
        <v>347</v>
      </c>
      <c r="T1023" s="9"/>
      <c r="U1023" s="8" t="s">
        <v>240</v>
      </c>
      <c r="V1023" s="8" t="s">
        <v>482</v>
      </c>
      <c r="W1023" s="8" t="s">
        <v>240</v>
      </c>
      <c r="X1023" s="8" t="s">
        <v>240</v>
      </c>
      <c r="Y1023" s="8" t="s">
        <v>240</v>
      </c>
      <c r="Z1023" s="6" t="b">
        <v>0</v>
      </c>
      <c r="AA1023" s="9"/>
      <c r="AB1023" s="9"/>
    </row>
    <row r="1024" spans="1:28" ht="32">
      <c r="A1024" s="6">
        <v>1139</v>
      </c>
      <c r="B1024" s="8" t="s">
        <v>194</v>
      </c>
      <c r="C1024" s="8" t="s">
        <v>90</v>
      </c>
      <c r="D1024" s="8" t="s">
        <v>1824</v>
      </c>
      <c r="E1024" s="8" t="s">
        <v>1815</v>
      </c>
      <c r="F1024" s="6">
        <v>1132</v>
      </c>
      <c r="G1024" s="6" t="b">
        <v>0</v>
      </c>
      <c r="H1024" s="8" t="s">
        <v>240</v>
      </c>
      <c r="I1024" s="6" t="b">
        <v>0</v>
      </c>
      <c r="J1024" s="6" t="b">
        <v>1</v>
      </c>
      <c r="K1024" s="6" t="b">
        <v>0</v>
      </c>
      <c r="L1024" s="6" t="b">
        <v>1</v>
      </c>
      <c r="M1024" s="6" t="b">
        <v>0</v>
      </c>
      <c r="N1024" s="6">
        <v>6</v>
      </c>
      <c r="O1024" s="8" t="s">
        <v>331</v>
      </c>
      <c r="P1024" s="8" t="s">
        <v>380</v>
      </c>
      <c r="Q1024" s="8" t="s">
        <v>335</v>
      </c>
      <c r="R1024" s="6">
        <v>7</v>
      </c>
      <c r="S1024" s="8" t="s">
        <v>335</v>
      </c>
      <c r="T1024" s="6">
        <v>7</v>
      </c>
      <c r="U1024" s="8" t="s">
        <v>240</v>
      </c>
      <c r="V1024" s="8" t="s">
        <v>482</v>
      </c>
      <c r="W1024" s="8" t="s">
        <v>240</v>
      </c>
      <c r="X1024" s="8" t="s">
        <v>240</v>
      </c>
      <c r="Y1024" s="8" t="s">
        <v>240</v>
      </c>
      <c r="Z1024" s="6" t="b">
        <v>0</v>
      </c>
      <c r="AA1024" s="9"/>
      <c r="AB1024" s="9"/>
    </row>
    <row r="1025" spans="1:28" ht="16">
      <c r="A1025" s="6">
        <v>1140</v>
      </c>
      <c r="B1025" s="8" t="s">
        <v>194</v>
      </c>
      <c r="C1025" s="8" t="s">
        <v>90</v>
      </c>
      <c r="D1025" s="8" t="s">
        <v>1825</v>
      </c>
      <c r="E1025" s="8" t="s">
        <v>1815</v>
      </c>
      <c r="F1025" s="6">
        <v>1132</v>
      </c>
      <c r="G1025" s="6" t="b">
        <v>0</v>
      </c>
      <c r="H1025" s="8" t="s">
        <v>240</v>
      </c>
      <c r="I1025" s="6" t="b">
        <v>0</v>
      </c>
      <c r="J1025" s="6" t="b">
        <v>1</v>
      </c>
      <c r="K1025" s="6" t="b">
        <v>0</v>
      </c>
      <c r="L1025" s="6" t="b">
        <v>1</v>
      </c>
      <c r="M1025" s="6" t="b">
        <v>0</v>
      </c>
      <c r="N1025" s="6">
        <v>6</v>
      </c>
      <c r="O1025" s="8" t="s">
        <v>331</v>
      </c>
      <c r="P1025" s="8" t="s">
        <v>333</v>
      </c>
      <c r="Q1025" s="8" t="s">
        <v>1490</v>
      </c>
      <c r="R1025" s="6">
        <v>7</v>
      </c>
      <c r="S1025" s="8" t="s">
        <v>335</v>
      </c>
      <c r="T1025" s="6">
        <v>7</v>
      </c>
      <c r="U1025" s="8" t="s">
        <v>1826</v>
      </c>
      <c r="V1025" s="8" t="s">
        <v>482</v>
      </c>
      <c r="W1025" s="8" t="s">
        <v>240</v>
      </c>
      <c r="X1025" s="8" t="s">
        <v>240</v>
      </c>
      <c r="Y1025" s="8" t="s">
        <v>240</v>
      </c>
      <c r="Z1025" s="6" t="b">
        <v>0</v>
      </c>
      <c r="AA1025" s="9"/>
      <c r="AB1025" s="9"/>
    </row>
    <row r="1026" spans="1:28" ht="32">
      <c r="A1026" s="6">
        <v>1141</v>
      </c>
      <c r="B1026" s="8" t="s">
        <v>194</v>
      </c>
      <c r="C1026" s="8" t="s">
        <v>90</v>
      </c>
      <c r="D1026" s="8" t="s">
        <v>1827</v>
      </c>
      <c r="E1026" s="8" t="s">
        <v>1815</v>
      </c>
      <c r="F1026" s="6">
        <v>1132</v>
      </c>
      <c r="G1026" s="6" t="b">
        <v>0</v>
      </c>
      <c r="H1026" s="8" t="s">
        <v>240</v>
      </c>
      <c r="I1026" s="6" t="b">
        <v>0</v>
      </c>
      <c r="J1026" s="6" t="b">
        <v>1</v>
      </c>
      <c r="K1026" s="6" t="b">
        <v>0</v>
      </c>
      <c r="L1026" s="6" t="b">
        <v>1</v>
      </c>
      <c r="M1026" s="6" t="b">
        <v>0</v>
      </c>
      <c r="N1026" s="6">
        <v>6</v>
      </c>
      <c r="O1026" s="8" t="s">
        <v>331</v>
      </c>
      <c r="P1026" s="8" t="s">
        <v>350</v>
      </c>
      <c r="Q1026" s="8" t="s">
        <v>335</v>
      </c>
      <c r="R1026" s="6">
        <v>7</v>
      </c>
      <c r="S1026" s="8" t="s">
        <v>335</v>
      </c>
      <c r="T1026" s="6">
        <v>7</v>
      </c>
      <c r="U1026" s="8" t="s">
        <v>240</v>
      </c>
      <c r="V1026" s="8" t="s">
        <v>482</v>
      </c>
      <c r="W1026" s="8" t="s">
        <v>240</v>
      </c>
      <c r="X1026" s="8" t="s">
        <v>240</v>
      </c>
      <c r="Y1026" s="8" t="s">
        <v>240</v>
      </c>
      <c r="Z1026" s="6" t="b">
        <v>0</v>
      </c>
      <c r="AA1026" s="9"/>
      <c r="AB1026" s="9"/>
    </row>
    <row r="1027" spans="1:28" ht="32">
      <c r="A1027" s="6">
        <v>1142</v>
      </c>
      <c r="B1027" s="8" t="s">
        <v>194</v>
      </c>
      <c r="C1027" s="8" t="s">
        <v>90</v>
      </c>
      <c r="D1027" s="8" t="s">
        <v>1828</v>
      </c>
      <c r="E1027" s="8" t="s">
        <v>1815</v>
      </c>
      <c r="F1027" s="6">
        <v>1132</v>
      </c>
      <c r="G1027" s="6" t="b">
        <v>0</v>
      </c>
      <c r="H1027" s="8" t="s">
        <v>240</v>
      </c>
      <c r="I1027" s="6" t="b">
        <v>0</v>
      </c>
      <c r="J1027" s="6" t="b">
        <v>1</v>
      </c>
      <c r="K1027" s="6" t="b">
        <v>0</v>
      </c>
      <c r="L1027" s="6" t="b">
        <v>1</v>
      </c>
      <c r="M1027" s="6" t="b">
        <v>0</v>
      </c>
      <c r="N1027" s="6">
        <v>6</v>
      </c>
      <c r="O1027" s="8" t="s">
        <v>331</v>
      </c>
      <c r="P1027" s="8" t="s">
        <v>333</v>
      </c>
      <c r="Q1027" s="8" t="s">
        <v>1490</v>
      </c>
      <c r="R1027" s="6">
        <v>7</v>
      </c>
      <c r="S1027" s="8" t="s">
        <v>347</v>
      </c>
      <c r="T1027" s="9"/>
      <c r="U1027" s="8" t="s">
        <v>240</v>
      </c>
      <c r="V1027" s="8" t="s">
        <v>482</v>
      </c>
      <c r="W1027" s="8" t="s">
        <v>240</v>
      </c>
      <c r="X1027" s="8" t="s">
        <v>240</v>
      </c>
      <c r="Y1027" s="8" t="s">
        <v>240</v>
      </c>
      <c r="Z1027" s="6" t="b">
        <v>0</v>
      </c>
      <c r="AA1027" s="9"/>
      <c r="AB1027" s="9"/>
    </row>
    <row r="1028" spans="1:28" ht="16">
      <c r="A1028" s="6">
        <v>1143</v>
      </c>
      <c r="B1028" s="8" t="s">
        <v>194</v>
      </c>
      <c r="C1028" s="8" t="s">
        <v>90</v>
      </c>
      <c r="D1028" s="8" t="s">
        <v>1829</v>
      </c>
      <c r="E1028" s="8" t="s">
        <v>1815</v>
      </c>
      <c r="F1028" s="6">
        <v>1132</v>
      </c>
      <c r="G1028" s="6" t="b">
        <v>0</v>
      </c>
      <c r="H1028" s="8" t="s">
        <v>240</v>
      </c>
      <c r="I1028" s="6" t="b">
        <v>0</v>
      </c>
      <c r="J1028" s="6" t="b">
        <v>1</v>
      </c>
      <c r="K1028" s="6" t="b">
        <v>0</v>
      </c>
      <c r="L1028" s="6" t="b">
        <v>1</v>
      </c>
      <c r="M1028" s="6" t="b">
        <v>0</v>
      </c>
      <c r="N1028" s="6">
        <v>6</v>
      </c>
      <c r="O1028" s="8" t="s">
        <v>331</v>
      </c>
      <c r="P1028" s="8" t="s">
        <v>333</v>
      </c>
      <c r="Q1028" s="8" t="s">
        <v>1490</v>
      </c>
      <c r="R1028" s="6">
        <v>7</v>
      </c>
      <c r="S1028" s="8" t="s">
        <v>347</v>
      </c>
      <c r="T1028" s="9"/>
      <c r="U1028" s="8" t="s">
        <v>240</v>
      </c>
      <c r="V1028" s="8" t="s">
        <v>482</v>
      </c>
      <c r="W1028" s="8" t="s">
        <v>240</v>
      </c>
      <c r="X1028" s="8" t="s">
        <v>240</v>
      </c>
      <c r="Y1028" s="8" t="s">
        <v>240</v>
      </c>
      <c r="Z1028" s="6" t="b">
        <v>0</v>
      </c>
      <c r="AA1028" s="9"/>
      <c r="AB1028" s="9"/>
    </row>
    <row r="1029" spans="1:28" ht="16">
      <c r="A1029" s="6">
        <v>1144</v>
      </c>
      <c r="B1029" s="8" t="s">
        <v>194</v>
      </c>
      <c r="C1029" s="8" t="s">
        <v>90</v>
      </c>
      <c r="D1029" s="8" t="s">
        <v>1830</v>
      </c>
      <c r="E1029" s="8" t="s">
        <v>1815</v>
      </c>
      <c r="F1029" s="6">
        <v>1132</v>
      </c>
      <c r="G1029" s="6" t="b">
        <v>0</v>
      </c>
      <c r="H1029" s="8" t="s">
        <v>240</v>
      </c>
      <c r="I1029" s="6" t="b">
        <v>0</v>
      </c>
      <c r="J1029" s="6" t="b">
        <v>1</v>
      </c>
      <c r="K1029" s="6" t="b">
        <v>0</v>
      </c>
      <c r="L1029" s="6" t="b">
        <v>1</v>
      </c>
      <c r="M1029" s="6" t="b">
        <v>0</v>
      </c>
      <c r="N1029" s="6">
        <v>6</v>
      </c>
      <c r="O1029" s="8" t="s">
        <v>331</v>
      </c>
      <c r="P1029" s="8" t="s">
        <v>333</v>
      </c>
      <c r="Q1029" s="8" t="s">
        <v>1490</v>
      </c>
      <c r="R1029" s="6">
        <v>7</v>
      </c>
      <c r="S1029" s="8" t="s">
        <v>347</v>
      </c>
      <c r="T1029" s="9"/>
      <c r="U1029" s="8" t="s">
        <v>240</v>
      </c>
      <c r="V1029" s="8" t="s">
        <v>482</v>
      </c>
      <c r="W1029" s="8" t="s">
        <v>240</v>
      </c>
      <c r="X1029" s="8" t="s">
        <v>240</v>
      </c>
      <c r="Y1029" s="8" t="s">
        <v>240</v>
      </c>
      <c r="Z1029" s="6" t="b">
        <v>0</v>
      </c>
      <c r="AA1029" s="9"/>
      <c r="AB1029" s="9"/>
    </row>
    <row r="1030" spans="1:28" ht="16">
      <c r="A1030" s="6">
        <v>1145</v>
      </c>
      <c r="B1030" s="8" t="s">
        <v>194</v>
      </c>
      <c r="C1030" s="8" t="s">
        <v>90</v>
      </c>
      <c r="D1030" s="8" t="s">
        <v>1831</v>
      </c>
      <c r="E1030" s="8" t="s">
        <v>1815</v>
      </c>
      <c r="F1030" s="6">
        <v>1132</v>
      </c>
      <c r="G1030" s="6" t="b">
        <v>0</v>
      </c>
      <c r="H1030" s="8" t="s">
        <v>240</v>
      </c>
      <c r="I1030" s="6" t="b">
        <v>0</v>
      </c>
      <c r="J1030" s="6" t="b">
        <v>1</v>
      </c>
      <c r="K1030" s="6" t="b">
        <v>0</v>
      </c>
      <c r="L1030" s="6" t="b">
        <v>1</v>
      </c>
      <c r="M1030" s="6" t="b">
        <v>0</v>
      </c>
      <c r="N1030" s="6">
        <v>6</v>
      </c>
      <c r="O1030" s="8" t="s">
        <v>331</v>
      </c>
      <c r="P1030" s="8" t="s">
        <v>333</v>
      </c>
      <c r="Q1030" s="8" t="s">
        <v>1490</v>
      </c>
      <c r="R1030" s="6">
        <v>7</v>
      </c>
      <c r="S1030" s="8" t="s">
        <v>347</v>
      </c>
      <c r="T1030" s="9"/>
      <c r="U1030" s="8" t="s">
        <v>240</v>
      </c>
      <c r="V1030" s="8" t="s">
        <v>482</v>
      </c>
      <c r="W1030" s="8" t="s">
        <v>240</v>
      </c>
      <c r="X1030" s="8" t="s">
        <v>240</v>
      </c>
      <c r="Y1030" s="8" t="s">
        <v>240</v>
      </c>
      <c r="Z1030" s="6" t="b">
        <v>0</v>
      </c>
      <c r="AA1030" s="9"/>
      <c r="AB1030" s="9"/>
    </row>
    <row r="1031" spans="1:28" ht="32">
      <c r="A1031" s="6">
        <v>1146</v>
      </c>
      <c r="B1031" s="8" t="s">
        <v>194</v>
      </c>
      <c r="C1031" s="8" t="s">
        <v>90</v>
      </c>
      <c r="D1031" s="8" t="s">
        <v>1832</v>
      </c>
      <c r="E1031" s="8" t="s">
        <v>1815</v>
      </c>
      <c r="F1031" s="6">
        <v>1132</v>
      </c>
      <c r="G1031" s="6" t="b">
        <v>0</v>
      </c>
      <c r="H1031" s="8" t="s">
        <v>240</v>
      </c>
      <c r="I1031" s="6" t="b">
        <v>0</v>
      </c>
      <c r="J1031" s="6" t="b">
        <v>1</v>
      </c>
      <c r="K1031" s="6" t="b">
        <v>0</v>
      </c>
      <c r="L1031" s="6" t="b">
        <v>1</v>
      </c>
      <c r="M1031" s="6" t="b">
        <v>0</v>
      </c>
      <c r="N1031" s="6">
        <v>6</v>
      </c>
      <c r="O1031" s="8" t="s">
        <v>331</v>
      </c>
      <c r="P1031" s="8" t="s">
        <v>333</v>
      </c>
      <c r="Q1031" s="8" t="s">
        <v>1490</v>
      </c>
      <c r="R1031" s="6">
        <v>9</v>
      </c>
      <c r="S1031" s="8" t="s">
        <v>247</v>
      </c>
      <c r="T1031" s="9"/>
      <c r="U1031" s="8" t="s">
        <v>1820</v>
      </c>
      <c r="V1031" s="8" t="s">
        <v>482</v>
      </c>
      <c r="W1031" s="8" t="s">
        <v>240</v>
      </c>
      <c r="X1031" s="8" t="s">
        <v>240</v>
      </c>
      <c r="Y1031" s="8" t="s">
        <v>240</v>
      </c>
      <c r="Z1031" s="6" t="b">
        <v>0</v>
      </c>
      <c r="AA1031" s="9"/>
      <c r="AB1031" s="9"/>
    </row>
    <row r="1032" spans="1:28" ht="32">
      <c r="A1032" s="6">
        <v>1147</v>
      </c>
      <c r="B1032" s="8" t="s">
        <v>194</v>
      </c>
      <c r="C1032" s="8" t="s">
        <v>90</v>
      </c>
      <c r="D1032" s="8" t="s">
        <v>1833</v>
      </c>
      <c r="E1032" s="8" t="s">
        <v>1815</v>
      </c>
      <c r="F1032" s="6">
        <v>1132</v>
      </c>
      <c r="G1032" s="6" t="b">
        <v>0</v>
      </c>
      <c r="H1032" s="8" t="s">
        <v>240</v>
      </c>
      <c r="I1032" s="6" t="b">
        <v>0</v>
      </c>
      <c r="J1032" s="6" t="b">
        <v>1</v>
      </c>
      <c r="K1032" s="6" t="b">
        <v>0</v>
      </c>
      <c r="L1032" s="6" t="b">
        <v>1</v>
      </c>
      <c r="M1032" s="6" t="b">
        <v>0</v>
      </c>
      <c r="N1032" s="6">
        <v>6</v>
      </c>
      <c r="O1032" s="8" t="s">
        <v>331</v>
      </c>
      <c r="P1032" s="8" t="s">
        <v>380</v>
      </c>
      <c r="Q1032" s="8" t="s">
        <v>335</v>
      </c>
      <c r="R1032" s="6">
        <v>7</v>
      </c>
      <c r="S1032" s="8" t="s">
        <v>347</v>
      </c>
      <c r="T1032" s="6">
        <v>7</v>
      </c>
      <c r="U1032" s="8" t="s">
        <v>240</v>
      </c>
      <c r="V1032" s="8" t="s">
        <v>482</v>
      </c>
      <c r="W1032" s="8" t="s">
        <v>240</v>
      </c>
      <c r="X1032" s="8" t="s">
        <v>240</v>
      </c>
      <c r="Y1032" s="8" t="s">
        <v>240</v>
      </c>
      <c r="Z1032" s="6" t="b">
        <v>0</v>
      </c>
      <c r="AA1032" s="9"/>
      <c r="AB1032" s="9"/>
    </row>
    <row r="1033" spans="1:28" ht="16">
      <c r="A1033" s="6">
        <v>1148</v>
      </c>
      <c r="B1033" s="8" t="s">
        <v>194</v>
      </c>
      <c r="C1033" s="8" t="s">
        <v>90</v>
      </c>
      <c r="D1033" s="8" t="s">
        <v>1834</v>
      </c>
      <c r="E1033" s="8" t="s">
        <v>1815</v>
      </c>
      <c r="F1033" s="6">
        <v>1132</v>
      </c>
      <c r="G1033" s="6" t="b">
        <v>0</v>
      </c>
      <c r="H1033" s="8" t="s">
        <v>240</v>
      </c>
      <c r="I1033" s="6" t="b">
        <v>0</v>
      </c>
      <c r="J1033" s="6" t="b">
        <v>1</v>
      </c>
      <c r="K1033" s="6" t="b">
        <v>0</v>
      </c>
      <c r="L1033" s="6" t="b">
        <v>1</v>
      </c>
      <c r="M1033" s="6" t="b">
        <v>0</v>
      </c>
      <c r="N1033" s="6">
        <v>6</v>
      </c>
      <c r="O1033" s="8" t="s">
        <v>331</v>
      </c>
      <c r="P1033" s="8" t="s">
        <v>333</v>
      </c>
      <c r="Q1033" s="8" t="s">
        <v>1490</v>
      </c>
      <c r="R1033" s="6">
        <v>7</v>
      </c>
      <c r="S1033" s="8" t="s">
        <v>347</v>
      </c>
      <c r="T1033" s="9"/>
      <c r="U1033" s="8" t="s">
        <v>240</v>
      </c>
      <c r="V1033" s="8" t="s">
        <v>482</v>
      </c>
      <c r="W1033" s="8" t="s">
        <v>240</v>
      </c>
      <c r="X1033" s="8" t="s">
        <v>240</v>
      </c>
      <c r="Y1033" s="8" t="s">
        <v>240</v>
      </c>
      <c r="Z1033" s="6" t="b">
        <v>0</v>
      </c>
      <c r="AA1033" s="9"/>
      <c r="AB1033" s="9"/>
    </row>
    <row r="1034" spans="1:28" ht="16">
      <c r="A1034" s="6">
        <v>1149</v>
      </c>
      <c r="B1034" s="8" t="s">
        <v>194</v>
      </c>
      <c r="C1034" s="8" t="s">
        <v>90</v>
      </c>
      <c r="D1034" s="8" t="s">
        <v>1835</v>
      </c>
      <c r="E1034" s="8" t="s">
        <v>1815</v>
      </c>
      <c r="F1034" s="6">
        <v>1132</v>
      </c>
      <c r="G1034" s="6" t="b">
        <v>0</v>
      </c>
      <c r="H1034" s="8" t="s">
        <v>240</v>
      </c>
      <c r="I1034" s="6" t="b">
        <v>0</v>
      </c>
      <c r="J1034" s="6" t="b">
        <v>1</v>
      </c>
      <c r="K1034" s="6" t="b">
        <v>0</v>
      </c>
      <c r="L1034" s="6" t="b">
        <v>1</v>
      </c>
      <c r="M1034" s="6" t="b">
        <v>0</v>
      </c>
      <c r="N1034" s="6">
        <v>6</v>
      </c>
      <c r="O1034" s="8" t="s">
        <v>331</v>
      </c>
      <c r="P1034" s="8" t="s">
        <v>333</v>
      </c>
      <c r="Q1034" s="8" t="s">
        <v>1490</v>
      </c>
      <c r="R1034" s="6">
        <v>7</v>
      </c>
      <c r="S1034" s="8" t="s">
        <v>347</v>
      </c>
      <c r="T1034" s="9"/>
      <c r="U1034" s="8" t="s">
        <v>240</v>
      </c>
      <c r="V1034" s="8" t="s">
        <v>482</v>
      </c>
      <c r="W1034" s="8" t="s">
        <v>240</v>
      </c>
      <c r="X1034" s="8" t="s">
        <v>240</v>
      </c>
      <c r="Y1034" s="8" t="s">
        <v>240</v>
      </c>
      <c r="Z1034" s="6" t="b">
        <v>0</v>
      </c>
      <c r="AA1034" s="9"/>
      <c r="AB1034" s="9"/>
    </row>
    <row r="1035" spans="1:28" ht="32">
      <c r="A1035" s="6">
        <v>1150</v>
      </c>
      <c r="B1035" s="8" t="s">
        <v>194</v>
      </c>
      <c r="C1035" s="8" t="s">
        <v>90</v>
      </c>
      <c r="D1035" s="8" t="s">
        <v>1836</v>
      </c>
      <c r="E1035" s="8" t="s">
        <v>1815</v>
      </c>
      <c r="F1035" s="6">
        <v>1132</v>
      </c>
      <c r="G1035" s="6" t="b">
        <v>0</v>
      </c>
      <c r="H1035" s="8" t="s">
        <v>240</v>
      </c>
      <c r="I1035" s="6" t="b">
        <v>0</v>
      </c>
      <c r="J1035" s="6" t="b">
        <v>1</v>
      </c>
      <c r="K1035" s="6" t="b">
        <v>0</v>
      </c>
      <c r="L1035" s="6" t="b">
        <v>1</v>
      </c>
      <c r="M1035" s="6" t="b">
        <v>0</v>
      </c>
      <c r="N1035" s="6">
        <v>6</v>
      </c>
      <c r="O1035" s="8" t="s">
        <v>331</v>
      </c>
      <c r="P1035" s="8" t="s">
        <v>333</v>
      </c>
      <c r="Q1035" s="8" t="s">
        <v>1490</v>
      </c>
      <c r="R1035" s="6">
        <v>7</v>
      </c>
      <c r="S1035" s="8" t="s">
        <v>347</v>
      </c>
      <c r="T1035" s="9"/>
      <c r="U1035" s="8" t="s">
        <v>240</v>
      </c>
      <c r="V1035" s="8" t="s">
        <v>482</v>
      </c>
      <c r="W1035" s="8" t="s">
        <v>240</v>
      </c>
      <c r="X1035" s="8" t="s">
        <v>240</v>
      </c>
      <c r="Y1035" s="8" t="s">
        <v>240</v>
      </c>
      <c r="Z1035" s="6" t="b">
        <v>0</v>
      </c>
      <c r="AA1035" s="9"/>
      <c r="AB1035" s="9"/>
    </row>
    <row r="1036" spans="1:28" ht="16">
      <c r="A1036" s="6">
        <v>1151</v>
      </c>
      <c r="B1036" s="8" t="s">
        <v>194</v>
      </c>
      <c r="C1036" s="8" t="s">
        <v>90</v>
      </c>
      <c r="D1036" s="8" t="s">
        <v>1837</v>
      </c>
      <c r="E1036" s="8" t="s">
        <v>1815</v>
      </c>
      <c r="F1036" s="6">
        <v>1132</v>
      </c>
      <c r="G1036" s="6" t="b">
        <v>0</v>
      </c>
      <c r="H1036" s="8" t="s">
        <v>240</v>
      </c>
      <c r="I1036" s="6" t="b">
        <v>0</v>
      </c>
      <c r="J1036" s="6" t="b">
        <v>1</v>
      </c>
      <c r="K1036" s="6" t="b">
        <v>0</v>
      </c>
      <c r="L1036" s="6" t="b">
        <v>1</v>
      </c>
      <c r="M1036" s="6" t="b">
        <v>0</v>
      </c>
      <c r="N1036" s="6">
        <v>6</v>
      </c>
      <c r="O1036" s="8" t="s">
        <v>331</v>
      </c>
      <c r="P1036" s="8" t="s">
        <v>333</v>
      </c>
      <c r="Q1036" s="8" t="s">
        <v>1490</v>
      </c>
      <c r="R1036" s="6">
        <v>7</v>
      </c>
      <c r="S1036" s="8" t="s">
        <v>347</v>
      </c>
      <c r="T1036" s="9"/>
      <c r="U1036" s="8" t="s">
        <v>240</v>
      </c>
      <c r="V1036" s="8" t="s">
        <v>482</v>
      </c>
      <c r="W1036" s="8" t="s">
        <v>240</v>
      </c>
      <c r="X1036" s="8" t="s">
        <v>240</v>
      </c>
      <c r="Y1036" s="8" t="s">
        <v>240</v>
      </c>
      <c r="Z1036" s="6" t="b">
        <v>0</v>
      </c>
      <c r="AA1036" s="9"/>
      <c r="AB1036" s="9"/>
    </row>
    <row r="1037" spans="1:28" ht="16">
      <c r="A1037" s="6">
        <v>1152</v>
      </c>
      <c r="B1037" s="8" t="s">
        <v>194</v>
      </c>
      <c r="C1037" s="8" t="s">
        <v>90</v>
      </c>
      <c r="D1037" s="8" t="s">
        <v>1838</v>
      </c>
      <c r="E1037" s="8" t="s">
        <v>1815</v>
      </c>
      <c r="F1037" s="6">
        <v>1132</v>
      </c>
      <c r="G1037" s="6" t="b">
        <v>0</v>
      </c>
      <c r="H1037" s="8" t="s">
        <v>240</v>
      </c>
      <c r="I1037" s="6" t="b">
        <v>0</v>
      </c>
      <c r="J1037" s="6" t="b">
        <v>1</v>
      </c>
      <c r="K1037" s="6" t="b">
        <v>0</v>
      </c>
      <c r="L1037" s="6" t="b">
        <v>1</v>
      </c>
      <c r="M1037" s="6" t="b">
        <v>0</v>
      </c>
      <c r="N1037" s="6">
        <v>6</v>
      </c>
      <c r="O1037" s="8" t="s">
        <v>331</v>
      </c>
      <c r="P1037" s="8" t="s">
        <v>380</v>
      </c>
      <c r="Q1037" s="8" t="s">
        <v>335</v>
      </c>
      <c r="R1037" s="6">
        <v>7</v>
      </c>
      <c r="S1037" s="8" t="s">
        <v>347</v>
      </c>
      <c r="T1037" s="6">
        <v>5</v>
      </c>
      <c r="U1037" s="8" t="s">
        <v>240</v>
      </c>
      <c r="V1037" s="8" t="s">
        <v>482</v>
      </c>
      <c r="W1037" s="8" t="s">
        <v>240</v>
      </c>
      <c r="X1037" s="8" t="s">
        <v>240</v>
      </c>
      <c r="Y1037" s="8" t="s">
        <v>1839</v>
      </c>
      <c r="Z1037" s="6" t="b">
        <v>0</v>
      </c>
      <c r="AA1037" s="9"/>
      <c r="AB1037" s="9"/>
    </row>
    <row r="1038" spans="1:28" ht="32">
      <c r="A1038" s="6">
        <v>1153</v>
      </c>
      <c r="B1038" s="8" t="s">
        <v>194</v>
      </c>
      <c r="C1038" s="8" t="s">
        <v>90</v>
      </c>
      <c r="D1038" s="8" t="s">
        <v>1840</v>
      </c>
      <c r="E1038" s="8" t="s">
        <v>1815</v>
      </c>
      <c r="F1038" s="6">
        <v>1132</v>
      </c>
      <c r="G1038" s="6" t="b">
        <v>0</v>
      </c>
      <c r="H1038" s="8" t="s">
        <v>240</v>
      </c>
      <c r="I1038" s="6" t="b">
        <v>0</v>
      </c>
      <c r="J1038" s="6" t="b">
        <v>1</v>
      </c>
      <c r="K1038" s="6" t="b">
        <v>0</v>
      </c>
      <c r="L1038" s="6" t="b">
        <v>1</v>
      </c>
      <c r="M1038" s="6" t="b">
        <v>0</v>
      </c>
      <c r="N1038" s="6">
        <v>6</v>
      </c>
      <c r="O1038" s="8" t="s">
        <v>331</v>
      </c>
      <c r="P1038" s="8" t="s">
        <v>333</v>
      </c>
      <c r="Q1038" s="8" t="s">
        <v>1490</v>
      </c>
      <c r="R1038" s="6">
        <v>7</v>
      </c>
      <c r="S1038" s="8" t="s">
        <v>347</v>
      </c>
      <c r="T1038" s="9"/>
      <c r="U1038" s="8" t="s">
        <v>240</v>
      </c>
      <c r="V1038" s="8" t="s">
        <v>482</v>
      </c>
      <c r="W1038" s="8" t="s">
        <v>240</v>
      </c>
      <c r="X1038" s="8" t="s">
        <v>240</v>
      </c>
      <c r="Y1038" s="8" t="s">
        <v>240</v>
      </c>
      <c r="Z1038" s="6" t="b">
        <v>0</v>
      </c>
      <c r="AA1038" s="9"/>
      <c r="AB1038" s="9"/>
    </row>
    <row r="1039" spans="1:28" ht="16">
      <c r="A1039" s="6">
        <v>1154</v>
      </c>
      <c r="B1039" s="8" t="s">
        <v>194</v>
      </c>
      <c r="C1039" s="8" t="s">
        <v>90</v>
      </c>
      <c r="D1039" s="8" t="s">
        <v>1841</v>
      </c>
      <c r="E1039" s="8" t="s">
        <v>1815</v>
      </c>
      <c r="F1039" s="6">
        <v>1132</v>
      </c>
      <c r="G1039" s="6" t="b">
        <v>0</v>
      </c>
      <c r="H1039" s="8" t="s">
        <v>240</v>
      </c>
      <c r="I1039" s="6" t="b">
        <v>0</v>
      </c>
      <c r="J1039" s="6" t="b">
        <v>1</v>
      </c>
      <c r="K1039" s="6" t="b">
        <v>0</v>
      </c>
      <c r="L1039" s="6" t="b">
        <v>1</v>
      </c>
      <c r="M1039" s="6" t="b">
        <v>0</v>
      </c>
      <c r="N1039" s="6">
        <v>6</v>
      </c>
      <c r="O1039" s="8" t="s">
        <v>331</v>
      </c>
      <c r="P1039" s="8" t="s">
        <v>380</v>
      </c>
      <c r="Q1039" s="8" t="s">
        <v>335</v>
      </c>
      <c r="R1039" s="6">
        <v>7</v>
      </c>
      <c r="S1039" s="8" t="s">
        <v>335</v>
      </c>
      <c r="T1039" s="6">
        <v>7</v>
      </c>
      <c r="U1039" s="8" t="s">
        <v>240</v>
      </c>
      <c r="V1039" s="8" t="s">
        <v>482</v>
      </c>
      <c r="W1039" s="8" t="s">
        <v>240</v>
      </c>
      <c r="X1039" s="8" t="s">
        <v>240</v>
      </c>
      <c r="Y1039" s="8" t="s">
        <v>240</v>
      </c>
      <c r="Z1039" s="6" t="b">
        <v>0</v>
      </c>
      <c r="AA1039" s="9"/>
      <c r="AB1039" s="9"/>
    </row>
    <row r="1040" spans="1:28" ht="16">
      <c r="A1040" s="6">
        <v>1155</v>
      </c>
      <c r="B1040" s="8" t="s">
        <v>194</v>
      </c>
      <c r="C1040" s="8" t="s">
        <v>90</v>
      </c>
      <c r="D1040" s="8" t="s">
        <v>1842</v>
      </c>
      <c r="E1040" s="8" t="s">
        <v>1815</v>
      </c>
      <c r="F1040" s="6">
        <v>1132</v>
      </c>
      <c r="G1040" s="6" t="b">
        <v>0</v>
      </c>
      <c r="H1040" s="8" t="s">
        <v>240</v>
      </c>
      <c r="I1040" s="6" t="b">
        <v>0</v>
      </c>
      <c r="J1040" s="6" t="b">
        <v>1</v>
      </c>
      <c r="K1040" s="6" t="b">
        <v>0</v>
      </c>
      <c r="L1040" s="6" t="b">
        <v>1</v>
      </c>
      <c r="M1040" s="6" t="b">
        <v>0</v>
      </c>
      <c r="N1040" s="6">
        <v>6</v>
      </c>
      <c r="O1040" s="8" t="s">
        <v>331</v>
      </c>
      <c r="P1040" s="8" t="s">
        <v>333</v>
      </c>
      <c r="Q1040" s="8" t="s">
        <v>1490</v>
      </c>
      <c r="R1040" s="6">
        <v>7</v>
      </c>
      <c r="S1040" s="8" t="s">
        <v>347</v>
      </c>
      <c r="T1040" s="9"/>
      <c r="U1040" s="8" t="s">
        <v>240</v>
      </c>
      <c r="V1040" s="8" t="s">
        <v>482</v>
      </c>
      <c r="W1040" s="8" t="s">
        <v>240</v>
      </c>
      <c r="X1040" s="8" t="s">
        <v>240</v>
      </c>
      <c r="Y1040" s="8" t="s">
        <v>240</v>
      </c>
      <c r="Z1040" s="6" t="b">
        <v>0</v>
      </c>
      <c r="AA1040" s="9"/>
      <c r="AB1040" s="9"/>
    </row>
    <row r="1041" spans="1:28" ht="16">
      <c r="A1041" s="6">
        <v>1156</v>
      </c>
      <c r="B1041" s="8" t="s">
        <v>194</v>
      </c>
      <c r="C1041" s="8" t="s">
        <v>90</v>
      </c>
      <c r="D1041" s="8" t="s">
        <v>1843</v>
      </c>
      <c r="E1041" s="8" t="s">
        <v>1815</v>
      </c>
      <c r="F1041" s="6">
        <v>1132</v>
      </c>
      <c r="G1041" s="6" t="b">
        <v>0</v>
      </c>
      <c r="H1041" s="8" t="s">
        <v>240</v>
      </c>
      <c r="I1041" s="6" t="b">
        <v>0</v>
      </c>
      <c r="J1041" s="6" t="b">
        <v>1</v>
      </c>
      <c r="K1041" s="6" t="b">
        <v>0</v>
      </c>
      <c r="L1041" s="6" t="b">
        <v>1</v>
      </c>
      <c r="M1041" s="6" t="b">
        <v>0</v>
      </c>
      <c r="N1041" s="6">
        <v>6</v>
      </c>
      <c r="O1041" s="8" t="s">
        <v>331</v>
      </c>
      <c r="P1041" s="8" t="s">
        <v>333</v>
      </c>
      <c r="Q1041" s="8" t="s">
        <v>1490</v>
      </c>
      <c r="R1041" s="6">
        <v>7</v>
      </c>
      <c r="S1041" s="8" t="s">
        <v>347</v>
      </c>
      <c r="T1041" s="6">
        <v>7</v>
      </c>
      <c r="U1041" s="8" t="s">
        <v>240</v>
      </c>
      <c r="V1041" s="8" t="s">
        <v>482</v>
      </c>
      <c r="W1041" s="8" t="s">
        <v>240</v>
      </c>
      <c r="X1041" s="8" t="s">
        <v>240</v>
      </c>
      <c r="Y1041" s="8" t="s">
        <v>240</v>
      </c>
      <c r="Z1041" s="6" t="b">
        <v>0</v>
      </c>
      <c r="AA1041" s="9"/>
      <c r="AB1041" s="9"/>
    </row>
    <row r="1042" spans="1:28" ht="32">
      <c r="A1042" s="6">
        <v>1157</v>
      </c>
      <c r="B1042" s="8" t="s">
        <v>194</v>
      </c>
      <c r="C1042" s="8" t="s">
        <v>90</v>
      </c>
      <c r="D1042" s="8" t="s">
        <v>1844</v>
      </c>
      <c r="E1042" s="8" t="s">
        <v>1815</v>
      </c>
      <c r="F1042" s="6">
        <v>1132</v>
      </c>
      <c r="G1042" s="6" t="b">
        <v>0</v>
      </c>
      <c r="H1042" s="8" t="s">
        <v>240</v>
      </c>
      <c r="I1042" s="6" t="b">
        <v>0</v>
      </c>
      <c r="J1042" s="6" t="b">
        <v>1</v>
      </c>
      <c r="K1042" s="6" t="b">
        <v>0</v>
      </c>
      <c r="L1042" s="6" t="b">
        <v>1</v>
      </c>
      <c r="M1042" s="6" t="b">
        <v>0</v>
      </c>
      <c r="N1042" s="6">
        <v>6</v>
      </c>
      <c r="O1042" s="8" t="s">
        <v>331</v>
      </c>
      <c r="P1042" s="8" t="s">
        <v>380</v>
      </c>
      <c r="Q1042" s="8" t="s">
        <v>335</v>
      </c>
      <c r="R1042" s="6">
        <v>7</v>
      </c>
      <c r="S1042" s="8" t="s">
        <v>335</v>
      </c>
      <c r="T1042" s="6">
        <v>7</v>
      </c>
      <c r="U1042" s="8" t="s">
        <v>1826</v>
      </c>
      <c r="V1042" s="8" t="s">
        <v>482</v>
      </c>
      <c r="W1042" s="8" t="s">
        <v>240</v>
      </c>
      <c r="X1042" s="8" t="s">
        <v>240</v>
      </c>
      <c r="Y1042" s="8" t="s">
        <v>240</v>
      </c>
      <c r="Z1042" s="6" t="b">
        <v>0</v>
      </c>
      <c r="AA1042" s="9"/>
      <c r="AB1042" s="9"/>
    </row>
    <row r="1043" spans="1:28" ht="32">
      <c r="A1043" s="6">
        <v>1158</v>
      </c>
      <c r="B1043" s="8" t="s">
        <v>194</v>
      </c>
      <c r="C1043" s="8" t="s">
        <v>90</v>
      </c>
      <c r="D1043" s="8" t="s">
        <v>1845</v>
      </c>
      <c r="E1043" s="8" t="s">
        <v>1815</v>
      </c>
      <c r="F1043" s="6">
        <v>1132</v>
      </c>
      <c r="G1043" s="6" t="b">
        <v>0</v>
      </c>
      <c r="H1043" s="8" t="s">
        <v>240</v>
      </c>
      <c r="I1043" s="6" t="b">
        <v>0</v>
      </c>
      <c r="J1043" s="6" t="b">
        <v>1</v>
      </c>
      <c r="K1043" s="6" t="b">
        <v>0</v>
      </c>
      <c r="L1043" s="6" t="b">
        <v>1</v>
      </c>
      <c r="M1043" s="6" t="b">
        <v>0</v>
      </c>
      <c r="N1043" s="6">
        <v>6</v>
      </c>
      <c r="O1043" s="8" t="s">
        <v>331</v>
      </c>
      <c r="P1043" s="8" t="s">
        <v>333</v>
      </c>
      <c r="Q1043" s="8" t="s">
        <v>1490</v>
      </c>
      <c r="R1043" s="6">
        <v>7</v>
      </c>
      <c r="S1043" s="8" t="s">
        <v>347</v>
      </c>
      <c r="T1043" s="9"/>
      <c r="U1043" s="8" t="s">
        <v>240</v>
      </c>
      <c r="V1043" s="8" t="s">
        <v>482</v>
      </c>
      <c r="W1043" s="8" t="s">
        <v>240</v>
      </c>
      <c r="X1043" s="8" t="s">
        <v>240</v>
      </c>
      <c r="Y1043" s="8" t="s">
        <v>240</v>
      </c>
      <c r="Z1043" s="6" t="b">
        <v>0</v>
      </c>
      <c r="AA1043" s="9"/>
      <c r="AB1043" s="9"/>
    </row>
    <row r="1044" spans="1:28" ht="16">
      <c r="A1044" s="6">
        <v>1159</v>
      </c>
      <c r="B1044" s="8" t="s">
        <v>194</v>
      </c>
      <c r="C1044" s="8" t="s">
        <v>90</v>
      </c>
      <c r="D1044" s="8" t="s">
        <v>1846</v>
      </c>
      <c r="E1044" s="8" t="s">
        <v>1815</v>
      </c>
      <c r="F1044" s="6">
        <v>1132</v>
      </c>
      <c r="G1044" s="6" t="b">
        <v>0</v>
      </c>
      <c r="H1044" s="8" t="s">
        <v>240</v>
      </c>
      <c r="I1044" s="6" t="b">
        <v>0</v>
      </c>
      <c r="J1044" s="6" t="b">
        <v>1</v>
      </c>
      <c r="K1044" s="6" t="b">
        <v>0</v>
      </c>
      <c r="L1044" s="6" t="b">
        <v>1</v>
      </c>
      <c r="M1044" s="6" t="b">
        <v>0</v>
      </c>
      <c r="N1044" s="6">
        <v>6</v>
      </c>
      <c r="O1044" s="8" t="s">
        <v>331</v>
      </c>
      <c r="P1044" s="8" t="s">
        <v>380</v>
      </c>
      <c r="Q1044" s="8" t="s">
        <v>335</v>
      </c>
      <c r="R1044" s="6">
        <v>6</v>
      </c>
      <c r="S1044" s="8" t="s">
        <v>335</v>
      </c>
      <c r="T1044" s="6">
        <v>6</v>
      </c>
      <c r="U1044" s="8" t="s">
        <v>240</v>
      </c>
      <c r="V1044" s="8" t="s">
        <v>482</v>
      </c>
      <c r="W1044" s="8" t="s">
        <v>240</v>
      </c>
      <c r="X1044" s="8" t="s">
        <v>240</v>
      </c>
      <c r="Y1044" s="8" t="s">
        <v>240</v>
      </c>
      <c r="Z1044" s="6" t="b">
        <v>0</v>
      </c>
      <c r="AA1044" s="9"/>
      <c r="AB1044" s="9"/>
    </row>
    <row r="1045" spans="1:28" ht="32">
      <c r="A1045" s="6">
        <v>1160</v>
      </c>
      <c r="B1045" s="8" t="s">
        <v>194</v>
      </c>
      <c r="C1045" s="8" t="s">
        <v>90</v>
      </c>
      <c r="D1045" s="8" t="s">
        <v>1847</v>
      </c>
      <c r="E1045" s="8" t="s">
        <v>1815</v>
      </c>
      <c r="F1045" s="6">
        <v>1132</v>
      </c>
      <c r="G1045" s="6" t="b">
        <v>0</v>
      </c>
      <c r="H1045" s="8" t="s">
        <v>240</v>
      </c>
      <c r="I1045" s="6" t="b">
        <v>0</v>
      </c>
      <c r="J1045" s="6" t="b">
        <v>1</v>
      </c>
      <c r="K1045" s="6" t="b">
        <v>0</v>
      </c>
      <c r="L1045" s="6" t="b">
        <v>1</v>
      </c>
      <c r="M1045" s="6" t="b">
        <v>0</v>
      </c>
      <c r="N1045" s="6">
        <v>6</v>
      </c>
      <c r="O1045" s="8" t="s">
        <v>331</v>
      </c>
      <c r="P1045" s="8" t="s">
        <v>333</v>
      </c>
      <c r="Q1045" s="8" t="s">
        <v>1490</v>
      </c>
      <c r="R1045" s="6">
        <v>6</v>
      </c>
      <c r="S1045" s="8" t="s">
        <v>341</v>
      </c>
      <c r="T1045" s="9"/>
      <c r="U1045" s="8" t="s">
        <v>240</v>
      </c>
      <c r="V1045" s="8" t="s">
        <v>482</v>
      </c>
      <c r="W1045" s="8" t="s">
        <v>240</v>
      </c>
      <c r="X1045" s="8" t="s">
        <v>240</v>
      </c>
      <c r="Y1045" s="8" t="s">
        <v>240</v>
      </c>
      <c r="Z1045" s="6" t="b">
        <v>0</v>
      </c>
      <c r="AA1045" s="9"/>
      <c r="AB1045" s="9"/>
    </row>
    <row r="1046" spans="1:28" ht="32">
      <c r="A1046" s="6">
        <v>1161</v>
      </c>
      <c r="B1046" s="8" t="s">
        <v>194</v>
      </c>
      <c r="C1046" s="8" t="s">
        <v>90</v>
      </c>
      <c r="D1046" s="8" t="s">
        <v>1848</v>
      </c>
      <c r="E1046" s="8" t="s">
        <v>1815</v>
      </c>
      <c r="F1046" s="6">
        <v>1132</v>
      </c>
      <c r="G1046" s="6" t="b">
        <v>0</v>
      </c>
      <c r="H1046" s="8" t="s">
        <v>240</v>
      </c>
      <c r="I1046" s="6" t="b">
        <v>0</v>
      </c>
      <c r="J1046" s="6" t="b">
        <v>1</v>
      </c>
      <c r="K1046" s="6" t="b">
        <v>0</v>
      </c>
      <c r="L1046" s="6" t="b">
        <v>1</v>
      </c>
      <c r="M1046" s="6" t="b">
        <v>0</v>
      </c>
      <c r="N1046" s="6">
        <v>6</v>
      </c>
      <c r="O1046" s="8" t="s">
        <v>331</v>
      </c>
      <c r="P1046" s="8" t="s">
        <v>380</v>
      </c>
      <c r="Q1046" s="8" t="s">
        <v>335</v>
      </c>
      <c r="R1046" s="6">
        <v>7</v>
      </c>
      <c r="S1046" s="8" t="s">
        <v>335</v>
      </c>
      <c r="T1046" s="6">
        <v>7</v>
      </c>
      <c r="U1046" s="8" t="s">
        <v>240</v>
      </c>
      <c r="V1046" s="8" t="s">
        <v>482</v>
      </c>
      <c r="W1046" s="8" t="s">
        <v>240</v>
      </c>
      <c r="X1046" s="8" t="s">
        <v>240</v>
      </c>
      <c r="Y1046" s="8" t="s">
        <v>240</v>
      </c>
      <c r="Z1046" s="6" t="b">
        <v>0</v>
      </c>
      <c r="AA1046" s="9"/>
      <c r="AB1046" s="9"/>
    </row>
    <row r="1047" spans="1:28" ht="32">
      <c r="A1047" s="6">
        <v>1162</v>
      </c>
      <c r="B1047" s="8" t="s">
        <v>194</v>
      </c>
      <c r="C1047" s="8" t="s">
        <v>126</v>
      </c>
      <c r="D1047" s="8" t="s">
        <v>1849</v>
      </c>
      <c r="E1047" s="8" t="s">
        <v>1849</v>
      </c>
      <c r="F1047" s="6">
        <v>1162</v>
      </c>
      <c r="G1047" s="6" t="b">
        <v>0</v>
      </c>
      <c r="H1047" s="8" t="s">
        <v>240</v>
      </c>
      <c r="I1047" s="6" t="b">
        <v>0</v>
      </c>
      <c r="J1047" s="6" t="b">
        <v>0</v>
      </c>
      <c r="K1047" s="6" t="b">
        <v>0</v>
      </c>
      <c r="L1047" s="6" t="b">
        <v>1</v>
      </c>
      <c r="M1047" s="6" t="b">
        <v>0</v>
      </c>
      <c r="N1047" s="6">
        <v>8</v>
      </c>
      <c r="O1047" s="8" t="s">
        <v>331</v>
      </c>
      <c r="P1047" s="8" t="s">
        <v>238</v>
      </c>
      <c r="Q1047" s="8" t="s">
        <v>927</v>
      </c>
      <c r="R1047" s="6">
        <v>8</v>
      </c>
      <c r="S1047" s="8" t="s">
        <v>347</v>
      </c>
      <c r="T1047" s="6">
        <v>8</v>
      </c>
      <c r="U1047" s="8" t="s">
        <v>240</v>
      </c>
      <c r="V1047" s="8" t="s">
        <v>450</v>
      </c>
      <c r="W1047" s="8" t="s">
        <v>240</v>
      </c>
      <c r="X1047" s="8" t="s">
        <v>240</v>
      </c>
      <c r="Y1047" s="8" t="s">
        <v>1850</v>
      </c>
      <c r="Z1047" s="6" t="b">
        <v>0</v>
      </c>
      <c r="AA1047" s="9"/>
      <c r="AB1047" s="9"/>
    </row>
    <row r="1048" spans="1:28" ht="32">
      <c r="A1048" s="6">
        <v>1163</v>
      </c>
      <c r="B1048" s="8" t="s">
        <v>194</v>
      </c>
      <c r="C1048" s="8" t="s">
        <v>126</v>
      </c>
      <c r="D1048" s="8" t="s">
        <v>1851</v>
      </c>
      <c r="E1048" s="8" t="s">
        <v>1849</v>
      </c>
      <c r="F1048" s="6">
        <v>1162</v>
      </c>
      <c r="G1048" s="6" t="b">
        <v>0</v>
      </c>
      <c r="H1048" s="8" t="s">
        <v>240</v>
      </c>
      <c r="I1048" s="6" t="b">
        <v>0</v>
      </c>
      <c r="J1048" s="6" t="b">
        <v>0</v>
      </c>
      <c r="K1048" s="6" t="b">
        <v>0</v>
      </c>
      <c r="L1048" s="6" t="b">
        <v>1</v>
      </c>
      <c r="M1048" s="6" t="b">
        <v>0</v>
      </c>
      <c r="N1048" s="6">
        <v>8</v>
      </c>
      <c r="O1048" s="8" t="s">
        <v>331</v>
      </c>
      <c r="P1048" s="8" t="s">
        <v>238</v>
      </c>
      <c r="Q1048" s="8" t="s">
        <v>927</v>
      </c>
      <c r="R1048" s="6">
        <v>8</v>
      </c>
      <c r="S1048" s="8" t="s">
        <v>347</v>
      </c>
      <c r="T1048" s="9"/>
      <c r="U1048" s="8" t="s">
        <v>240</v>
      </c>
      <c r="V1048" s="8" t="s">
        <v>450</v>
      </c>
      <c r="W1048" s="8" t="s">
        <v>240</v>
      </c>
      <c r="X1048" s="8" t="s">
        <v>240</v>
      </c>
      <c r="Y1048" s="8" t="s">
        <v>240</v>
      </c>
      <c r="Z1048" s="6" t="b">
        <v>0</v>
      </c>
      <c r="AA1048" s="9"/>
      <c r="AB1048" s="9"/>
    </row>
    <row r="1049" spans="1:28" ht="32">
      <c r="A1049" s="6">
        <v>1164</v>
      </c>
      <c r="B1049" s="8" t="s">
        <v>194</v>
      </c>
      <c r="C1049" s="8" t="s">
        <v>126</v>
      </c>
      <c r="D1049" s="8" t="s">
        <v>1852</v>
      </c>
      <c r="E1049" s="8" t="s">
        <v>1849</v>
      </c>
      <c r="F1049" s="6">
        <v>1162</v>
      </c>
      <c r="G1049" s="6" t="b">
        <v>0</v>
      </c>
      <c r="H1049" s="8" t="s">
        <v>240</v>
      </c>
      <c r="I1049" s="6" t="b">
        <v>0</v>
      </c>
      <c r="J1049" s="6" t="b">
        <v>0</v>
      </c>
      <c r="K1049" s="6" t="b">
        <v>0</v>
      </c>
      <c r="L1049" s="6" t="b">
        <v>1</v>
      </c>
      <c r="M1049" s="6" t="b">
        <v>0</v>
      </c>
      <c r="N1049" s="6">
        <v>8</v>
      </c>
      <c r="O1049" s="8" t="s">
        <v>331</v>
      </c>
      <c r="P1049" s="8" t="s">
        <v>238</v>
      </c>
      <c r="Q1049" s="8" t="s">
        <v>927</v>
      </c>
      <c r="R1049" s="6">
        <v>8</v>
      </c>
      <c r="S1049" s="8" t="s">
        <v>347</v>
      </c>
      <c r="T1049" s="6">
        <v>8</v>
      </c>
      <c r="U1049" s="8" t="s">
        <v>240</v>
      </c>
      <c r="V1049" s="8" t="s">
        <v>450</v>
      </c>
      <c r="W1049" s="8" t="s">
        <v>240</v>
      </c>
      <c r="X1049" s="8" t="s">
        <v>240</v>
      </c>
      <c r="Y1049" s="8" t="s">
        <v>240</v>
      </c>
      <c r="Z1049" s="6" t="b">
        <v>0</v>
      </c>
      <c r="AA1049" s="9"/>
      <c r="AB1049" s="9"/>
    </row>
    <row r="1050" spans="1:28" ht="32">
      <c r="A1050" s="6">
        <v>1166</v>
      </c>
      <c r="B1050" s="8" t="s">
        <v>194</v>
      </c>
      <c r="C1050" s="8" t="s">
        <v>126</v>
      </c>
      <c r="D1050" s="8" t="s">
        <v>1853</v>
      </c>
      <c r="E1050" s="8" t="s">
        <v>1853</v>
      </c>
      <c r="F1050" s="6">
        <v>1166</v>
      </c>
      <c r="G1050" s="6" t="b">
        <v>0</v>
      </c>
      <c r="H1050" s="8" t="s">
        <v>240</v>
      </c>
      <c r="I1050" s="6" t="b">
        <v>0</v>
      </c>
      <c r="J1050" s="6" t="b">
        <v>0</v>
      </c>
      <c r="K1050" s="6" t="b">
        <v>0</v>
      </c>
      <c r="L1050" s="6" t="b">
        <v>1</v>
      </c>
      <c r="M1050" s="6" t="b">
        <v>0</v>
      </c>
      <c r="N1050" s="6">
        <v>8</v>
      </c>
      <c r="O1050" s="8" t="s">
        <v>331</v>
      </c>
      <c r="P1050" s="8" t="s">
        <v>822</v>
      </c>
      <c r="Q1050" s="8" t="s">
        <v>446</v>
      </c>
      <c r="R1050" s="6">
        <v>6</v>
      </c>
      <c r="S1050" s="8" t="s">
        <v>347</v>
      </c>
      <c r="T1050" s="6">
        <v>6</v>
      </c>
      <c r="U1050" s="8" t="s">
        <v>240</v>
      </c>
      <c r="V1050" s="8" t="s">
        <v>450</v>
      </c>
      <c r="W1050" s="8" t="s">
        <v>240</v>
      </c>
      <c r="X1050" s="8" t="s">
        <v>240</v>
      </c>
      <c r="Y1050" s="8" t="s">
        <v>1850</v>
      </c>
      <c r="Z1050" s="6" t="b">
        <v>0</v>
      </c>
      <c r="AA1050" s="9"/>
      <c r="AB1050" s="9"/>
    </row>
    <row r="1051" spans="1:28" ht="32">
      <c r="A1051" s="6">
        <v>1167</v>
      </c>
      <c r="B1051" s="8" t="s">
        <v>194</v>
      </c>
      <c r="C1051" s="8" t="s">
        <v>126</v>
      </c>
      <c r="D1051" s="8" t="s">
        <v>1854</v>
      </c>
      <c r="E1051" s="8" t="s">
        <v>1853</v>
      </c>
      <c r="F1051" s="6">
        <v>1166</v>
      </c>
      <c r="G1051" s="6" t="b">
        <v>0</v>
      </c>
      <c r="H1051" s="8" t="s">
        <v>240</v>
      </c>
      <c r="I1051" s="6" t="b">
        <v>0</v>
      </c>
      <c r="J1051" s="6" t="b">
        <v>0</v>
      </c>
      <c r="K1051" s="6" t="b">
        <v>0</v>
      </c>
      <c r="L1051" s="6" t="b">
        <v>1</v>
      </c>
      <c r="M1051" s="6" t="b">
        <v>0</v>
      </c>
      <c r="N1051" s="6">
        <v>8</v>
      </c>
      <c r="O1051" s="8" t="s">
        <v>331</v>
      </c>
      <c r="P1051" s="8" t="s">
        <v>822</v>
      </c>
      <c r="Q1051" s="8" t="s">
        <v>446</v>
      </c>
      <c r="R1051" s="6">
        <v>8</v>
      </c>
      <c r="S1051" s="8" t="s">
        <v>75</v>
      </c>
      <c r="T1051" s="6">
        <v>6</v>
      </c>
      <c r="U1051" s="8" t="s">
        <v>1855</v>
      </c>
      <c r="V1051" s="8" t="s">
        <v>450</v>
      </c>
      <c r="W1051" s="8" t="s">
        <v>240</v>
      </c>
      <c r="X1051" s="8" t="s">
        <v>240</v>
      </c>
      <c r="Y1051" s="8" t="s">
        <v>1856</v>
      </c>
      <c r="Z1051" s="6" t="b">
        <v>0</v>
      </c>
      <c r="AA1051" s="9"/>
      <c r="AB1051" s="9"/>
    </row>
    <row r="1052" spans="1:28" ht="32">
      <c r="A1052" s="6">
        <v>1168</v>
      </c>
      <c r="B1052" s="8" t="s">
        <v>194</v>
      </c>
      <c r="C1052" s="8" t="s">
        <v>126</v>
      </c>
      <c r="D1052" s="8" t="s">
        <v>1857</v>
      </c>
      <c r="E1052" s="8" t="s">
        <v>1853</v>
      </c>
      <c r="F1052" s="6">
        <v>1166</v>
      </c>
      <c r="G1052" s="6" t="b">
        <v>0</v>
      </c>
      <c r="H1052" s="8" t="s">
        <v>240</v>
      </c>
      <c r="I1052" s="6" t="b">
        <v>0</v>
      </c>
      <c r="J1052" s="6" t="b">
        <v>0</v>
      </c>
      <c r="K1052" s="6" t="b">
        <v>0</v>
      </c>
      <c r="L1052" s="6" t="b">
        <v>1</v>
      </c>
      <c r="M1052" s="6" t="b">
        <v>0</v>
      </c>
      <c r="N1052" s="6">
        <v>8</v>
      </c>
      <c r="O1052" s="8" t="s">
        <v>331</v>
      </c>
      <c r="P1052" s="8" t="s">
        <v>822</v>
      </c>
      <c r="Q1052" s="8" t="s">
        <v>446</v>
      </c>
      <c r="R1052" s="6">
        <v>8</v>
      </c>
      <c r="S1052" s="8" t="s">
        <v>347</v>
      </c>
      <c r="T1052" s="6">
        <v>6</v>
      </c>
      <c r="U1052" s="8" t="s">
        <v>1858</v>
      </c>
      <c r="V1052" s="8" t="s">
        <v>450</v>
      </c>
      <c r="W1052" s="8" t="s">
        <v>240</v>
      </c>
      <c r="X1052" s="8" t="s">
        <v>240</v>
      </c>
      <c r="Y1052" s="8" t="s">
        <v>240</v>
      </c>
      <c r="Z1052" s="6" t="b">
        <v>0</v>
      </c>
      <c r="AA1052" s="9"/>
      <c r="AB1052" s="9"/>
    </row>
    <row r="1053" spans="1:28" ht="16">
      <c r="A1053" s="6">
        <v>1169</v>
      </c>
      <c r="B1053" s="8" t="s">
        <v>194</v>
      </c>
      <c r="C1053" s="8" t="s">
        <v>1676</v>
      </c>
      <c r="D1053" s="8" t="s">
        <v>1859</v>
      </c>
      <c r="E1053" s="8" t="s">
        <v>1859</v>
      </c>
      <c r="F1053" s="6">
        <v>1169</v>
      </c>
      <c r="G1053" s="6" t="b">
        <v>0</v>
      </c>
      <c r="H1053" s="8" t="s">
        <v>240</v>
      </c>
      <c r="I1053" s="6" t="b">
        <v>0</v>
      </c>
      <c r="J1053" s="6" t="b">
        <v>0</v>
      </c>
      <c r="K1053" s="6" t="b">
        <v>0</v>
      </c>
      <c r="L1053" s="6" t="b">
        <v>1</v>
      </c>
      <c r="M1053" s="6" t="b">
        <v>0</v>
      </c>
      <c r="N1053" s="6">
        <v>8</v>
      </c>
      <c r="O1053" s="8" t="s">
        <v>341</v>
      </c>
      <c r="P1053" s="8" t="s">
        <v>255</v>
      </c>
      <c r="Q1053" s="8" t="s">
        <v>381</v>
      </c>
      <c r="R1053" s="6">
        <v>8</v>
      </c>
      <c r="S1053" s="8" t="s">
        <v>341</v>
      </c>
      <c r="T1053" s="9"/>
      <c r="U1053" s="8" t="s">
        <v>240</v>
      </c>
      <c r="V1053" s="8" t="s">
        <v>824</v>
      </c>
      <c r="W1053" s="8" t="s">
        <v>240</v>
      </c>
      <c r="X1053" s="8" t="s">
        <v>240</v>
      </c>
      <c r="Y1053" s="8" t="s">
        <v>240</v>
      </c>
      <c r="Z1053" s="6" t="b">
        <v>0</v>
      </c>
      <c r="AA1053" s="9"/>
      <c r="AB1053" s="9"/>
    </row>
    <row r="1054" spans="1:28" ht="16">
      <c r="A1054" s="6">
        <v>1170</v>
      </c>
      <c r="B1054" s="8" t="s">
        <v>194</v>
      </c>
      <c r="C1054" s="8" t="s">
        <v>1676</v>
      </c>
      <c r="D1054" s="8" t="s">
        <v>1676</v>
      </c>
      <c r="E1054" s="8" t="s">
        <v>1676</v>
      </c>
      <c r="F1054" s="6">
        <v>1170</v>
      </c>
      <c r="G1054" s="6" t="b">
        <v>0</v>
      </c>
      <c r="H1054" s="8" t="s">
        <v>240</v>
      </c>
      <c r="I1054" s="6" t="b">
        <v>0</v>
      </c>
      <c r="J1054" s="6" t="b">
        <v>0</v>
      </c>
      <c r="K1054" s="6" t="b">
        <v>0</v>
      </c>
      <c r="L1054" s="6" t="b">
        <v>1</v>
      </c>
      <c r="M1054" s="6" t="b">
        <v>0</v>
      </c>
      <c r="N1054" s="6">
        <v>8</v>
      </c>
      <c r="O1054" s="8" t="s">
        <v>341</v>
      </c>
      <c r="P1054" s="8" t="s">
        <v>255</v>
      </c>
      <c r="Q1054" s="8" t="s">
        <v>381</v>
      </c>
      <c r="R1054" s="6">
        <v>8</v>
      </c>
      <c r="S1054" s="8" t="s">
        <v>341</v>
      </c>
      <c r="T1054" s="9"/>
      <c r="U1054" s="8" t="s">
        <v>240</v>
      </c>
      <c r="V1054" s="8" t="s">
        <v>824</v>
      </c>
      <c r="W1054" s="8" t="s">
        <v>240</v>
      </c>
      <c r="X1054" s="8" t="s">
        <v>240</v>
      </c>
      <c r="Y1054" s="8" t="s">
        <v>240</v>
      </c>
      <c r="Z1054" s="6" t="b">
        <v>0</v>
      </c>
      <c r="AA1054" s="9"/>
      <c r="AB1054" s="9"/>
    </row>
    <row r="1055" spans="1:28" ht="32">
      <c r="A1055" s="6">
        <v>1171</v>
      </c>
      <c r="B1055" s="8" t="s">
        <v>194</v>
      </c>
      <c r="C1055" s="8" t="s">
        <v>124</v>
      </c>
      <c r="D1055" s="8" t="s">
        <v>1860</v>
      </c>
      <c r="E1055" s="8" t="s">
        <v>1860</v>
      </c>
      <c r="F1055" s="6">
        <v>1171</v>
      </c>
      <c r="G1055" s="6" t="b">
        <v>0</v>
      </c>
      <c r="H1055" s="8" t="s">
        <v>240</v>
      </c>
      <c r="I1055" s="6" t="b">
        <v>0</v>
      </c>
      <c r="J1055" s="6" t="b">
        <v>0</v>
      </c>
      <c r="K1055" s="6" t="b">
        <v>0</v>
      </c>
      <c r="L1055" s="6" t="b">
        <v>1</v>
      </c>
      <c r="M1055" s="6" t="b">
        <v>0</v>
      </c>
      <c r="N1055" s="6">
        <v>6</v>
      </c>
      <c r="O1055" s="8" t="s">
        <v>347</v>
      </c>
      <c r="P1055" s="8" t="s">
        <v>238</v>
      </c>
      <c r="Q1055" s="8" t="s">
        <v>811</v>
      </c>
      <c r="R1055" s="6">
        <v>10</v>
      </c>
      <c r="S1055" s="8" t="s">
        <v>347</v>
      </c>
      <c r="T1055" s="6">
        <v>10</v>
      </c>
      <c r="U1055" s="8" t="s">
        <v>240</v>
      </c>
      <c r="V1055" s="8" t="s">
        <v>496</v>
      </c>
      <c r="W1055" s="8" t="s">
        <v>240</v>
      </c>
      <c r="X1055" s="8" t="s">
        <v>240</v>
      </c>
      <c r="Y1055" s="8" t="s">
        <v>1861</v>
      </c>
      <c r="Z1055" s="6" t="b">
        <v>0</v>
      </c>
      <c r="AA1055" s="9"/>
      <c r="AB1055" s="9"/>
    </row>
    <row r="1056" spans="1:28" ht="32">
      <c r="A1056" s="6">
        <v>1172</v>
      </c>
      <c r="B1056" s="8" t="s">
        <v>194</v>
      </c>
      <c r="C1056" s="8" t="s">
        <v>124</v>
      </c>
      <c r="D1056" s="8" t="s">
        <v>1862</v>
      </c>
      <c r="E1056" s="8" t="s">
        <v>1860</v>
      </c>
      <c r="F1056" s="6">
        <v>1171</v>
      </c>
      <c r="G1056" s="6" t="b">
        <v>0</v>
      </c>
      <c r="H1056" s="8" t="s">
        <v>240</v>
      </c>
      <c r="I1056" s="6" t="b">
        <v>0</v>
      </c>
      <c r="J1056" s="6" t="b">
        <v>0</v>
      </c>
      <c r="K1056" s="6" t="b">
        <v>0</v>
      </c>
      <c r="L1056" s="6" t="b">
        <v>1</v>
      </c>
      <c r="M1056" s="6" t="b">
        <v>0</v>
      </c>
      <c r="N1056" s="6">
        <v>6</v>
      </c>
      <c r="O1056" s="8" t="s">
        <v>347</v>
      </c>
      <c r="P1056" s="8" t="s">
        <v>238</v>
      </c>
      <c r="Q1056" s="8" t="s">
        <v>811</v>
      </c>
      <c r="R1056" s="6">
        <v>10</v>
      </c>
      <c r="S1056" s="8" t="s">
        <v>347</v>
      </c>
      <c r="T1056" s="9"/>
      <c r="U1056" s="8" t="s">
        <v>240</v>
      </c>
      <c r="V1056" s="8" t="s">
        <v>496</v>
      </c>
      <c r="W1056" s="8" t="s">
        <v>240</v>
      </c>
      <c r="X1056" s="8" t="s">
        <v>240</v>
      </c>
      <c r="Y1056" s="8" t="s">
        <v>1863</v>
      </c>
      <c r="Z1056" s="6" t="b">
        <v>0</v>
      </c>
      <c r="AA1056" s="9"/>
      <c r="AB1056" s="9"/>
    </row>
    <row r="1057" spans="1:28" ht="16">
      <c r="A1057" s="6">
        <v>1173</v>
      </c>
      <c r="B1057" s="8" t="s">
        <v>194</v>
      </c>
      <c r="C1057" s="8" t="s">
        <v>108</v>
      </c>
      <c r="D1057" s="8" t="s">
        <v>1864</v>
      </c>
      <c r="E1057" s="8" t="s">
        <v>1864</v>
      </c>
      <c r="F1057" s="6">
        <v>1173</v>
      </c>
      <c r="G1057" s="6" t="b">
        <v>0</v>
      </c>
      <c r="H1057" s="8" t="s">
        <v>240</v>
      </c>
      <c r="I1057" s="6" t="b">
        <v>0</v>
      </c>
      <c r="J1057" s="6" t="b">
        <v>0</v>
      </c>
      <c r="K1057" s="6" t="b">
        <v>0</v>
      </c>
      <c r="L1057" s="6" t="b">
        <v>1</v>
      </c>
      <c r="M1057" s="6" t="b">
        <v>0</v>
      </c>
      <c r="N1057" s="6">
        <v>3</v>
      </c>
      <c r="O1057" s="8" t="s">
        <v>347</v>
      </c>
      <c r="P1057" s="8" t="s">
        <v>240</v>
      </c>
      <c r="Q1057" s="8" t="s">
        <v>240</v>
      </c>
      <c r="R1057" s="6">
        <v>3</v>
      </c>
      <c r="S1057" s="8" t="s">
        <v>75</v>
      </c>
      <c r="T1057" s="9"/>
      <c r="U1057" s="8" t="s">
        <v>240</v>
      </c>
      <c r="V1057" s="8" t="s">
        <v>1736</v>
      </c>
      <c r="W1057" s="8" t="s">
        <v>240</v>
      </c>
      <c r="X1057" s="8" t="s">
        <v>240</v>
      </c>
      <c r="Y1057" s="8" t="s">
        <v>240</v>
      </c>
      <c r="Z1057" s="6" t="b">
        <v>0</v>
      </c>
      <c r="AA1057" s="9"/>
      <c r="AB1057" s="9"/>
    </row>
    <row r="1058" spans="1:28" ht="16">
      <c r="A1058" s="6">
        <v>1174</v>
      </c>
      <c r="B1058" s="8" t="s">
        <v>194</v>
      </c>
      <c r="C1058" s="8" t="s">
        <v>124</v>
      </c>
      <c r="D1058" s="8" t="s">
        <v>1865</v>
      </c>
      <c r="E1058" s="8" t="s">
        <v>1865</v>
      </c>
      <c r="F1058" s="6">
        <v>1174</v>
      </c>
      <c r="G1058" s="6" t="b">
        <v>0</v>
      </c>
      <c r="H1058" s="8" t="s">
        <v>240</v>
      </c>
      <c r="I1058" s="6" t="b">
        <v>0</v>
      </c>
      <c r="J1058" s="6" t="b">
        <v>0</v>
      </c>
      <c r="K1058" s="6" t="b">
        <v>0</v>
      </c>
      <c r="L1058" s="6" t="b">
        <v>1</v>
      </c>
      <c r="M1058" s="6" t="b">
        <v>0</v>
      </c>
      <c r="N1058" s="6">
        <v>6</v>
      </c>
      <c r="O1058" s="8" t="s">
        <v>331</v>
      </c>
      <c r="P1058" s="8" t="s">
        <v>350</v>
      </c>
      <c r="Q1058" s="8" t="s">
        <v>446</v>
      </c>
      <c r="R1058" s="6">
        <v>6</v>
      </c>
      <c r="S1058" s="8" t="s">
        <v>75</v>
      </c>
      <c r="T1058" s="9"/>
      <c r="U1058" s="8" t="s">
        <v>240</v>
      </c>
      <c r="V1058" s="8" t="s">
        <v>1057</v>
      </c>
      <c r="W1058" s="8" t="s">
        <v>240</v>
      </c>
      <c r="X1058" s="8" t="s">
        <v>240</v>
      </c>
      <c r="Y1058" s="8" t="s">
        <v>240</v>
      </c>
      <c r="Z1058" s="6" t="b">
        <v>0</v>
      </c>
      <c r="AA1058" s="9"/>
      <c r="AB1058" s="9"/>
    </row>
    <row r="1059" spans="1:28" ht="16">
      <c r="A1059" s="6">
        <v>1175</v>
      </c>
      <c r="B1059" s="8" t="s">
        <v>194</v>
      </c>
      <c r="C1059" s="8" t="s">
        <v>124</v>
      </c>
      <c r="D1059" s="8" t="s">
        <v>1866</v>
      </c>
      <c r="E1059" s="8" t="s">
        <v>1865</v>
      </c>
      <c r="F1059" s="6">
        <v>1174</v>
      </c>
      <c r="G1059" s="6" t="b">
        <v>0</v>
      </c>
      <c r="H1059" s="8" t="s">
        <v>240</v>
      </c>
      <c r="I1059" s="6" t="b">
        <v>0</v>
      </c>
      <c r="J1059" s="6" t="b">
        <v>0</v>
      </c>
      <c r="K1059" s="6" t="b">
        <v>0</v>
      </c>
      <c r="L1059" s="6" t="b">
        <v>1</v>
      </c>
      <c r="M1059" s="6" t="b">
        <v>0</v>
      </c>
      <c r="N1059" s="6">
        <v>6</v>
      </c>
      <c r="O1059" s="8" t="s">
        <v>331</v>
      </c>
      <c r="P1059" s="8" t="s">
        <v>350</v>
      </c>
      <c r="Q1059" s="8" t="s">
        <v>446</v>
      </c>
      <c r="R1059" s="6">
        <v>6</v>
      </c>
      <c r="S1059" s="8" t="s">
        <v>75</v>
      </c>
      <c r="T1059" s="9"/>
      <c r="U1059" s="8" t="s">
        <v>240</v>
      </c>
      <c r="V1059" s="8" t="s">
        <v>1057</v>
      </c>
      <c r="W1059" s="8" t="s">
        <v>240</v>
      </c>
      <c r="X1059" s="8" t="s">
        <v>240</v>
      </c>
      <c r="Y1059" s="8" t="s">
        <v>1867</v>
      </c>
      <c r="Z1059" s="6" t="b">
        <v>0</v>
      </c>
      <c r="AA1059" s="9"/>
      <c r="AB1059" s="9"/>
    </row>
    <row r="1060" spans="1:28" ht="32">
      <c r="A1060" s="6">
        <v>1176</v>
      </c>
      <c r="B1060" s="8" t="s">
        <v>194</v>
      </c>
      <c r="C1060" s="8" t="s">
        <v>126</v>
      </c>
      <c r="D1060" s="8" t="s">
        <v>1868</v>
      </c>
      <c r="E1060" s="8" t="s">
        <v>1868</v>
      </c>
      <c r="F1060" s="6">
        <v>1176</v>
      </c>
      <c r="G1060" s="6" t="b">
        <v>0</v>
      </c>
      <c r="H1060" s="8" t="s">
        <v>240</v>
      </c>
      <c r="I1060" s="6" t="b">
        <v>0</v>
      </c>
      <c r="J1060" s="6" t="b">
        <v>0</v>
      </c>
      <c r="K1060" s="6" t="b">
        <v>0</v>
      </c>
      <c r="L1060" s="6" t="b">
        <v>1</v>
      </c>
      <c r="M1060" s="6" t="b">
        <v>0</v>
      </c>
      <c r="N1060" s="6">
        <v>8</v>
      </c>
      <c r="O1060" s="8" t="s">
        <v>331</v>
      </c>
      <c r="P1060" s="8" t="s">
        <v>238</v>
      </c>
      <c r="Q1060" s="8" t="s">
        <v>927</v>
      </c>
      <c r="R1060" s="6">
        <v>8</v>
      </c>
      <c r="S1060" s="8" t="s">
        <v>372</v>
      </c>
      <c r="T1060" s="9"/>
      <c r="U1060" s="8" t="s">
        <v>240</v>
      </c>
      <c r="V1060" s="8" t="s">
        <v>496</v>
      </c>
      <c r="W1060" s="8" t="s">
        <v>240</v>
      </c>
      <c r="X1060" s="8" t="s">
        <v>240</v>
      </c>
      <c r="Y1060" s="8" t="s">
        <v>240</v>
      </c>
      <c r="Z1060" s="6" t="b">
        <v>0</v>
      </c>
      <c r="AA1060" s="9"/>
      <c r="AB1060" s="9"/>
    </row>
    <row r="1061" spans="1:28" ht="32">
      <c r="A1061" s="6">
        <v>1177</v>
      </c>
      <c r="B1061" s="8" t="s">
        <v>194</v>
      </c>
      <c r="C1061" s="8" t="s">
        <v>126</v>
      </c>
      <c r="D1061" s="8" t="s">
        <v>1869</v>
      </c>
      <c r="E1061" s="8" t="s">
        <v>1868</v>
      </c>
      <c r="F1061" s="6">
        <v>1176</v>
      </c>
      <c r="G1061" s="6" t="b">
        <v>0</v>
      </c>
      <c r="H1061" s="8" t="s">
        <v>240</v>
      </c>
      <c r="I1061" s="6" t="b">
        <v>0</v>
      </c>
      <c r="J1061" s="6" t="b">
        <v>0</v>
      </c>
      <c r="K1061" s="6" t="b">
        <v>0</v>
      </c>
      <c r="L1061" s="6" t="b">
        <v>1</v>
      </c>
      <c r="M1061" s="6" t="b">
        <v>0</v>
      </c>
      <c r="N1061" s="6">
        <v>8</v>
      </c>
      <c r="O1061" s="8" t="s">
        <v>331</v>
      </c>
      <c r="P1061" s="8" t="s">
        <v>238</v>
      </c>
      <c r="Q1061" s="8" t="s">
        <v>927</v>
      </c>
      <c r="R1061" s="6">
        <v>8</v>
      </c>
      <c r="S1061" s="8" t="s">
        <v>347</v>
      </c>
      <c r="T1061" s="9"/>
      <c r="U1061" s="8" t="s">
        <v>1870</v>
      </c>
      <c r="V1061" s="8" t="s">
        <v>496</v>
      </c>
      <c r="W1061" s="8" t="s">
        <v>240</v>
      </c>
      <c r="X1061" s="8" t="s">
        <v>240</v>
      </c>
      <c r="Y1061" s="8" t="s">
        <v>240</v>
      </c>
      <c r="Z1061" s="6" t="b">
        <v>0</v>
      </c>
      <c r="AA1061" s="9"/>
      <c r="AB1061" s="9"/>
    </row>
    <row r="1062" spans="1:28" ht="16">
      <c r="A1062" s="6">
        <v>1178</v>
      </c>
      <c r="B1062" s="8" t="s">
        <v>194</v>
      </c>
      <c r="C1062" s="8" t="s">
        <v>90</v>
      </c>
      <c r="D1062" s="8" t="s">
        <v>1871</v>
      </c>
      <c r="E1062" s="8" t="s">
        <v>1871</v>
      </c>
      <c r="F1062" s="6">
        <v>1178</v>
      </c>
      <c r="G1062" s="6" t="b">
        <v>0</v>
      </c>
      <c r="H1062" s="8" t="s">
        <v>240</v>
      </c>
      <c r="I1062" s="6" t="b">
        <v>0</v>
      </c>
      <c r="J1062" s="6" t="b">
        <v>0</v>
      </c>
      <c r="K1062" s="6" t="b">
        <v>0</v>
      </c>
      <c r="L1062" s="6" t="b">
        <v>1</v>
      </c>
      <c r="M1062" s="6" t="b">
        <v>0</v>
      </c>
      <c r="N1062" s="6">
        <v>6</v>
      </c>
      <c r="O1062" s="8" t="s">
        <v>331</v>
      </c>
      <c r="P1062" s="8" t="s">
        <v>350</v>
      </c>
      <c r="Q1062" s="8" t="s">
        <v>762</v>
      </c>
      <c r="R1062" s="6">
        <v>5</v>
      </c>
      <c r="S1062" s="8" t="s">
        <v>335</v>
      </c>
      <c r="T1062" s="6">
        <v>5</v>
      </c>
      <c r="U1062" s="8" t="s">
        <v>240</v>
      </c>
      <c r="V1062" s="8" t="s">
        <v>450</v>
      </c>
      <c r="W1062" s="8" t="s">
        <v>386</v>
      </c>
      <c r="X1062" s="8" t="s">
        <v>240</v>
      </c>
      <c r="Y1062" s="8" t="s">
        <v>1872</v>
      </c>
      <c r="Z1062" s="6" t="b">
        <v>0</v>
      </c>
      <c r="AA1062" s="9"/>
      <c r="AB1062" s="9"/>
    </row>
    <row r="1063" spans="1:28" ht="16">
      <c r="A1063" s="6">
        <v>1179</v>
      </c>
      <c r="B1063" s="8" t="s">
        <v>194</v>
      </c>
      <c r="C1063" s="8" t="s">
        <v>90</v>
      </c>
      <c r="D1063" s="8" t="s">
        <v>1873</v>
      </c>
      <c r="E1063" s="8" t="s">
        <v>1871</v>
      </c>
      <c r="F1063" s="6">
        <v>1178</v>
      </c>
      <c r="G1063" s="6" t="b">
        <v>0</v>
      </c>
      <c r="H1063" s="8" t="s">
        <v>240</v>
      </c>
      <c r="I1063" s="6" t="b">
        <v>0</v>
      </c>
      <c r="J1063" s="6" t="b">
        <v>0</v>
      </c>
      <c r="K1063" s="6" t="b">
        <v>0</v>
      </c>
      <c r="L1063" s="6" t="b">
        <v>1</v>
      </c>
      <c r="M1063" s="6" t="b">
        <v>0</v>
      </c>
      <c r="N1063" s="6">
        <v>6</v>
      </c>
      <c r="O1063" s="8" t="s">
        <v>331</v>
      </c>
      <c r="P1063" s="8" t="s">
        <v>350</v>
      </c>
      <c r="Q1063" s="8" t="s">
        <v>762</v>
      </c>
      <c r="R1063" s="6">
        <v>5</v>
      </c>
      <c r="S1063" s="8" t="s">
        <v>335</v>
      </c>
      <c r="T1063" s="9"/>
      <c r="U1063" s="8" t="s">
        <v>240</v>
      </c>
      <c r="V1063" s="8" t="s">
        <v>450</v>
      </c>
      <c r="W1063" s="8" t="s">
        <v>386</v>
      </c>
      <c r="X1063" s="8" t="s">
        <v>240</v>
      </c>
      <c r="Y1063" s="8" t="s">
        <v>240</v>
      </c>
      <c r="Z1063" s="6" t="b">
        <v>0</v>
      </c>
      <c r="AA1063" s="9"/>
      <c r="AB1063" s="9"/>
    </row>
    <row r="1064" spans="1:28" ht="16">
      <c r="A1064" s="6">
        <v>1180</v>
      </c>
      <c r="B1064" s="8" t="s">
        <v>194</v>
      </c>
      <c r="C1064" s="8" t="s">
        <v>108</v>
      </c>
      <c r="D1064" s="8" t="s">
        <v>1874</v>
      </c>
      <c r="E1064" s="8" t="s">
        <v>1874</v>
      </c>
      <c r="F1064" s="6">
        <v>1180</v>
      </c>
      <c r="G1064" s="6" t="b">
        <v>0</v>
      </c>
      <c r="H1064" s="8" t="s">
        <v>240</v>
      </c>
      <c r="I1064" s="6" t="b">
        <v>0</v>
      </c>
      <c r="J1064" s="6" t="b">
        <v>0</v>
      </c>
      <c r="K1064" s="6" t="b">
        <v>0</v>
      </c>
      <c r="L1064" s="6" t="b">
        <v>1</v>
      </c>
      <c r="M1064" s="6" t="b">
        <v>0</v>
      </c>
      <c r="N1064" s="6">
        <v>3</v>
      </c>
      <c r="O1064" s="8" t="s">
        <v>347</v>
      </c>
      <c r="P1064" s="8" t="s">
        <v>238</v>
      </c>
      <c r="Q1064" s="8" t="s">
        <v>502</v>
      </c>
      <c r="R1064" s="6">
        <v>3</v>
      </c>
      <c r="S1064" s="8" t="s">
        <v>347</v>
      </c>
      <c r="T1064" s="6">
        <v>3</v>
      </c>
      <c r="U1064" s="8" t="s">
        <v>240</v>
      </c>
      <c r="V1064" s="8" t="s">
        <v>1696</v>
      </c>
      <c r="W1064" s="8" t="s">
        <v>240</v>
      </c>
      <c r="X1064" s="8" t="s">
        <v>240</v>
      </c>
      <c r="Y1064" s="8" t="s">
        <v>1875</v>
      </c>
      <c r="Z1064" s="6" t="b">
        <v>0</v>
      </c>
      <c r="AA1064" s="9"/>
      <c r="AB1064" s="9"/>
    </row>
    <row r="1065" spans="1:28" ht="32">
      <c r="A1065" s="6">
        <v>1181</v>
      </c>
      <c r="B1065" s="8" t="s">
        <v>194</v>
      </c>
      <c r="C1065" s="8" t="s">
        <v>126</v>
      </c>
      <c r="D1065" s="8" t="s">
        <v>1876</v>
      </c>
      <c r="E1065" s="8" t="s">
        <v>1876</v>
      </c>
      <c r="F1065" s="6">
        <v>1181</v>
      </c>
      <c r="G1065" s="6" t="b">
        <v>0</v>
      </c>
      <c r="H1065" s="8" t="s">
        <v>240</v>
      </c>
      <c r="I1065" s="6" t="b">
        <v>0</v>
      </c>
      <c r="J1065" s="6" t="b">
        <v>0</v>
      </c>
      <c r="K1065" s="6" t="b">
        <v>0</v>
      </c>
      <c r="L1065" s="6" t="b">
        <v>1</v>
      </c>
      <c r="M1065" s="6" t="b">
        <v>0</v>
      </c>
      <c r="N1065" s="6">
        <v>8</v>
      </c>
      <c r="O1065" s="8" t="s">
        <v>331</v>
      </c>
      <c r="P1065" s="8" t="s">
        <v>350</v>
      </c>
      <c r="Q1065" s="8" t="s">
        <v>927</v>
      </c>
      <c r="R1065" s="6">
        <v>8</v>
      </c>
      <c r="S1065" s="8" t="s">
        <v>347</v>
      </c>
      <c r="T1065" s="9"/>
      <c r="U1065" s="8" t="s">
        <v>240</v>
      </c>
      <c r="V1065" s="8" t="s">
        <v>496</v>
      </c>
      <c r="W1065" s="8" t="s">
        <v>240</v>
      </c>
      <c r="X1065" s="8" t="s">
        <v>240</v>
      </c>
      <c r="Y1065" s="8" t="s">
        <v>1877</v>
      </c>
      <c r="Z1065" s="6" t="b">
        <v>0</v>
      </c>
      <c r="AA1065" s="9"/>
      <c r="AB1065" s="9"/>
    </row>
    <row r="1066" spans="1:28" ht="32">
      <c r="A1066" s="6">
        <v>1182</v>
      </c>
      <c r="B1066" s="8" t="s">
        <v>194</v>
      </c>
      <c r="C1066" s="8" t="s">
        <v>90</v>
      </c>
      <c r="D1066" s="8" t="s">
        <v>1878</v>
      </c>
      <c r="E1066" s="8" t="s">
        <v>1876</v>
      </c>
      <c r="F1066" s="6">
        <v>1181</v>
      </c>
      <c r="G1066" s="6" t="b">
        <v>0</v>
      </c>
      <c r="H1066" s="8" t="s">
        <v>240</v>
      </c>
      <c r="I1066" s="6" t="b">
        <v>0</v>
      </c>
      <c r="J1066" s="6" t="b">
        <v>0</v>
      </c>
      <c r="K1066" s="6" t="b">
        <v>0</v>
      </c>
      <c r="L1066" s="6" t="b">
        <v>1</v>
      </c>
      <c r="M1066" s="6" t="b">
        <v>0</v>
      </c>
      <c r="N1066" s="6">
        <v>6</v>
      </c>
      <c r="O1066" s="8" t="s">
        <v>331</v>
      </c>
      <c r="P1066" s="8" t="s">
        <v>350</v>
      </c>
      <c r="Q1066" s="8" t="s">
        <v>335</v>
      </c>
      <c r="R1066" s="6">
        <v>8</v>
      </c>
      <c r="S1066" s="8" t="s">
        <v>347</v>
      </c>
      <c r="T1066" s="6">
        <v>8</v>
      </c>
      <c r="U1066" s="8" t="s">
        <v>240</v>
      </c>
      <c r="V1066" s="8" t="s">
        <v>496</v>
      </c>
      <c r="W1066" s="8" t="s">
        <v>240</v>
      </c>
      <c r="X1066" s="8" t="s">
        <v>240</v>
      </c>
      <c r="Y1066" s="8" t="s">
        <v>1879</v>
      </c>
      <c r="Z1066" s="6" t="b">
        <v>0</v>
      </c>
      <c r="AA1066" s="9"/>
      <c r="AB1066" s="9"/>
    </row>
    <row r="1067" spans="1:28" ht="32">
      <c r="A1067" s="6">
        <v>1183</v>
      </c>
      <c r="B1067" s="8" t="s">
        <v>194</v>
      </c>
      <c r="C1067" s="8" t="s">
        <v>90</v>
      </c>
      <c r="D1067" s="8" t="s">
        <v>1880</v>
      </c>
      <c r="E1067" s="8" t="s">
        <v>1876</v>
      </c>
      <c r="F1067" s="6">
        <v>1181</v>
      </c>
      <c r="G1067" s="6" t="b">
        <v>0</v>
      </c>
      <c r="H1067" s="8" t="s">
        <v>240</v>
      </c>
      <c r="I1067" s="6" t="b">
        <v>0</v>
      </c>
      <c r="J1067" s="6" t="b">
        <v>0</v>
      </c>
      <c r="K1067" s="6" t="b">
        <v>0</v>
      </c>
      <c r="L1067" s="6" t="b">
        <v>1</v>
      </c>
      <c r="M1067" s="6" t="b">
        <v>0</v>
      </c>
      <c r="N1067" s="6">
        <v>6</v>
      </c>
      <c r="O1067" s="8" t="s">
        <v>331</v>
      </c>
      <c r="P1067" s="8" t="s">
        <v>350</v>
      </c>
      <c r="Q1067" s="8" t="s">
        <v>335</v>
      </c>
      <c r="R1067" s="6">
        <v>5</v>
      </c>
      <c r="S1067" s="8" t="s">
        <v>347</v>
      </c>
      <c r="T1067" s="6">
        <v>8</v>
      </c>
      <c r="U1067" s="8" t="s">
        <v>240</v>
      </c>
      <c r="V1067" s="8" t="s">
        <v>496</v>
      </c>
      <c r="W1067" s="8" t="s">
        <v>240</v>
      </c>
      <c r="X1067" s="8" t="s">
        <v>240</v>
      </c>
      <c r="Y1067" s="8" t="s">
        <v>1879</v>
      </c>
      <c r="Z1067" s="6" t="b">
        <v>0</v>
      </c>
      <c r="AA1067" s="9"/>
      <c r="AB1067" s="9"/>
    </row>
    <row r="1068" spans="1:28" ht="32">
      <c r="A1068" s="6">
        <v>1184</v>
      </c>
      <c r="B1068" s="8" t="s">
        <v>194</v>
      </c>
      <c r="C1068" s="8" t="s">
        <v>90</v>
      </c>
      <c r="D1068" s="8" t="s">
        <v>1881</v>
      </c>
      <c r="E1068" s="8" t="s">
        <v>1876</v>
      </c>
      <c r="F1068" s="6">
        <v>1181</v>
      </c>
      <c r="G1068" s="6" t="b">
        <v>0</v>
      </c>
      <c r="H1068" s="8" t="s">
        <v>240</v>
      </c>
      <c r="I1068" s="6" t="b">
        <v>0</v>
      </c>
      <c r="J1068" s="6" t="b">
        <v>0</v>
      </c>
      <c r="K1068" s="6" t="b">
        <v>0</v>
      </c>
      <c r="L1068" s="6" t="b">
        <v>1</v>
      </c>
      <c r="M1068" s="6" t="b">
        <v>0</v>
      </c>
      <c r="N1068" s="6">
        <v>6</v>
      </c>
      <c r="O1068" s="8" t="s">
        <v>331</v>
      </c>
      <c r="P1068" s="8" t="s">
        <v>350</v>
      </c>
      <c r="Q1068" s="8" t="s">
        <v>335</v>
      </c>
      <c r="R1068" s="6">
        <v>8</v>
      </c>
      <c r="S1068" s="8" t="s">
        <v>347</v>
      </c>
      <c r="T1068" s="6">
        <v>8</v>
      </c>
      <c r="U1068" s="8" t="s">
        <v>240</v>
      </c>
      <c r="V1068" s="8" t="s">
        <v>496</v>
      </c>
      <c r="W1068" s="8" t="s">
        <v>240</v>
      </c>
      <c r="X1068" s="8" t="s">
        <v>240</v>
      </c>
      <c r="Y1068" s="8" t="s">
        <v>240</v>
      </c>
      <c r="Z1068" s="6" t="b">
        <v>0</v>
      </c>
      <c r="AA1068" s="9"/>
      <c r="AB1068" s="9"/>
    </row>
    <row r="1069" spans="1:28" ht="32">
      <c r="A1069" s="6">
        <v>1185</v>
      </c>
      <c r="B1069" s="8" t="s">
        <v>194</v>
      </c>
      <c r="C1069" s="8" t="s">
        <v>126</v>
      </c>
      <c r="D1069" s="8" t="s">
        <v>1882</v>
      </c>
      <c r="E1069" s="8" t="s">
        <v>1876</v>
      </c>
      <c r="F1069" s="6">
        <v>1181</v>
      </c>
      <c r="G1069" s="6" t="b">
        <v>0</v>
      </c>
      <c r="H1069" s="8" t="s">
        <v>240</v>
      </c>
      <c r="I1069" s="6" t="b">
        <v>0</v>
      </c>
      <c r="J1069" s="6" t="b">
        <v>0</v>
      </c>
      <c r="K1069" s="6" t="b">
        <v>0</v>
      </c>
      <c r="L1069" s="6" t="b">
        <v>1</v>
      </c>
      <c r="M1069" s="6" t="b">
        <v>0</v>
      </c>
      <c r="N1069" s="6">
        <v>8</v>
      </c>
      <c r="O1069" s="8" t="s">
        <v>331</v>
      </c>
      <c r="P1069" s="8" t="s">
        <v>350</v>
      </c>
      <c r="Q1069" s="8" t="s">
        <v>927</v>
      </c>
      <c r="R1069" s="6">
        <v>6</v>
      </c>
      <c r="S1069" s="8" t="s">
        <v>341</v>
      </c>
      <c r="T1069" s="6">
        <v>8</v>
      </c>
      <c r="U1069" s="8" t="s">
        <v>240</v>
      </c>
      <c r="V1069" s="8" t="s">
        <v>496</v>
      </c>
      <c r="W1069" s="8" t="s">
        <v>240</v>
      </c>
      <c r="X1069" s="8" t="s">
        <v>240</v>
      </c>
      <c r="Y1069" s="8" t="s">
        <v>240</v>
      </c>
      <c r="Z1069" s="6" t="b">
        <v>0</v>
      </c>
      <c r="AA1069" s="9"/>
      <c r="AB1069" s="9"/>
    </row>
    <row r="1070" spans="1:28" ht="16">
      <c r="A1070" s="6">
        <v>1186</v>
      </c>
      <c r="B1070" s="8" t="s">
        <v>194</v>
      </c>
      <c r="C1070" s="8" t="s">
        <v>1883</v>
      </c>
      <c r="D1070" s="8" t="s">
        <v>1884</v>
      </c>
      <c r="E1070" s="8" t="s">
        <v>1884</v>
      </c>
      <c r="F1070" s="6">
        <v>1186</v>
      </c>
      <c r="G1070" s="6" t="b">
        <v>0</v>
      </c>
      <c r="H1070" s="8" t="s">
        <v>240</v>
      </c>
      <c r="I1070" s="6" t="b">
        <v>0</v>
      </c>
      <c r="J1070" s="6" t="b">
        <v>0</v>
      </c>
      <c r="K1070" s="6" t="b">
        <v>0</v>
      </c>
      <c r="L1070" s="6" t="b">
        <v>1</v>
      </c>
      <c r="M1070" s="6" t="b">
        <v>0</v>
      </c>
      <c r="N1070" s="6">
        <v>10</v>
      </c>
      <c r="O1070" s="8" t="s">
        <v>341</v>
      </c>
      <c r="P1070" s="8" t="s">
        <v>238</v>
      </c>
      <c r="Q1070" s="8" t="s">
        <v>446</v>
      </c>
      <c r="R1070" s="6">
        <v>10</v>
      </c>
      <c r="S1070" s="8" t="s">
        <v>75</v>
      </c>
      <c r="T1070" s="9"/>
      <c r="U1070" s="8" t="s">
        <v>240</v>
      </c>
      <c r="V1070" s="8" t="s">
        <v>496</v>
      </c>
      <c r="W1070" s="8" t="s">
        <v>240</v>
      </c>
      <c r="X1070" s="8" t="s">
        <v>240</v>
      </c>
      <c r="Y1070" s="8" t="s">
        <v>240</v>
      </c>
      <c r="Z1070" s="6" t="b">
        <v>0</v>
      </c>
      <c r="AA1070" s="9"/>
      <c r="AB1070" s="9"/>
    </row>
    <row r="1071" spans="1:28" ht="32">
      <c r="A1071" s="6">
        <v>1187</v>
      </c>
      <c r="B1071" s="8" t="s">
        <v>194</v>
      </c>
      <c r="C1071" s="8" t="s">
        <v>90</v>
      </c>
      <c r="D1071" s="8" t="s">
        <v>1885</v>
      </c>
      <c r="E1071" s="8" t="s">
        <v>1885</v>
      </c>
      <c r="F1071" s="6">
        <v>1187</v>
      </c>
      <c r="G1071" s="6" t="b">
        <v>0</v>
      </c>
      <c r="H1071" s="8" t="s">
        <v>240</v>
      </c>
      <c r="I1071" s="6" t="b">
        <v>0</v>
      </c>
      <c r="J1071" s="6" t="b">
        <v>1</v>
      </c>
      <c r="K1071" s="6" t="b">
        <v>0</v>
      </c>
      <c r="L1071" s="6" t="b">
        <v>1</v>
      </c>
      <c r="M1071" s="6" t="b">
        <v>0</v>
      </c>
      <c r="N1071" s="6">
        <v>6</v>
      </c>
      <c r="O1071" s="8" t="s">
        <v>331</v>
      </c>
      <c r="P1071" s="8" t="s">
        <v>350</v>
      </c>
      <c r="Q1071" s="8" t="s">
        <v>811</v>
      </c>
      <c r="R1071" s="6">
        <v>8</v>
      </c>
      <c r="S1071" s="8" t="s">
        <v>347</v>
      </c>
      <c r="T1071" s="6">
        <v>8</v>
      </c>
      <c r="U1071" s="8" t="s">
        <v>240</v>
      </c>
      <c r="V1071" s="8" t="s">
        <v>450</v>
      </c>
      <c r="W1071" s="8" t="s">
        <v>240</v>
      </c>
      <c r="X1071" s="8" t="s">
        <v>240</v>
      </c>
      <c r="Y1071" s="8" t="s">
        <v>1886</v>
      </c>
      <c r="Z1071" s="6" t="b">
        <v>0</v>
      </c>
      <c r="AA1071" s="9"/>
      <c r="AB1071" s="9"/>
    </row>
    <row r="1072" spans="1:28" ht="32">
      <c r="A1072" s="6">
        <v>1188</v>
      </c>
      <c r="B1072" s="8" t="s">
        <v>194</v>
      </c>
      <c r="C1072" s="8" t="s">
        <v>90</v>
      </c>
      <c r="D1072" s="8" t="s">
        <v>1887</v>
      </c>
      <c r="E1072" s="8" t="s">
        <v>1885</v>
      </c>
      <c r="F1072" s="6">
        <v>1187</v>
      </c>
      <c r="G1072" s="6" t="b">
        <v>0</v>
      </c>
      <c r="H1072" s="8" t="s">
        <v>240</v>
      </c>
      <c r="I1072" s="6" t="b">
        <v>0</v>
      </c>
      <c r="J1072" s="6" t="b">
        <v>1</v>
      </c>
      <c r="K1072" s="6" t="b">
        <v>0</v>
      </c>
      <c r="L1072" s="6" t="b">
        <v>1</v>
      </c>
      <c r="M1072" s="6" t="b">
        <v>0</v>
      </c>
      <c r="N1072" s="6">
        <v>6</v>
      </c>
      <c r="O1072" s="8" t="s">
        <v>331</v>
      </c>
      <c r="P1072" s="8" t="s">
        <v>350</v>
      </c>
      <c r="Q1072" s="8" t="s">
        <v>811</v>
      </c>
      <c r="R1072" s="6">
        <v>8</v>
      </c>
      <c r="S1072" s="8" t="s">
        <v>347</v>
      </c>
      <c r="T1072" s="9"/>
      <c r="U1072" s="8" t="s">
        <v>240</v>
      </c>
      <c r="V1072" s="8" t="s">
        <v>450</v>
      </c>
      <c r="W1072" s="8" t="s">
        <v>240</v>
      </c>
      <c r="X1072" s="8" t="s">
        <v>240</v>
      </c>
      <c r="Y1072" s="8" t="s">
        <v>240</v>
      </c>
      <c r="Z1072" s="6" t="b">
        <v>0</v>
      </c>
      <c r="AA1072" s="9"/>
      <c r="AB1072" s="9"/>
    </row>
    <row r="1073" spans="1:28" ht="16">
      <c r="A1073" s="6">
        <v>1189</v>
      </c>
      <c r="B1073" s="8" t="s">
        <v>194</v>
      </c>
      <c r="C1073" s="8" t="s">
        <v>1773</v>
      </c>
      <c r="D1073" s="8" t="s">
        <v>1888</v>
      </c>
      <c r="E1073" s="8" t="s">
        <v>1888</v>
      </c>
      <c r="F1073" s="6">
        <v>1189</v>
      </c>
      <c r="G1073" s="6" t="b">
        <v>0</v>
      </c>
      <c r="H1073" s="8" t="s">
        <v>240</v>
      </c>
      <c r="I1073" s="6" t="b">
        <v>0</v>
      </c>
      <c r="J1073" s="6" t="b">
        <v>0</v>
      </c>
      <c r="K1073" s="6" t="b">
        <v>0</v>
      </c>
      <c r="L1073" s="6" t="b">
        <v>1</v>
      </c>
      <c r="M1073" s="6" t="b">
        <v>0</v>
      </c>
      <c r="N1073" s="6">
        <v>3</v>
      </c>
      <c r="O1073" s="8" t="s">
        <v>237</v>
      </c>
      <c r="P1073" s="8" t="s">
        <v>1678</v>
      </c>
      <c r="Q1073" s="8" t="s">
        <v>838</v>
      </c>
      <c r="R1073" s="6">
        <v>1</v>
      </c>
      <c r="S1073" s="8" t="s">
        <v>335</v>
      </c>
      <c r="T1073" s="6">
        <v>1</v>
      </c>
      <c r="U1073" s="8" t="s">
        <v>240</v>
      </c>
      <c r="V1073" s="8" t="s">
        <v>866</v>
      </c>
      <c r="W1073" s="8" t="s">
        <v>240</v>
      </c>
      <c r="X1073" s="8" t="s">
        <v>240</v>
      </c>
      <c r="Y1073" s="8" t="s">
        <v>240</v>
      </c>
      <c r="Z1073" s="6" t="b">
        <v>0</v>
      </c>
      <c r="AA1073" s="9"/>
      <c r="AB1073" s="9"/>
    </row>
    <row r="1074" spans="1:28" ht="16">
      <c r="A1074" s="6">
        <v>1190</v>
      </c>
      <c r="B1074" s="8" t="s">
        <v>194</v>
      </c>
      <c r="C1074" s="8" t="s">
        <v>1773</v>
      </c>
      <c r="D1074" s="8" t="s">
        <v>1773</v>
      </c>
      <c r="E1074" s="8" t="s">
        <v>1773</v>
      </c>
      <c r="F1074" s="6">
        <v>1190</v>
      </c>
      <c r="G1074" s="6" t="b">
        <v>0</v>
      </c>
      <c r="H1074" s="8" t="s">
        <v>240</v>
      </c>
      <c r="I1074" s="6" t="b">
        <v>0</v>
      </c>
      <c r="J1074" s="6" t="b">
        <v>0</v>
      </c>
      <c r="K1074" s="6" t="b">
        <v>0</v>
      </c>
      <c r="L1074" s="6" t="b">
        <v>1</v>
      </c>
      <c r="M1074" s="6" t="b">
        <v>0</v>
      </c>
      <c r="N1074" s="6">
        <v>3</v>
      </c>
      <c r="O1074" s="8" t="s">
        <v>237</v>
      </c>
      <c r="P1074" s="8" t="s">
        <v>350</v>
      </c>
      <c r="Q1074" s="8" t="s">
        <v>381</v>
      </c>
      <c r="R1074" s="6">
        <v>3</v>
      </c>
      <c r="S1074" s="8" t="s">
        <v>237</v>
      </c>
      <c r="T1074" s="9"/>
      <c r="U1074" s="8" t="s">
        <v>240</v>
      </c>
      <c r="V1074" s="8" t="s">
        <v>866</v>
      </c>
      <c r="W1074" s="8" t="s">
        <v>240</v>
      </c>
      <c r="X1074" s="8" t="s">
        <v>240</v>
      </c>
      <c r="Y1074" s="8" t="s">
        <v>240</v>
      </c>
      <c r="Z1074" s="6" t="b">
        <v>0</v>
      </c>
      <c r="AA1074" s="9"/>
      <c r="AB1074" s="9"/>
    </row>
    <row r="1075" spans="1:28" ht="16">
      <c r="A1075" s="6">
        <v>1191</v>
      </c>
      <c r="B1075" s="8" t="s">
        <v>194</v>
      </c>
      <c r="C1075" s="8" t="s">
        <v>90</v>
      </c>
      <c r="D1075" s="8" t="s">
        <v>1889</v>
      </c>
      <c r="E1075" s="8" t="s">
        <v>1889</v>
      </c>
      <c r="F1075" s="6">
        <v>1191</v>
      </c>
      <c r="G1075" s="6" t="b">
        <v>0</v>
      </c>
      <c r="H1075" s="8"/>
      <c r="I1075" s="6" t="b">
        <v>0</v>
      </c>
      <c r="J1075" s="6" t="b">
        <v>1</v>
      </c>
      <c r="K1075" s="6" t="b">
        <v>0</v>
      </c>
      <c r="L1075" s="6" t="b">
        <v>1</v>
      </c>
      <c r="M1075" s="6" t="b">
        <v>0</v>
      </c>
      <c r="N1075" s="6">
        <v>6</v>
      </c>
      <c r="O1075" s="8" t="s">
        <v>331</v>
      </c>
      <c r="P1075" s="8" t="s">
        <v>240</v>
      </c>
      <c r="Q1075" s="8" t="s">
        <v>240</v>
      </c>
      <c r="R1075" s="6">
        <v>6</v>
      </c>
      <c r="S1075" s="8" t="s">
        <v>75</v>
      </c>
      <c r="T1075" s="9"/>
      <c r="U1075" s="8" t="s">
        <v>240</v>
      </c>
      <c r="V1075" s="8" t="s">
        <v>240</v>
      </c>
      <c r="W1075" s="8" t="s">
        <v>240</v>
      </c>
      <c r="X1075" s="8" t="s">
        <v>240</v>
      </c>
      <c r="Y1075" s="8" t="s">
        <v>240</v>
      </c>
      <c r="Z1075" s="6" t="b">
        <v>0</v>
      </c>
      <c r="AA1075" s="9"/>
      <c r="AB1075" s="9"/>
    </row>
    <row r="1076" spans="1:28" ht="16">
      <c r="A1076" s="6">
        <v>1192</v>
      </c>
      <c r="B1076" s="8" t="s">
        <v>194</v>
      </c>
      <c r="C1076" s="8" t="s">
        <v>1694</v>
      </c>
      <c r="D1076" s="8" t="s">
        <v>1694</v>
      </c>
      <c r="E1076" s="8" t="s">
        <v>1694</v>
      </c>
      <c r="F1076" s="6">
        <v>1192</v>
      </c>
      <c r="G1076" s="6" t="b">
        <v>0</v>
      </c>
      <c r="H1076" s="8" t="s">
        <v>240</v>
      </c>
      <c r="I1076" s="6" t="b">
        <v>0</v>
      </c>
      <c r="J1076" s="6" t="b">
        <v>0</v>
      </c>
      <c r="K1076" s="6" t="b">
        <v>0</v>
      </c>
      <c r="L1076" s="6" t="b">
        <v>1</v>
      </c>
      <c r="M1076" s="6" t="b">
        <v>0</v>
      </c>
      <c r="N1076" s="6">
        <v>4</v>
      </c>
      <c r="O1076" s="8" t="s">
        <v>880</v>
      </c>
      <c r="P1076" s="8" t="s">
        <v>238</v>
      </c>
      <c r="Q1076" s="8" t="s">
        <v>502</v>
      </c>
      <c r="R1076" s="6">
        <v>4</v>
      </c>
      <c r="S1076" s="8" t="s">
        <v>347</v>
      </c>
      <c r="T1076" s="6">
        <v>4</v>
      </c>
      <c r="U1076" s="8" t="s">
        <v>240</v>
      </c>
      <c r="V1076" s="8" t="s">
        <v>1696</v>
      </c>
      <c r="W1076" s="8" t="s">
        <v>240</v>
      </c>
      <c r="X1076" s="8" t="s">
        <v>240</v>
      </c>
      <c r="Y1076" s="8" t="s">
        <v>1890</v>
      </c>
      <c r="Z1076" s="6" t="b">
        <v>0</v>
      </c>
      <c r="AA1076" s="9"/>
      <c r="AB1076" s="9"/>
    </row>
    <row r="1077" spans="1:28" ht="16">
      <c r="A1077" s="6">
        <v>1193</v>
      </c>
      <c r="B1077" s="8" t="s">
        <v>194</v>
      </c>
      <c r="C1077" s="8" t="s">
        <v>1694</v>
      </c>
      <c r="D1077" s="8" t="s">
        <v>1891</v>
      </c>
      <c r="E1077" s="8" t="s">
        <v>1891</v>
      </c>
      <c r="F1077" s="6">
        <v>1193</v>
      </c>
      <c r="G1077" s="6" t="b">
        <v>0</v>
      </c>
      <c r="H1077" s="8" t="s">
        <v>240</v>
      </c>
      <c r="I1077" s="6" t="b">
        <v>0</v>
      </c>
      <c r="J1077" s="6" t="b">
        <v>0</v>
      </c>
      <c r="K1077" s="6" t="b">
        <v>0</v>
      </c>
      <c r="L1077" s="6" t="b">
        <v>1</v>
      </c>
      <c r="M1077" s="6" t="b">
        <v>0</v>
      </c>
      <c r="N1077" s="6">
        <v>4</v>
      </c>
      <c r="O1077" s="8" t="s">
        <v>880</v>
      </c>
      <c r="P1077" s="8" t="s">
        <v>238</v>
      </c>
      <c r="Q1077" s="8" t="s">
        <v>446</v>
      </c>
      <c r="R1077" s="6">
        <v>4</v>
      </c>
      <c r="S1077" s="8" t="s">
        <v>75</v>
      </c>
      <c r="T1077" s="9"/>
      <c r="U1077" s="8" t="s">
        <v>240</v>
      </c>
      <c r="V1077" s="8" t="s">
        <v>1696</v>
      </c>
      <c r="W1077" s="8" t="s">
        <v>240</v>
      </c>
      <c r="X1077" s="8" t="s">
        <v>240</v>
      </c>
      <c r="Y1077" s="8" t="s">
        <v>240</v>
      </c>
      <c r="Z1077" s="6" t="b">
        <v>0</v>
      </c>
      <c r="AA1077" s="9"/>
      <c r="AB1077" s="9"/>
    </row>
    <row r="1078" spans="1:28" ht="16">
      <c r="A1078" s="6">
        <v>1194</v>
      </c>
      <c r="B1078" s="8" t="s">
        <v>194</v>
      </c>
      <c r="C1078" s="8" t="s">
        <v>90</v>
      </c>
      <c r="D1078" s="8" t="s">
        <v>1892</v>
      </c>
      <c r="E1078" s="8" t="s">
        <v>1892</v>
      </c>
      <c r="F1078" s="6">
        <v>1194</v>
      </c>
      <c r="G1078" s="6" t="b">
        <v>0</v>
      </c>
      <c r="H1078" s="8" t="s">
        <v>240</v>
      </c>
      <c r="I1078" s="6" t="b">
        <v>0</v>
      </c>
      <c r="J1078" s="6" t="b">
        <v>0</v>
      </c>
      <c r="K1078" s="6" t="b">
        <v>1</v>
      </c>
      <c r="L1078" s="6" t="b">
        <v>1</v>
      </c>
      <c r="M1078" s="6" t="b">
        <v>0</v>
      </c>
      <c r="N1078" s="6">
        <v>6</v>
      </c>
      <c r="O1078" s="8" t="s">
        <v>331</v>
      </c>
      <c r="P1078" s="8" t="s">
        <v>238</v>
      </c>
      <c r="Q1078" s="8" t="s">
        <v>446</v>
      </c>
      <c r="R1078" s="6">
        <v>3</v>
      </c>
      <c r="S1078" s="8" t="s">
        <v>347</v>
      </c>
      <c r="T1078" s="9"/>
      <c r="U1078" s="8" t="s">
        <v>240</v>
      </c>
      <c r="V1078" s="8" t="s">
        <v>450</v>
      </c>
      <c r="W1078" s="8" t="s">
        <v>240</v>
      </c>
      <c r="X1078" s="8" t="s">
        <v>240</v>
      </c>
      <c r="Y1078" s="8" t="s">
        <v>240</v>
      </c>
      <c r="Z1078" s="6" t="b">
        <v>0</v>
      </c>
      <c r="AA1078" s="9"/>
      <c r="AB1078" s="9"/>
    </row>
    <row r="1079" spans="1:28" ht="32">
      <c r="A1079" s="6">
        <v>1195</v>
      </c>
      <c r="B1079" s="8" t="s">
        <v>194</v>
      </c>
      <c r="C1079" s="8" t="s">
        <v>126</v>
      </c>
      <c r="D1079" s="8" t="s">
        <v>1893</v>
      </c>
      <c r="E1079" s="8" t="s">
        <v>1893</v>
      </c>
      <c r="F1079" s="6">
        <v>1195</v>
      </c>
      <c r="G1079" s="6" t="b">
        <v>0</v>
      </c>
      <c r="H1079" s="8" t="s">
        <v>240</v>
      </c>
      <c r="I1079" s="6" t="b">
        <v>0</v>
      </c>
      <c r="J1079" s="6" t="b">
        <v>0</v>
      </c>
      <c r="K1079" s="6" t="b">
        <v>0</v>
      </c>
      <c r="L1079" s="6" t="b">
        <v>1</v>
      </c>
      <c r="M1079" s="6" t="b">
        <v>0</v>
      </c>
      <c r="N1079" s="6">
        <v>8</v>
      </c>
      <c r="O1079" s="8" t="s">
        <v>331</v>
      </c>
      <c r="P1079" s="8" t="s">
        <v>350</v>
      </c>
      <c r="Q1079" s="8" t="s">
        <v>811</v>
      </c>
      <c r="R1079" s="6">
        <v>9</v>
      </c>
      <c r="S1079" s="8" t="s">
        <v>347</v>
      </c>
      <c r="T1079" s="6">
        <v>9</v>
      </c>
      <c r="U1079" s="8" t="s">
        <v>240</v>
      </c>
      <c r="V1079" s="8" t="s">
        <v>496</v>
      </c>
      <c r="W1079" s="8" t="s">
        <v>240</v>
      </c>
      <c r="X1079" s="8" t="s">
        <v>240</v>
      </c>
      <c r="Y1079" s="8" t="s">
        <v>240</v>
      </c>
      <c r="Z1079" s="6" t="b">
        <v>0</v>
      </c>
      <c r="AA1079" s="9"/>
      <c r="AB1079" s="9"/>
    </row>
    <row r="1080" spans="1:28" ht="32">
      <c r="A1080" s="6">
        <v>1196</v>
      </c>
      <c r="B1080" s="8" t="s">
        <v>194</v>
      </c>
      <c r="C1080" s="8" t="s">
        <v>126</v>
      </c>
      <c r="D1080" s="8" t="s">
        <v>1894</v>
      </c>
      <c r="E1080" s="8" t="s">
        <v>1893</v>
      </c>
      <c r="F1080" s="6">
        <v>1195</v>
      </c>
      <c r="G1080" s="6" t="b">
        <v>0</v>
      </c>
      <c r="H1080" s="8" t="s">
        <v>240</v>
      </c>
      <c r="I1080" s="6" t="b">
        <v>0</v>
      </c>
      <c r="J1080" s="6" t="b">
        <v>0</v>
      </c>
      <c r="K1080" s="6" t="b">
        <v>0</v>
      </c>
      <c r="L1080" s="6" t="b">
        <v>1</v>
      </c>
      <c r="M1080" s="6" t="b">
        <v>0</v>
      </c>
      <c r="N1080" s="6">
        <v>8</v>
      </c>
      <c r="O1080" s="8" t="s">
        <v>331</v>
      </c>
      <c r="P1080" s="8" t="s">
        <v>350</v>
      </c>
      <c r="Q1080" s="8" t="s">
        <v>811</v>
      </c>
      <c r="R1080" s="6">
        <v>9</v>
      </c>
      <c r="S1080" s="8" t="s">
        <v>347</v>
      </c>
      <c r="T1080" s="9"/>
      <c r="U1080" s="8" t="s">
        <v>240</v>
      </c>
      <c r="V1080" s="8" t="s">
        <v>496</v>
      </c>
      <c r="W1080" s="8" t="s">
        <v>240</v>
      </c>
      <c r="X1080" s="8" t="s">
        <v>240</v>
      </c>
      <c r="Y1080" s="8" t="s">
        <v>1895</v>
      </c>
      <c r="Z1080" s="6" t="b">
        <v>0</v>
      </c>
      <c r="AA1080" s="9"/>
      <c r="AB1080" s="9"/>
    </row>
    <row r="1081" spans="1:28" ht="32">
      <c r="A1081" s="6">
        <v>1197</v>
      </c>
      <c r="B1081" s="8" t="s">
        <v>194</v>
      </c>
      <c r="C1081" s="8" t="s">
        <v>126</v>
      </c>
      <c r="D1081" s="8" t="s">
        <v>1896</v>
      </c>
      <c r="E1081" s="8" t="s">
        <v>1893</v>
      </c>
      <c r="F1081" s="6">
        <v>1195</v>
      </c>
      <c r="G1081" s="6" t="b">
        <v>0</v>
      </c>
      <c r="H1081" s="8" t="s">
        <v>240</v>
      </c>
      <c r="I1081" s="6" t="b">
        <v>0</v>
      </c>
      <c r="J1081" s="6" t="b">
        <v>0</v>
      </c>
      <c r="K1081" s="6" t="b">
        <v>0</v>
      </c>
      <c r="L1081" s="6" t="b">
        <v>1</v>
      </c>
      <c r="M1081" s="6" t="b">
        <v>0</v>
      </c>
      <c r="N1081" s="6">
        <v>8</v>
      </c>
      <c r="O1081" s="8" t="s">
        <v>331</v>
      </c>
      <c r="P1081" s="8" t="s">
        <v>350</v>
      </c>
      <c r="Q1081" s="8" t="s">
        <v>335</v>
      </c>
      <c r="R1081" s="6">
        <v>8</v>
      </c>
      <c r="S1081" s="8" t="s">
        <v>75</v>
      </c>
      <c r="T1081" s="9"/>
      <c r="U1081" s="8" t="s">
        <v>240</v>
      </c>
      <c r="V1081" s="8" t="s">
        <v>496</v>
      </c>
      <c r="W1081" s="8" t="s">
        <v>240</v>
      </c>
      <c r="X1081" s="8" t="s">
        <v>240</v>
      </c>
      <c r="Y1081" s="8" t="s">
        <v>240</v>
      </c>
      <c r="Z1081" s="6" t="b">
        <v>0</v>
      </c>
      <c r="AA1081" s="9"/>
      <c r="AB1081" s="9"/>
    </row>
    <row r="1082" spans="1:28" ht="16">
      <c r="A1082" s="6">
        <v>1198</v>
      </c>
      <c r="B1082" s="8" t="s">
        <v>194</v>
      </c>
      <c r="C1082" s="8" t="s">
        <v>108</v>
      </c>
      <c r="D1082" s="8" t="s">
        <v>1897</v>
      </c>
      <c r="E1082" s="8" t="s">
        <v>1897</v>
      </c>
      <c r="F1082" s="6">
        <v>1198</v>
      </c>
      <c r="G1082" s="6" t="b">
        <v>0</v>
      </c>
      <c r="H1082" s="8" t="s">
        <v>240</v>
      </c>
      <c r="I1082" s="6" t="b">
        <v>0</v>
      </c>
      <c r="J1082" s="6" t="b">
        <v>0</v>
      </c>
      <c r="K1082" s="6" t="b">
        <v>0</v>
      </c>
      <c r="L1082" s="6" t="b">
        <v>1</v>
      </c>
      <c r="M1082" s="6" t="b">
        <v>0</v>
      </c>
      <c r="N1082" s="6">
        <v>3</v>
      </c>
      <c r="O1082" s="8" t="s">
        <v>347</v>
      </c>
      <c r="P1082" s="8" t="s">
        <v>1898</v>
      </c>
      <c r="Q1082" s="8" t="s">
        <v>446</v>
      </c>
      <c r="R1082" s="6">
        <v>3</v>
      </c>
      <c r="S1082" s="8" t="s">
        <v>75</v>
      </c>
      <c r="T1082" s="9"/>
      <c r="U1082" s="8" t="s">
        <v>240</v>
      </c>
      <c r="V1082" s="8" t="s">
        <v>1736</v>
      </c>
      <c r="W1082" s="8" t="s">
        <v>240</v>
      </c>
      <c r="X1082" s="8" t="s">
        <v>240</v>
      </c>
      <c r="Y1082" s="8" t="s">
        <v>240</v>
      </c>
      <c r="Z1082" s="6" t="b">
        <v>0</v>
      </c>
      <c r="AA1082" s="9"/>
      <c r="AB1082" s="9"/>
    </row>
    <row r="1083" spans="1:28" ht="16">
      <c r="A1083" s="6">
        <v>1199</v>
      </c>
      <c r="B1083" s="8" t="s">
        <v>194</v>
      </c>
      <c r="C1083" s="8" t="s">
        <v>131</v>
      </c>
      <c r="D1083" s="8" t="s">
        <v>131</v>
      </c>
      <c r="E1083" s="8" t="s">
        <v>131</v>
      </c>
      <c r="F1083" s="6">
        <v>1199</v>
      </c>
      <c r="G1083" s="6" t="b">
        <v>0</v>
      </c>
      <c r="H1083" s="8" t="s">
        <v>240</v>
      </c>
      <c r="I1083" s="6" t="b">
        <v>0</v>
      </c>
      <c r="J1083" s="6" t="b">
        <v>0</v>
      </c>
      <c r="K1083" s="6" t="b">
        <v>0</v>
      </c>
      <c r="L1083" s="6" t="b">
        <v>1</v>
      </c>
      <c r="M1083" s="6" t="b">
        <v>0</v>
      </c>
      <c r="N1083" s="6">
        <v>6</v>
      </c>
      <c r="O1083" s="8" t="s">
        <v>237</v>
      </c>
      <c r="P1083" s="8" t="s">
        <v>238</v>
      </c>
      <c r="Q1083" s="8" t="s">
        <v>381</v>
      </c>
      <c r="R1083" s="6">
        <v>6</v>
      </c>
      <c r="S1083" s="8" t="s">
        <v>347</v>
      </c>
      <c r="T1083" s="9"/>
      <c r="U1083" s="8" t="s">
        <v>240</v>
      </c>
      <c r="V1083" s="8" t="s">
        <v>1696</v>
      </c>
      <c r="W1083" s="8" t="s">
        <v>240</v>
      </c>
      <c r="X1083" s="8" t="s">
        <v>240</v>
      </c>
      <c r="Y1083" s="8" t="s">
        <v>1899</v>
      </c>
      <c r="Z1083" s="6" t="b">
        <v>0</v>
      </c>
      <c r="AA1083" s="6">
        <v>2</v>
      </c>
      <c r="AB1083" s="9"/>
    </row>
    <row r="1084" spans="1:28" ht="32">
      <c r="A1084" s="6">
        <v>1200</v>
      </c>
      <c r="B1084" s="8" t="s">
        <v>194</v>
      </c>
      <c r="C1084" s="8" t="s">
        <v>126</v>
      </c>
      <c r="D1084" s="8" t="s">
        <v>1900</v>
      </c>
      <c r="E1084" s="8" t="s">
        <v>1900</v>
      </c>
      <c r="F1084" s="6">
        <v>1200</v>
      </c>
      <c r="G1084" s="6" t="b">
        <v>0</v>
      </c>
      <c r="H1084" s="8" t="s">
        <v>240</v>
      </c>
      <c r="I1084" s="6" t="b">
        <v>0</v>
      </c>
      <c r="J1084" s="6" t="b">
        <v>0</v>
      </c>
      <c r="K1084" s="6" t="b">
        <v>0</v>
      </c>
      <c r="L1084" s="6" t="b">
        <v>1</v>
      </c>
      <c r="M1084" s="6" t="b">
        <v>0</v>
      </c>
      <c r="N1084" s="6">
        <v>8</v>
      </c>
      <c r="O1084" s="8" t="s">
        <v>331</v>
      </c>
      <c r="P1084" s="8" t="s">
        <v>380</v>
      </c>
      <c r="Q1084" s="8" t="s">
        <v>811</v>
      </c>
      <c r="R1084" s="6">
        <v>10</v>
      </c>
      <c r="S1084" s="8" t="s">
        <v>347</v>
      </c>
      <c r="T1084" s="6">
        <v>10</v>
      </c>
      <c r="U1084" s="8" t="s">
        <v>240</v>
      </c>
      <c r="V1084" s="8" t="s">
        <v>482</v>
      </c>
      <c r="W1084" s="8" t="s">
        <v>240</v>
      </c>
      <c r="X1084" s="8" t="s">
        <v>240</v>
      </c>
      <c r="Y1084" s="8" t="s">
        <v>1901</v>
      </c>
      <c r="Z1084" s="6" t="b">
        <v>0</v>
      </c>
      <c r="AA1084" s="9"/>
      <c r="AB1084" s="9"/>
    </row>
    <row r="1085" spans="1:28" ht="32">
      <c r="A1085" s="6">
        <v>1201</v>
      </c>
      <c r="B1085" s="8" t="s">
        <v>194</v>
      </c>
      <c r="C1085" s="8" t="s">
        <v>126</v>
      </c>
      <c r="D1085" s="8" t="s">
        <v>1902</v>
      </c>
      <c r="E1085" s="8" t="s">
        <v>1900</v>
      </c>
      <c r="F1085" s="6">
        <v>1200</v>
      </c>
      <c r="G1085" s="6" t="b">
        <v>0</v>
      </c>
      <c r="H1085" s="8" t="s">
        <v>240</v>
      </c>
      <c r="I1085" s="6" t="b">
        <v>0</v>
      </c>
      <c r="J1085" s="6" t="b">
        <v>0</v>
      </c>
      <c r="K1085" s="6" t="b">
        <v>0</v>
      </c>
      <c r="L1085" s="6" t="b">
        <v>1</v>
      </c>
      <c r="M1085" s="6" t="b">
        <v>0</v>
      </c>
      <c r="N1085" s="6">
        <v>8</v>
      </c>
      <c r="O1085" s="8" t="s">
        <v>331</v>
      </c>
      <c r="P1085" s="8" t="s">
        <v>380</v>
      </c>
      <c r="Q1085" s="8" t="s">
        <v>335</v>
      </c>
      <c r="R1085" s="6">
        <v>8</v>
      </c>
      <c r="S1085" s="8" t="s">
        <v>347</v>
      </c>
      <c r="T1085" s="6">
        <v>10</v>
      </c>
      <c r="U1085" s="8" t="s">
        <v>240</v>
      </c>
      <c r="V1085" s="8" t="s">
        <v>482</v>
      </c>
      <c r="W1085" s="8" t="s">
        <v>240</v>
      </c>
      <c r="X1085" s="8" t="s">
        <v>240</v>
      </c>
      <c r="Y1085" s="8" t="s">
        <v>240</v>
      </c>
      <c r="Z1085" s="6" t="b">
        <v>0</v>
      </c>
      <c r="AA1085" s="9"/>
      <c r="AB1085" s="9"/>
    </row>
    <row r="1086" spans="1:28" ht="32">
      <c r="A1086" s="6">
        <v>1202</v>
      </c>
      <c r="B1086" s="8" t="s">
        <v>194</v>
      </c>
      <c r="C1086" s="8" t="s">
        <v>126</v>
      </c>
      <c r="D1086" s="8" t="s">
        <v>1903</v>
      </c>
      <c r="E1086" s="8" t="s">
        <v>1900</v>
      </c>
      <c r="F1086" s="6">
        <v>1200</v>
      </c>
      <c r="G1086" s="6" t="b">
        <v>0</v>
      </c>
      <c r="H1086" s="8" t="s">
        <v>240</v>
      </c>
      <c r="I1086" s="6" t="b">
        <v>0</v>
      </c>
      <c r="J1086" s="6" t="b">
        <v>0</v>
      </c>
      <c r="K1086" s="6" t="b">
        <v>0</v>
      </c>
      <c r="L1086" s="6" t="b">
        <v>1</v>
      </c>
      <c r="M1086" s="6" t="b">
        <v>0</v>
      </c>
      <c r="N1086" s="6">
        <v>8</v>
      </c>
      <c r="O1086" s="8" t="s">
        <v>331</v>
      </c>
      <c r="P1086" s="8" t="s">
        <v>380</v>
      </c>
      <c r="Q1086" s="8" t="s">
        <v>811</v>
      </c>
      <c r="R1086" s="6">
        <v>10</v>
      </c>
      <c r="S1086" s="8" t="s">
        <v>335</v>
      </c>
      <c r="T1086" s="6">
        <v>10</v>
      </c>
      <c r="U1086" s="8" t="s">
        <v>240</v>
      </c>
      <c r="V1086" s="8" t="s">
        <v>482</v>
      </c>
      <c r="W1086" s="8" t="s">
        <v>240</v>
      </c>
      <c r="X1086" s="8" t="s">
        <v>240</v>
      </c>
      <c r="Y1086" s="8" t="s">
        <v>240</v>
      </c>
      <c r="Z1086" s="6" t="b">
        <v>0</v>
      </c>
      <c r="AA1086" s="9"/>
      <c r="AB1086" s="9"/>
    </row>
    <row r="1087" spans="1:28" ht="16">
      <c r="A1087" s="6">
        <v>1203</v>
      </c>
      <c r="B1087" s="8" t="s">
        <v>194</v>
      </c>
      <c r="C1087" s="8" t="s">
        <v>1715</v>
      </c>
      <c r="D1087" s="8" t="s">
        <v>1904</v>
      </c>
      <c r="E1087" s="8" t="s">
        <v>1904</v>
      </c>
      <c r="F1087" s="6">
        <v>1203</v>
      </c>
      <c r="G1087" s="6" t="b">
        <v>0</v>
      </c>
      <c r="H1087" s="8" t="s">
        <v>240</v>
      </c>
      <c r="I1087" s="6" t="b">
        <v>0</v>
      </c>
      <c r="J1087" s="6" t="b">
        <v>0</v>
      </c>
      <c r="K1087" s="6" t="b">
        <v>0</v>
      </c>
      <c r="L1087" s="6" t="b">
        <v>1</v>
      </c>
      <c r="M1087" s="6" t="b">
        <v>0</v>
      </c>
      <c r="N1087" s="6">
        <v>6</v>
      </c>
      <c r="O1087" s="8" t="s">
        <v>331</v>
      </c>
      <c r="P1087" s="8" t="s">
        <v>350</v>
      </c>
      <c r="Q1087" s="8" t="s">
        <v>239</v>
      </c>
      <c r="R1087" s="6">
        <v>6</v>
      </c>
      <c r="S1087" s="8" t="s">
        <v>75</v>
      </c>
      <c r="T1087" s="9"/>
      <c r="U1087" s="8" t="s">
        <v>240</v>
      </c>
      <c r="V1087" s="8" t="s">
        <v>1696</v>
      </c>
      <c r="W1087" s="8" t="s">
        <v>240</v>
      </c>
      <c r="X1087" s="8" t="s">
        <v>240</v>
      </c>
      <c r="Y1087" s="8" t="s">
        <v>240</v>
      </c>
      <c r="Z1087" s="6" t="b">
        <v>0</v>
      </c>
      <c r="AA1087" s="9"/>
      <c r="AB1087" s="9"/>
    </row>
    <row r="1088" spans="1:28" ht="16">
      <c r="A1088" s="6">
        <v>1204</v>
      </c>
      <c r="B1088" s="8" t="s">
        <v>194</v>
      </c>
      <c r="C1088" s="8" t="s">
        <v>1715</v>
      </c>
      <c r="D1088" s="8" t="s">
        <v>1715</v>
      </c>
      <c r="E1088" s="8" t="s">
        <v>1715</v>
      </c>
      <c r="F1088" s="6">
        <v>1204</v>
      </c>
      <c r="G1088" s="6" t="b">
        <v>0</v>
      </c>
      <c r="H1088" s="8" t="s">
        <v>240</v>
      </c>
      <c r="I1088" s="6" t="b">
        <v>0</v>
      </c>
      <c r="J1088" s="6" t="b">
        <v>0</v>
      </c>
      <c r="K1088" s="6" t="b">
        <v>0</v>
      </c>
      <c r="L1088" s="6" t="b">
        <v>1</v>
      </c>
      <c r="M1088" s="6" t="b">
        <v>0</v>
      </c>
      <c r="N1088" s="6">
        <v>6</v>
      </c>
      <c r="O1088" s="8" t="s">
        <v>347</v>
      </c>
      <c r="P1088" s="8" t="s">
        <v>1176</v>
      </c>
      <c r="Q1088" s="8" t="s">
        <v>381</v>
      </c>
      <c r="R1088" s="6">
        <v>6</v>
      </c>
      <c r="S1088" s="8" t="s">
        <v>347</v>
      </c>
      <c r="T1088" s="9"/>
      <c r="U1088" s="8" t="s">
        <v>240</v>
      </c>
      <c r="V1088" s="8" t="s">
        <v>1559</v>
      </c>
      <c r="W1088" s="8" t="s">
        <v>240</v>
      </c>
      <c r="X1088" s="8" t="s">
        <v>240</v>
      </c>
      <c r="Y1088" s="8" t="s">
        <v>240</v>
      </c>
      <c r="Z1088" s="6" t="b">
        <v>0</v>
      </c>
      <c r="AA1088" s="9"/>
      <c r="AB1088" s="9"/>
    </row>
    <row r="1089" spans="1:28" ht="16">
      <c r="A1089" s="6">
        <v>1205</v>
      </c>
      <c r="B1089" s="8" t="s">
        <v>194</v>
      </c>
      <c r="C1089" s="8" t="s">
        <v>108</v>
      </c>
      <c r="D1089" s="8" t="s">
        <v>1905</v>
      </c>
      <c r="E1089" s="8" t="s">
        <v>1905</v>
      </c>
      <c r="F1089" s="6">
        <v>1205</v>
      </c>
      <c r="G1089" s="6" t="b">
        <v>0</v>
      </c>
      <c r="H1089" s="8" t="s">
        <v>240</v>
      </c>
      <c r="I1089" s="6" t="b">
        <v>0</v>
      </c>
      <c r="J1089" s="6" t="b">
        <v>0</v>
      </c>
      <c r="K1089" s="6" t="b">
        <v>0</v>
      </c>
      <c r="L1089" s="6" t="b">
        <v>1</v>
      </c>
      <c r="M1089" s="6" t="b">
        <v>0</v>
      </c>
      <c r="N1089" s="6">
        <v>3</v>
      </c>
      <c r="O1089" s="8" t="s">
        <v>347</v>
      </c>
      <c r="P1089" s="8" t="s">
        <v>350</v>
      </c>
      <c r="Q1089" s="8" t="s">
        <v>381</v>
      </c>
      <c r="R1089" s="6">
        <v>7</v>
      </c>
      <c r="S1089" s="8" t="s">
        <v>347</v>
      </c>
      <c r="T1089" s="9"/>
      <c r="U1089" s="8" t="s">
        <v>1906</v>
      </c>
      <c r="V1089" s="8" t="s">
        <v>496</v>
      </c>
      <c r="W1089" s="8" t="s">
        <v>240</v>
      </c>
      <c r="X1089" s="8" t="s">
        <v>240</v>
      </c>
      <c r="Y1089" s="8" t="s">
        <v>240</v>
      </c>
      <c r="Z1089" s="6" t="b">
        <v>0</v>
      </c>
      <c r="AA1089" s="9"/>
      <c r="AB1089" s="9"/>
    </row>
    <row r="1090" spans="1:28" ht="16">
      <c r="A1090" s="6">
        <v>1206</v>
      </c>
      <c r="B1090" s="8" t="s">
        <v>194</v>
      </c>
      <c r="C1090" s="8" t="s">
        <v>108</v>
      </c>
      <c r="D1090" s="8" t="s">
        <v>1907</v>
      </c>
      <c r="E1090" s="8" t="s">
        <v>1905</v>
      </c>
      <c r="F1090" s="6">
        <v>1205</v>
      </c>
      <c r="G1090" s="6" t="b">
        <v>0</v>
      </c>
      <c r="H1090" s="8" t="s">
        <v>240</v>
      </c>
      <c r="I1090" s="6" t="b">
        <v>0</v>
      </c>
      <c r="J1090" s="6" t="b">
        <v>0</v>
      </c>
      <c r="K1090" s="6" t="b">
        <v>0</v>
      </c>
      <c r="L1090" s="6" t="b">
        <v>1</v>
      </c>
      <c r="M1090" s="6" t="b">
        <v>0</v>
      </c>
      <c r="N1090" s="6">
        <v>3</v>
      </c>
      <c r="O1090" s="8" t="s">
        <v>347</v>
      </c>
      <c r="P1090" s="8" t="s">
        <v>350</v>
      </c>
      <c r="Q1090" s="8" t="s">
        <v>381</v>
      </c>
      <c r="R1090" s="6">
        <v>5</v>
      </c>
      <c r="S1090" s="8" t="s">
        <v>237</v>
      </c>
      <c r="T1090" s="9"/>
      <c r="U1090" s="8" t="s">
        <v>1908</v>
      </c>
      <c r="V1090" s="8" t="s">
        <v>496</v>
      </c>
      <c r="W1090" s="8" t="s">
        <v>240</v>
      </c>
      <c r="X1090" s="8" t="s">
        <v>240</v>
      </c>
      <c r="Y1090" s="8" t="s">
        <v>240</v>
      </c>
      <c r="Z1090" s="6" t="b">
        <v>0</v>
      </c>
      <c r="AA1090" s="9"/>
      <c r="AB1090" s="9"/>
    </row>
    <row r="1091" spans="1:28" ht="32">
      <c r="A1091" s="6">
        <v>1207</v>
      </c>
      <c r="B1091" s="8" t="s">
        <v>194</v>
      </c>
      <c r="C1091" s="8" t="s">
        <v>108</v>
      </c>
      <c r="D1091" s="8" t="s">
        <v>1909</v>
      </c>
      <c r="E1091" s="8" t="s">
        <v>1905</v>
      </c>
      <c r="F1091" s="6">
        <v>1205</v>
      </c>
      <c r="G1091" s="6" t="b">
        <v>0</v>
      </c>
      <c r="H1091" s="8" t="s">
        <v>240</v>
      </c>
      <c r="I1091" s="6" t="b">
        <v>0</v>
      </c>
      <c r="J1091" s="6" t="b">
        <v>0</v>
      </c>
      <c r="K1091" s="6" t="b">
        <v>0</v>
      </c>
      <c r="L1091" s="6" t="b">
        <v>1</v>
      </c>
      <c r="M1091" s="6" t="b">
        <v>0</v>
      </c>
      <c r="N1091" s="6">
        <v>3</v>
      </c>
      <c r="O1091" s="8" t="s">
        <v>347</v>
      </c>
      <c r="P1091" s="8" t="s">
        <v>350</v>
      </c>
      <c r="Q1091" s="8" t="s">
        <v>381</v>
      </c>
      <c r="R1091" s="6">
        <v>7</v>
      </c>
      <c r="S1091" s="8" t="s">
        <v>347</v>
      </c>
      <c r="T1091" s="9"/>
      <c r="U1091" s="8" t="s">
        <v>240</v>
      </c>
      <c r="V1091" s="8" t="s">
        <v>496</v>
      </c>
      <c r="W1091" s="8" t="s">
        <v>240</v>
      </c>
      <c r="X1091" s="8" t="s">
        <v>240</v>
      </c>
      <c r="Y1091" s="8" t="s">
        <v>240</v>
      </c>
      <c r="Z1091" s="6" t="b">
        <v>0</v>
      </c>
      <c r="AA1091" s="9"/>
      <c r="AB1091" s="9"/>
    </row>
    <row r="1092" spans="1:28" ht="16">
      <c r="A1092" s="6">
        <v>1208</v>
      </c>
      <c r="B1092" s="8" t="s">
        <v>194</v>
      </c>
      <c r="C1092" s="8" t="s">
        <v>90</v>
      </c>
      <c r="D1092" s="8" t="s">
        <v>1910</v>
      </c>
      <c r="E1092" s="8" t="s">
        <v>1910</v>
      </c>
      <c r="F1092" s="6">
        <v>1208</v>
      </c>
      <c r="G1092" s="6" t="b">
        <v>0</v>
      </c>
      <c r="H1092" s="8" t="s">
        <v>240</v>
      </c>
      <c r="I1092" s="6" t="b">
        <v>0</v>
      </c>
      <c r="J1092" s="6" t="b">
        <v>1</v>
      </c>
      <c r="K1092" s="6" t="b">
        <v>0</v>
      </c>
      <c r="L1092" s="6" t="b">
        <v>1</v>
      </c>
      <c r="M1092" s="6" t="b">
        <v>0</v>
      </c>
      <c r="N1092" s="6">
        <v>6</v>
      </c>
      <c r="O1092" s="8" t="s">
        <v>331</v>
      </c>
      <c r="P1092" s="8" t="s">
        <v>350</v>
      </c>
      <c r="Q1092" s="8" t="s">
        <v>927</v>
      </c>
      <c r="R1092" s="6">
        <v>8</v>
      </c>
      <c r="S1092" s="8" t="s">
        <v>347</v>
      </c>
      <c r="T1092" s="9"/>
      <c r="U1092" s="8" t="s">
        <v>240</v>
      </c>
      <c r="V1092" s="8" t="s">
        <v>450</v>
      </c>
      <c r="W1092" s="8" t="s">
        <v>240</v>
      </c>
      <c r="X1092" s="8" t="s">
        <v>240</v>
      </c>
      <c r="Y1092" s="8" t="s">
        <v>1911</v>
      </c>
      <c r="Z1092" s="6" t="b">
        <v>0</v>
      </c>
      <c r="AA1092" s="9"/>
      <c r="AB1092" s="9"/>
    </row>
    <row r="1093" spans="1:28" ht="32">
      <c r="A1093" s="6">
        <v>1209</v>
      </c>
      <c r="B1093" s="8" t="s">
        <v>194</v>
      </c>
      <c r="C1093" s="8" t="s">
        <v>90</v>
      </c>
      <c r="D1093" s="8" t="s">
        <v>1912</v>
      </c>
      <c r="E1093" s="8" t="s">
        <v>1910</v>
      </c>
      <c r="F1093" s="6">
        <v>1208</v>
      </c>
      <c r="G1093" s="6" t="b">
        <v>0</v>
      </c>
      <c r="H1093" s="8" t="s">
        <v>240</v>
      </c>
      <c r="I1093" s="6" t="b">
        <v>0</v>
      </c>
      <c r="J1093" s="6" t="b">
        <v>1</v>
      </c>
      <c r="K1093" s="6" t="b">
        <v>0</v>
      </c>
      <c r="L1093" s="6" t="b">
        <v>1</v>
      </c>
      <c r="M1093" s="6" t="b">
        <v>0</v>
      </c>
      <c r="N1093" s="6">
        <v>6</v>
      </c>
      <c r="O1093" s="8" t="s">
        <v>331</v>
      </c>
      <c r="P1093" s="8" t="s">
        <v>350</v>
      </c>
      <c r="Q1093" s="8" t="s">
        <v>335</v>
      </c>
      <c r="R1093" s="6">
        <v>4</v>
      </c>
      <c r="S1093" s="8" t="s">
        <v>335</v>
      </c>
      <c r="T1093" s="6">
        <v>4</v>
      </c>
      <c r="U1093" s="8" t="s">
        <v>240</v>
      </c>
      <c r="V1093" s="8" t="s">
        <v>450</v>
      </c>
      <c r="W1093" s="8" t="s">
        <v>240</v>
      </c>
      <c r="X1093" s="8" t="s">
        <v>240</v>
      </c>
      <c r="Y1093" s="8" t="s">
        <v>240</v>
      </c>
      <c r="Z1093" s="6" t="b">
        <v>0</v>
      </c>
      <c r="AA1093" s="9"/>
      <c r="AB1093" s="9"/>
    </row>
    <row r="1094" spans="1:28" ht="32">
      <c r="A1094" s="6">
        <v>1210</v>
      </c>
      <c r="B1094" s="8" t="s">
        <v>194</v>
      </c>
      <c r="C1094" s="8" t="s">
        <v>90</v>
      </c>
      <c r="D1094" s="8" t="s">
        <v>1913</v>
      </c>
      <c r="E1094" s="8" t="s">
        <v>1910</v>
      </c>
      <c r="F1094" s="6">
        <v>1208</v>
      </c>
      <c r="G1094" s="6" t="b">
        <v>0</v>
      </c>
      <c r="H1094" s="8" t="s">
        <v>240</v>
      </c>
      <c r="I1094" s="6" t="b">
        <v>0</v>
      </c>
      <c r="J1094" s="6" t="b">
        <v>1</v>
      </c>
      <c r="K1094" s="6" t="b">
        <v>0</v>
      </c>
      <c r="L1094" s="6" t="b">
        <v>1</v>
      </c>
      <c r="M1094" s="6" t="b">
        <v>0</v>
      </c>
      <c r="N1094" s="6">
        <v>6</v>
      </c>
      <c r="O1094" s="8" t="s">
        <v>331</v>
      </c>
      <c r="P1094" s="8" t="s">
        <v>350</v>
      </c>
      <c r="Q1094" s="8" t="s">
        <v>335</v>
      </c>
      <c r="R1094" s="6">
        <v>8</v>
      </c>
      <c r="S1094" s="8" t="s">
        <v>347</v>
      </c>
      <c r="T1094" s="6">
        <v>8</v>
      </c>
      <c r="U1094" s="8" t="s">
        <v>240</v>
      </c>
      <c r="V1094" s="8" t="s">
        <v>450</v>
      </c>
      <c r="W1094" s="8" t="s">
        <v>240</v>
      </c>
      <c r="X1094" s="8" t="s">
        <v>240</v>
      </c>
      <c r="Y1094" s="8" t="s">
        <v>240</v>
      </c>
      <c r="Z1094" s="6" t="b">
        <v>0</v>
      </c>
      <c r="AA1094" s="9"/>
      <c r="AB1094" s="9"/>
    </row>
    <row r="1095" spans="1:28" ht="32">
      <c r="A1095" s="6">
        <v>1211</v>
      </c>
      <c r="B1095" s="8" t="s">
        <v>194</v>
      </c>
      <c r="C1095" s="8" t="s">
        <v>90</v>
      </c>
      <c r="D1095" s="8" t="s">
        <v>1914</v>
      </c>
      <c r="E1095" s="8" t="s">
        <v>1910</v>
      </c>
      <c r="F1095" s="6">
        <v>1208</v>
      </c>
      <c r="G1095" s="6" t="b">
        <v>0</v>
      </c>
      <c r="H1095" s="8" t="s">
        <v>240</v>
      </c>
      <c r="I1095" s="6" t="b">
        <v>0</v>
      </c>
      <c r="J1095" s="6" t="b">
        <v>1</v>
      </c>
      <c r="K1095" s="6" t="b">
        <v>0</v>
      </c>
      <c r="L1095" s="6" t="b">
        <v>1</v>
      </c>
      <c r="M1095" s="6" t="b">
        <v>0</v>
      </c>
      <c r="N1095" s="6">
        <v>6</v>
      </c>
      <c r="O1095" s="8" t="s">
        <v>331</v>
      </c>
      <c r="P1095" s="8" t="s">
        <v>350</v>
      </c>
      <c r="Q1095" s="8" t="s">
        <v>335</v>
      </c>
      <c r="R1095" s="6">
        <v>4</v>
      </c>
      <c r="S1095" s="8" t="s">
        <v>335</v>
      </c>
      <c r="T1095" s="6">
        <v>4</v>
      </c>
      <c r="U1095" s="8" t="s">
        <v>240</v>
      </c>
      <c r="V1095" s="8" t="s">
        <v>450</v>
      </c>
      <c r="W1095" s="8" t="s">
        <v>240</v>
      </c>
      <c r="X1095" s="8" t="s">
        <v>240</v>
      </c>
      <c r="Y1095" s="8" t="s">
        <v>1915</v>
      </c>
      <c r="Z1095" s="6" t="b">
        <v>0</v>
      </c>
      <c r="AA1095" s="9"/>
      <c r="AB1095" s="9"/>
    </row>
    <row r="1096" spans="1:28" ht="32">
      <c r="A1096" s="6">
        <v>1212</v>
      </c>
      <c r="B1096" s="8" t="s">
        <v>194</v>
      </c>
      <c r="C1096" s="8" t="s">
        <v>90</v>
      </c>
      <c r="D1096" s="8" t="s">
        <v>1916</v>
      </c>
      <c r="E1096" s="8" t="s">
        <v>1910</v>
      </c>
      <c r="F1096" s="6">
        <v>1208</v>
      </c>
      <c r="G1096" s="6" t="b">
        <v>0</v>
      </c>
      <c r="H1096" s="8" t="s">
        <v>240</v>
      </c>
      <c r="I1096" s="6" t="b">
        <v>0</v>
      </c>
      <c r="J1096" s="6" t="b">
        <v>1</v>
      </c>
      <c r="K1096" s="6" t="b">
        <v>0</v>
      </c>
      <c r="L1096" s="6" t="b">
        <v>1</v>
      </c>
      <c r="M1096" s="6" t="b">
        <v>0</v>
      </c>
      <c r="N1096" s="6">
        <v>6</v>
      </c>
      <c r="O1096" s="8" t="s">
        <v>331</v>
      </c>
      <c r="P1096" s="8" t="s">
        <v>350</v>
      </c>
      <c r="Q1096" s="8" t="s">
        <v>446</v>
      </c>
      <c r="R1096" s="6">
        <v>5</v>
      </c>
      <c r="S1096" s="8" t="s">
        <v>347</v>
      </c>
      <c r="T1096" s="6">
        <v>5</v>
      </c>
      <c r="U1096" s="8" t="s">
        <v>1917</v>
      </c>
      <c r="V1096" s="8" t="s">
        <v>450</v>
      </c>
      <c r="W1096" s="8" t="s">
        <v>240</v>
      </c>
      <c r="X1096" s="8" t="s">
        <v>240</v>
      </c>
      <c r="Y1096" s="8" t="s">
        <v>240</v>
      </c>
      <c r="Z1096" s="6" t="b">
        <v>0</v>
      </c>
      <c r="AA1096" s="9"/>
      <c r="AB1096" s="9"/>
    </row>
    <row r="1097" spans="1:28" ht="16">
      <c r="A1097" s="6">
        <v>1213</v>
      </c>
      <c r="B1097" s="8" t="s">
        <v>194</v>
      </c>
      <c r="C1097" s="8" t="s">
        <v>90</v>
      </c>
      <c r="D1097" s="8" t="s">
        <v>1918</v>
      </c>
      <c r="E1097" s="8" t="s">
        <v>1910</v>
      </c>
      <c r="F1097" s="6">
        <v>1208</v>
      </c>
      <c r="G1097" s="6" t="b">
        <v>0</v>
      </c>
      <c r="H1097" s="8" t="s">
        <v>240</v>
      </c>
      <c r="I1097" s="6" t="b">
        <v>0</v>
      </c>
      <c r="J1097" s="6" t="b">
        <v>1</v>
      </c>
      <c r="K1097" s="6" t="b">
        <v>0</v>
      </c>
      <c r="L1097" s="6" t="b">
        <v>1</v>
      </c>
      <c r="M1097" s="6" t="b">
        <v>0</v>
      </c>
      <c r="N1097" s="6">
        <v>6</v>
      </c>
      <c r="O1097" s="8" t="s">
        <v>331</v>
      </c>
      <c r="P1097" s="8" t="s">
        <v>350</v>
      </c>
      <c r="Q1097" s="8" t="s">
        <v>335</v>
      </c>
      <c r="R1097" s="6">
        <v>4</v>
      </c>
      <c r="S1097" s="8" t="s">
        <v>335</v>
      </c>
      <c r="T1097" s="6">
        <v>4</v>
      </c>
      <c r="U1097" s="8" t="s">
        <v>240</v>
      </c>
      <c r="V1097" s="8" t="s">
        <v>450</v>
      </c>
      <c r="W1097" s="8" t="s">
        <v>240</v>
      </c>
      <c r="X1097" s="8" t="s">
        <v>240</v>
      </c>
      <c r="Y1097" s="8" t="s">
        <v>240</v>
      </c>
      <c r="Z1097" s="6" t="b">
        <v>0</v>
      </c>
      <c r="AA1097" s="9"/>
      <c r="AB1097" s="9"/>
    </row>
    <row r="1098" spans="1:28" ht="32">
      <c r="A1098" s="6">
        <v>1214</v>
      </c>
      <c r="B1098" s="8" t="s">
        <v>194</v>
      </c>
      <c r="C1098" s="8" t="s">
        <v>90</v>
      </c>
      <c r="D1098" s="8" t="s">
        <v>1919</v>
      </c>
      <c r="E1098" s="8" t="s">
        <v>1910</v>
      </c>
      <c r="F1098" s="6">
        <v>1208</v>
      </c>
      <c r="G1098" s="6" t="b">
        <v>0</v>
      </c>
      <c r="H1098" s="8" t="s">
        <v>240</v>
      </c>
      <c r="I1098" s="6" t="b">
        <v>0</v>
      </c>
      <c r="J1098" s="6" t="b">
        <v>1</v>
      </c>
      <c r="K1098" s="6" t="b">
        <v>0</v>
      </c>
      <c r="L1098" s="6" t="b">
        <v>1</v>
      </c>
      <c r="M1098" s="6" t="b">
        <v>0</v>
      </c>
      <c r="N1098" s="6">
        <v>6</v>
      </c>
      <c r="O1098" s="8" t="s">
        <v>331</v>
      </c>
      <c r="P1098" s="8" t="s">
        <v>350</v>
      </c>
      <c r="Q1098" s="8" t="s">
        <v>335</v>
      </c>
      <c r="R1098" s="6">
        <v>8</v>
      </c>
      <c r="S1098" s="8" t="s">
        <v>335</v>
      </c>
      <c r="T1098" s="6">
        <v>8</v>
      </c>
      <c r="U1098" s="8" t="s">
        <v>240</v>
      </c>
      <c r="V1098" s="8" t="s">
        <v>450</v>
      </c>
      <c r="W1098" s="8" t="s">
        <v>240</v>
      </c>
      <c r="X1098" s="8" t="s">
        <v>240</v>
      </c>
      <c r="Y1098" s="8" t="s">
        <v>240</v>
      </c>
      <c r="Z1098" s="6" t="b">
        <v>0</v>
      </c>
      <c r="AA1098" s="9"/>
      <c r="AB1098" s="9"/>
    </row>
    <row r="1099" spans="1:28" ht="32">
      <c r="A1099" s="6">
        <v>1215</v>
      </c>
      <c r="B1099" s="8" t="s">
        <v>194</v>
      </c>
      <c r="C1099" s="8" t="s">
        <v>90</v>
      </c>
      <c r="D1099" s="8" t="s">
        <v>1920</v>
      </c>
      <c r="E1099" s="8" t="s">
        <v>1910</v>
      </c>
      <c r="F1099" s="6">
        <v>1208</v>
      </c>
      <c r="G1099" s="6" t="b">
        <v>0</v>
      </c>
      <c r="H1099" s="8" t="s">
        <v>240</v>
      </c>
      <c r="I1099" s="6" t="b">
        <v>0</v>
      </c>
      <c r="J1099" s="6" t="b">
        <v>1</v>
      </c>
      <c r="K1099" s="6" t="b">
        <v>0</v>
      </c>
      <c r="L1099" s="6" t="b">
        <v>1</v>
      </c>
      <c r="M1099" s="6" t="b">
        <v>0</v>
      </c>
      <c r="N1099" s="6">
        <v>6</v>
      </c>
      <c r="O1099" s="8" t="s">
        <v>331</v>
      </c>
      <c r="P1099" s="8" t="s">
        <v>350</v>
      </c>
      <c r="Q1099" s="8" t="s">
        <v>927</v>
      </c>
      <c r="R1099" s="6">
        <v>8</v>
      </c>
      <c r="S1099" s="8" t="s">
        <v>347</v>
      </c>
      <c r="T1099" s="9"/>
      <c r="U1099" s="8" t="s">
        <v>240</v>
      </c>
      <c r="V1099" s="8" t="s">
        <v>450</v>
      </c>
      <c r="W1099" s="8" t="s">
        <v>240</v>
      </c>
      <c r="X1099" s="8" t="s">
        <v>240</v>
      </c>
      <c r="Y1099" s="8" t="s">
        <v>240</v>
      </c>
      <c r="Z1099" s="6" t="b">
        <v>0</v>
      </c>
      <c r="AA1099" s="9"/>
      <c r="AB1099" s="9"/>
    </row>
    <row r="1100" spans="1:28" ht="16">
      <c r="A1100" s="6">
        <v>1216</v>
      </c>
      <c r="B1100" s="8" t="s">
        <v>194</v>
      </c>
      <c r="C1100" s="8" t="s">
        <v>90</v>
      </c>
      <c r="D1100" s="8" t="s">
        <v>1921</v>
      </c>
      <c r="E1100" s="8" t="s">
        <v>1910</v>
      </c>
      <c r="F1100" s="6">
        <v>1208</v>
      </c>
      <c r="G1100" s="6" t="b">
        <v>0</v>
      </c>
      <c r="H1100" s="8" t="s">
        <v>240</v>
      </c>
      <c r="I1100" s="6" t="b">
        <v>0</v>
      </c>
      <c r="J1100" s="6" t="b">
        <v>1</v>
      </c>
      <c r="K1100" s="6" t="b">
        <v>0</v>
      </c>
      <c r="L1100" s="6" t="b">
        <v>1</v>
      </c>
      <c r="M1100" s="6" t="b">
        <v>0</v>
      </c>
      <c r="N1100" s="6">
        <v>6</v>
      </c>
      <c r="O1100" s="8" t="s">
        <v>331</v>
      </c>
      <c r="P1100" s="8" t="s">
        <v>350</v>
      </c>
      <c r="Q1100" s="8" t="s">
        <v>927</v>
      </c>
      <c r="R1100" s="6">
        <v>5</v>
      </c>
      <c r="S1100" s="8" t="s">
        <v>335</v>
      </c>
      <c r="T1100" s="6">
        <v>5</v>
      </c>
      <c r="U1100" s="8" t="s">
        <v>1739</v>
      </c>
      <c r="V1100" s="8" t="s">
        <v>450</v>
      </c>
      <c r="W1100" s="8" t="s">
        <v>240</v>
      </c>
      <c r="X1100" s="8" t="s">
        <v>240</v>
      </c>
      <c r="Y1100" s="8" t="s">
        <v>240</v>
      </c>
      <c r="Z1100" s="6" t="b">
        <v>0</v>
      </c>
      <c r="AA1100" s="9"/>
      <c r="AB1100" s="9"/>
    </row>
    <row r="1101" spans="1:28" ht="16">
      <c r="A1101" s="6">
        <v>1217</v>
      </c>
      <c r="B1101" s="8" t="s">
        <v>194</v>
      </c>
      <c r="C1101" s="8" t="s">
        <v>124</v>
      </c>
      <c r="D1101" s="8" t="s">
        <v>1922</v>
      </c>
      <c r="E1101" s="8" t="s">
        <v>1922</v>
      </c>
      <c r="F1101" s="6">
        <v>1217</v>
      </c>
      <c r="G1101" s="6" t="b">
        <v>0</v>
      </c>
      <c r="H1101" s="8" t="s">
        <v>240</v>
      </c>
      <c r="I1101" s="6" t="b">
        <v>0</v>
      </c>
      <c r="J1101" s="6" t="b">
        <v>0</v>
      </c>
      <c r="K1101" s="6" t="b">
        <v>0</v>
      </c>
      <c r="L1101" s="6" t="b">
        <v>1</v>
      </c>
      <c r="M1101" s="6" t="b">
        <v>0</v>
      </c>
      <c r="N1101" s="6">
        <v>6</v>
      </c>
      <c r="O1101" s="8" t="s">
        <v>331</v>
      </c>
      <c r="P1101" s="8" t="s">
        <v>516</v>
      </c>
      <c r="Q1101" s="8" t="s">
        <v>762</v>
      </c>
      <c r="R1101" s="6">
        <v>6</v>
      </c>
      <c r="S1101" s="8" t="s">
        <v>335</v>
      </c>
      <c r="T1101" s="6">
        <v>6</v>
      </c>
      <c r="U1101" s="8" t="s">
        <v>240</v>
      </c>
      <c r="V1101" s="8" t="s">
        <v>450</v>
      </c>
      <c r="W1101" s="8" t="s">
        <v>240</v>
      </c>
      <c r="X1101" s="8" t="s">
        <v>240</v>
      </c>
      <c r="Y1101" s="8" t="s">
        <v>240</v>
      </c>
      <c r="Z1101" s="6" t="b">
        <v>0</v>
      </c>
      <c r="AA1101" s="9"/>
      <c r="AB1101" s="9"/>
    </row>
    <row r="1102" spans="1:28" ht="32">
      <c r="A1102" s="6">
        <v>1218</v>
      </c>
      <c r="B1102" s="8" t="s">
        <v>194</v>
      </c>
      <c r="C1102" s="8" t="s">
        <v>126</v>
      </c>
      <c r="D1102" s="8" t="s">
        <v>1923</v>
      </c>
      <c r="E1102" s="8" t="s">
        <v>1923</v>
      </c>
      <c r="F1102" s="6">
        <v>1218</v>
      </c>
      <c r="G1102" s="6" t="b">
        <v>0</v>
      </c>
      <c r="H1102" s="8" t="s">
        <v>240</v>
      </c>
      <c r="I1102" s="6" t="b">
        <v>0</v>
      </c>
      <c r="J1102" s="6" t="b">
        <v>0</v>
      </c>
      <c r="K1102" s="6" t="b">
        <v>0</v>
      </c>
      <c r="L1102" s="6" t="b">
        <v>1</v>
      </c>
      <c r="M1102" s="6" t="b">
        <v>0</v>
      </c>
      <c r="N1102" s="6">
        <v>8</v>
      </c>
      <c r="O1102" s="8" t="s">
        <v>331</v>
      </c>
      <c r="P1102" s="8" t="s">
        <v>1924</v>
      </c>
      <c r="Q1102" s="8" t="s">
        <v>1661</v>
      </c>
      <c r="R1102" s="6">
        <v>10</v>
      </c>
      <c r="S1102" s="8" t="s">
        <v>347</v>
      </c>
      <c r="T1102" s="6">
        <v>10</v>
      </c>
      <c r="U1102" s="8" t="s">
        <v>240</v>
      </c>
      <c r="V1102" s="8" t="s">
        <v>496</v>
      </c>
      <c r="W1102" s="8" t="s">
        <v>240</v>
      </c>
      <c r="X1102" s="8" t="s">
        <v>240</v>
      </c>
      <c r="Y1102" s="8" t="s">
        <v>1925</v>
      </c>
      <c r="Z1102" s="6" t="b">
        <v>0</v>
      </c>
      <c r="AA1102" s="9"/>
      <c r="AB1102" s="9"/>
    </row>
    <row r="1103" spans="1:28" ht="32">
      <c r="A1103" s="6">
        <v>1219</v>
      </c>
      <c r="B1103" s="8" t="s">
        <v>194</v>
      </c>
      <c r="C1103" s="8" t="s">
        <v>126</v>
      </c>
      <c r="D1103" s="8" t="s">
        <v>1926</v>
      </c>
      <c r="E1103" s="8" t="s">
        <v>1923</v>
      </c>
      <c r="F1103" s="6">
        <v>1218</v>
      </c>
      <c r="G1103" s="6" t="b">
        <v>0</v>
      </c>
      <c r="H1103" s="8" t="s">
        <v>240</v>
      </c>
      <c r="I1103" s="6" t="b">
        <v>0</v>
      </c>
      <c r="J1103" s="6" t="b">
        <v>0</v>
      </c>
      <c r="K1103" s="6" t="b">
        <v>0</v>
      </c>
      <c r="L1103" s="6" t="b">
        <v>1</v>
      </c>
      <c r="M1103" s="6" t="b">
        <v>0</v>
      </c>
      <c r="N1103" s="6">
        <v>8</v>
      </c>
      <c r="O1103" s="8" t="s">
        <v>331</v>
      </c>
      <c r="P1103" s="8" t="s">
        <v>1924</v>
      </c>
      <c r="Q1103" s="8" t="s">
        <v>1661</v>
      </c>
      <c r="R1103" s="6">
        <v>8</v>
      </c>
      <c r="S1103" s="8" t="s">
        <v>75</v>
      </c>
      <c r="T1103" s="9"/>
      <c r="U1103" s="8" t="s">
        <v>240</v>
      </c>
      <c r="V1103" s="8" t="s">
        <v>240</v>
      </c>
      <c r="W1103" s="8" t="s">
        <v>240</v>
      </c>
      <c r="X1103" s="8" t="s">
        <v>240</v>
      </c>
      <c r="Y1103" s="8" t="s">
        <v>1927</v>
      </c>
      <c r="Z1103" s="6" t="b">
        <v>0</v>
      </c>
      <c r="AA1103" s="9"/>
      <c r="AB1103" s="9"/>
    </row>
    <row r="1104" spans="1:28" ht="32">
      <c r="A1104" s="6">
        <v>1220</v>
      </c>
      <c r="B1104" s="8" t="s">
        <v>194</v>
      </c>
      <c r="C1104" s="8" t="s">
        <v>126</v>
      </c>
      <c r="D1104" s="8" t="s">
        <v>1928</v>
      </c>
      <c r="E1104" s="8" t="s">
        <v>1923</v>
      </c>
      <c r="F1104" s="6">
        <v>1218</v>
      </c>
      <c r="G1104" s="6" t="b">
        <v>0</v>
      </c>
      <c r="H1104" s="8" t="s">
        <v>240</v>
      </c>
      <c r="I1104" s="6" t="b">
        <v>0</v>
      </c>
      <c r="J1104" s="6" t="b">
        <v>0</v>
      </c>
      <c r="K1104" s="6" t="b">
        <v>0</v>
      </c>
      <c r="L1104" s="6" t="b">
        <v>1</v>
      </c>
      <c r="M1104" s="6" t="b">
        <v>0</v>
      </c>
      <c r="N1104" s="6">
        <v>8</v>
      </c>
      <c r="O1104" s="8" t="s">
        <v>331</v>
      </c>
      <c r="P1104" s="8" t="s">
        <v>1924</v>
      </c>
      <c r="Q1104" s="8" t="s">
        <v>1661</v>
      </c>
      <c r="R1104" s="6">
        <v>10</v>
      </c>
      <c r="S1104" s="8" t="s">
        <v>347</v>
      </c>
      <c r="T1104" s="6">
        <v>10</v>
      </c>
      <c r="U1104" s="8" t="s">
        <v>240</v>
      </c>
      <c r="V1104" s="8" t="s">
        <v>496</v>
      </c>
      <c r="W1104" s="8" t="s">
        <v>240</v>
      </c>
      <c r="X1104" s="8" t="s">
        <v>240</v>
      </c>
      <c r="Y1104" s="8" t="s">
        <v>240</v>
      </c>
      <c r="Z1104" s="6" t="b">
        <v>0</v>
      </c>
      <c r="AA1104" s="9"/>
      <c r="AB1104" s="9"/>
    </row>
    <row r="1105" spans="1:28" ht="32">
      <c r="A1105" s="6">
        <v>1221</v>
      </c>
      <c r="B1105" s="8" t="s">
        <v>194</v>
      </c>
      <c r="C1105" s="8" t="s">
        <v>126</v>
      </c>
      <c r="D1105" s="8" t="s">
        <v>1929</v>
      </c>
      <c r="E1105" s="8" t="s">
        <v>1923</v>
      </c>
      <c r="F1105" s="6">
        <v>1218</v>
      </c>
      <c r="G1105" s="6" t="b">
        <v>0</v>
      </c>
      <c r="H1105" s="8" t="s">
        <v>240</v>
      </c>
      <c r="I1105" s="6" t="b">
        <v>0</v>
      </c>
      <c r="J1105" s="6" t="b">
        <v>0</v>
      </c>
      <c r="K1105" s="6" t="b">
        <v>0</v>
      </c>
      <c r="L1105" s="6" t="b">
        <v>1</v>
      </c>
      <c r="M1105" s="6" t="b">
        <v>0</v>
      </c>
      <c r="N1105" s="6">
        <v>8</v>
      </c>
      <c r="O1105" s="8" t="s">
        <v>331</v>
      </c>
      <c r="P1105" s="8" t="s">
        <v>1924</v>
      </c>
      <c r="Q1105" s="8" t="s">
        <v>1661</v>
      </c>
      <c r="R1105" s="6">
        <v>8</v>
      </c>
      <c r="S1105" s="8" t="s">
        <v>75</v>
      </c>
      <c r="T1105" s="9"/>
      <c r="U1105" s="8" t="s">
        <v>240</v>
      </c>
      <c r="V1105" s="8" t="s">
        <v>240</v>
      </c>
      <c r="W1105" s="8" t="s">
        <v>240</v>
      </c>
      <c r="X1105" s="8" t="s">
        <v>240</v>
      </c>
      <c r="Y1105" s="8" t="s">
        <v>1930</v>
      </c>
      <c r="Z1105" s="6" t="b">
        <v>0</v>
      </c>
      <c r="AA1105" s="9"/>
      <c r="AB1105" s="9"/>
    </row>
    <row r="1106" spans="1:28" ht="32">
      <c r="A1106" s="6">
        <v>1222</v>
      </c>
      <c r="B1106" s="8" t="s">
        <v>194</v>
      </c>
      <c r="C1106" s="8" t="s">
        <v>126</v>
      </c>
      <c r="D1106" s="8" t="s">
        <v>1931</v>
      </c>
      <c r="E1106" s="8" t="s">
        <v>1923</v>
      </c>
      <c r="F1106" s="6">
        <v>1218</v>
      </c>
      <c r="G1106" s="6" t="b">
        <v>0</v>
      </c>
      <c r="H1106" s="8" t="s">
        <v>240</v>
      </c>
      <c r="I1106" s="6" t="b">
        <v>0</v>
      </c>
      <c r="J1106" s="6" t="b">
        <v>0</v>
      </c>
      <c r="K1106" s="6" t="b">
        <v>0</v>
      </c>
      <c r="L1106" s="6" t="b">
        <v>1</v>
      </c>
      <c r="M1106" s="6" t="b">
        <v>0</v>
      </c>
      <c r="N1106" s="6">
        <v>8</v>
      </c>
      <c r="O1106" s="8" t="s">
        <v>331</v>
      </c>
      <c r="P1106" s="8" t="s">
        <v>1924</v>
      </c>
      <c r="Q1106" s="8" t="s">
        <v>1661</v>
      </c>
      <c r="R1106" s="6">
        <v>8</v>
      </c>
      <c r="S1106" s="8" t="s">
        <v>75</v>
      </c>
      <c r="T1106" s="9"/>
      <c r="U1106" s="8" t="s">
        <v>240</v>
      </c>
      <c r="V1106" s="8" t="s">
        <v>496</v>
      </c>
      <c r="W1106" s="8" t="s">
        <v>240</v>
      </c>
      <c r="X1106" s="8" t="s">
        <v>240</v>
      </c>
      <c r="Y1106" s="8" t="s">
        <v>1932</v>
      </c>
      <c r="Z1106" s="6" t="b">
        <v>0</v>
      </c>
      <c r="AA1106" s="9"/>
      <c r="AB1106" s="9"/>
    </row>
    <row r="1107" spans="1:28" ht="32">
      <c r="A1107" s="6">
        <v>1223</v>
      </c>
      <c r="B1107" s="8" t="s">
        <v>194</v>
      </c>
      <c r="C1107" s="8" t="s">
        <v>126</v>
      </c>
      <c r="D1107" s="8" t="s">
        <v>1933</v>
      </c>
      <c r="E1107" s="8" t="s">
        <v>1933</v>
      </c>
      <c r="F1107" s="6">
        <v>1223</v>
      </c>
      <c r="G1107" s="6" t="b">
        <v>0</v>
      </c>
      <c r="H1107" s="8" t="s">
        <v>240</v>
      </c>
      <c r="I1107" s="6" t="b">
        <v>0</v>
      </c>
      <c r="J1107" s="6" t="b">
        <v>0</v>
      </c>
      <c r="K1107" s="6" t="b">
        <v>0</v>
      </c>
      <c r="L1107" s="6" t="b">
        <v>1</v>
      </c>
      <c r="M1107" s="6" t="b">
        <v>0</v>
      </c>
      <c r="N1107" s="6">
        <v>8</v>
      </c>
      <c r="O1107" s="8" t="s">
        <v>331</v>
      </c>
      <c r="P1107" s="8" t="s">
        <v>350</v>
      </c>
      <c r="Q1107" s="8" t="s">
        <v>762</v>
      </c>
      <c r="R1107" s="6">
        <v>8</v>
      </c>
      <c r="S1107" s="8" t="s">
        <v>335</v>
      </c>
      <c r="T1107" s="6">
        <v>8</v>
      </c>
      <c r="U1107" s="8" t="s">
        <v>240</v>
      </c>
      <c r="V1107" s="8" t="s">
        <v>496</v>
      </c>
      <c r="W1107" s="8" t="s">
        <v>240</v>
      </c>
      <c r="X1107" s="8" t="s">
        <v>240</v>
      </c>
      <c r="Y1107" s="8" t="s">
        <v>240</v>
      </c>
      <c r="Z1107" s="6" t="b">
        <v>0</v>
      </c>
      <c r="AA1107" s="9"/>
      <c r="AB1107" s="9"/>
    </row>
    <row r="1108" spans="1:28" ht="16">
      <c r="A1108" s="6">
        <v>1224</v>
      </c>
      <c r="B1108" s="8" t="s">
        <v>194</v>
      </c>
      <c r="C1108" s="8" t="s">
        <v>108</v>
      </c>
      <c r="D1108" s="8" t="s">
        <v>1934</v>
      </c>
      <c r="E1108" s="8" t="s">
        <v>1934</v>
      </c>
      <c r="F1108" s="6">
        <v>1224</v>
      </c>
      <c r="G1108" s="6" t="b">
        <v>0</v>
      </c>
      <c r="H1108" s="8" t="s">
        <v>240</v>
      </c>
      <c r="I1108" s="6" t="b">
        <v>0</v>
      </c>
      <c r="J1108" s="6" t="b">
        <v>0</v>
      </c>
      <c r="K1108" s="6" t="b">
        <v>0</v>
      </c>
      <c r="L1108" s="6" t="b">
        <v>1</v>
      </c>
      <c r="M1108" s="6" t="b">
        <v>0</v>
      </c>
      <c r="N1108" s="6">
        <v>3</v>
      </c>
      <c r="O1108" s="8" t="s">
        <v>347</v>
      </c>
      <c r="P1108" s="8" t="s">
        <v>240</v>
      </c>
      <c r="Q1108" s="8" t="s">
        <v>240</v>
      </c>
      <c r="R1108" s="6">
        <v>3</v>
      </c>
      <c r="S1108" s="8" t="s">
        <v>75</v>
      </c>
      <c r="T1108" s="9"/>
      <c r="U1108" s="8" t="s">
        <v>240</v>
      </c>
      <c r="V1108" s="8" t="s">
        <v>496</v>
      </c>
      <c r="W1108" s="8" t="s">
        <v>240</v>
      </c>
      <c r="X1108" s="8" t="s">
        <v>240</v>
      </c>
      <c r="Y1108" s="8" t="s">
        <v>240</v>
      </c>
      <c r="Z1108" s="6" t="b">
        <v>0</v>
      </c>
      <c r="AA1108" s="9"/>
      <c r="AB1108" s="9"/>
    </row>
    <row r="1109" spans="1:28" ht="16">
      <c r="A1109" s="6">
        <v>1225</v>
      </c>
      <c r="B1109" s="8" t="s">
        <v>194</v>
      </c>
      <c r="C1109" s="8" t="s">
        <v>101</v>
      </c>
      <c r="D1109" s="8" t="s">
        <v>1935</v>
      </c>
      <c r="E1109" s="8" t="s">
        <v>1935</v>
      </c>
      <c r="F1109" s="6">
        <v>1225</v>
      </c>
      <c r="G1109" s="6" t="b">
        <v>0</v>
      </c>
      <c r="H1109" s="8" t="s">
        <v>240</v>
      </c>
      <c r="I1109" s="6" t="b">
        <v>0</v>
      </c>
      <c r="J1109" s="6" t="b">
        <v>0</v>
      </c>
      <c r="K1109" s="6" t="b">
        <v>0</v>
      </c>
      <c r="L1109" s="6" t="b">
        <v>1</v>
      </c>
      <c r="M1109" s="6" t="b">
        <v>0</v>
      </c>
      <c r="N1109" s="6">
        <v>6</v>
      </c>
      <c r="O1109" s="8" t="s">
        <v>347</v>
      </c>
      <c r="P1109" s="8" t="s">
        <v>255</v>
      </c>
      <c r="Q1109" s="8" t="s">
        <v>446</v>
      </c>
      <c r="R1109" s="6">
        <v>6</v>
      </c>
      <c r="S1109" s="8" t="s">
        <v>75</v>
      </c>
      <c r="T1109" s="9"/>
      <c r="U1109" s="8" t="s">
        <v>240</v>
      </c>
      <c r="V1109" s="8" t="s">
        <v>482</v>
      </c>
      <c r="W1109" s="8" t="s">
        <v>240</v>
      </c>
      <c r="X1109" s="8" t="s">
        <v>240</v>
      </c>
      <c r="Y1109" s="8" t="s">
        <v>240</v>
      </c>
      <c r="Z1109" s="6" t="b">
        <v>0</v>
      </c>
      <c r="AA1109" s="9"/>
      <c r="AB1109" s="9"/>
    </row>
    <row r="1110" spans="1:28" ht="16">
      <c r="A1110" s="6">
        <v>1226</v>
      </c>
      <c r="B1110" s="8" t="s">
        <v>194</v>
      </c>
      <c r="C1110" s="8" t="s">
        <v>101</v>
      </c>
      <c r="D1110" s="8" t="s">
        <v>1936</v>
      </c>
      <c r="E1110" s="8" t="s">
        <v>1935</v>
      </c>
      <c r="F1110" s="6">
        <v>1225</v>
      </c>
      <c r="G1110" s="6" t="b">
        <v>0</v>
      </c>
      <c r="H1110" s="8" t="s">
        <v>240</v>
      </c>
      <c r="I1110" s="6" t="b">
        <v>0</v>
      </c>
      <c r="J1110" s="6" t="b">
        <v>0</v>
      </c>
      <c r="K1110" s="6" t="b">
        <v>0</v>
      </c>
      <c r="L1110" s="6" t="b">
        <v>1</v>
      </c>
      <c r="M1110" s="6" t="b">
        <v>0</v>
      </c>
      <c r="N1110" s="6">
        <v>6</v>
      </c>
      <c r="O1110" s="8" t="s">
        <v>347</v>
      </c>
      <c r="P1110" s="8" t="s">
        <v>255</v>
      </c>
      <c r="Q1110" s="8" t="s">
        <v>446</v>
      </c>
      <c r="R1110" s="6">
        <v>6</v>
      </c>
      <c r="S1110" s="8" t="s">
        <v>75</v>
      </c>
      <c r="T1110" s="9"/>
      <c r="U1110" s="8" t="s">
        <v>240</v>
      </c>
      <c r="V1110" s="8" t="s">
        <v>482</v>
      </c>
      <c r="W1110" s="8" t="s">
        <v>240</v>
      </c>
      <c r="X1110" s="8" t="s">
        <v>240</v>
      </c>
      <c r="Y1110" s="8" t="s">
        <v>240</v>
      </c>
      <c r="Z1110" s="6" t="b">
        <v>0</v>
      </c>
      <c r="AA1110" s="9"/>
      <c r="AB1110" s="9"/>
    </row>
    <row r="1111" spans="1:28" ht="16">
      <c r="A1111" s="6">
        <v>1227</v>
      </c>
      <c r="B1111" s="8" t="s">
        <v>194</v>
      </c>
      <c r="C1111" s="8" t="s">
        <v>90</v>
      </c>
      <c r="D1111" s="8" t="s">
        <v>1937</v>
      </c>
      <c r="E1111" s="8" t="s">
        <v>1937</v>
      </c>
      <c r="F1111" s="6">
        <v>1227</v>
      </c>
      <c r="G1111" s="6" t="b">
        <v>0</v>
      </c>
      <c r="H1111" s="8" t="s">
        <v>240</v>
      </c>
      <c r="I1111" s="6" t="b">
        <v>0</v>
      </c>
      <c r="J1111" s="6" t="b">
        <v>1</v>
      </c>
      <c r="K1111" s="6" t="b">
        <v>0</v>
      </c>
      <c r="L1111" s="6" t="b">
        <v>1</v>
      </c>
      <c r="M1111" s="6" t="b">
        <v>0</v>
      </c>
      <c r="N1111" s="6">
        <v>6</v>
      </c>
      <c r="O1111" s="8" t="s">
        <v>331</v>
      </c>
      <c r="P1111" s="8" t="s">
        <v>822</v>
      </c>
      <c r="Q1111" s="8" t="s">
        <v>446</v>
      </c>
      <c r="R1111" s="6">
        <v>6</v>
      </c>
      <c r="S1111" s="8" t="s">
        <v>75</v>
      </c>
      <c r="T1111" s="9"/>
      <c r="U1111" s="8" t="s">
        <v>240</v>
      </c>
      <c r="V1111" s="8" t="s">
        <v>482</v>
      </c>
      <c r="W1111" s="8" t="s">
        <v>240</v>
      </c>
      <c r="X1111" s="8" t="s">
        <v>240</v>
      </c>
      <c r="Y1111" s="8" t="s">
        <v>1938</v>
      </c>
      <c r="Z1111" s="6" t="b">
        <v>0</v>
      </c>
      <c r="AA1111" s="9"/>
      <c r="AB1111" s="9"/>
    </row>
    <row r="1112" spans="1:28" ht="32">
      <c r="A1112" s="6">
        <v>1228</v>
      </c>
      <c r="B1112" s="8" t="s">
        <v>194</v>
      </c>
      <c r="C1112" s="8" t="s">
        <v>126</v>
      </c>
      <c r="D1112" s="8" t="s">
        <v>1939</v>
      </c>
      <c r="E1112" s="8" t="s">
        <v>1939</v>
      </c>
      <c r="F1112" s="6">
        <v>1228</v>
      </c>
      <c r="G1112" s="6" t="b">
        <v>0</v>
      </c>
      <c r="H1112" s="8" t="s">
        <v>240</v>
      </c>
      <c r="I1112" s="6" t="b">
        <v>0</v>
      </c>
      <c r="J1112" s="6" t="b">
        <v>0</v>
      </c>
      <c r="K1112" s="6" t="b">
        <v>0</v>
      </c>
      <c r="L1112" s="6" t="b">
        <v>1</v>
      </c>
      <c r="M1112" s="6" t="b">
        <v>0</v>
      </c>
      <c r="N1112" s="6">
        <v>8</v>
      </c>
      <c r="O1112" s="8" t="s">
        <v>331</v>
      </c>
      <c r="P1112" s="8" t="s">
        <v>822</v>
      </c>
      <c r="Q1112" s="8" t="s">
        <v>446</v>
      </c>
      <c r="R1112" s="6">
        <v>8</v>
      </c>
      <c r="S1112" s="8" t="s">
        <v>347</v>
      </c>
      <c r="T1112" s="9"/>
      <c r="U1112" s="8" t="s">
        <v>240</v>
      </c>
      <c r="V1112" s="8" t="s">
        <v>1093</v>
      </c>
      <c r="W1112" s="8" t="s">
        <v>240</v>
      </c>
      <c r="X1112" s="8" t="s">
        <v>240</v>
      </c>
      <c r="Y1112" s="8" t="s">
        <v>240</v>
      </c>
      <c r="Z1112" s="6" t="b">
        <v>0</v>
      </c>
      <c r="AA1112" s="9"/>
      <c r="AB1112" s="9"/>
    </row>
    <row r="1113" spans="1:28" ht="32">
      <c r="A1113" s="6">
        <v>1229</v>
      </c>
      <c r="B1113" s="8" t="s">
        <v>194</v>
      </c>
      <c r="C1113" s="8" t="s">
        <v>126</v>
      </c>
      <c r="D1113" s="8" t="s">
        <v>1940</v>
      </c>
      <c r="E1113" s="8" t="s">
        <v>1939</v>
      </c>
      <c r="F1113" s="6">
        <v>1228</v>
      </c>
      <c r="G1113" s="6" t="b">
        <v>0</v>
      </c>
      <c r="H1113" s="8" t="s">
        <v>240</v>
      </c>
      <c r="I1113" s="6" t="b">
        <v>0</v>
      </c>
      <c r="J1113" s="6" t="b">
        <v>0</v>
      </c>
      <c r="K1113" s="6" t="b">
        <v>0</v>
      </c>
      <c r="L1113" s="6" t="b">
        <v>1</v>
      </c>
      <c r="M1113" s="6" t="b">
        <v>0</v>
      </c>
      <c r="N1113" s="6">
        <v>8</v>
      </c>
      <c r="O1113" s="8" t="s">
        <v>331</v>
      </c>
      <c r="P1113" s="8" t="s">
        <v>516</v>
      </c>
      <c r="Q1113" s="8" t="s">
        <v>446</v>
      </c>
      <c r="R1113" s="6">
        <v>8</v>
      </c>
      <c r="S1113" s="8" t="s">
        <v>75</v>
      </c>
      <c r="T1113" s="9"/>
      <c r="U1113" s="8" t="s">
        <v>240</v>
      </c>
      <c r="V1113" s="8" t="s">
        <v>1093</v>
      </c>
      <c r="W1113" s="8" t="s">
        <v>240</v>
      </c>
      <c r="X1113" s="8" t="s">
        <v>240</v>
      </c>
      <c r="Y1113" s="8" t="s">
        <v>240</v>
      </c>
      <c r="Z1113" s="6" t="b">
        <v>0</v>
      </c>
      <c r="AA1113" s="9"/>
      <c r="AB1113" s="9"/>
    </row>
    <row r="1114" spans="1:28" ht="32">
      <c r="A1114" s="6">
        <v>1230</v>
      </c>
      <c r="B1114" s="8" t="s">
        <v>194</v>
      </c>
      <c r="C1114" s="8" t="s">
        <v>126</v>
      </c>
      <c r="D1114" s="8" t="s">
        <v>1941</v>
      </c>
      <c r="E1114" s="8" t="s">
        <v>1939</v>
      </c>
      <c r="F1114" s="6">
        <v>1228</v>
      </c>
      <c r="G1114" s="6" t="b">
        <v>0</v>
      </c>
      <c r="H1114" s="8" t="s">
        <v>240</v>
      </c>
      <c r="I1114" s="6" t="b">
        <v>0</v>
      </c>
      <c r="J1114" s="6" t="b">
        <v>0</v>
      </c>
      <c r="K1114" s="6" t="b">
        <v>0</v>
      </c>
      <c r="L1114" s="6" t="b">
        <v>1</v>
      </c>
      <c r="M1114" s="6" t="b">
        <v>0</v>
      </c>
      <c r="N1114" s="6">
        <v>8</v>
      </c>
      <c r="O1114" s="8" t="s">
        <v>331</v>
      </c>
      <c r="P1114" s="8" t="s">
        <v>822</v>
      </c>
      <c r="Q1114" s="8" t="s">
        <v>446</v>
      </c>
      <c r="R1114" s="6">
        <v>8</v>
      </c>
      <c r="S1114" s="8" t="s">
        <v>335</v>
      </c>
      <c r="T1114" s="6">
        <v>8</v>
      </c>
      <c r="U1114" s="8" t="s">
        <v>240</v>
      </c>
      <c r="V1114" s="8" t="s">
        <v>1093</v>
      </c>
      <c r="W1114" s="8" t="s">
        <v>240</v>
      </c>
      <c r="X1114" s="8" t="s">
        <v>240</v>
      </c>
      <c r="Y1114" s="8" t="s">
        <v>240</v>
      </c>
      <c r="Z1114" s="6" t="b">
        <v>0</v>
      </c>
      <c r="AA1114" s="9"/>
      <c r="AB1114" s="9"/>
    </row>
    <row r="1115" spans="1:28" ht="32">
      <c r="A1115" s="6">
        <v>1231</v>
      </c>
      <c r="B1115" s="8" t="s">
        <v>194</v>
      </c>
      <c r="C1115" s="8" t="s">
        <v>126</v>
      </c>
      <c r="D1115" s="8" t="s">
        <v>1942</v>
      </c>
      <c r="E1115" s="8" t="s">
        <v>1939</v>
      </c>
      <c r="F1115" s="6">
        <v>1228</v>
      </c>
      <c r="G1115" s="6" t="b">
        <v>0</v>
      </c>
      <c r="H1115" s="8" t="s">
        <v>240</v>
      </c>
      <c r="I1115" s="6" t="b">
        <v>0</v>
      </c>
      <c r="J1115" s="6" t="b">
        <v>0</v>
      </c>
      <c r="K1115" s="6" t="b">
        <v>0</v>
      </c>
      <c r="L1115" s="6" t="b">
        <v>1</v>
      </c>
      <c r="M1115" s="6" t="b">
        <v>0</v>
      </c>
      <c r="N1115" s="6">
        <v>8</v>
      </c>
      <c r="O1115" s="8" t="s">
        <v>331</v>
      </c>
      <c r="P1115" s="8" t="s">
        <v>822</v>
      </c>
      <c r="Q1115" s="8" t="s">
        <v>446</v>
      </c>
      <c r="R1115" s="6">
        <v>8</v>
      </c>
      <c r="S1115" s="8" t="s">
        <v>75</v>
      </c>
      <c r="T1115" s="6">
        <v>6</v>
      </c>
      <c r="U1115" s="8" t="s">
        <v>1855</v>
      </c>
      <c r="V1115" s="8" t="s">
        <v>1093</v>
      </c>
      <c r="W1115" s="8" t="s">
        <v>240</v>
      </c>
      <c r="X1115" s="8" t="s">
        <v>240</v>
      </c>
      <c r="Y1115" s="8" t="s">
        <v>240</v>
      </c>
      <c r="Z1115" s="6" t="b">
        <v>0</v>
      </c>
      <c r="AA1115" s="9"/>
      <c r="AB1115" s="9"/>
    </row>
    <row r="1116" spans="1:28" ht="16">
      <c r="A1116" s="6">
        <v>1233</v>
      </c>
      <c r="B1116" s="8" t="s">
        <v>194</v>
      </c>
      <c r="C1116" s="8" t="s">
        <v>124</v>
      </c>
      <c r="D1116" s="8" t="s">
        <v>1943</v>
      </c>
      <c r="E1116" s="8" t="s">
        <v>1943</v>
      </c>
      <c r="F1116" s="6">
        <v>1233</v>
      </c>
      <c r="G1116" s="6" t="b">
        <v>0</v>
      </c>
      <c r="H1116" s="8" t="s">
        <v>240</v>
      </c>
      <c r="I1116" s="6" t="b">
        <v>0</v>
      </c>
      <c r="J1116" s="6" t="b">
        <v>0</v>
      </c>
      <c r="K1116" s="6" t="b">
        <v>0</v>
      </c>
      <c r="L1116" s="6" t="b">
        <v>1</v>
      </c>
      <c r="M1116" s="6" t="b">
        <v>0</v>
      </c>
      <c r="N1116" s="6">
        <v>6</v>
      </c>
      <c r="O1116" s="8" t="s">
        <v>331</v>
      </c>
      <c r="P1116" s="8" t="s">
        <v>238</v>
      </c>
      <c r="Q1116" s="8" t="s">
        <v>502</v>
      </c>
      <c r="R1116" s="6">
        <v>6</v>
      </c>
      <c r="S1116" s="8" t="s">
        <v>331</v>
      </c>
      <c r="T1116" s="9"/>
      <c r="U1116" s="8" t="s">
        <v>240</v>
      </c>
      <c r="V1116" s="8" t="s">
        <v>1696</v>
      </c>
      <c r="W1116" s="8" t="s">
        <v>240</v>
      </c>
      <c r="X1116" s="8" t="s">
        <v>240</v>
      </c>
      <c r="Y1116" s="8" t="s">
        <v>240</v>
      </c>
      <c r="Z1116" s="6" t="b">
        <v>0</v>
      </c>
      <c r="AA1116" s="9"/>
      <c r="AB1116" s="9"/>
    </row>
    <row r="1117" spans="1:28" ht="16">
      <c r="A1117" s="6">
        <v>1234</v>
      </c>
      <c r="B1117" s="8" t="s">
        <v>194</v>
      </c>
      <c r="C1117" s="8" t="s">
        <v>108</v>
      </c>
      <c r="D1117" s="8" t="s">
        <v>1944</v>
      </c>
      <c r="E1117" s="8" t="s">
        <v>1944</v>
      </c>
      <c r="F1117" s="6">
        <v>1234</v>
      </c>
      <c r="G1117" s="6" t="b">
        <v>0</v>
      </c>
      <c r="H1117" s="8" t="s">
        <v>240</v>
      </c>
      <c r="I1117" s="6" t="b">
        <v>0</v>
      </c>
      <c r="J1117" s="6" t="b">
        <v>0</v>
      </c>
      <c r="K1117" s="6" t="b">
        <v>0</v>
      </c>
      <c r="L1117" s="6" t="b">
        <v>1</v>
      </c>
      <c r="M1117" s="6" t="b">
        <v>0</v>
      </c>
      <c r="N1117" s="6">
        <v>3</v>
      </c>
      <c r="O1117" s="8" t="s">
        <v>347</v>
      </c>
      <c r="P1117" s="8" t="s">
        <v>350</v>
      </c>
      <c r="Q1117" s="8" t="s">
        <v>239</v>
      </c>
      <c r="R1117" s="6">
        <v>4</v>
      </c>
      <c r="S1117" s="8" t="s">
        <v>347</v>
      </c>
      <c r="T1117" s="6">
        <v>4</v>
      </c>
      <c r="U1117" s="8" t="s">
        <v>240</v>
      </c>
      <c r="V1117" s="8" t="s">
        <v>450</v>
      </c>
      <c r="W1117" s="8" t="s">
        <v>240</v>
      </c>
      <c r="X1117" s="8" t="s">
        <v>240</v>
      </c>
      <c r="Y1117" s="8" t="s">
        <v>240</v>
      </c>
      <c r="Z1117" s="6" t="b">
        <v>0</v>
      </c>
      <c r="AA1117" s="9"/>
      <c r="AB1117" s="9"/>
    </row>
    <row r="1118" spans="1:28" ht="16">
      <c r="A1118" s="6">
        <v>1237</v>
      </c>
      <c r="B1118" s="8" t="s">
        <v>194</v>
      </c>
      <c r="C1118" s="8" t="s">
        <v>108</v>
      </c>
      <c r="D1118" s="8" t="s">
        <v>1945</v>
      </c>
      <c r="E1118" s="8" t="s">
        <v>1945</v>
      </c>
      <c r="F1118" s="6">
        <v>1237</v>
      </c>
      <c r="G1118" s="6" t="b">
        <v>0</v>
      </c>
      <c r="H1118" s="8" t="s">
        <v>240</v>
      </c>
      <c r="I1118" s="6" t="b">
        <v>0</v>
      </c>
      <c r="J1118" s="6" t="b">
        <v>0</v>
      </c>
      <c r="K1118" s="6" t="b">
        <v>0</v>
      </c>
      <c r="L1118" s="6" t="b">
        <v>1</v>
      </c>
      <c r="M1118" s="6" t="b">
        <v>0</v>
      </c>
      <c r="N1118" s="6">
        <v>3</v>
      </c>
      <c r="O1118" s="8" t="s">
        <v>347</v>
      </c>
      <c r="P1118" s="8" t="s">
        <v>238</v>
      </c>
      <c r="Q1118" s="8" t="s">
        <v>381</v>
      </c>
      <c r="R1118" s="6">
        <v>1</v>
      </c>
      <c r="S1118" s="8" t="s">
        <v>347</v>
      </c>
      <c r="T1118" s="9"/>
      <c r="U1118" s="8" t="s">
        <v>240</v>
      </c>
      <c r="V1118" s="8" t="s">
        <v>496</v>
      </c>
      <c r="W1118" s="8" t="s">
        <v>240</v>
      </c>
      <c r="X1118" s="8" t="s">
        <v>240</v>
      </c>
      <c r="Y1118" s="8" t="s">
        <v>240</v>
      </c>
      <c r="Z1118" s="6" t="b">
        <v>0</v>
      </c>
      <c r="AA1118" s="9"/>
      <c r="AB1118" s="9"/>
    </row>
    <row r="1119" spans="1:28" ht="32">
      <c r="A1119" s="6">
        <v>1238</v>
      </c>
      <c r="B1119" s="8" t="s">
        <v>194</v>
      </c>
      <c r="C1119" s="8" t="s">
        <v>131</v>
      </c>
      <c r="D1119" s="8" t="s">
        <v>1946</v>
      </c>
      <c r="E1119" s="8" t="s">
        <v>1946</v>
      </c>
      <c r="F1119" s="6">
        <v>1238</v>
      </c>
      <c r="G1119" s="6" t="b">
        <v>0</v>
      </c>
      <c r="H1119" s="8" t="s">
        <v>240</v>
      </c>
      <c r="I1119" s="6" t="b">
        <v>0</v>
      </c>
      <c r="J1119" s="6" t="b">
        <v>0</v>
      </c>
      <c r="K1119" s="6" t="b">
        <v>0</v>
      </c>
      <c r="L1119" s="6" t="b">
        <v>1</v>
      </c>
      <c r="M1119" s="6" t="b">
        <v>0</v>
      </c>
      <c r="N1119" s="6">
        <v>6</v>
      </c>
      <c r="O1119" s="8" t="s">
        <v>331</v>
      </c>
      <c r="P1119" s="8" t="s">
        <v>238</v>
      </c>
      <c r="Q1119" s="8" t="s">
        <v>481</v>
      </c>
      <c r="R1119" s="6">
        <v>6</v>
      </c>
      <c r="S1119" s="8" t="s">
        <v>523</v>
      </c>
      <c r="T1119" s="6">
        <v>6</v>
      </c>
      <c r="U1119" s="8" t="s">
        <v>240</v>
      </c>
      <c r="V1119" s="8" t="s">
        <v>1696</v>
      </c>
      <c r="W1119" s="8" t="s">
        <v>240</v>
      </c>
      <c r="X1119" s="8" t="s">
        <v>240</v>
      </c>
      <c r="Y1119" s="8" t="s">
        <v>1947</v>
      </c>
      <c r="Z1119" s="6" t="b">
        <v>0</v>
      </c>
      <c r="AA1119" s="9"/>
      <c r="AB1119" s="9"/>
    </row>
    <row r="1120" spans="1:28" ht="32">
      <c r="A1120" s="6">
        <v>1240</v>
      </c>
      <c r="B1120" s="8" t="s">
        <v>194</v>
      </c>
      <c r="C1120" s="8" t="s">
        <v>131</v>
      </c>
      <c r="D1120" s="8" t="s">
        <v>1948</v>
      </c>
      <c r="E1120" s="8" t="s">
        <v>1946</v>
      </c>
      <c r="F1120" s="6">
        <v>1238</v>
      </c>
      <c r="G1120" s="6" t="b">
        <v>0</v>
      </c>
      <c r="H1120" s="8" t="s">
        <v>240</v>
      </c>
      <c r="I1120" s="6" t="b">
        <v>0</v>
      </c>
      <c r="J1120" s="6" t="b">
        <v>0</v>
      </c>
      <c r="K1120" s="6" t="b">
        <v>0</v>
      </c>
      <c r="L1120" s="6" t="b">
        <v>1</v>
      </c>
      <c r="M1120" s="6" t="b">
        <v>0</v>
      </c>
      <c r="N1120" s="6">
        <v>6</v>
      </c>
      <c r="O1120" s="8" t="s">
        <v>331</v>
      </c>
      <c r="P1120" s="8" t="s">
        <v>238</v>
      </c>
      <c r="Q1120" s="8" t="s">
        <v>481</v>
      </c>
      <c r="R1120" s="6">
        <v>6</v>
      </c>
      <c r="S1120" s="8" t="s">
        <v>523</v>
      </c>
      <c r="T1120" s="9"/>
      <c r="U1120" s="8" t="s">
        <v>240</v>
      </c>
      <c r="V1120" s="8" t="s">
        <v>1696</v>
      </c>
      <c r="W1120" s="8" t="s">
        <v>240</v>
      </c>
      <c r="X1120" s="8" t="s">
        <v>240</v>
      </c>
      <c r="Y1120" s="8" t="s">
        <v>240</v>
      </c>
      <c r="Z1120" s="6" t="b">
        <v>0</v>
      </c>
      <c r="AA1120" s="9"/>
      <c r="AB1120" s="9"/>
    </row>
    <row r="1121" spans="1:28" ht="16">
      <c r="A1121" s="6">
        <v>1241</v>
      </c>
      <c r="B1121" s="8" t="s">
        <v>194</v>
      </c>
      <c r="C1121" s="8" t="s">
        <v>90</v>
      </c>
      <c r="D1121" s="8" t="s">
        <v>1949</v>
      </c>
      <c r="E1121" s="8" t="s">
        <v>1949</v>
      </c>
      <c r="F1121" s="6">
        <v>1241</v>
      </c>
      <c r="G1121" s="6" t="b">
        <v>0</v>
      </c>
      <c r="H1121" s="8" t="s">
        <v>240</v>
      </c>
      <c r="I1121" s="6" t="b">
        <v>0</v>
      </c>
      <c r="J1121" s="6" t="b">
        <v>1</v>
      </c>
      <c r="K1121" s="6" t="b">
        <v>0</v>
      </c>
      <c r="L1121" s="6" t="b">
        <v>1</v>
      </c>
      <c r="M1121" s="6" t="b">
        <v>0</v>
      </c>
      <c r="N1121" s="6">
        <v>6</v>
      </c>
      <c r="O1121" s="8" t="s">
        <v>331</v>
      </c>
      <c r="P1121" s="8" t="s">
        <v>350</v>
      </c>
      <c r="Q1121" s="8" t="s">
        <v>446</v>
      </c>
      <c r="R1121" s="6">
        <v>0</v>
      </c>
      <c r="S1121" s="8" t="s">
        <v>347</v>
      </c>
      <c r="T1121" s="9"/>
      <c r="U1121" s="8" t="s">
        <v>240</v>
      </c>
      <c r="V1121" s="8" t="s">
        <v>1696</v>
      </c>
      <c r="W1121" s="8" t="s">
        <v>240</v>
      </c>
      <c r="X1121" s="8" t="s">
        <v>240</v>
      </c>
      <c r="Y1121" s="8" t="s">
        <v>1950</v>
      </c>
      <c r="Z1121" s="6" t="b">
        <v>0</v>
      </c>
      <c r="AA1121" s="9"/>
      <c r="AB1121" s="9"/>
    </row>
    <row r="1122" spans="1:28" ht="32">
      <c r="A1122" s="6">
        <v>1242</v>
      </c>
      <c r="B1122" s="8" t="s">
        <v>194</v>
      </c>
      <c r="C1122" s="8" t="s">
        <v>90</v>
      </c>
      <c r="D1122" s="8" t="s">
        <v>1951</v>
      </c>
      <c r="E1122" s="8" t="s">
        <v>1949</v>
      </c>
      <c r="F1122" s="6">
        <v>1241</v>
      </c>
      <c r="G1122" s="6" t="b">
        <v>0</v>
      </c>
      <c r="H1122" s="8" t="s">
        <v>240</v>
      </c>
      <c r="I1122" s="6" t="b">
        <v>0</v>
      </c>
      <c r="J1122" s="6" t="b">
        <v>1</v>
      </c>
      <c r="K1122" s="6" t="b">
        <v>0</v>
      </c>
      <c r="L1122" s="6" t="b">
        <v>1</v>
      </c>
      <c r="M1122" s="6" t="b">
        <v>0</v>
      </c>
      <c r="N1122" s="6">
        <v>6</v>
      </c>
      <c r="O1122" s="8" t="s">
        <v>331</v>
      </c>
      <c r="P1122" s="8" t="s">
        <v>350</v>
      </c>
      <c r="Q1122" s="8" t="s">
        <v>446</v>
      </c>
      <c r="R1122" s="6">
        <v>0</v>
      </c>
      <c r="S1122" s="8" t="s">
        <v>347</v>
      </c>
      <c r="T1122" s="6">
        <v>4</v>
      </c>
      <c r="U1122" s="8" t="s">
        <v>240</v>
      </c>
      <c r="V1122" s="8" t="s">
        <v>1696</v>
      </c>
      <c r="W1122" s="8" t="s">
        <v>240</v>
      </c>
      <c r="X1122" s="8" t="s">
        <v>240</v>
      </c>
      <c r="Y1122" s="8" t="s">
        <v>240</v>
      </c>
      <c r="Z1122" s="6" t="b">
        <v>0</v>
      </c>
      <c r="AA1122" s="9"/>
      <c r="AB1122" s="9"/>
    </row>
    <row r="1123" spans="1:28" ht="32">
      <c r="A1123" s="6">
        <v>1243</v>
      </c>
      <c r="B1123" s="8" t="s">
        <v>194</v>
      </c>
      <c r="C1123" s="8" t="s">
        <v>108</v>
      </c>
      <c r="D1123" s="8" t="s">
        <v>1952</v>
      </c>
      <c r="E1123" s="8" t="s">
        <v>1952</v>
      </c>
      <c r="F1123" s="6">
        <v>1243</v>
      </c>
      <c r="G1123" s="6" t="b">
        <v>0</v>
      </c>
      <c r="H1123" s="8" t="s">
        <v>240</v>
      </c>
      <c r="I1123" s="6" t="b">
        <v>0</v>
      </c>
      <c r="J1123" s="6" t="b">
        <v>0</v>
      </c>
      <c r="K1123" s="6" t="b">
        <v>0</v>
      </c>
      <c r="L1123" s="6" t="b">
        <v>1</v>
      </c>
      <c r="M1123" s="6" t="b">
        <v>0</v>
      </c>
      <c r="N1123" s="6">
        <v>3</v>
      </c>
      <c r="O1123" s="8" t="s">
        <v>347</v>
      </c>
      <c r="P1123" s="8" t="s">
        <v>238</v>
      </c>
      <c r="Q1123" s="8" t="s">
        <v>481</v>
      </c>
      <c r="R1123" s="6">
        <v>2</v>
      </c>
      <c r="S1123" s="8" t="s">
        <v>347</v>
      </c>
      <c r="T1123" s="6">
        <v>2</v>
      </c>
      <c r="U1123" s="8" t="s">
        <v>240</v>
      </c>
      <c r="V1123" s="8" t="s">
        <v>496</v>
      </c>
      <c r="W1123" s="8" t="s">
        <v>483</v>
      </c>
      <c r="X1123" s="8" t="s">
        <v>240</v>
      </c>
      <c r="Y1123" s="8" t="s">
        <v>1953</v>
      </c>
      <c r="Z1123" s="6" t="b">
        <v>0</v>
      </c>
      <c r="AA1123" s="9"/>
      <c r="AB1123" s="9"/>
    </row>
    <row r="1124" spans="1:28" ht="32">
      <c r="A1124" s="6">
        <v>1244</v>
      </c>
      <c r="B1124" s="8" t="s">
        <v>194</v>
      </c>
      <c r="C1124" s="8" t="s">
        <v>108</v>
      </c>
      <c r="D1124" s="8" t="s">
        <v>1954</v>
      </c>
      <c r="E1124" s="8" t="s">
        <v>1952</v>
      </c>
      <c r="F1124" s="6">
        <v>1243</v>
      </c>
      <c r="G1124" s="6" t="b">
        <v>0</v>
      </c>
      <c r="H1124" s="8" t="s">
        <v>240</v>
      </c>
      <c r="I1124" s="6" t="b">
        <v>0</v>
      </c>
      <c r="J1124" s="6" t="b">
        <v>0</v>
      </c>
      <c r="K1124" s="6" t="b">
        <v>0</v>
      </c>
      <c r="L1124" s="6" t="b">
        <v>1</v>
      </c>
      <c r="M1124" s="6" t="b">
        <v>0</v>
      </c>
      <c r="N1124" s="6">
        <v>3</v>
      </c>
      <c r="O1124" s="8" t="s">
        <v>347</v>
      </c>
      <c r="P1124" s="8" t="s">
        <v>238</v>
      </c>
      <c r="Q1124" s="8" t="s">
        <v>481</v>
      </c>
      <c r="R1124" s="6">
        <v>2</v>
      </c>
      <c r="S1124" s="8" t="s">
        <v>347</v>
      </c>
      <c r="T1124" s="9"/>
      <c r="U1124" s="8" t="s">
        <v>240</v>
      </c>
      <c r="V1124" s="8" t="s">
        <v>496</v>
      </c>
      <c r="W1124" s="8" t="s">
        <v>483</v>
      </c>
      <c r="X1124" s="8" t="s">
        <v>240</v>
      </c>
      <c r="Y1124" s="8" t="s">
        <v>240</v>
      </c>
      <c r="Z1124" s="6" t="b">
        <v>0</v>
      </c>
      <c r="AA1124" s="9"/>
      <c r="AB1124" s="9"/>
    </row>
    <row r="1125" spans="1:28" ht="32">
      <c r="A1125" s="6">
        <v>1245</v>
      </c>
      <c r="B1125" s="8" t="s">
        <v>194</v>
      </c>
      <c r="C1125" s="8" t="s">
        <v>108</v>
      </c>
      <c r="D1125" s="8" t="s">
        <v>1955</v>
      </c>
      <c r="E1125" s="8" t="s">
        <v>1952</v>
      </c>
      <c r="F1125" s="6">
        <v>1243</v>
      </c>
      <c r="G1125" s="6" t="b">
        <v>0</v>
      </c>
      <c r="H1125" s="8" t="s">
        <v>240</v>
      </c>
      <c r="I1125" s="6" t="b">
        <v>0</v>
      </c>
      <c r="J1125" s="6" t="b">
        <v>0</v>
      </c>
      <c r="K1125" s="6" t="b">
        <v>0</v>
      </c>
      <c r="L1125" s="6" t="b">
        <v>1</v>
      </c>
      <c r="M1125" s="6" t="b">
        <v>0</v>
      </c>
      <c r="N1125" s="6">
        <v>3</v>
      </c>
      <c r="O1125" s="8" t="s">
        <v>347</v>
      </c>
      <c r="P1125" s="8" t="s">
        <v>238</v>
      </c>
      <c r="Q1125" s="8" t="s">
        <v>481</v>
      </c>
      <c r="R1125" s="6">
        <v>2</v>
      </c>
      <c r="S1125" s="8" t="s">
        <v>347</v>
      </c>
      <c r="T1125" s="9"/>
      <c r="U1125" s="8" t="s">
        <v>240</v>
      </c>
      <c r="V1125" s="8" t="s">
        <v>496</v>
      </c>
      <c r="W1125" s="8" t="s">
        <v>483</v>
      </c>
      <c r="X1125" s="8" t="s">
        <v>240</v>
      </c>
      <c r="Y1125" s="8" t="s">
        <v>1956</v>
      </c>
      <c r="Z1125" s="6" t="b">
        <v>0</v>
      </c>
      <c r="AA1125" s="9"/>
      <c r="AB1125" s="9"/>
    </row>
    <row r="1126" spans="1:28" ht="32">
      <c r="A1126" s="6">
        <v>1246</v>
      </c>
      <c r="B1126" s="8" t="s">
        <v>194</v>
      </c>
      <c r="C1126" s="8" t="s">
        <v>108</v>
      </c>
      <c r="D1126" s="8" t="s">
        <v>1957</v>
      </c>
      <c r="E1126" s="8" t="s">
        <v>1952</v>
      </c>
      <c r="F1126" s="6">
        <v>1243</v>
      </c>
      <c r="G1126" s="6" t="b">
        <v>0</v>
      </c>
      <c r="H1126" s="8" t="s">
        <v>240</v>
      </c>
      <c r="I1126" s="6" t="b">
        <v>0</v>
      </c>
      <c r="J1126" s="6" t="b">
        <v>0</v>
      </c>
      <c r="K1126" s="6" t="b">
        <v>0</v>
      </c>
      <c r="L1126" s="6" t="b">
        <v>1</v>
      </c>
      <c r="M1126" s="6" t="b">
        <v>0</v>
      </c>
      <c r="N1126" s="6">
        <v>3</v>
      </c>
      <c r="O1126" s="8" t="s">
        <v>347</v>
      </c>
      <c r="P1126" s="8" t="s">
        <v>238</v>
      </c>
      <c r="Q1126" s="8" t="s">
        <v>481</v>
      </c>
      <c r="R1126" s="6">
        <v>2</v>
      </c>
      <c r="S1126" s="8" t="s">
        <v>347</v>
      </c>
      <c r="T1126" s="9"/>
      <c r="U1126" s="8" t="s">
        <v>240</v>
      </c>
      <c r="V1126" s="8" t="s">
        <v>496</v>
      </c>
      <c r="W1126" s="8" t="s">
        <v>483</v>
      </c>
      <c r="X1126" s="8" t="s">
        <v>240</v>
      </c>
      <c r="Y1126" s="8" t="s">
        <v>240</v>
      </c>
      <c r="Z1126" s="6" t="b">
        <v>0</v>
      </c>
      <c r="AA1126" s="9"/>
      <c r="AB1126" s="9"/>
    </row>
    <row r="1127" spans="1:28" ht="32">
      <c r="A1127" s="6">
        <v>1247</v>
      </c>
      <c r="B1127" s="8" t="s">
        <v>194</v>
      </c>
      <c r="C1127" s="8" t="s">
        <v>108</v>
      </c>
      <c r="D1127" s="8" t="s">
        <v>1958</v>
      </c>
      <c r="E1127" s="8" t="s">
        <v>1958</v>
      </c>
      <c r="F1127" s="6">
        <v>1247</v>
      </c>
      <c r="G1127" s="6" t="b">
        <v>0</v>
      </c>
      <c r="H1127" s="8" t="s">
        <v>240</v>
      </c>
      <c r="I1127" s="6" t="b">
        <v>0</v>
      </c>
      <c r="J1127" s="6" t="b">
        <v>0</v>
      </c>
      <c r="K1127" s="6" t="b">
        <v>0</v>
      </c>
      <c r="L1127" s="6" t="b">
        <v>1</v>
      </c>
      <c r="M1127" s="6" t="b">
        <v>0</v>
      </c>
      <c r="N1127" s="6">
        <v>3</v>
      </c>
      <c r="O1127" s="8" t="s">
        <v>347</v>
      </c>
      <c r="P1127" s="8" t="s">
        <v>380</v>
      </c>
      <c r="Q1127" s="8" t="s">
        <v>481</v>
      </c>
      <c r="R1127" s="6">
        <v>3</v>
      </c>
      <c r="S1127" s="8" t="s">
        <v>75</v>
      </c>
      <c r="T1127" s="9"/>
      <c r="U1127" s="8" t="s">
        <v>240</v>
      </c>
      <c r="V1127" s="8" t="s">
        <v>496</v>
      </c>
      <c r="W1127" s="8" t="s">
        <v>240</v>
      </c>
      <c r="X1127" s="8" t="s">
        <v>240</v>
      </c>
      <c r="Y1127" s="8" t="s">
        <v>240</v>
      </c>
      <c r="Z1127" s="6" t="b">
        <v>0</v>
      </c>
      <c r="AA1127" s="9"/>
      <c r="AB1127" s="9"/>
    </row>
    <row r="1128" spans="1:28" ht="16">
      <c r="A1128" s="6">
        <v>1248</v>
      </c>
      <c r="B1128" s="8" t="s">
        <v>194</v>
      </c>
      <c r="C1128" s="8" t="s">
        <v>1715</v>
      </c>
      <c r="D1128" s="8" t="s">
        <v>1959</v>
      </c>
      <c r="E1128" s="8" t="s">
        <v>1959</v>
      </c>
      <c r="F1128" s="6">
        <v>1248</v>
      </c>
      <c r="G1128" s="6" t="b">
        <v>0</v>
      </c>
      <c r="H1128" s="8" t="s">
        <v>240</v>
      </c>
      <c r="I1128" s="6" t="b">
        <v>0</v>
      </c>
      <c r="J1128" s="6" t="b">
        <v>0</v>
      </c>
      <c r="K1128" s="6" t="b">
        <v>0</v>
      </c>
      <c r="L1128" s="6" t="b">
        <v>1</v>
      </c>
      <c r="M1128" s="6" t="b">
        <v>0</v>
      </c>
      <c r="N1128" s="6">
        <v>6</v>
      </c>
      <c r="O1128" s="8" t="s">
        <v>331</v>
      </c>
      <c r="P1128" s="8" t="s">
        <v>380</v>
      </c>
      <c r="Q1128" s="8" t="s">
        <v>446</v>
      </c>
      <c r="R1128" s="6">
        <v>6</v>
      </c>
      <c r="S1128" s="8" t="s">
        <v>75</v>
      </c>
      <c r="T1128" s="6">
        <v>6</v>
      </c>
      <c r="U1128" s="8" t="s">
        <v>240</v>
      </c>
      <c r="V1128" s="8" t="s">
        <v>496</v>
      </c>
      <c r="W1128" s="8" t="s">
        <v>240</v>
      </c>
      <c r="X1128" s="8" t="s">
        <v>240</v>
      </c>
      <c r="Y1128" s="8" t="s">
        <v>240</v>
      </c>
      <c r="Z1128" s="6" t="b">
        <v>0</v>
      </c>
      <c r="AA1128" s="9"/>
      <c r="AB1128" s="9"/>
    </row>
    <row r="1129" spans="1:28" ht="16">
      <c r="A1129" s="6">
        <v>1249</v>
      </c>
      <c r="B1129" s="8" t="s">
        <v>194</v>
      </c>
      <c r="C1129" s="8" t="s">
        <v>90</v>
      </c>
      <c r="D1129" s="8" t="s">
        <v>1960</v>
      </c>
      <c r="E1129" s="8" t="s">
        <v>1960</v>
      </c>
      <c r="F1129" s="6">
        <v>1249</v>
      </c>
      <c r="G1129" s="6" t="b">
        <v>0</v>
      </c>
      <c r="H1129" s="8" t="s">
        <v>240</v>
      </c>
      <c r="I1129" s="6" t="b">
        <v>0</v>
      </c>
      <c r="J1129" s="6" t="b">
        <v>1</v>
      </c>
      <c r="K1129" s="6" t="b">
        <v>0</v>
      </c>
      <c r="L1129" s="6" t="b">
        <v>1</v>
      </c>
      <c r="M1129" s="6" t="b">
        <v>0</v>
      </c>
      <c r="N1129" s="6">
        <v>6</v>
      </c>
      <c r="O1129" s="8" t="s">
        <v>331</v>
      </c>
      <c r="P1129" s="8" t="s">
        <v>516</v>
      </c>
      <c r="Q1129" s="8" t="s">
        <v>446</v>
      </c>
      <c r="R1129" s="6">
        <v>8</v>
      </c>
      <c r="S1129" s="8" t="s">
        <v>347</v>
      </c>
      <c r="T1129" s="9"/>
      <c r="U1129" s="8" t="s">
        <v>240</v>
      </c>
      <c r="V1129" s="8" t="s">
        <v>450</v>
      </c>
      <c r="W1129" s="8" t="s">
        <v>240</v>
      </c>
      <c r="X1129" s="8" t="s">
        <v>240</v>
      </c>
      <c r="Y1129" s="8" t="s">
        <v>1961</v>
      </c>
      <c r="Z1129" s="6" t="b">
        <v>0</v>
      </c>
      <c r="AA1129" s="9"/>
      <c r="AB1129" s="9"/>
    </row>
    <row r="1130" spans="1:28" ht="32">
      <c r="A1130" s="6">
        <v>1250</v>
      </c>
      <c r="B1130" s="8" t="s">
        <v>194</v>
      </c>
      <c r="C1130" s="8" t="s">
        <v>90</v>
      </c>
      <c r="D1130" s="8" t="s">
        <v>1962</v>
      </c>
      <c r="E1130" s="8" t="s">
        <v>1960</v>
      </c>
      <c r="F1130" s="6">
        <v>1249</v>
      </c>
      <c r="G1130" s="6" t="b">
        <v>0</v>
      </c>
      <c r="H1130" s="8" t="s">
        <v>240</v>
      </c>
      <c r="I1130" s="6" t="b">
        <v>0</v>
      </c>
      <c r="J1130" s="6" t="b">
        <v>1</v>
      </c>
      <c r="K1130" s="6" t="b">
        <v>0</v>
      </c>
      <c r="L1130" s="6" t="b">
        <v>1</v>
      </c>
      <c r="M1130" s="6" t="b">
        <v>0</v>
      </c>
      <c r="N1130" s="6">
        <v>6</v>
      </c>
      <c r="O1130" s="8" t="s">
        <v>331</v>
      </c>
      <c r="P1130" s="8" t="s">
        <v>516</v>
      </c>
      <c r="Q1130" s="8" t="s">
        <v>446</v>
      </c>
      <c r="R1130" s="6">
        <v>6</v>
      </c>
      <c r="S1130" s="8" t="s">
        <v>75</v>
      </c>
      <c r="T1130" s="9"/>
      <c r="U1130" s="8" t="s">
        <v>240</v>
      </c>
      <c r="V1130" s="8" t="s">
        <v>240</v>
      </c>
      <c r="W1130" s="8" t="s">
        <v>240</v>
      </c>
      <c r="X1130" s="8" t="s">
        <v>240</v>
      </c>
      <c r="Y1130" s="8" t="s">
        <v>240</v>
      </c>
      <c r="Z1130" s="6" t="b">
        <v>0</v>
      </c>
      <c r="AA1130" s="9"/>
      <c r="AB1130" s="9"/>
    </row>
    <row r="1131" spans="1:28" ht="32">
      <c r="A1131" s="6">
        <v>1251</v>
      </c>
      <c r="B1131" s="8" t="s">
        <v>194</v>
      </c>
      <c r="C1131" s="8" t="s">
        <v>90</v>
      </c>
      <c r="D1131" s="8" t="s">
        <v>1963</v>
      </c>
      <c r="E1131" s="8" t="s">
        <v>1960</v>
      </c>
      <c r="F1131" s="6">
        <v>1249</v>
      </c>
      <c r="G1131" s="6" t="b">
        <v>0</v>
      </c>
      <c r="H1131" s="8" t="s">
        <v>240</v>
      </c>
      <c r="I1131" s="6" t="b">
        <v>0</v>
      </c>
      <c r="J1131" s="6" t="b">
        <v>1</v>
      </c>
      <c r="K1131" s="6" t="b">
        <v>0</v>
      </c>
      <c r="L1131" s="6" t="b">
        <v>1</v>
      </c>
      <c r="M1131" s="6" t="b">
        <v>0</v>
      </c>
      <c r="N1131" s="6">
        <v>6</v>
      </c>
      <c r="O1131" s="8" t="s">
        <v>331</v>
      </c>
      <c r="P1131" s="8" t="s">
        <v>350</v>
      </c>
      <c r="Q1131" s="8" t="s">
        <v>762</v>
      </c>
      <c r="R1131" s="6">
        <v>5</v>
      </c>
      <c r="S1131" s="8" t="s">
        <v>335</v>
      </c>
      <c r="T1131" s="9"/>
      <c r="U1131" s="8" t="s">
        <v>1964</v>
      </c>
      <c r="V1131" s="8" t="s">
        <v>450</v>
      </c>
      <c r="W1131" s="8" t="s">
        <v>240</v>
      </c>
      <c r="X1131" s="8" t="s">
        <v>240</v>
      </c>
      <c r="Y1131" s="8" t="s">
        <v>240</v>
      </c>
      <c r="Z1131" s="6" t="b">
        <v>0</v>
      </c>
      <c r="AA1131" s="9"/>
      <c r="AB1131" s="9"/>
    </row>
    <row r="1132" spans="1:28" ht="16">
      <c r="A1132" s="6">
        <v>1252</v>
      </c>
      <c r="B1132" s="8" t="s">
        <v>194</v>
      </c>
      <c r="C1132" s="8" t="s">
        <v>1694</v>
      </c>
      <c r="D1132" s="8" t="s">
        <v>1965</v>
      </c>
      <c r="E1132" s="8" t="s">
        <v>1965</v>
      </c>
      <c r="F1132" s="6">
        <v>1252</v>
      </c>
      <c r="G1132" s="6" t="b">
        <v>0</v>
      </c>
      <c r="H1132" s="8" t="s">
        <v>240</v>
      </c>
      <c r="I1132" s="6" t="b">
        <v>0</v>
      </c>
      <c r="J1132" s="6" t="b">
        <v>0</v>
      </c>
      <c r="K1132" s="6" t="b">
        <v>0</v>
      </c>
      <c r="L1132" s="6" t="b">
        <v>1</v>
      </c>
      <c r="M1132" s="6" t="b">
        <v>0</v>
      </c>
      <c r="N1132" s="6">
        <v>4</v>
      </c>
      <c r="O1132" s="8" t="s">
        <v>331</v>
      </c>
      <c r="P1132" s="8" t="s">
        <v>238</v>
      </c>
      <c r="Q1132" s="8" t="s">
        <v>446</v>
      </c>
      <c r="R1132" s="6">
        <v>4</v>
      </c>
      <c r="S1132" s="8" t="s">
        <v>75</v>
      </c>
      <c r="T1132" s="9"/>
      <c r="U1132" s="8" t="s">
        <v>240</v>
      </c>
      <c r="V1132" s="8" t="s">
        <v>1696</v>
      </c>
      <c r="W1132" s="8" t="s">
        <v>240</v>
      </c>
      <c r="X1132" s="8" t="s">
        <v>240</v>
      </c>
      <c r="Y1132" s="8" t="s">
        <v>240</v>
      </c>
      <c r="Z1132" s="6" t="b">
        <v>0</v>
      </c>
      <c r="AA1132" s="9"/>
      <c r="AB1132" s="9"/>
    </row>
    <row r="1133" spans="1:28" ht="16">
      <c r="A1133" s="6">
        <v>1253</v>
      </c>
      <c r="B1133" s="8" t="s">
        <v>194</v>
      </c>
      <c r="C1133" s="8" t="s">
        <v>90</v>
      </c>
      <c r="D1133" s="8" t="s">
        <v>1966</v>
      </c>
      <c r="E1133" s="8" t="s">
        <v>1966</v>
      </c>
      <c r="F1133" s="6">
        <v>1253</v>
      </c>
      <c r="G1133" s="6" t="b">
        <v>0</v>
      </c>
      <c r="H1133" s="8" t="s">
        <v>240</v>
      </c>
      <c r="I1133" s="6" t="b">
        <v>0</v>
      </c>
      <c r="J1133" s="6" t="b">
        <v>0</v>
      </c>
      <c r="K1133" s="6" t="b">
        <v>0</v>
      </c>
      <c r="L1133" s="6" t="b">
        <v>1</v>
      </c>
      <c r="M1133" s="6" t="b">
        <v>0</v>
      </c>
      <c r="N1133" s="6">
        <v>6</v>
      </c>
      <c r="O1133" s="8" t="s">
        <v>331</v>
      </c>
      <c r="P1133" s="8" t="s">
        <v>380</v>
      </c>
      <c r="Q1133" s="8" t="s">
        <v>446</v>
      </c>
      <c r="R1133" s="6">
        <v>6</v>
      </c>
      <c r="S1133" s="8" t="s">
        <v>75</v>
      </c>
      <c r="T1133" s="9"/>
      <c r="U1133" s="8" t="s">
        <v>240</v>
      </c>
      <c r="V1133" s="8" t="s">
        <v>496</v>
      </c>
      <c r="W1133" s="8" t="s">
        <v>240</v>
      </c>
      <c r="X1133" s="8" t="s">
        <v>240</v>
      </c>
      <c r="Y1133" s="8" t="s">
        <v>240</v>
      </c>
      <c r="Z1133" s="6" t="b">
        <v>0</v>
      </c>
      <c r="AA1133" s="9"/>
      <c r="AB1133" s="9"/>
    </row>
    <row r="1134" spans="1:28" ht="32">
      <c r="A1134" s="6">
        <v>1254</v>
      </c>
      <c r="B1134" s="8" t="s">
        <v>194</v>
      </c>
      <c r="C1134" s="8" t="s">
        <v>126</v>
      </c>
      <c r="D1134" s="8" t="s">
        <v>1967</v>
      </c>
      <c r="E1134" s="8" t="s">
        <v>1967</v>
      </c>
      <c r="F1134" s="6">
        <v>1254</v>
      </c>
      <c r="G1134" s="6" t="b">
        <v>0</v>
      </c>
      <c r="H1134" s="8" t="s">
        <v>240</v>
      </c>
      <c r="I1134" s="6" t="b">
        <v>0</v>
      </c>
      <c r="J1134" s="6" t="b">
        <v>0</v>
      </c>
      <c r="K1134" s="6" t="b">
        <v>0</v>
      </c>
      <c r="L1134" s="6" t="b">
        <v>1</v>
      </c>
      <c r="M1134" s="6" t="b">
        <v>0</v>
      </c>
      <c r="N1134" s="6">
        <v>8</v>
      </c>
      <c r="O1134" s="8" t="s">
        <v>331</v>
      </c>
      <c r="P1134" s="8" t="s">
        <v>350</v>
      </c>
      <c r="Q1134" s="8" t="s">
        <v>446</v>
      </c>
      <c r="R1134" s="6">
        <v>10</v>
      </c>
      <c r="S1134" s="8" t="s">
        <v>347</v>
      </c>
      <c r="T1134" s="9"/>
      <c r="U1134" s="8" t="s">
        <v>240</v>
      </c>
      <c r="V1134" s="8" t="s">
        <v>496</v>
      </c>
      <c r="W1134" s="8" t="s">
        <v>240</v>
      </c>
      <c r="X1134" s="8" t="s">
        <v>240</v>
      </c>
      <c r="Y1134" s="8" t="s">
        <v>240</v>
      </c>
      <c r="Z1134" s="6" t="b">
        <v>0</v>
      </c>
      <c r="AA1134" s="9"/>
      <c r="AB1134" s="9"/>
    </row>
    <row r="1135" spans="1:28" ht="32">
      <c r="A1135" s="6">
        <v>1255</v>
      </c>
      <c r="B1135" s="8" t="s">
        <v>194</v>
      </c>
      <c r="C1135" s="8" t="s">
        <v>126</v>
      </c>
      <c r="D1135" s="8" t="s">
        <v>1968</v>
      </c>
      <c r="E1135" s="8" t="s">
        <v>1967</v>
      </c>
      <c r="F1135" s="6">
        <v>1254</v>
      </c>
      <c r="G1135" s="6" t="b">
        <v>0</v>
      </c>
      <c r="H1135" s="8" t="s">
        <v>240</v>
      </c>
      <c r="I1135" s="6" t="b">
        <v>0</v>
      </c>
      <c r="J1135" s="6" t="b">
        <v>0</v>
      </c>
      <c r="K1135" s="6" t="b">
        <v>0</v>
      </c>
      <c r="L1135" s="6" t="b">
        <v>1</v>
      </c>
      <c r="M1135" s="6" t="b">
        <v>0</v>
      </c>
      <c r="N1135" s="6">
        <v>8</v>
      </c>
      <c r="O1135" s="8" t="s">
        <v>331</v>
      </c>
      <c r="P1135" s="8" t="s">
        <v>350</v>
      </c>
      <c r="Q1135" s="8" t="s">
        <v>446</v>
      </c>
      <c r="R1135" s="6">
        <v>10</v>
      </c>
      <c r="S1135" s="8" t="s">
        <v>347</v>
      </c>
      <c r="T1135" s="9"/>
      <c r="U1135" s="8" t="s">
        <v>240</v>
      </c>
      <c r="V1135" s="8" t="s">
        <v>496</v>
      </c>
      <c r="W1135" s="8" t="s">
        <v>240</v>
      </c>
      <c r="X1135" s="8" t="s">
        <v>240</v>
      </c>
      <c r="Y1135" s="8" t="s">
        <v>240</v>
      </c>
      <c r="Z1135" s="6" t="b">
        <v>0</v>
      </c>
      <c r="AA1135" s="9"/>
      <c r="AB1135" s="9"/>
    </row>
    <row r="1136" spans="1:28" ht="32">
      <c r="A1136" s="6">
        <v>1256</v>
      </c>
      <c r="B1136" s="8" t="s">
        <v>194</v>
      </c>
      <c r="C1136" s="8" t="s">
        <v>90</v>
      </c>
      <c r="D1136" s="8" t="s">
        <v>1969</v>
      </c>
      <c r="E1136" s="8" t="s">
        <v>1969</v>
      </c>
      <c r="F1136" s="6">
        <v>1256</v>
      </c>
      <c r="G1136" s="6" t="b">
        <v>0</v>
      </c>
      <c r="H1136" s="8" t="s">
        <v>240</v>
      </c>
      <c r="I1136" s="6" t="b">
        <v>0</v>
      </c>
      <c r="J1136" s="6" t="b">
        <v>1</v>
      </c>
      <c r="K1136" s="6" t="b">
        <v>0</v>
      </c>
      <c r="L1136" s="6" t="b">
        <v>1</v>
      </c>
      <c r="M1136" s="6" t="b">
        <v>0</v>
      </c>
      <c r="N1136" s="6">
        <v>6</v>
      </c>
      <c r="O1136" s="8" t="s">
        <v>331</v>
      </c>
      <c r="P1136" s="8" t="s">
        <v>350</v>
      </c>
      <c r="Q1136" s="8" t="s">
        <v>811</v>
      </c>
      <c r="R1136" s="6">
        <v>1</v>
      </c>
      <c r="S1136" s="8" t="s">
        <v>335</v>
      </c>
      <c r="T1136" s="6">
        <v>1</v>
      </c>
      <c r="U1136" s="8" t="s">
        <v>240</v>
      </c>
      <c r="V1136" s="8" t="s">
        <v>450</v>
      </c>
      <c r="W1136" s="8" t="s">
        <v>240</v>
      </c>
      <c r="X1136" s="8" t="s">
        <v>240</v>
      </c>
      <c r="Y1136" s="8" t="s">
        <v>240</v>
      </c>
      <c r="Z1136" s="6" t="b">
        <v>0</v>
      </c>
      <c r="AA1136" s="9"/>
      <c r="AB1136" s="9"/>
    </row>
    <row r="1137" spans="1:28" ht="16">
      <c r="A1137" s="6">
        <v>1257</v>
      </c>
      <c r="B1137" s="8" t="s">
        <v>194</v>
      </c>
      <c r="C1137" s="8" t="s">
        <v>90</v>
      </c>
      <c r="D1137" s="8" t="s">
        <v>1970</v>
      </c>
      <c r="E1137" s="8" t="s">
        <v>1970</v>
      </c>
      <c r="F1137" s="6">
        <v>1257</v>
      </c>
      <c r="G1137" s="6" t="b">
        <v>0</v>
      </c>
      <c r="H1137" s="8" t="s">
        <v>240</v>
      </c>
      <c r="I1137" s="6" t="b">
        <v>0</v>
      </c>
      <c r="J1137" s="6" t="b">
        <v>0</v>
      </c>
      <c r="K1137" s="6" t="b">
        <v>1</v>
      </c>
      <c r="L1137" s="6" t="b">
        <v>1</v>
      </c>
      <c r="M1137" s="6" t="b">
        <v>0</v>
      </c>
      <c r="N1137" s="6">
        <v>6</v>
      </c>
      <c r="O1137" s="8" t="s">
        <v>331</v>
      </c>
      <c r="P1137" s="8" t="s">
        <v>238</v>
      </c>
      <c r="Q1137" s="8" t="s">
        <v>446</v>
      </c>
      <c r="R1137" s="6">
        <v>7</v>
      </c>
      <c r="S1137" s="8" t="s">
        <v>347</v>
      </c>
      <c r="T1137" s="6">
        <v>7</v>
      </c>
      <c r="U1137" s="8" t="s">
        <v>240</v>
      </c>
      <c r="V1137" s="8" t="s">
        <v>450</v>
      </c>
      <c r="W1137" s="8" t="s">
        <v>240</v>
      </c>
      <c r="X1137" s="8" t="s">
        <v>240</v>
      </c>
      <c r="Y1137" s="8" t="s">
        <v>240</v>
      </c>
      <c r="Z1137" s="6" t="b">
        <v>0</v>
      </c>
      <c r="AA1137" s="9"/>
      <c r="AB1137" s="9"/>
    </row>
    <row r="1138" spans="1:28" ht="32">
      <c r="A1138" s="6">
        <v>1258</v>
      </c>
      <c r="B1138" s="8" t="s">
        <v>194</v>
      </c>
      <c r="C1138" s="8" t="s">
        <v>90</v>
      </c>
      <c r="D1138" s="8" t="s">
        <v>1971</v>
      </c>
      <c r="E1138" s="8" t="s">
        <v>1970</v>
      </c>
      <c r="F1138" s="6">
        <v>1257</v>
      </c>
      <c r="G1138" s="6" t="b">
        <v>0</v>
      </c>
      <c r="H1138" s="8" t="s">
        <v>240</v>
      </c>
      <c r="I1138" s="6" t="b">
        <v>0</v>
      </c>
      <c r="J1138" s="6" t="b">
        <v>0</v>
      </c>
      <c r="K1138" s="6" t="b">
        <v>1</v>
      </c>
      <c r="L1138" s="6" t="b">
        <v>1</v>
      </c>
      <c r="M1138" s="6" t="b">
        <v>0</v>
      </c>
      <c r="N1138" s="6">
        <v>6</v>
      </c>
      <c r="O1138" s="8" t="s">
        <v>331</v>
      </c>
      <c r="P1138" s="8" t="s">
        <v>238</v>
      </c>
      <c r="Q1138" s="8" t="s">
        <v>335</v>
      </c>
      <c r="R1138" s="6">
        <v>7</v>
      </c>
      <c r="S1138" s="8" t="s">
        <v>347</v>
      </c>
      <c r="T1138" s="6">
        <v>7</v>
      </c>
      <c r="U1138" s="8" t="s">
        <v>240</v>
      </c>
      <c r="V1138" s="8" t="s">
        <v>450</v>
      </c>
      <c r="W1138" s="8" t="s">
        <v>240</v>
      </c>
      <c r="X1138" s="8" t="s">
        <v>240</v>
      </c>
      <c r="Y1138" s="8" t="s">
        <v>240</v>
      </c>
      <c r="Z1138" s="6" t="b">
        <v>0</v>
      </c>
      <c r="AA1138" s="9"/>
      <c r="AB1138" s="9"/>
    </row>
    <row r="1139" spans="1:28" ht="32">
      <c r="A1139" s="6">
        <v>1259</v>
      </c>
      <c r="B1139" s="8" t="s">
        <v>194</v>
      </c>
      <c r="C1139" s="8" t="s">
        <v>90</v>
      </c>
      <c r="D1139" s="8" t="s">
        <v>1972</v>
      </c>
      <c r="E1139" s="8" t="s">
        <v>1972</v>
      </c>
      <c r="F1139" s="6">
        <v>1259</v>
      </c>
      <c r="G1139" s="6" t="b">
        <v>0</v>
      </c>
      <c r="H1139" s="8" t="s">
        <v>240</v>
      </c>
      <c r="I1139" s="6" t="b">
        <v>0</v>
      </c>
      <c r="J1139" s="6" t="b">
        <v>0</v>
      </c>
      <c r="K1139" s="6" t="b">
        <v>0</v>
      </c>
      <c r="L1139" s="6" t="b">
        <v>1</v>
      </c>
      <c r="M1139" s="6" t="b">
        <v>0</v>
      </c>
      <c r="N1139" s="6">
        <v>6</v>
      </c>
      <c r="O1139" s="8" t="s">
        <v>331</v>
      </c>
      <c r="P1139" s="8" t="s">
        <v>350</v>
      </c>
      <c r="Q1139" s="8" t="s">
        <v>446</v>
      </c>
      <c r="R1139" s="6">
        <v>6</v>
      </c>
      <c r="S1139" s="8" t="s">
        <v>75</v>
      </c>
      <c r="T1139" s="9"/>
      <c r="U1139" s="8" t="s">
        <v>240</v>
      </c>
      <c r="V1139" s="8" t="s">
        <v>1973</v>
      </c>
      <c r="W1139" s="8" t="s">
        <v>240</v>
      </c>
      <c r="X1139" s="8" t="s">
        <v>240</v>
      </c>
      <c r="Y1139" s="8" t="s">
        <v>240</v>
      </c>
      <c r="Z1139" s="6" t="b">
        <v>0</v>
      </c>
      <c r="AA1139" s="9"/>
      <c r="AB1139" s="9"/>
    </row>
    <row r="1140" spans="1:28" ht="32">
      <c r="A1140" s="6">
        <v>1260</v>
      </c>
      <c r="B1140" s="8" t="s">
        <v>194</v>
      </c>
      <c r="C1140" s="8" t="s">
        <v>90</v>
      </c>
      <c r="D1140" s="8" t="s">
        <v>1974</v>
      </c>
      <c r="E1140" s="8" t="s">
        <v>1972</v>
      </c>
      <c r="F1140" s="6">
        <v>1259</v>
      </c>
      <c r="G1140" s="6" t="b">
        <v>0</v>
      </c>
      <c r="H1140" s="8" t="s">
        <v>240</v>
      </c>
      <c r="I1140" s="6" t="b">
        <v>0</v>
      </c>
      <c r="J1140" s="6" t="b">
        <v>0</v>
      </c>
      <c r="K1140" s="6" t="b">
        <v>0</v>
      </c>
      <c r="L1140" s="6" t="b">
        <v>1</v>
      </c>
      <c r="M1140" s="6" t="b">
        <v>0</v>
      </c>
      <c r="N1140" s="6">
        <v>6</v>
      </c>
      <c r="O1140" s="8" t="s">
        <v>331</v>
      </c>
      <c r="P1140" s="8" t="s">
        <v>350</v>
      </c>
      <c r="Q1140" s="8" t="s">
        <v>446</v>
      </c>
      <c r="R1140" s="6">
        <v>2</v>
      </c>
      <c r="S1140" s="8" t="s">
        <v>237</v>
      </c>
      <c r="T1140" s="6">
        <v>8</v>
      </c>
      <c r="U1140" s="8" t="s">
        <v>240</v>
      </c>
      <c r="V1140" s="8" t="s">
        <v>1973</v>
      </c>
      <c r="W1140" s="8" t="s">
        <v>240</v>
      </c>
      <c r="X1140" s="8" t="s">
        <v>240</v>
      </c>
      <c r="Y1140" s="8" t="s">
        <v>240</v>
      </c>
      <c r="Z1140" s="6" t="b">
        <v>0</v>
      </c>
      <c r="AA1140" s="9"/>
      <c r="AB1140" s="9"/>
    </row>
    <row r="1141" spans="1:28" ht="32">
      <c r="A1141" s="6">
        <v>1261</v>
      </c>
      <c r="B1141" s="8" t="s">
        <v>194</v>
      </c>
      <c r="C1141" s="8" t="s">
        <v>90</v>
      </c>
      <c r="D1141" s="8" t="s">
        <v>1975</v>
      </c>
      <c r="E1141" s="8" t="s">
        <v>1972</v>
      </c>
      <c r="F1141" s="6">
        <v>1259</v>
      </c>
      <c r="G1141" s="6" t="b">
        <v>0</v>
      </c>
      <c r="H1141" s="8" t="s">
        <v>240</v>
      </c>
      <c r="I1141" s="6" t="b">
        <v>0</v>
      </c>
      <c r="J1141" s="6" t="b">
        <v>0</v>
      </c>
      <c r="K1141" s="6" t="b">
        <v>0</v>
      </c>
      <c r="L1141" s="6" t="b">
        <v>1</v>
      </c>
      <c r="M1141" s="6" t="b">
        <v>0</v>
      </c>
      <c r="N1141" s="6">
        <v>6</v>
      </c>
      <c r="O1141" s="8" t="s">
        <v>331</v>
      </c>
      <c r="P1141" s="8" t="s">
        <v>350</v>
      </c>
      <c r="Q1141" s="8" t="s">
        <v>446</v>
      </c>
      <c r="R1141" s="6">
        <v>6</v>
      </c>
      <c r="S1141" s="8" t="s">
        <v>75</v>
      </c>
      <c r="T1141" s="9"/>
      <c r="U1141" s="8" t="s">
        <v>240</v>
      </c>
      <c r="V1141" s="8" t="s">
        <v>1973</v>
      </c>
      <c r="W1141" s="8" t="s">
        <v>240</v>
      </c>
      <c r="X1141" s="8" t="s">
        <v>240</v>
      </c>
      <c r="Y1141" s="8" t="s">
        <v>240</v>
      </c>
      <c r="Z1141" s="6" t="b">
        <v>0</v>
      </c>
      <c r="AA1141" s="9"/>
      <c r="AB1141" s="9"/>
    </row>
    <row r="1142" spans="1:28" ht="16">
      <c r="A1142" s="6">
        <v>1262</v>
      </c>
      <c r="B1142" s="8" t="s">
        <v>194</v>
      </c>
      <c r="C1142" s="8" t="s">
        <v>108</v>
      </c>
      <c r="D1142" s="8" t="s">
        <v>1976</v>
      </c>
      <c r="E1142" s="8" t="s">
        <v>1976</v>
      </c>
      <c r="F1142" s="6">
        <v>1262</v>
      </c>
      <c r="G1142" s="6" t="b">
        <v>0</v>
      </c>
      <c r="H1142" s="8" t="s">
        <v>240</v>
      </c>
      <c r="I1142" s="6" t="b">
        <v>0</v>
      </c>
      <c r="J1142" s="6" t="b">
        <v>0</v>
      </c>
      <c r="K1142" s="6" t="b">
        <v>0</v>
      </c>
      <c r="L1142" s="6" t="b">
        <v>1</v>
      </c>
      <c r="M1142" s="6" t="b">
        <v>0</v>
      </c>
      <c r="N1142" s="6">
        <v>3</v>
      </c>
      <c r="O1142" s="8" t="s">
        <v>347</v>
      </c>
      <c r="P1142" s="8" t="s">
        <v>238</v>
      </c>
      <c r="Q1142" s="8" t="s">
        <v>381</v>
      </c>
      <c r="R1142" s="6">
        <v>3</v>
      </c>
      <c r="S1142" s="8" t="s">
        <v>347</v>
      </c>
      <c r="T1142" s="9"/>
      <c r="U1142" s="8" t="s">
        <v>240</v>
      </c>
      <c r="V1142" s="8" t="s">
        <v>496</v>
      </c>
      <c r="W1142" s="8" t="s">
        <v>240</v>
      </c>
      <c r="X1142" s="8" t="s">
        <v>240</v>
      </c>
      <c r="Y1142" s="8" t="s">
        <v>1977</v>
      </c>
      <c r="Z1142" s="6" t="b">
        <v>0</v>
      </c>
      <c r="AA1142" s="9"/>
      <c r="AB1142" s="9"/>
    </row>
    <row r="1143" spans="1:28" ht="16">
      <c r="A1143" s="6">
        <v>1263</v>
      </c>
      <c r="B1143" s="8" t="s">
        <v>194</v>
      </c>
      <c r="C1143" s="8" t="s">
        <v>1978</v>
      </c>
      <c r="D1143" s="8" t="s">
        <v>1979</v>
      </c>
      <c r="E1143" s="8" t="s">
        <v>1979</v>
      </c>
      <c r="F1143" s="6">
        <v>1263</v>
      </c>
      <c r="G1143" s="6" t="b">
        <v>0</v>
      </c>
      <c r="H1143" s="8" t="s">
        <v>240</v>
      </c>
      <c r="I1143" s="6" t="b">
        <v>0</v>
      </c>
      <c r="J1143" s="6" t="b">
        <v>0</v>
      </c>
      <c r="K1143" s="6" t="b">
        <v>0</v>
      </c>
      <c r="L1143" s="6" t="b">
        <v>1</v>
      </c>
      <c r="M1143" s="6" t="b">
        <v>0</v>
      </c>
      <c r="N1143" s="6">
        <v>6</v>
      </c>
      <c r="O1143" s="8" t="s">
        <v>331</v>
      </c>
      <c r="P1143" s="8" t="s">
        <v>238</v>
      </c>
      <c r="Q1143" s="8" t="s">
        <v>381</v>
      </c>
      <c r="R1143" s="6">
        <v>7</v>
      </c>
      <c r="S1143" s="8" t="s">
        <v>247</v>
      </c>
      <c r="T1143" s="9"/>
      <c r="U1143" s="8" t="s">
        <v>1980</v>
      </c>
      <c r="V1143" s="8" t="s">
        <v>496</v>
      </c>
      <c r="W1143" s="8" t="s">
        <v>240</v>
      </c>
      <c r="X1143" s="8" t="s">
        <v>240</v>
      </c>
      <c r="Y1143" s="8" t="s">
        <v>240</v>
      </c>
      <c r="Z1143" s="6" t="b">
        <v>0</v>
      </c>
      <c r="AA1143" s="9"/>
      <c r="AB1143" s="9"/>
    </row>
    <row r="1144" spans="1:28" ht="32">
      <c r="A1144" s="6">
        <v>1264</v>
      </c>
      <c r="B1144" s="8" t="s">
        <v>194</v>
      </c>
      <c r="C1144" s="8" t="s">
        <v>1978</v>
      </c>
      <c r="D1144" s="8" t="s">
        <v>1981</v>
      </c>
      <c r="E1144" s="8" t="s">
        <v>1979</v>
      </c>
      <c r="F1144" s="6">
        <v>1263</v>
      </c>
      <c r="G1144" s="6" t="b">
        <v>0</v>
      </c>
      <c r="H1144" s="8" t="s">
        <v>240</v>
      </c>
      <c r="I1144" s="6" t="b">
        <v>0</v>
      </c>
      <c r="J1144" s="6" t="b">
        <v>0</v>
      </c>
      <c r="K1144" s="6" t="b">
        <v>0</v>
      </c>
      <c r="L1144" s="6" t="b">
        <v>1</v>
      </c>
      <c r="M1144" s="6" t="b">
        <v>0</v>
      </c>
      <c r="N1144" s="6">
        <v>6</v>
      </c>
      <c r="O1144" s="8" t="s">
        <v>331</v>
      </c>
      <c r="P1144" s="8" t="s">
        <v>238</v>
      </c>
      <c r="Q1144" s="8" t="s">
        <v>381</v>
      </c>
      <c r="R1144" s="6">
        <v>6</v>
      </c>
      <c r="S1144" s="8" t="s">
        <v>75</v>
      </c>
      <c r="T1144" s="9"/>
      <c r="U1144" s="8" t="s">
        <v>1982</v>
      </c>
      <c r="V1144" s="8" t="s">
        <v>496</v>
      </c>
      <c r="W1144" s="8" t="s">
        <v>240</v>
      </c>
      <c r="X1144" s="8" t="s">
        <v>240</v>
      </c>
      <c r="Y1144" s="8" t="s">
        <v>240</v>
      </c>
      <c r="Z1144" s="6" t="b">
        <v>0</v>
      </c>
      <c r="AA1144" s="9"/>
      <c r="AB1144" s="9"/>
    </row>
    <row r="1145" spans="1:28" ht="32">
      <c r="A1145" s="6">
        <v>1265</v>
      </c>
      <c r="B1145" s="8" t="s">
        <v>194</v>
      </c>
      <c r="C1145" s="8" t="s">
        <v>108</v>
      </c>
      <c r="D1145" s="8" t="s">
        <v>1983</v>
      </c>
      <c r="E1145" s="8" t="s">
        <v>1983</v>
      </c>
      <c r="F1145" s="6">
        <v>1265</v>
      </c>
      <c r="G1145" s="6" t="b">
        <v>0</v>
      </c>
      <c r="H1145" s="8" t="s">
        <v>240</v>
      </c>
      <c r="I1145" s="6" t="b">
        <v>0</v>
      </c>
      <c r="J1145" s="6" t="b">
        <v>0</v>
      </c>
      <c r="K1145" s="6" t="b">
        <v>0</v>
      </c>
      <c r="L1145" s="6" t="b">
        <v>1</v>
      </c>
      <c r="M1145" s="6" t="b">
        <v>0</v>
      </c>
      <c r="N1145" s="6">
        <v>3</v>
      </c>
      <c r="O1145" s="8" t="s">
        <v>347</v>
      </c>
      <c r="P1145" s="8" t="s">
        <v>380</v>
      </c>
      <c r="Q1145" s="8" t="s">
        <v>811</v>
      </c>
      <c r="R1145" s="6">
        <v>6</v>
      </c>
      <c r="S1145" s="8" t="s">
        <v>347</v>
      </c>
      <c r="T1145" s="6">
        <v>6</v>
      </c>
      <c r="U1145" s="8" t="s">
        <v>240</v>
      </c>
      <c r="V1145" s="8" t="s">
        <v>1559</v>
      </c>
      <c r="W1145" s="8" t="s">
        <v>240</v>
      </c>
      <c r="X1145" s="8" t="s">
        <v>240</v>
      </c>
      <c r="Y1145" s="8" t="s">
        <v>240</v>
      </c>
      <c r="Z1145" s="6" t="b">
        <v>0</v>
      </c>
      <c r="AA1145" s="9"/>
      <c r="AB1145" s="9"/>
    </row>
    <row r="1146" spans="1:28" ht="32">
      <c r="A1146" s="6">
        <v>1266</v>
      </c>
      <c r="B1146" s="8" t="s">
        <v>194</v>
      </c>
      <c r="C1146" s="8" t="s">
        <v>108</v>
      </c>
      <c r="D1146" s="8" t="s">
        <v>1984</v>
      </c>
      <c r="E1146" s="8" t="s">
        <v>1983</v>
      </c>
      <c r="F1146" s="6">
        <v>1265</v>
      </c>
      <c r="G1146" s="6" t="b">
        <v>0</v>
      </c>
      <c r="H1146" s="8" t="s">
        <v>240</v>
      </c>
      <c r="I1146" s="6" t="b">
        <v>0</v>
      </c>
      <c r="J1146" s="6" t="b">
        <v>0</v>
      </c>
      <c r="K1146" s="6" t="b">
        <v>0</v>
      </c>
      <c r="L1146" s="6" t="b">
        <v>1</v>
      </c>
      <c r="M1146" s="6" t="b">
        <v>0</v>
      </c>
      <c r="N1146" s="6">
        <v>3</v>
      </c>
      <c r="O1146" s="8" t="s">
        <v>347</v>
      </c>
      <c r="P1146" s="8" t="s">
        <v>380</v>
      </c>
      <c r="Q1146" s="8" t="s">
        <v>811</v>
      </c>
      <c r="R1146" s="6">
        <v>3</v>
      </c>
      <c r="S1146" s="8" t="s">
        <v>75</v>
      </c>
      <c r="T1146" s="9"/>
      <c r="U1146" s="8" t="s">
        <v>240</v>
      </c>
      <c r="V1146" s="8" t="s">
        <v>1559</v>
      </c>
      <c r="W1146" s="8" t="s">
        <v>240</v>
      </c>
      <c r="X1146" s="8" t="s">
        <v>240</v>
      </c>
      <c r="Y1146" s="8" t="s">
        <v>240</v>
      </c>
      <c r="Z1146" s="6" t="b">
        <v>0</v>
      </c>
      <c r="AA1146" s="9"/>
      <c r="AB1146" s="9"/>
    </row>
    <row r="1147" spans="1:28" ht="16">
      <c r="A1147" s="6">
        <v>1267</v>
      </c>
      <c r="B1147" s="8" t="s">
        <v>194</v>
      </c>
      <c r="C1147" s="8" t="s">
        <v>1978</v>
      </c>
      <c r="D1147" s="8" t="s">
        <v>1985</v>
      </c>
      <c r="E1147" s="8" t="s">
        <v>1985</v>
      </c>
      <c r="F1147" s="6">
        <v>1267</v>
      </c>
      <c r="G1147" s="6" t="b">
        <v>0</v>
      </c>
      <c r="H1147" s="8" t="s">
        <v>240</v>
      </c>
      <c r="I1147" s="6" t="b">
        <v>0</v>
      </c>
      <c r="J1147" s="6" t="b">
        <v>0</v>
      </c>
      <c r="K1147" s="6" t="b">
        <v>0</v>
      </c>
      <c r="L1147" s="6" t="b">
        <v>1</v>
      </c>
      <c r="M1147" s="6" t="b">
        <v>0</v>
      </c>
      <c r="N1147" s="6">
        <v>6</v>
      </c>
      <c r="O1147" s="8" t="s">
        <v>331</v>
      </c>
      <c r="P1147" s="8" t="s">
        <v>238</v>
      </c>
      <c r="Q1147" s="8" t="s">
        <v>381</v>
      </c>
      <c r="R1147" s="6">
        <v>7</v>
      </c>
      <c r="S1147" s="8" t="s">
        <v>247</v>
      </c>
      <c r="T1147" s="9"/>
      <c r="U1147" s="8" t="s">
        <v>1980</v>
      </c>
      <c r="V1147" s="8" t="s">
        <v>450</v>
      </c>
      <c r="W1147" s="8" t="s">
        <v>240</v>
      </c>
      <c r="X1147" s="8" t="s">
        <v>240</v>
      </c>
      <c r="Y1147" s="8" t="s">
        <v>1986</v>
      </c>
      <c r="Z1147" s="6" t="b">
        <v>0</v>
      </c>
      <c r="AA1147" s="9"/>
      <c r="AB1147" s="9"/>
    </row>
    <row r="1148" spans="1:28" ht="16">
      <c r="A1148" s="6">
        <v>1268</v>
      </c>
      <c r="B1148" s="8" t="s">
        <v>194</v>
      </c>
      <c r="C1148" s="8" t="s">
        <v>1978</v>
      </c>
      <c r="D1148" s="8" t="s">
        <v>1987</v>
      </c>
      <c r="E1148" s="8" t="s">
        <v>1985</v>
      </c>
      <c r="F1148" s="6">
        <v>1267</v>
      </c>
      <c r="G1148" s="6" t="b">
        <v>0</v>
      </c>
      <c r="H1148" s="8" t="s">
        <v>240</v>
      </c>
      <c r="I1148" s="6" t="b">
        <v>0</v>
      </c>
      <c r="J1148" s="6" t="b">
        <v>0</v>
      </c>
      <c r="K1148" s="6" t="b">
        <v>0</v>
      </c>
      <c r="L1148" s="6" t="b">
        <v>1</v>
      </c>
      <c r="M1148" s="6" t="b">
        <v>0</v>
      </c>
      <c r="N1148" s="6">
        <v>6</v>
      </c>
      <c r="O1148" s="8" t="s">
        <v>331</v>
      </c>
      <c r="P1148" s="8" t="s">
        <v>238</v>
      </c>
      <c r="Q1148" s="8" t="s">
        <v>381</v>
      </c>
      <c r="R1148" s="6">
        <v>6</v>
      </c>
      <c r="S1148" s="8" t="s">
        <v>75</v>
      </c>
      <c r="T1148" s="9"/>
      <c r="U1148" s="8" t="s">
        <v>1982</v>
      </c>
      <c r="V1148" s="8" t="s">
        <v>450</v>
      </c>
      <c r="W1148" s="8" t="s">
        <v>240</v>
      </c>
      <c r="X1148" s="8" t="s">
        <v>240</v>
      </c>
      <c r="Y1148" s="8" t="s">
        <v>1988</v>
      </c>
      <c r="Z1148" s="6" t="b">
        <v>0</v>
      </c>
      <c r="AA1148" s="9"/>
      <c r="AB1148" s="9"/>
    </row>
    <row r="1149" spans="1:28" ht="16">
      <c r="A1149" s="6">
        <v>1269</v>
      </c>
      <c r="B1149" s="8" t="s">
        <v>194</v>
      </c>
      <c r="C1149" s="8" t="s">
        <v>1978</v>
      </c>
      <c r="D1149" s="8" t="s">
        <v>1989</v>
      </c>
      <c r="E1149" s="8" t="s">
        <v>1989</v>
      </c>
      <c r="F1149" s="6">
        <v>1269</v>
      </c>
      <c r="G1149" s="6" t="b">
        <v>0</v>
      </c>
      <c r="H1149" s="8" t="s">
        <v>240</v>
      </c>
      <c r="I1149" s="6" t="b">
        <v>0</v>
      </c>
      <c r="J1149" s="6" t="b">
        <v>0</v>
      </c>
      <c r="K1149" s="6" t="b">
        <v>0</v>
      </c>
      <c r="L1149" s="6" t="b">
        <v>1</v>
      </c>
      <c r="M1149" s="6" t="b">
        <v>0</v>
      </c>
      <c r="N1149" s="6">
        <v>6</v>
      </c>
      <c r="O1149" s="8" t="s">
        <v>331</v>
      </c>
      <c r="P1149" s="8" t="s">
        <v>1176</v>
      </c>
      <c r="Q1149" s="8" t="s">
        <v>446</v>
      </c>
      <c r="R1149" s="6">
        <v>6</v>
      </c>
      <c r="S1149" s="8" t="s">
        <v>75</v>
      </c>
      <c r="T1149" s="9"/>
      <c r="U1149" s="8" t="s">
        <v>240</v>
      </c>
      <c r="V1149" s="8" t="s">
        <v>450</v>
      </c>
      <c r="W1149" s="8" t="s">
        <v>240</v>
      </c>
      <c r="X1149" s="8" t="s">
        <v>240</v>
      </c>
      <c r="Y1149" s="8" t="s">
        <v>240</v>
      </c>
      <c r="Z1149" s="6" t="b">
        <v>0</v>
      </c>
      <c r="AA1149" s="9"/>
      <c r="AB1149" s="9"/>
    </row>
    <row r="1150" spans="1:28" ht="16">
      <c r="A1150" s="6">
        <v>1270</v>
      </c>
      <c r="B1150" s="8" t="s">
        <v>194</v>
      </c>
      <c r="C1150" s="8" t="s">
        <v>90</v>
      </c>
      <c r="D1150" s="8" t="s">
        <v>1990</v>
      </c>
      <c r="E1150" s="8" t="s">
        <v>1990</v>
      </c>
      <c r="F1150" s="6">
        <v>1270</v>
      </c>
      <c r="G1150" s="6" t="b">
        <v>0</v>
      </c>
      <c r="H1150" s="8" t="s">
        <v>240</v>
      </c>
      <c r="I1150" s="6" t="b">
        <v>0</v>
      </c>
      <c r="J1150" s="6" t="b">
        <v>1</v>
      </c>
      <c r="K1150" s="6" t="b">
        <v>0</v>
      </c>
      <c r="L1150" s="6" t="b">
        <v>1</v>
      </c>
      <c r="M1150" s="6" t="b">
        <v>0</v>
      </c>
      <c r="N1150" s="6">
        <v>6</v>
      </c>
      <c r="O1150" s="8" t="s">
        <v>331</v>
      </c>
      <c r="P1150" s="8" t="s">
        <v>350</v>
      </c>
      <c r="Q1150" s="8" t="s">
        <v>335</v>
      </c>
      <c r="R1150" s="6">
        <v>4</v>
      </c>
      <c r="S1150" s="8" t="s">
        <v>347</v>
      </c>
      <c r="T1150" s="6">
        <v>4</v>
      </c>
      <c r="U1150" s="8" t="s">
        <v>240</v>
      </c>
      <c r="V1150" s="8" t="s">
        <v>450</v>
      </c>
      <c r="W1150" s="8" t="s">
        <v>240</v>
      </c>
      <c r="X1150" s="8" t="s">
        <v>240</v>
      </c>
      <c r="Y1150" s="8" t="s">
        <v>240</v>
      </c>
      <c r="Z1150" s="6" t="b">
        <v>0</v>
      </c>
      <c r="AA1150" s="9"/>
      <c r="AB1150" s="9"/>
    </row>
    <row r="1151" spans="1:28" ht="16">
      <c r="A1151" s="6">
        <v>1271</v>
      </c>
      <c r="B1151" s="8" t="s">
        <v>194</v>
      </c>
      <c r="C1151" s="8" t="s">
        <v>90</v>
      </c>
      <c r="D1151" s="8" t="s">
        <v>1991</v>
      </c>
      <c r="E1151" s="8" t="s">
        <v>1991</v>
      </c>
      <c r="F1151" s="6">
        <v>1271</v>
      </c>
      <c r="G1151" s="6" t="b">
        <v>0</v>
      </c>
      <c r="H1151" s="8" t="s">
        <v>240</v>
      </c>
      <c r="I1151" s="6" t="b">
        <v>0</v>
      </c>
      <c r="J1151" s="6" t="b">
        <v>0</v>
      </c>
      <c r="K1151" s="6" t="b">
        <v>1</v>
      </c>
      <c r="L1151" s="6" t="b">
        <v>1</v>
      </c>
      <c r="M1151" s="6" t="b">
        <v>0</v>
      </c>
      <c r="N1151" s="6">
        <v>6</v>
      </c>
      <c r="O1151" s="8" t="s">
        <v>331</v>
      </c>
      <c r="P1151" s="8" t="s">
        <v>238</v>
      </c>
      <c r="Q1151" s="8" t="s">
        <v>239</v>
      </c>
      <c r="R1151" s="6">
        <v>10</v>
      </c>
      <c r="S1151" s="8" t="s">
        <v>347</v>
      </c>
      <c r="T1151" s="9"/>
      <c r="U1151" s="8" t="s">
        <v>240</v>
      </c>
      <c r="V1151" s="8" t="s">
        <v>450</v>
      </c>
      <c r="W1151" s="8" t="s">
        <v>240</v>
      </c>
      <c r="X1151" s="8" t="s">
        <v>240</v>
      </c>
      <c r="Y1151" s="8" t="s">
        <v>240</v>
      </c>
      <c r="Z1151" s="6" t="b">
        <v>0</v>
      </c>
      <c r="AA1151" s="9"/>
      <c r="AB1151" s="9"/>
    </row>
    <row r="1152" spans="1:28" ht="32">
      <c r="A1152" s="6">
        <v>1272</v>
      </c>
      <c r="B1152" s="8" t="s">
        <v>194</v>
      </c>
      <c r="C1152" s="8" t="s">
        <v>90</v>
      </c>
      <c r="D1152" s="8" t="s">
        <v>1992</v>
      </c>
      <c r="E1152" s="8" t="s">
        <v>1991</v>
      </c>
      <c r="F1152" s="6">
        <v>1271</v>
      </c>
      <c r="G1152" s="6" t="b">
        <v>0</v>
      </c>
      <c r="H1152" s="8" t="s">
        <v>240</v>
      </c>
      <c r="I1152" s="6" t="b">
        <v>0</v>
      </c>
      <c r="J1152" s="6" t="b">
        <v>0</v>
      </c>
      <c r="K1152" s="6" t="b">
        <v>1</v>
      </c>
      <c r="L1152" s="6" t="b">
        <v>1</v>
      </c>
      <c r="M1152" s="6" t="b">
        <v>0</v>
      </c>
      <c r="N1152" s="6">
        <v>6</v>
      </c>
      <c r="O1152" s="8" t="s">
        <v>331</v>
      </c>
      <c r="P1152" s="8" t="s">
        <v>238</v>
      </c>
      <c r="Q1152" s="8" t="s">
        <v>239</v>
      </c>
      <c r="R1152" s="6">
        <v>10</v>
      </c>
      <c r="S1152" s="8" t="s">
        <v>347</v>
      </c>
      <c r="T1152" s="9"/>
      <c r="U1152" s="8" t="s">
        <v>1993</v>
      </c>
      <c r="V1152" s="8" t="s">
        <v>450</v>
      </c>
      <c r="W1152" s="8" t="s">
        <v>240</v>
      </c>
      <c r="X1152" s="8" t="s">
        <v>240</v>
      </c>
      <c r="Y1152" s="8" t="s">
        <v>240</v>
      </c>
      <c r="Z1152" s="6" t="b">
        <v>0</v>
      </c>
      <c r="AA1152" s="9"/>
      <c r="AB1152" s="9"/>
    </row>
    <row r="1153" spans="1:28" ht="16">
      <c r="A1153" s="6">
        <v>1273</v>
      </c>
      <c r="B1153" s="8" t="s">
        <v>194</v>
      </c>
      <c r="C1153" s="8" t="s">
        <v>1994</v>
      </c>
      <c r="D1153" s="8" t="s">
        <v>1995</v>
      </c>
      <c r="E1153" s="8" t="s">
        <v>1995</v>
      </c>
      <c r="F1153" s="6">
        <v>1273</v>
      </c>
      <c r="G1153" s="6" t="b">
        <v>0</v>
      </c>
      <c r="H1153" s="8" t="s">
        <v>240</v>
      </c>
      <c r="I1153" s="6" t="b">
        <v>0</v>
      </c>
      <c r="J1153" s="6" t="b">
        <v>0</v>
      </c>
      <c r="K1153" s="6" t="b">
        <v>0</v>
      </c>
      <c r="L1153" s="6" t="b">
        <v>1</v>
      </c>
      <c r="M1153" s="6" t="b">
        <v>0</v>
      </c>
      <c r="N1153" s="6">
        <v>10</v>
      </c>
      <c r="O1153" s="8" t="s">
        <v>347</v>
      </c>
      <c r="P1153" s="8" t="s">
        <v>516</v>
      </c>
      <c r="Q1153" s="8" t="s">
        <v>381</v>
      </c>
      <c r="R1153" s="6">
        <v>10</v>
      </c>
      <c r="S1153" s="8" t="s">
        <v>75</v>
      </c>
      <c r="T1153" s="9"/>
      <c r="U1153" s="8" t="s">
        <v>240</v>
      </c>
      <c r="V1153" s="8" t="s">
        <v>482</v>
      </c>
      <c r="W1153" s="8" t="s">
        <v>240</v>
      </c>
      <c r="X1153" s="8" t="s">
        <v>240</v>
      </c>
      <c r="Y1153" s="8" t="s">
        <v>240</v>
      </c>
      <c r="Z1153" s="6" t="b">
        <v>0</v>
      </c>
      <c r="AA1153" s="9"/>
      <c r="AB1153" s="9"/>
    </row>
    <row r="1154" spans="1:28" ht="16">
      <c r="A1154" s="6">
        <v>1275</v>
      </c>
      <c r="B1154" s="8" t="s">
        <v>194</v>
      </c>
      <c r="C1154" s="8" t="s">
        <v>90</v>
      </c>
      <c r="D1154" s="8" t="s">
        <v>1996</v>
      </c>
      <c r="E1154" s="8" t="s">
        <v>1996</v>
      </c>
      <c r="F1154" s="6">
        <v>1275</v>
      </c>
      <c r="G1154" s="6" t="b">
        <v>0</v>
      </c>
      <c r="H1154" s="8" t="s">
        <v>240</v>
      </c>
      <c r="I1154" s="6" t="b">
        <v>0</v>
      </c>
      <c r="J1154" s="6" t="b">
        <v>1</v>
      </c>
      <c r="K1154" s="6" t="b">
        <v>0</v>
      </c>
      <c r="L1154" s="6" t="b">
        <v>1</v>
      </c>
      <c r="M1154" s="6" t="b">
        <v>0</v>
      </c>
      <c r="N1154" s="6">
        <v>6</v>
      </c>
      <c r="O1154" s="8" t="s">
        <v>331</v>
      </c>
      <c r="P1154" s="8" t="s">
        <v>350</v>
      </c>
      <c r="Q1154" s="8" t="s">
        <v>446</v>
      </c>
      <c r="R1154" s="6">
        <v>6</v>
      </c>
      <c r="S1154" s="8" t="s">
        <v>75</v>
      </c>
      <c r="T1154" s="9"/>
      <c r="U1154" s="8" t="s">
        <v>240</v>
      </c>
      <c r="V1154" s="8" t="s">
        <v>1559</v>
      </c>
      <c r="W1154" s="8" t="s">
        <v>240</v>
      </c>
      <c r="X1154" s="8" t="s">
        <v>240</v>
      </c>
      <c r="Y1154" s="8" t="s">
        <v>240</v>
      </c>
      <c r="Z1154" s="6" t="b">
        <v>0</v>
      </c>
      <c r="AA1154" s="9"/>
      <c r="AB1154" s="9"/>
    </row>
    <row r="1155" spans="1:28" ht="16">
      <c r="A1155" s="6">
        <v>1276</v>
      </c>
      <c r="B1155" s="8" t="s">
        <v>194</v>
      </c>
      <c r="C1155" s="8" t="s">
        <v>90</v>
      </c>
      <c r="D1155" s="8" t="s">
        <v>1997</v>
      </c>
      <c r="E1155" s="8" t="s">
        <v>1996</v>
      </c>
      <c r="F1155" s="6">
        <v>1275</v>
      </c>
      <c r="G1155" s="6" t="b">
        <v>0</v>
      </c>
      <c r="H1155" s="8" t="s">
        <v>240</v>
      </c>
      <c r="I1155" s="6" t="b">
        <v>0</v>
      </c>
      <c r="J1155" s="6" t="b">
        <v>1</v>
      </c>
      <c r="K1155" s="6" t="b">
        <v>0</v>
      </c>
      <c r="L1155" s="6" t="b">
        <v>1</v>
      </c>
      <c r="M1155" s="6" t="b">
        <v>0</v>
      </c>
      <c r="N1155" s="6">
        <v>6</v>
      </c>
      <c r="O1155" s="8" t="s">
        <v>331</v>
      </c>
      <c r="P1155" s="8" t="s">
        <v>350</v>
      </c>
      <c r="Q1155" s="8" t="s">
        <v>446</v>
      </c>
      <c r="R1155" s="6">
        <v>6</v>
      </c>
      <c r="S1155" s="8" t="s">
        <v>75</v>
      </c>
      <c r="T1155" s="9"/>
      <c r="U1155" s="8" t="s">
        <v>240</v>
      </c>
      <c r="V1155" s="8" t="s">
        <v>1559</v>
      </c>
      <c r="W1155" s="8" t="s">
        <v>240</v>
      </c>
      <c r="X1155" s="8" t="s">
        <v>240</v>
      </c>
      <c r="Y1155" s="8" t="s">
        <v>240</v>
      </c>
      <c r="Z1155" s="6" t="b">
        <v>0</v>
      </c>
      <c r="AA1155" s="9"/>
      <c r="AB1155" s="9"/>
    </row>
    <row r="1156" spans="1:28" ht="16">
      <c r="A1156" s="6">
        <v>1277</v>
      </c>
      <c r="B1156" s="8" t="s">
        <v>194</v>
      </c>
      <c r="C1156" s="8" t="s">
        <v>90</v>
      </c>
      <c r="D1156" s="8" t="s">
        <v>1998</v>
      </c>
      <c r="E1156" s="8" t="s">
        <v>1998</v>
      </c>
      <c r="F1156" s="6">
        <v>1277</v>
      </c>
      <c r="G1156" s="6" t="b">
        <v>0</v>
      </c>
      <c r="H1156" s="8" t="s">
        <v>240</v>
      </c>
      <c r="I1156" s="6" t="b">
        <v>1</v>
      </c>
      <c r="J1156" s="6" t="b">
        <v>0</v>
      </c>
      <c r="K1156" s="6" t="b">
        <v>0</v>
      </c>
      <c r="L1156" s="6" t="b">
        <v>1</v>
      </c>
      <c r="M1156" s="6" t="b">
        <v>0</v>
      </c>
      <c r="N1156" s="6">
        <v>6</v>
      </c>
      <c r="O1156" s="8" t="s">
        <v>331</v>
      </c>
      <c r="P1156" s="8" t="s">
        <v>350</v>
      </c>
      <c r="Q1156" s="8" t="s">
        <v>927</v>
      </c>
      <c r="R1156" s="6">
        <v>7</v>
      </c>
      <c r="S1156" s="8" t="s">
        <v>347</v>
      </c>
      <c r="T1156" s="6">
        <v>7</v>
      </c>
      <c r="U1156" s="8" t="s">
        <v>240</v>
      </c>
      <c r="V1156" s="8" t="s">
        <v>1012</v>
      </c>
      <c r="W1156" s="8" t="s">
        <v>240</v>
      </c>
      <c r="X1156" s="8" t="s">
        <v>240</v>
      </c>
      <c r="Y1156" s="8" t="s">
        <v>1999</v>
      </c>
      <c r="Z1156" s="6" t="b">
        <v>0</v>
      </c>
      <c r="AA1156" s="9"/>
      <c r="AB1156" s="9"/>
    </row>
    <row r="1157" spans="1:28" ht="32">
      <c r="A1157" s="6">
        <v>1278</v>
      </c>
      <c r="B1157" s="8" t="s">
        <v>194</v>
      </c>
      <c r="C1157" s="8" t="s">
        <v>90</v>
      </c>
      <c r="D1157" s="8" t="s">
        <v>2000</v>
      </c>
      <c r="E1157" s="8" t="s">
        <v>1998</v>
      </c>
      <c r="F1157" s="6">
        <v>1277</v>
      </c>
      <c r="G1157" s="6" t="b">
        <v>0</v>
      </c>
      <c r="H1157" s="8" t="s">
        <v>240</v>
      </c>
      <c r="I1157" s="6" t="b">
        <v>1</v>
      </c>
      <c r="J1157" s="6" t="b">
        <v>0</v>
      </c>
      <c r="K1157" s="6" t="b">
        <v>0</v>
      </c>
      <c r="L1157" s="6" t="b">
        <v>1</v>
      </c>
      <c r="M1157" s="6" t="b">
        <v>0</v>
      </c>
      <c r="N1157" s="6">
        <v>6</v>
      </c>
      <c r="O1157" s="8" t="s">
        <v>331</v>
      </c>
      <c r="P1157" s="8" t="s">
        <v>350</v>
      </c>
      <c r="Q1157" s="8" t="s">
        <v>335</v>
      </c>
      <c r="R1157" s="6">
        <v>7</v>
      </c>
      <c r="S1157" s="8" t="s">
        <v>347</v>
      </c>
      <c r="T1157" s="6">
        <v>7</v>
      </c>
      <c r="U1157" s="8" t="s">
        <v>2001</v>
      </c>
      <c r="V1157" s="8" t="s">
        <v>1012</v>
      </c>
      <c r="W1157" s="8" t="s">
        <v>240</v>
      </c>
      <c r="X1157" s="8" t="s">
        <v>240</v>
      </c>
      <c r="Y1157" s="8" t="s">
        <v>240</v>
      </c>
      <c r="Z1157" s="6" t="b">
        <v>0</v>
      </c>
      <c r="AA1157" s="9"/>
      <c r="AB1157" s="9"/>
    </row>
    <row r="1158" spans="1:28" ht="32">
      <c r="A1158" s="6">
        <v>1279</v>
      </c>
      <c r="B1158" s="8" t="s">
        <v>194</v>
      </c>
      <c r="C1158" s="8" t="s">
        <v>90</v>
      </c>
      <c r="D1158" s="8" t="s">
        <v>2002</v>
      </c>
      <c r="E1158" s="8" t="s">
        <v>1998</v>
      </c>
      <c r="F1158" s="6">
        <v>1277</v>
      </c>
      <c r="G1158" s="6" t="b">
        <v>0</v>
      </c>
      <c r="H1158" s="8" t="s">
        <v>240</v>
      </c>
      <c r="I1158" s="6" t="b">
        <v>1</v>
      </c>
      <c r="J1158" s="6" t="b">
        <v>0</v>
      </c>
      <c r="K1158" s="6" t="b">
        <v>0</v>
      </c>
      <c r="L1158" s="6" t="b">
        <v>1</v>
      </c>
      <c r="M1158" s="6" t="b">
        <v>0</v>
      </c>
      <c r="N1158" s="6">
        <v>6</v>
      </c>
      <c r="O1158" s="8" t="s">
        <v>331</v>
      </c>
      <c r="P1158" s="8" t="s">
        <v>350</v>
      </c>
      <c r="Q1158" s="8" t="s">
        <v>335</v>
      </c>
      <c r="R1158" s="6">
        <v>7</v>
      </c>
      <c r="S1158" s="8" t="s">
        <v>347</v>
      </c>
      <c r="T1158" s="6">
        <v>7</v>
      </c>
      <c r="U1158" s="8" t="s">
        <v>240</v>
      </c>
      <c r="V1158" s="8" t="s">
        <v>1012</v>
      </c>
      <c r="W1158" s="8" t="s">
        <v>240</v>
      </c>
      <c r="X1158" s="8" t="s">
        <v>240</v>
      </c>
      <c r="Y1158" s="8" t="s">
        <v>240</v>
      </c>
      <c r="Z1158" s="6" t="b">
        <v>0</v>
      </c>
      <c r="AA1158" s="9"/>
      <c r="AB1158" s="9"/>
    </row>
    <row r="1159" spans="1:28" ht="16">
      <c r="A1159" s="6">
        <v>1280</v>
      </c>
      <c r="B1159" s="8" t="s">
        <v>194</v>
      </c>
      <c r="C1159" s="8" t="s">
        <v>90</v>
      </c>
      <c r="D1159" s="8" t="s">
        <v>2003</v>
      </c>
      <c r="E1159" s="8" t="s">
        <v>1998</v>
      </c>
      <c r="F1159" s="6">
        <v>1277</v>
      </c>
      <c r="G1159" s="6" t="b">
        <v>0</v>
      </c>
      <c r="H1159" s="8" t="s">
        <v>240</v>
      </c>
      <c r="I1159" s="6" t="b">
        <v>1</v>
      </c>
      <c r="J1159" s="6" t="b">
        <v>0</v>
      </c>
      <c r="K1159" s="6" t="b">
        <v>0</v>
      </c>
      <c r="L1159" s="6" t="b">
        <v>1</v>
      </c>
      <c r="M1159" s="6" t="b">
        <v>0</v>
      </c>
      <c r="N1159" s="6">
        <v>6</v>
      </c>
      <c r="O1159" s="8" t="s">
        <v>331</v>
      </c>
      <c r="P1159" s="8" t="s">
        <v>350</v>
      </c>
      <c r="Q1159" s="8" t="s">
        <v>335</v>
      </c>
      <c r="R1159" s="6">
        <v>7</v>
      </c>
      <c r="S1159" s="8" t="s">
        <v>347</v>
      </c>
      <c r="T1159" s="9"/>
      <c r="U1159" s="8" t="s">
        <v>240</v>
      </c>
      <c r="V1159" s="8" t="s">
        <v>1012</v>
      </c>
      <c r="W1159" s="8" t="s">
        <v>240</v>
      </c>
      <c r="X1159" s="8" t="s">
        <v>240</v>
      </c>
      <c r="Y1159" s="8" t="s">
        <v>240</v>
      </c>
      <c r="Z1159" s="6" t="b">
        <v>0</v>
      </c>
      <c r="AA1159" s="9"/>
      <c r="AB1159" s="9"/>
    </row>
    <row r="1160" spans="1:28" ht="16">
      <c r="A1160" s="6">
        <v>1281</v>
      </c>
      <c r="B1160" s="8" t="s">
        <v>194</v>
      </c>
      <c r="C1160" s="8" t="s">
        <v>90</v>
      </c>
      <c r="D1160" s="8" t="s">
        <v>2004</v>
      </c>
      <c r="E1160" s="8" t="s">
        <v>1998</v>
      </c>
      <c r="F1160" s="6">
        <v>1277</v>
      </c>
      <c r="G1160" s="6" t="b">
        <v>0</v>
      </c>
      <c r="H1160" s="8" t="s">
        <v>240</v>
      </c>
      <c r="I1160" s="6" t="b">
        <v>1</v>
      </c>
      <c r="J1160" s="6" t="b">
        <v>0</v>
      </c>
      <c r="K1160" s="6" t="b">
        <v>0</v>
      </c>
      <c r="L1160" s="6" t="b">
        <v>1</v>
      </c>
      <c r="M1160" s="6" t="b">
        <v>0</v>
      </c>
      <c r="N1160" s="6">
        <v>6</v>
      </c>
      <c r="O1160" s="8" t="s">
        <v>331</v>
      </c>
      <c r="P1160" s="8" t="s">
        <v>350</v>
      </c>
      <c r="Q1160" s="8" t="s">
        <v>335</v>
      </c>
      <c r="R1160" s="6">
        <v>7</v>
      </c>
      <c r="S1160" s="8" t="s">
        <v>347</v>
      </c>
      <c r="T1160" s="6">
        <v>7</v>
      </c>
      <c r="U1160" s="8" t="s">
        <v>2001</v>
      </c>
      <c r="V1160" s="8" t="s">
        <v>1012</v>
      </c>
      <c r="W1160" s="8" t="s">
        <v>240</v>
      </c>
      <c r="X1160" s="8" t="s">
        <v>240</v>
      </c>
      <c r="Y1160" s="8" t="s">
        <v>2005</v>
      </c>
      <c r="Z1160" s="6" t="b">
        <v>0</v>
      </c>
      <c r="AA1160" s="9"/>
      <c r="AB1160" s="9"/>
    </row>
    <row r="1161" spans="1:28" ht="32">
      <c r="A1161" s="6">
        <v>1282</v>
      </c>
      <c r="B1161" s="8" t="s">
        <v>194</v>
      </c>
      <c r="C1161" s="8" t="s">
        <v>90</v>
      </c>
      <c r="D1161" s="8" t="s">
        <v>2006</v>
      </c>
      <c r="E1161" s="8" t="s">
        <v>1998</v>
      </c>
      <c r="F1161" s="6">
        <v>1277</v>
      </c>
      <c r="G1161" s="6" t="b">
        <v>0</v>
      </c>
      <c r="H1161" s="8" t="s">
        <v>240</v>
      </c>
      <c r="I1161" s="6" t="b">
        <v>1</v>
      </c>
      <c r="J1161" s="6" t="b">
        <v>0</v>
      </c>
      <c r="K1161" s="6" t="b">
        <v>0</v>
      </c>
      <c r="L1161" s="6" t="b">
        <v>1</v>
      </c>
      <c r="M1161" s="6" t="b">
        <v>0</v>
      </c>
      <c r="N1161" s="6">
        <v>6</v>
      </c>
      <c r="O1161" s="8" t="s">
        <v>331</v>
      </c>
      <c r="P1161" s="8" t="s">
        <v>350</v>
      </c>
      <c r="Q1161" s="8" t="s">
        <v>927</v>
      </c>
      <c r="R1161" s="6">
        <v>7</v>
      </c>
      <c r="S1161" s="8" t="s">
        <v>347</v>
      </c>
      <c r="T1161" s="9"/>
      <c r="U1161" s="8" t="s">
        <v>240</v>
      </c>
      <c r="V1161" s="8" t="s">
        <v>1012</v>
      </c>
      <c r="W1161" s="8" t="s">
        <v>240</v>
      </c>
      <c r="X1161" s="8" t="s">
        <v>240</v>
      </c>
      <c r="Y1161" s="8" t="s">
        <v>240</v>
      </c>
      <c r="Z1161" s="6" t="b">
        <v>0</v>
      </c>
      <c r="AA1161" s="9"/>
      <c r="AB1161" s="9"/>
    </row>
    <row r="1162" spans="1:28" ht="16">
      <c r="A1162" s="6">
        <v>1283</v>
      </c>
      <c r="B1162" s="8" t="s">
        <v>194</v>
      </c>
      <c r="C1162" s="8" t="s">
        <v>90</v>
      </c>
      <c r="D1162" s="8" t="s">
        <v>2007</v>
      </c>
      <c r="E1162" s="8" t="s">
        <v>1998</v>
      </c>
      <c r="F1162" s="6">
        <v>1277</v>
      </c>
      <c r="G1162" s="6" t="b">
        <v>0</v>
      </c>
      <c r="H1162" s="8" t="s">
        <v>240</v>
      </c>
      <c r="I1162" s="6" t="b">
        <v>1</v>
      </c>
      <c r="J1162" s="6" t="b">
        <v>0</v>
      </c>
      <c r="K1162" s="6" t="b">
        <v>0</v>
      </c>
      <c r="L1162" s="6" t="b">
        <v>1</v>
      </c>
      <c r="M1162" s="6" t="b">
        <v>0</v>
      </c>
      <c r="N1162" s="6">
        <v>6</v>
      </c>
      <c r="O1162" s="8" t="s">
        <v>331</v>
      </c>
      <c r="P1162" s="8" t="s">
        <v>350</v>
      </c>
      <c r="Q1162" s="8" t="s">
        <v>927</v>
      </c>
      <c r="R1162" s="6">
        <v>7</v>
      </c>
      <c r="S1162" s="8" t="s">
        <v>347</v>
      </c>
      <c r="T1162" s="6">
        <v>7</v>
      </c>
      <c r="U1162" s="8" t="s">
        <v>240</v>
      </c>
      <c r="V1162" s="8" t="s">
        <v>1012</v>
      </c>
      <c r="W1162" s="8" t="s">
        <v>240</v>
      </c>
      <c r="X1162" s="8" t="s">
        <v>240</v>
      </c>
      <c r="Y1162" s="8" t="s">
        <v>240</v>
      </c>
      <c r="Z1162" s="6" t="b">
        <v>0</v>
      </c>
      <c r="AA1162" s="9"/>
      <c r="AB1162" s="9"/>
    </row>
    <row r="1163" spans="1:28" ht="16">
      <c r="A1163" s="6">
        <v>1284</v>
      </c>
      <c r="B1163" s="8" t="s">
        <v>194</v>
      </c>
      <c r="C1163" s="8" t="s">
        <v>90</v>
      </c>
      <c r="D1163" s="8" t="s">
        <v>2008</v>
      </c>
      <c r="E1163" s="8" t="s">
        <v>2008</v>
      </c>
      <c r="F1163" s="6">
        <v>1284</v>
      </c>
      <c r="G1163" s="6" t="b">
        <v>0</v>
      </c>
      <c r="H1163" s="8" t="s">
        <v>240</v>
      </c>
      <c r="I1163" s="6" t="b">
        <v>0</v>
      </c>
      <c r="J1163" s="6" t="b">
        <v>0</v>
      </c>
      <c r="K1163" s="6" t="b">
        <v>0</v>
      </c>
      <c r="L1163" s="6" t="b">
        <v>1</v>
      </c>
      <c r="M1163" s="6" t="b">
        <v>0</v>
      </c>
      <c r="N1163" s="6">
        <v>6</v>
      </c>
      <c r="O1163" s="8" t="s">
        <v>331</v>
      </c>
      <c r="P1163" s="8" t="s">
        <v>1678</v>
      </c>
      <c r="Q1163" s="8" t="s">
        <v>1490</v>
      </c>
      <c r="R1163" s="6">
        <v>7</v>
      </c>
      <c r="S1163" s="8" t="s">
        <v>347</v>
      </c>
      <c r="T1163" s="9"/>
      <c r="U1163" s="8" t="s">
        <v>240</v>
      </c>
      <c r="V1163" s="8" t="s">
        <v>482</v>
      </c>
      <c r="W1163" s="8" t="s">
        <v>240</v>
      </c>
      <c r="X1163" s="8" t="s">
        <v>240</v>
      </c>
      <c r="Y1163" s="8" t="s">
        <v>2009</v>
      </c>
      <c r="Z1163" s="6" t="b">
        <v>0</v>
      </c>
      <c r="AA1163" s="9"/>
      <c r="AB1163" s="9"/>
    </row>
    <row r="1164" spans="1:28" ht="32">
      <c r="A1164" s="6">
        <v>1285</v>
      </c>
      <c r="B1164" s="8" t="s">
        <v>194</v>
      </c>
      <c r="C1164" s="8" t="s">
        <v>90</v>
      </c>
      <c r="D1164" s="8" t="s">
        <v>2010</v>
      </c>
      <c r="E1164" s="8" t="s">
        <v>2008</v>
      </c>
      <c r="F1164" s="6">
        <v>1284</v>
      </c>
      <c r="G1164" s="6" t="b">
        <v>0</v>
      </c>
      <c r="H1164" s="8" t="s">
        <v>240</v>
      </c>
      <c r="I1164" s="6" t="b">
        <v>0</v>
      </c>
      <c r="J1164" s="6" t="b">
        <v>0</v>
      </c>
      <c r="K1164" s="6" t="b">
        <v>0</v>
      </c>
      <c r="L1164" s="6" t="b">
        <v>1</v>
      </c>
      <c r="M1164" s="6" t="b">
        <v>0</v>
      </c>
      <c r="N1164" s="6">
        <v>6</v>
      </c>
      <c r="O1164" s="8" t="s">
        <v>331</v>
      </c>
      <c r="P1164" s="8" t="s">
        <v>1678</v>
      </c>
      <c r="Q1164" s="8" t="s">
        <v>1490</v>
      </c>
      <c r="R1164" s="6">
        <v>7</v>
      </c>
      <c r="S1164" s="8" t="s">
        <v>347</v>
      </c>
      <c r="T1164" s="9"/>
      <c r="U1164" s="8" t="s">
        <v>240</v>
      </c>
      <c r="V1164" s="8" t="s">
        <v>482</v>
      </c>
      <c r="W1164" s="8" t="s">
        <v>240</v>
      </c>
      <c r="X1164" s="8" t="s">
        <v>240</v>
      </c>
      <c r="Y1164" s="8" t="s">
        <v>240</v>
      </c>
      <c r="Z1164" s="6" t="b">
        <v>0</v>
      </c>
      <c r="AA1164" s="9"/>
      <c r="AB1164" s="9"/>
    </row>
    <row r="1165" spans="1:28" ht="32">
      <c r="A1165" s="6">
        <v>1286</v>
      </c>
      <c r="B1165" s="8" t="s">
        <v>194</v>
      </c>
      <c r="C1165" s="8" t="s">
        <v>90</v>
      </c>
      <c r="D1165" s="8" t="s">
        <v>2011</v>
      </c>
      <c r="E1165" s="8" t="s">
        <v>2008</v>
      </c>
      <c r="F1165" s="6">
        <v>1284</v>
      </c>
      <c r="G1165" s="6" t="b">
        <v>0</v>
      </c>
      <c r="H1165" s="8" t="s">
        <v>240</v>
      </c>
      <c r="I1165" s="6" t="b">
        <v>0</v>
      </c>
      <c r="J1165" s="6" t="b">
        <v>0</v>
      </c>
      <c r="K1165" s="6" t="b">
        <v>0</v>
      </c>
      <c r="L1165" s="6" t="b">
        <v>1</v>
      </c>
      <c r="M1165" s="6" t="b">
        <v>0</v>
      </c>
      <c r="N1165" s="6">
        <v>6</v>
      </c>
      <c r="O1165" s="8" t="s">
        <v>331</v>
      </c>
      <c r="P1165" s="8" t="s">
        <v>255</v>
      </c>
      <c r="Q1165" s="8" t="s">
        <v>335</v>
      </c>
      <c r="R1165" s="6">
        <v>7</v>
      </c>
      <c r="S1165" s="8" t="s">
        <v>347</v>
      </c>
      <c r="T1165" s="6">
        <v>5</v>
      </c>
      <c r="U1165" s="8" t="s">
        <v>240</v>
      </c>
      <c r="V1165" s="8" t="s">
        <v>482</v>
      </c>
      <c r="W1165" s="8" t="s">
        <v>240</v>
      </c>
      <c r="X1165" s="8" t="s">
        <v>240</v>
      </c>
      <c r="Y1165" s="8" t="s">
        <v>240</v>
      </c>
      <c r="Z1165" s="6" t="b">
        <v>0</v>
      </c>
      <c r="AA1165" s="9"/>
      <c r="AB1165" s="9"/>
    </row>
    <row r="1166" spans="1:28" ht="32">
      <c r="A1166" s="6">
        <v>1287</v>
      </c>
      <c r="B1166" s="8" t="s">
        <v>194</v>
      </c>
      <c r="C1166" s="8" t="s">
        <v>90</v>
      </c>
      <c r="D1166" s="8" t="s">
        <v>2012</v>
      </c>
      <c r="E1166" s="8" t="s">
        <v>2008</v>
      </c>
      <c r="F1166" s="6">
        <v>1284</v>
      </c>
      <c r="G1166" s="6" t="b">
        <v>0</v>
      </c>
      <c r="H1166" s="8" t="s">
        <v>240</v>
      </c>
      <c r="I1166" s="6" t="b">
        <v>0</v>
      </c>
      <c r="J1166" s="6" t="b">
        <v>0</v>
      </c>
      <c r="K1166" s="6" t="b">
        <v>0</v>
      </c>
      <c r="L1166" s="6" t="b">
        <v>1</v>
      </c>
      <c r="M1166" s="6" t="b">
        <v>0</v>
      </c>
      <c r="N1166" s="6">
        <v>6</v>
      </c>
      <c r="O1166" s="8" t="s">
        <v>331</v>
      </c>
      <c r="P1166" s="8" t="s">
        <v>255</v>
      </c>
      <c r="Q1166" s="8" t="s">
        <v>335</v>
      </c>
      <c r="R1166" s="6">
        <v>6</v>
      </c>
      <c r="S1166" s="8" t="s">
        <v>75</v>
      </c>
      <c r="T1166" s="9"/>
      <c r="U1166" s="8" t="s">
        <v>240</v>
      </c>
      <c r="V1166" s="8" t="s">
        <v>482</v>
      </c>
      <c r="W1166" s="8" t="s">
        <v>240</v>
      </c>
      <c r="X1166" s="8" t="s">
        <v>240</v>
      </c>
      <c r="Y1166" s="8" t="s">
        <v>240</v>
      </c>
      <c r="Z1166" s="6" t="b">
        <v>0</v>
      </c>
      <c r="AA1166" s="9"/>
      <c r="AB1166" s="9"/>
    </row>
    <row r="1167" spans="1:28" ht="16">
      <c r="A1167" s="6">
        <v>1288</v>
      </c>
      <c r="B1167" s="8" t="s">
        <v>194</v>
      </c>
      <c r="C1167" s="8" t="s">
        <v>108</v>
      </c>
      <c r="D1167" s="8" t="s">
        <v>2013</v>
      </c>
      <c r="E1167" s="8" t="s">
        <v>2013</v>
      </c>
      <c r="F1167" s="6">
        <v>1288</v>
      </c>
      <c r="G1167" s="6" t="b">
        <v>0</v>
      </c>
      <c r="H1167" s="8" t="s">
        <v>240</v>
      </c>
      <c r="I1167" s="6" t="b">
        <v>0</v>
      </c>
      <c r="J1167" s="6" t="b">
        <v>0</v>
      </c>
      <c r="K1167" s="6" t="b">
        <v>0</v>
      </c>
      <c r="L1167" s="6" t="b">
        <v>1</v>
      </c>
      <c r="M1167" s="6" t="b">
        <v>0</v>
      </c>
      <c r="N1167" s="6">
        <v>3</v>
      </c>
      <c r="O1167" s="8" t="s">
        <v>347</v>
      </c>
      <c r="P1167" s="8" t="s">
        <v>350</v>
      </c>
      <c r="Q1167" s="8" t="s">
        <v>927</v>
      </c>
      <c r="R1167" s="6">
        <v>3</v>
      </c>
      <c r="S1167" s="8" t="s">
        <v>75</v>
      </c>
      <c r="T1167" s="9"/>
      <c r="U1167" s="8" t="s">
        <v>240</v>
      </c>
      <c r="V1167" s="8" t="s">
        <v>240</v>
      </c>
      <c r="W1167" s="8" t="s">
        <v>240</v>
      </c>
      <c r="X1167" s="8" t="s">
        <v>240</v>
      </c>
      <c r="Y1167" s="8" t="s">
        <v>240</v>
      </c>
      <c r="Z1167" s="6" t="b">
        <v>0</v>
      </c>
      <c r="AA1167" s="9"/>
      <c r="AB1167" s="9"/>
    </row>
    <row r="1168" spans="1:28" ht="16">
      <c r="A1168" s="6">
        <v>1289</v>
      </c>
      <c r="B1168" s="8" t="s">
        <v>194</v>
      </c>
      <c r="C1168" s="8" t="s">
        <v>90</v>
      </c>
      <c r="D1168" s="8" t="s">
        <v>2014</v>
      </c>
      <c r="E1168" s="8" t="s">
        <v>2014</v>
      </c>
      <c r="F1168" s="6">
        <v>1289</v>
      </c>
      <c r="G1168" s="6" t="b">
        <v>0</v>
      </c>
      <c r="H1168" s="8" t="s">
        <v>240</v>
      </c>
      <c r="I1168" s="6" t="b">
        <v>0</v>
      </c>
      <c r="J1168" s="6" t="b">
        <v>0</v>
      </c>
      <c r="K1168" s="6" t="b">
        <v>0</v>
      </c>
      <c r="L1168" s="6" t="b">
        <v>1</v>
      </c>
      <c r="M1168" s="6" t="b">
        <v>0</v>
      </c>
      <c r="N1168" s="6">
        <v>6</v>
      </c>
      <c r="O1168" s="8" t="s">
        <v>331</v>
      </c>
      <c r="P1168" s="8" t="s">
        <v>350</v>
      </c>
      <c r="Q1168" s="8" t="s">
        <v>446</v>
      </c>
      <c r="R1168" s="6">
        <v>7</v>
      </c>
      <c r="S1168" s="8" t="s">
        <v>347</v>
      </c>
      <c r="T1168" s="9"/>
      <c r="U1168" s="8" t="s">
        <v>240</v>
      </c>
      <c r="V1168" s="8" t="s">
        <v>450</v>
      </c>
      <c r="W1168" s="8" t="s">
        <v>386</v>
      </c>
      <c r="X1168" s="8" t="s">
        <v>240</v>
      </c>
      <c r="Y1168" s="8" t="s">
        <v>240</v>
      </c>
      <c r="Z1168" s="6" t="b">
        <v>0</v>
      </c>
      <c r="AA1168" s="9"/>
      <c r="AB1168" s="9"/>
    </row>
    <row r="1169" spans="1:28" ht="32">
      <c r="A1169" s="6">
        <v>1290</v>
      </c>
      <c r="B1169" s="8" t="s">
        <v>194</v>
      </c>
      <c r="C1169" s="8" t="s">
        <v>90</v>
      </c>
      <c r="D1169" s="8" t="s">
        <v>2015</v>
      </c>
      <c r="E1169" s="8" t="s">
        <v>2014</v>
      </c>
      <c r="F1169" s="6">
        <v>1289</v>
      </c>
      <c r="G1169" s="6" t="b">
        <v>0</v>
      </c>
      <c r="H1169" s="8" t="s">
        <v>240</v>
      </c>
      <c r="I1169" s="6" t="b">
        <v>0</v>
      </c>
      <c r="J1169" s="6" t="b">
        <v>0</v>
      </c>
      <c r="K1169" s="6" t="b">
        <v>0</v>
      </c>
      <c r="L1169" s="6" t="b">
        <v>1</v>
      </c>
      <c r="M1169" s="6" t="b">
        <v>0</v>
      </c>
      <c r="N1169" s="6">
        <v>6</v>
      </c>
      <c r="O1169" s="8" t="s">
        <v>331</v>
      </c>
      <c r="P1169" s="8" t="s">
        <v>350</v>
      </c>
      <c r="Q1169" s="8" t="s">
        <v>446</v>
      </c>
      <c r="R1169" s="6">
        <v>6</v>
      </c>
      <c r="S1169" s="8" t="s">
        <v>75</v>
      </c>
      <c r="T1169" s="9"/>
      <c r="U1169" s="8" t="s">
        <v>240</v>
      </c>
      <c r="V1169" s="8" t="s">
        <v>450</v>
      </c>
      <c r="W1169" s="8" t="s">
        <v>386</v>
      </c>
      <c r="X1169" s="8" t="s">
        <v>240</v>
      </c>
      <c r="Y1169" s="8" t="s">
        <v>2016</v>
      </c>
      <c r="Z1169" s="6" t="b">
        <v>0</v>
      </c>
      <c r="AA1169" s="9"/>
      <c r="AB1169" s="9"/>
    </row>
    <row r="1170" spans="1:28" ht="16">
      <c r="A1170" s="6">
        <v>1291</v>
      </c>
      <c r="B1170" s="8" t="s">
        <v>194</v>
      </c>
      <c r="C1170" s="8" t="s">
        <v>1978</v>
      </c>
      <c r="D1170" s="8" t="s">
        <v>1978</v>
      </c>
      <c r="E1170" s="8" t="s">
        <v>1978</v>
      </c>
      <c r="F1170" s="6">
        <v>1291</v>
      </c>
      <c r="G1170" s="6" t="b">
        <v>0</v>
      </c>
      <c r="H1170" s="8" t="s">
        <v>240</v>
      </c>
      <c r="I1170" s="6" t="b">
        <v>0</v>
      </c>
      <c r="J1170" s="6" t="b">
        <v>0</v>
      </c>
      <c r="K1170" s="6" t="b">
        <v>0</v>
      </c>
      <c r="L1170" s="6" t="b">
        <v>1</v>
      </c>
      <c r="M1170" s="6" t="b">
        <v>0</v>
      </c>
      <c r="N1170" s="6">
        <v>6</v>
      </c>
      <c r="O1170" s="8" t="s">
        <v>331</v>
      </c>
      <c r="P1170" s="8" t="s">
        <v>238</v>
      </c>
      <c r="Q1170" s="8" t="s">
        <v>502</v>
      </c>
      <c r="R1170" s="6">
        <v>6</v>
      </c>
      <c r="S1170" s="8" t="s">
        <v>347</v>
      </c>
      <c r="T1170" s="6">
        <v>6</v>
      </c>
      <c r="U1170" s="8" t="s">
        <v>240</v>
      </c>
      <c r="V1170" s="8" t="s">
        <v>450</v>
      </c>
      <c r="W1170" s="8" t="s">
        <v>240</v>
      </c>
      <c r="X1170" s="8" t="s">
        <v>240</v>
      </c>
      <c r="Y1170" s="8" t="s">
        <v>240</v>
      </c>
      <c r="Z1170" s="6" t="b">
        <v>0</v>
      </c>
      <c r="AA1170" s="9"/>
      <c r="AB1170" s="9"/>
    </row>
    <row r="1171" spans="1:28" ht="32">
      <c r="A1171" s="6">
        <v>1292</v>
      </c>
      <c r="B1171" s="8" t="s">
        <v>194</v>
      </c>
      <c r="C1171" s="8" t="s">
        <v>90</v>
      </c>
      <c r="D1171" s="8" t="s">
        <v>2017</v>
      </c>
      <c r="E1171" s="8" t="s">
        <v>2017</v>
      </c>
      <c r="F1171" s="6">
        <v>1292</v>
      </c>
      <c r="G1171" s="6" t="b">
        <v>0</v>
      </c>
      <c r="H1171" s="8" t="s">
        <v>240</v>
      </c>
      <c r="I1171" s="6" t="b">
        <v>0</v>
      </c>
      <c r="J1171" s="6" t="b">
        <v>1</v>
      </c>
      <c r="K1171" s="6" t="b">
        <v>0</v>
      </c>
      <c r="L1171" s="6" t="b">
        <v>1</v>
      </c>
      <c r="M1171" s="6" t="b">
        <v>0</v>
      </c>
      <c r="N1171" s="6">
        <v>6</v>
      </c>
      <c r="O1171" s="8" t="s">
        <v>331</v>
      </c>
      <c r="P1171" s="8" t="s">
        <v>350</v>
      </c>
      <c r="Q1171" s="8" t="s">
        <v>811</v>
      </c>
      <c r="R1171" s="6">
        <v>3</v>
      </c>
      <c r="S1171" s="8" t="s">
        <v>347</v>
      </c>
      <c r="T1171" s="6">
        <v>7</v>
      </c>
      <c r="U1171" s="8" t="s">
        <v>240</v>
      </c>
      <c r="V1171" s="8" t="s">
        <v>450</v>
      </c>
      <c r="W1171" s="8" t="s">
        <v>240</v>
      </c>
      <c r="X1171" s="8" t="s">
        <v>240</v>
      </c>
      <c r="Y1171" s="8" t="s">
        <v>2018</v>
      </c>
      <c r="Z1171" s="6" t="b">
        <v>0</v>
      </c>
      <c r="AA1171" s="9"/>
      <c r="AB1171" s="9"/>
    </row>
    <row r="1172" spans="1:28" ht="32">
      <c r="A1172" s="6">
        <v>1293</v>
      </c>
      <c r="B1172" s="8" t="s">
        <v>194</v>
      </c>
      <c r="C1172" s="8" t="s">
        <v>90</v>
      </c>
      <c r="D1172" s="8" t="s">
        <v>2019</v>
      </c>
      <c r="E1172" s="8" t="s">
        <v>2017</v>
      </c>
      <c r="F1172" s="6">
        <v>1292</v>
      </c>
      <c r="G1172" s="6" t="b">
        <v>0</v>
      </c>
      <c r="H1172" s="8" t="s">
        <v>240</v>
      </c>
      <c r="I1172" s="6" t="b">
        <v>0</v>
      </c>
      <c r="J1172" s="6" t="b">
        <v>1</v>
      </c>
      <c r="K1172" s="6" t="b">
        <v>0</v>
      </c>
      <c r="L1172" s="6" t="b">
        <v>1</v>
      </c>
      <c r="M1172" s="6" t="b">
        <v>0</v>
      </c>
      <c r="N1172" s="6">
        <v>6</v>
      </c>
      <c r="O1172" s="8" t="s">
        <v>331</v>
      </c>
      <c r="P1172" s="8" t="s">
        <v>350</v>
      </c>
      <c r="Q1172" s="8" t="s">
        <v>335</v>
      </c>
      <c r="R1172" s="6">
        <v>3</v>
      </c>
      <c r="S1172" s="8" t="s">
        <v>335</v>
      </c>
      <c r="T1172" s="6">
        <v>7</v>
      </c>
      <c r="U1172" s="8" t="s">
        <v>240</v>
      </c>
      <c r="V1172" s="8" t="s">
        <v>450</v>
      </c>
      <c r="W1172" s="8" t="s">
        <v>240</v>
      </c>
      <c r="X1172" s="8" t="s">
        <v>240</v>
      </c>
      <c r="Y1172" s="8" t="s">
        <v>240</v>
      </c>
      <c r="Z1172" s="6" t="b">
        <v>0</v>
      </c>
      <c r="AA1172" s="9"/>
      <c r="AB1172" s="9"/>
    </row>
    <row r="1173" spans="1:28" ht="32">
      <c r="A1173" s="6">
        <v>1294</v>
      </c>
      <c r="B1173" s="8" t="s">
        <v>194</v>
      </c>
      <c r="C1173" s="8" t="s">
        <v>90</v>
      </c>
      <c r="D1173" s="8" t="s">
        <v>2020</v>
      </c>
      <c r="E1173" s="8" t="s">
        <v>2017</v>
      </c>
      <c r="F1173" s="6">
        <v>1292</v>
      </c>
      <c r="G1173" s="6" t="b">
        <v>0</v>
      </c>
      <c r="H1173" s="8" t="s">
        <v>240</v>
      </c>
      <c r="I1173" s="6" t="b">
        <v>0</v>
      </c>
      <c r="J1173" s="6" t="b">
        <v>1</v>
      </c>
      <c r="K1173" s="6" t="b">
        <v>0</v>
      </c>
      <c r="L1173" s="6" t="b">
        <v>1</v>
      </c>
      <c r="M1173" s="6" t="b">
        <v>0</v>
      </c>
      <c r="N1173" s="6">
        <v>6</v>
      </c>
      <c r="O1173" s="8" t="s">
        <v>331</v>
      </c>
      <c r="P1173" s="8" t="s">
        <v>350</v>
      </c>
      <c r="Q1173" s="8" t="s">
        <v>335</v>
      </c>
      <c r="R1173" s="6">
        <v>3</v>
      </c>
      <c r="S1173" s="8" t="s">
        <v>335</v>
      </c>
      <c r="T1173" s="6">
        <v>7</v>
      </c>
      <c r="U1173" s="8" t="s">
        <v>240</v>
      </c>
      <c r="V1173" s="8" t="s">
        <v>450</v>
      </c>
      <c r="W1173" s="8" t="s">
        <v>240</v>
      </c>
      <c r="X1173" s="8" t="s">
        <v>240</v>
      </c>
      <c r="Y1173" s="8" t="s">
        <v>240</v>
      </c>
      <c r="Z1173" s="6" t="b">
        <v>0</v>
      </c>
      <c r="AA1173" s="9"/>
      <c r="AB1173" s="9"/>
    </row>
    <row r="1174" spans="1:28" ht="32">
      <c r="A1174" s="6">
        <v>1295</v>
      </c>
      <c r="B1174" s="8" t="s">
        <v>194</v>
      </c>
      <c r="C1174" s="8" t="s">
        <v>90</v>
      </c>
      <c r="D1174" s="8" t="s">
        <v>2021</v>
      </c>
      <c r="E1174" s="8" t="s">
        <v>2017</v>
      </c>
      <c r="F1174" s="6">
        <v>1292</v>
      </c>
      <c r="G1174" s="6" t="b">
        <v>0</v>
      </c>
      <c r="H1174" s="8" t="s">
        <v>240</v>
      </c>
      <c r="I1174" s="6" t="b">
        <v>0</v>
      </c>
      <c r="J1174" s="6" t="b">
        <v>1</v>
      </c>
      <c r="K1174" s="6" t="b">
        <v>0</v>
      </c>
      <c r="L1174" s="6" t="b">
        <v>1</v>
      </c>
      <c r="M1174" s="6" t="b">
        <v>0</v>
      </c>
      <c r="N1174" s="6">
        <v>6</v>
      </c>
      <c r="O1174" s="8" t="s">
        <v>331</v>
      </c>
      <c r="P1174" s="8" t="s">
        <v>350</v>
      </c>
      <c r="Q1174" s="8" t="s">
        <v>335</v>
      </c>
      <c r="R1174" s="6">
        <v>3</v>
      </c>
      <c r="S1174" s="8" t="s">
        <v>335</v>
      </c>
      <c r="T1174" s="6">
        <v>7</v>
      </c>
      <c r="U1174" s="8" t="s">
        <v>240</v>
      </c>
      <c r="V1174" s="8" t="s">
        <v>450</v>
      </c>
      <c r="W1174" s="8" t="s">
        <v>240</v>
      </c>
      <c r="X1174" s="8" t="s">
        <v>240</v>
      </c>
      <c r="Y1174" s="8" t="s">
        <v>240</v>
      </c>
      <c r="Z1174" s="6" t="b">
        <v>0</v>
      </c>
      <c r="AA1174" s="9"/>
      <c r="AB1174" s="9"/>
    </row>
    <row r="1175" spans="1:28" ht="32">
      <c r="A1175" s="6">
        <v>1296</v>
      </c>
      <c r="B1175" s="8" t="s">
        <v>194</v>
      </c>
      <c r="C1175" s="8" t="s">
        <v>90</v>
      </c>
      <c r="D1175" s="8" t="s">
        <v>2022</v>
      </c>
      <c r="E1175" s="8" t="s">
        <v>2017</v>
      </c>
      <c r="F1175" s="6">
        <v>1292</v>
      </c>
      <c r="G1175" s="6" t="b">
        <v>0</v>
      </c>
      <c r="H1175" s="8" t="s">
        <v>240</v>
      </c>
      <c r="I1175" s="6" t="b">
        <v>0</v>
      </c>
      <c r="J1175" s="6" t="b">
        <v>1</v>
      </c>
      <c r="K1175" s="6" t="b">
        <v>0</v>
      </c>
      <c r="L1175" s="6" t="b">
        <v>1</v>
      </c>
      <c r="M1175" s="6" t="b">
        <v>0</v>
      </c>
      <c r="N1175" s="6">
        <v>6</v>
      </c>
      <c r="O1175" s="8" t="s">
        <v>331</v>
      </c>
      <c r="P1175" s="8" t="s">
        <v>350</v>
      </c>
      <c r="Q1175" s="8" t="s">
        <v>335</v>
      </c>
      <c r="R1175" s="6">
        <v>3</v>
      </c>
      <c r="S1175" s="8" t="s">
        <v>335</v>
      </c>
      <c r="T1175" s="6">
        <v>7</v>
      </c>
      <c r="U1175" s="8" t="s">
        <v>240</v>
      </c>
      <c r="V1175" s="8" t="s">
        <v>450</v>
      </c>
      <c r="W1175" s="8" t="s">
        <v>240</v>
      </c>
      <c r="X1175" s="8" t="s">
        <v>240</v>
      </c>
      <c r="Y1175" s="8" t="s">
        <v>240</v>
      </c>
      <c r="Z1175" s="6" t="b">
        <v>0</v>
      </c>
      <c r="AA1175" s="9"/>
      <c r="AB1175" s="9"/>
    </row>
    <row r="1176" spans="1:28" ht="16">
      <c r="A1176" s="6">
        <v>1297</v>
      </c>
      <c r="B1176" s="8" t="s">
        <v>194</v>
      </c>
      <c r="C1176" s="8" t="s">
        <v>90</v>
      </c>
      <c r="D1176" s="8" t="s">
        <v>2023</v>
      </c>
      <c r="E1176" s="8" t="s">
        <v>2023</v>
      </c>
      <c r="F1176" s="6">
        <v>1297</v>
      </c>
      <c r="G1176" s="6" t="b">
        <v>0</v>
      </c>
      <c r="H1176" s="8" t="s">
        <v>240</v>
      </c>
      <c r="I1176" s="6" t="b">
        <v>0</v>
      </c>
      <c r="J1176" s="6" t="b">
        <v>0</v>
      </c>
      <c r="K1176" s="6" t="b">
        <v>1</v>
      </c>
      <c r="L1176" s="6" t="b">
        <v>1</v>
      </c>
      <c r="M1176" s="6" t="b">
        <v>0</v>
      </c>
      <c r="N1176" s="6">
        <v>6</v>
      </c>
      <c r="O1176" s="8" t="s">
        <v>331</v>
      </c>
      <c r="P1176" s="8" t="s">
        <v>238</v>
      </c>
      <c r="Q1176" s="8" t="s">
        <v>762</v>
      </c>
      <c r="R1176" s="6">
        <v>8</v>
      </c>
      <c r="S1176" s="8" t="s">
        <v>347</v>
      </c>
      <c r="T1176" s="9"/>
      <c r="U1176" s="8" t="s">
        <v>240</v>
      </c>
      <c r="V1176" s="8" t="s">
        <v>450</v>
      </c>
      <c r="W1176" s="8" t="s">
        <v>240</v>
      </c>
      <c r="X1176" s="8" t="s">
        <v>240</v>
      </c>
      <c r="Y1176" s="8" t="s">
        <v>240</v>
      </c>
      <c r="Z1176" s="6" t="b">
        <v>0</v>
      </c>
      <c r="AA1176" s="9"/>
      <c r="AB1176" s="9"/>
    </row>
    <row r="1177" spans="1:28" ht="16">
      <c r="A1177" s="6">
        <v>1298</v>
      </c>
      <c r="B1177" s="8" t="s">
        <v>194</v>
      </c>
      <c r="C1177" s="8" t="s">
        <v>90</v>
      </c>
      <c r="D1177" s="8" t="s">
        <v>2024</v>
      </c>
      <c r="E1177" s="8" t="s">
        <v>2023</v>
      </c>
      <c r="F1177" s="6">
        <v>1297</v>
      </c>
      <c r="G1177" s="6" t="b">
        <v>0</v>
      </c>
      <c r="H1177" s="8" t="s">
        <v>240</v>
      </c>
      <c r="I1177" s="6" t="b">
        <v>0</v>
      </c>
      <c r="J1177" s="6" t="b">
        <v>0</v>
      </c>
      <c r="K1177" s="6" t="b">
        <v>1</v>
      </c>
      <c r="L1177" s="6" t="b">
        <v>1</v>
      </c>
      <c r="M1177" s="6" t="b">
        <v>0</v>
      </c>
      <c r="N1177" s="6">
        <v>6</v>
      </c>
      <c r="O1177" s="8" t="s">
        <v>331</v>
      </c>
      <c r="P1177" s="8" t="s">
        <v>238</v>
      </c>
      <c r="Q1177" s="8" t="s">
        <v>239</v>
      </c>
      <c r="R1177" s="6">
        <v>6</v>
      </c>
      <c r="S1177" s="8" t="s">
        <v>75</v>
      </c>
      <c r="T1177" s="9"/>
      <c r="U1177" s="8" t="s">
        <v>1687</v>
      </c>
      <c r="V1177" s="8" t="s">
        <v>450</v>
      </c>
      <c r="W1177" s="8" t="s">
        <v>240</v>
      </c>
      <c r="X1177" s="8" t="s">
        <v>240</v>
      </c>
      <c r="Y1177" s="8" t="s">
        <v>240</v>
      </c>
      <c r="Z1177" s="6" t="b">
        <v>0</v>
      </c>
      <c r="AA1177" s="9"/>
      <c r="AB1177" s="9"/>
    </row>
    <row r="1178" spans="1:28" ht="16">
      <c r="A1178" s="6">
        <v>1299</v>
      </c>
      <c r="B1178" s="8" t="s">
        <v>194</v>
      </c>
      <c r="C1178" s="8" t="s">
        <v>2025</v>
      </c>
      <c r="D1178" s="8" t="s">
        <v>2026</v>
      </c>
      <c r="E1178" s="8" t="s">
        <v>2026</v>
      </c>
      <c r="F1178" s="6">
        <v>1299</v>
      </c>
      <c r="G1178" s="6" t="b">
        <v>0</v>
      </c>
      <c r="H1178" s="8" t="s">
        <v>240</v>
      </c>
      <c r="I1178" s="6" t="b">
        <v>0</v>
      </c>
      <c r="J1178" s="6" t="b">
        <v>0</v>
      </c>
      <c r="K1178" s="6" t="b">
        <v>0</v>
      </c>
      <c r="L1178" s="6" t="b">
        <v>1</v>
      </c>
      <c r="M1178" s="6" t="b">
        <v>0</v>
      </c>
      <c r="N1178" s="6">
        <v>10</v>
      </c>
      <c r="O1178" s="8" t="s">
        <v>237</v>
      </c>
      <c r="P1178" s="8" t="s">
        <v>350</v>
      </c>
      <c r="Q1178" s="8" t="s">
        <v>446</v>
      </c>
      <c r="R1178" s="6">
        <v>10</v>
      </c>
      <c r="S1178" s="8" t="s">
        <v>75</v>
      </c>
      <c r="T1178" s="9"/>
      <c r="U1178" s="8" t="s">
        <v>240</v>
      </c>
      <c r="V1178" s="8" t="s">
        <v>2027</v>
      </c>
      <c r="W1178" s="8" t="s">
        <v>240</v>
      </c>
      <c r="X1178" s="8" t="s">
        <v>240</v>
      </c>
      <c r="Y1178" s="8" t="s">
        <v>240</v>
      </c>
      <c r="Z1178" s="6" t="b">
        <v>0</v>
      </c>
      <c r="AA1178" s="9"/>
      <c r="AB1178" s="9"/>
    </row>
    <row r="1179" spans="1:28" ht="16">
      <c r="A1179" s="6">
        <v>1300</v>
      </c>
      <c r="B1179" s="8" t="s">
        <v>194</v>
      </c>
      <c r="C1179" s="8" t="s">
        <v>90</v>
      </c>
      <c r="D1179" s="8" t="s">
        <v>2028</v>
      </c>
      <c r="E1179" s="8" t="s">
        <v>2028</v>
      </c>
      <c r="F1179" s="6">
        <v>1300</v>
      </c>
      <c r="G1179" s="6" t="b">
        <v>0</v>
      </c>
      <c r="H1179" s="8" t="s">
        <v>240</v>
      </c>
      <c r="I1179" s="6" t="b">
        <v>0</v>
      </c>
      <c r="J1179" s="6" t="b">
        <v>0</v>
      </c>
      <c r="K1179" s="6" t="b">
        <v>1</v>
      </c>
      <c r="L1179" s="6" t="b">
        <v>1</v>
      </c>
      <c r="M1179" s="6" t="b">
        <v>0</v>
      </c>
      <c r="N1179" s="6">
        <v>6</v>
      </c>
      <c r="O1179" s="8" t="s">
        <v>331</v>
      </c>
      <c r="P1179" s="8" t="s">
        <v>238</v>
      </c>
      <c r="Q1179" s="8" t="s">
        <v>339</v>
      </c>
      <c r="R1179" s="6">
        <v>6</v>
      </c>
      <c r="S1179" s="8" t="s">
        <v>347</v>
      </c>
      <c r="T1179" s="6">
        <v>6</v>
      </c>
      <c r="U1179" s="8" t="s">
        <v>240</v>
      </c>
      <c r="V1179" s="8" t="s">
        <v>450</v>
      </c>
      <c r="W1179" s="8" t="s">
        <v>240</v>
      </c>
      <c r="X1179" s="8" t="s">
        <v>240</v>
      </c>
      <c r="Y1179" s="8" t="s">
        <v>240</v>
      </c>
      <c r="Z1179" s="6" t="b">
        <v>0</v>
      </c>
      <c r="AA1179" s="9"/>
      <c r="AB1179" s="9"/>
    </row>
    <row r="1180" spans="1:28" ht="32">
      <c r="A1180" s="6">
        <v>1301</v>
      </c>
      <c r="B1180" s="8" t="s">
        <v>194</v>
      </c>
      <c r="C1180" s="8" t="s">
        <v>90</v>
      </c>
      <c r="D1180" s="8" t="s">
        <v>2029</v>
      </c>
      <c r="E1180" s="8" t="s">
        <v>2028</v>
      </c>
      <c r="F1180" s="6">
        <v>1300</v>
      </c>
      <c r="G1180" s="6" t="b">
        <v>0</v>
      </c>
      <c r="H1180" s="8" t="s">
        <v>240</v>
      </c>
      <c r="I1180" s="6" t="b">
        <v>0</v>
      </c>
      <c r="J1180" s="6" t="b">
        <v>0</v>
      </c>
      <c r="K1180" s="6" t="b">
        <v>1</v>
      </c>
      <c r="L1180" s="6" t="b">
        <v>1</v>
      </c>
      <c r="M1180" s="6" t="b">
        <v>0</v>
      </c>
      <c r="N1180" s="6">
        <v>6</v>
      </c>
      <c r="O1180" s="8" t="s">
        <v>331</v>
      </c>
      <c r="P1180" s="8" t="s">
        <v>238</v>
      </c>
      <c r="Q1180" s="8" t="s">
        <v>335</v>
      </c>
      <c r="R1180" s="6">
        <v>6</v>
      </c>
      <c r="S1180" s="8" t="s">
        <v>347</v>
      </c>
      <c r="T1180" s="6">
        <v>8</v>
      </c>
      <c r="U1180" s="8" t="s">
        <v>240</v>
      </c>
      <c r="V1180" s="8" t="s">
        <v>450</v>
      </c>
      <c r="W1180" s="8" t="s">
        <v>240</v>
      </c>
      <c r="X1180" s="8" t="s">
        <v>240</v>
      </c>
      <c r="Y1180" s="8" t="s">
        <v>240</v>
      </c>
      <c r="Z1180" s="6" t="b">
        <v>0</v>
      </c>
      <c r="AA1180" s="9"/>
      <c r="AB1180" s="9"/>
    </row>
    <row r="1181" spans="1:28" ht="16">
      <c r="A1181" s="6">
        <v>1302</v>
      </c>
      <c r="B1181" s="8" t="s">
        <v>194</v>
      </c>
      <c r="C1181" s="8" t="s">
        <v>90</v>
      </c>
      <c r="D1181" s="8" t="s">
        <v>2030</v>
      </c>
      <c r="E1181" s="8" t="s">
        <v>2030</v>
      </c>
      <c r="F1181" s="6">
        <v>1302</v>
      </c>
      <c r="G1181" s="6" t="b">
        <v>0</v>
      </c>
      <c r="H1181" s="8" t="s">
        <v>240</v>
      </c>
      <c r="I1181" s="6" t="b">
        <v>0</v>
      </c>
      <c r="J1181" s="6" t="b">
        <v>0</v>
      </c>
      <c r="K1181" s="6" t="b">
        <v>0</v>
      </c>
      <c r="L1181" s="6" t="b">
        <v>1</v>
      </c>
      <c r="M1181" s="6" t="b">
        <v>0</v>
      </c>
      <c r="N1181" s="6">
        <v>6</v>
      </c>
      <c r="O1181" s="8" t="s">
        <v>331</v>
      </c>
      <c r="P1181" s="8" t="s">
        <v>350</v>
      </c>
      <c r="Q1181" s="8" t="s">
        <v>446</v>
      </c>
      <c r="R1181" s="6">
        <v>2</v>
      </c>
      <c r="S1181" s="8" t="s">
        <v>347</v>
      </c>
      <c r="T1181" s="6">
        <v>6</v>
      </c>
      <c r="U1181" s="8" t="s">
        <v>240</v>
      </c>
      <c r="V1181" s="8" t="s">
        <v>240</v>
      </c>
      <c r="W1181" s="8" t="s">
        <v>240</v>
      </c>
      <c r="X1181" s="8" t="s">
        <v>240</v>
      </c>
      <c r="Y1181" s="8" t="s">
        <v>2031</v>
      </c>
      <c r="Z1181" s="6" t="b">
        <v>0</v>
      </c>
      <c r="AA1181" s="9"/>
      <c r="AB1181" s="9"/>
    </row>
    <row r="1182" spans="1:28" ht="16">
      <c r="A1182" s="6">
        <v>1303</v>
      </c>
      <c r="B1182" s="8" t="s">
        <v>194</v>
      </c>
      <c r="C1182" s="8" t="s">
        <v>90</v>
      </c>
      <c r="D1182" s="8" t="s">
        <v>2032</v>
      </c>
      <c r="E1182" s="8" t="s">
        <v>2030</v>
      </c>
      <c r="F1182" s="6">
        <v>1302</v>
      </c>
      <c r="G1182" s="6" t="b">
        <v>0</v>
      </c>
      <c r="H1182" s="8" t="s">
        <v>240</v>
      </c>
      <c r="I1182" s="6" t="b">
        <v>0</v>
      </c>
      <c r="J1182" s="6" t="b">
        <v>0</v>
      </c>
      <c r="K1182" s="6" t="b">
        <v>0</v>
      </c>
      <c r="L1182" s="6" t="b">
        <v>1</v>
      </c>
      <c r="M1182" s="6" t="b">
        <v>0</v>
      </c>
      <c r="N1182" s="6">
        <v>6</v>
      </c>
      <c r="O1182" s="8" t="s">
        <v>331</v>
      </c>
      <c r="P1182" s="8" t="s">
        <v>350</v>
      </c>
      <c r="Q1182" s="8" t="s">
        <v>446</v>
      </c>
      <c r="R1182" s="6">
        <v>2</v>
      </c>
      <c r="S1182" s="8" t="s">
        <v>335</v>
      </c>
      <c r="T1182" s="6">
        <v>6</v>
      </c>
      <c r="U1182" s="8" t="s">
        <v>240</v>
      </c>
      <c r="V1182" s="8" t="s">
        <v>240</v>
      </c>
      <c r="W1182" s="8" t="s">
        <v>240</v>
      </c>
      <c r="X1182" s="8" t="s">
        <v>240</v>
      </c>
      <c r="Y1182" s="8" t="s">
        <v>240</v>
      </c>
      <c r="Z1182" s="6" t="b">
        <v>0</v>
      </c>
      <c r="AA1182" s="9"/>
      <c r="AB1182" s="9"/>
    </row>
    <row r="1183" spans="1:28" ht="16">
      <c r="A1183" s="6">
        <v>1304</v>
      </c>
      <c r="B1183" s="8" t="s">
        <v>194</v>
      </c>
      <c r="C1183" s="8" t="s">
        <v>90</v>
      </c>
      <c r="D1183" s="8" t="s">
        <v>2033</v>
      </c>
      <c r="E1183" s="8" t="s">
        <v>2033</v>
      </c>
      <c r="F1183" s="6">
        <v>1304</v>
      </c>
      <c r="G1183" s="6" t="b">
        <v>0</v>
      </c>
      <c r="H1183" s="8" t="s">
        <v>240</v>
      </c>
      <c r="I1183" s="6" t="b">
        <v>0</v>
      </c>
      <c r="J1183" s="6" t="b">
        <v>0</v>
      </c>
      <c r="K1183" s="6" t="b">
        <v>0</v>
      </c>
      <c r="L1183" s="6" t="b">
        <v>1</v>
      </c>
      <c r="M1183" s="6" t="b">
        <v>0</v>
      </c>
      <c r="N1183" s="6">
        <v>6</v>
      </c>
      <c r="O1183" s="8" t="s">
        <v>331</v>
      </c>
      <c r="P1183" s="8" t="s">
        <v>350</v>
      </c>
      <c r="Q1183" s="8" t="s">
        <v>446</v>
      </c>
      <c r="R1183" s="6">
        <v>4</v>
      </c>
      <c r="S1183" s="8" t="s">
        <v>347</v>
      </c>
      <c r="T1183" s="9"/>
      <c r="U1183" s="8" t="s">
        <v>240</v>
      </c>
      <c r="V1183" s="8" t="s">
        <v>450</v>
      </c>
      <c r="W1183" s="8" t="s">
        <v>240</v>
      </c>
      <c r="X1183" s="8" t="s">
        <v>240</v>
      </c>
      <c r="Y1183" s="8" t="s">
        <v>240</v>
      </c>
      <c r="Z1183" s="6" t="b">
        <v>0</v>
      </c>
      <c r="AA1183" s="9"/>
      <c r="AB1183" s="9"/>
    </row>
    <row r="1184" spans="1:28" ht="16">
      <c r="A1184" s="6">
        <v>1305</v>
      </c>
      <c r="B1184" s="8" t="s">
        <v>194</v>
      </c>
      <c r="C1184" s="8" t="s">
        <v>90</v>
      </c>
      <c r="D1184" s="8" t="s">
        <v>2034</v>
      </c>
      <c r="E1184" s="8" t="s">
        <v>2033</v>
      </c>
      <c r="F1184" s="6">
        <v>1304</v>
      </c>
      <c r="G1184" s="6" t="b">
        <v>0</v>
      </c>
      <c r="H1184" s="8" t="s">
        <v>240</v>
      </c>
      <c r="I1184" s="6" t="b">
        <v>0</v>
      </c>
      <c r="J1184" s="6" t="b">
        <v>0</v>
      </c>
      <c r="K1184" s="6" t="b">
        <v>0</v>
      </c>
      <c r="L1184" s="6" t="b">
        <v>1</v>
      </c>
      <c r="M1184" s="6" t="b">
        <v>0</v>
      </c>
      <c r="N1184" s="6">
        <v>6</v>
      </c>
      <c r="O1184" s="8" t="s">
        <v>331</v>
      </c>
      <c r="P1184" s="8" t="s">
        <v>350</v>
      </c>
      <c r="Q1184" s="8" t="s">
        <v>446</v>
      </c>
      <c r="R1184" s="6">
        <v>6</v>
      </c>
      <c r="S1184" s="8" t="s">
        <v>75</v>
      </c>
      <c r="T1184" s="9"/>
      <c r="U1184" s="8" t="s">
        <v>240</v>
      </c>
      <c r="V1184" s="8" t="s">
        <v>240</v>
      </c>
      <c r="W1184" s="8" t="s">
        <v>240</v>
      </c>
      <c r="X1184" s="8" t="s">
        <v>240</v>
      </c>
      <c r="Y1184" s="8" t="s">
        <v>240</v>
      </c>
      <c r="Z1184" s="6" t="b">
        <v>0</v>
      </c>
      <c r="AA1184" s="9"/>
      <c r="AB1184" s="9"/>
    </row>
    <row r="1185" spans="1:28" ht="16">
      <c r="A1185" s="6">
        <v>1306</v>
      </c>
      <c r="B1185" s="8" t="s">
        <v>194</v>
      </c>
      <c r="C1185" s="8" t="s">
        <v>2025</v>
      </c>
      <c r="D1185" s="8" t="s">
        <v>2035</v>
      </c>
      <c r="E1185" s="8" t="s">
        <v>2035</v>
      </c>
      <c r="F1185" s="6">
        <v>1306</v>
      </c>
      <c r="G1185" s="6" t="b">
        <v>0</v>
      </c>
      <c r="H1185" s="8" t="s">
        <v>240</v>
      </c>
      <c r="I1185" s="6" t="b">
        <v>0</v>
      </c>
      <c r="J1185" s="6" t="b">
        <v>0</v>
      </c>
      <c r="K1185" s="6" t="b">
        <v>0</v>
      </c>
      <c r="L1185" s="6" t="b">
        <v>1</v>
      </c>
      <c r="M1185" s="6" t="b">
        <v>0</v>
      </c>
      <c r="N1185" s="6">
        <v>10</v>
      </c>
      <c r="O1185" s="8" t="s">
        <v>237</v>
      </c>
      <c r="P1185" s="8" t="s">
        <v>350</v>
      </c>
      <c r="Q1185" s="8" t="s">
        <v>446</v>
      </c>
      <c r="R1185" s="6">
        <v>7</v>
      </c>
      <c r="S1185" s="8" t="s">
        <v>372</v>
      </c>
      <c r="T1185" s="9"/>
      <c r="U1185" s="8" t="s">
        <v>240</v>
      </c>
      <c r="V1185" s="8" t="s">
        <v>450</v>
      </c>
      <c r="W1185" s="8" t="s">
        <v>240</v>
      </c>
      <c r="X1185" s="8" t="s">
        <v>240</v>
      </c>
      <c r="Y1185" s="8" t="s">
        <v>240</v>
      </c>
      <c r="Z1185" s="6" t="b">
        <v>0</v>
      </c>
      <c r="AA1185" s="9"/>
      <c r="AB1185" s="9"/>
    </row>
    <row r="1186" spans="1:28" ht="16">
      <c r="A1186" s="6">
        <v>1310</v>
      </c>
      <c r="B1186" s="8" t="s">
        <v>194</v>
      </c>
      <c r="C1186" s="8" t="s">
        <v>108</v>
      </c>
      <c r="D1186" s="8" t="s">
        <v>2036</v>
      </c>
      <c r="E1186" s="8" t="s">
        <v>2036</v>
      </c>
      <c r="F1186" s="6">
        <v>1310</v>
      </c>
      <c r="G1186" s="6" t="b">
        <v>0</v>
      </c>
      <c r="H1186" s="8" t="s">
        <v>240</v>
      </c>
      <c r="I1186" s="6" t="b">
        <v>0</v>
      </c>
      <c r="J1186" s="6" t="b">
        <v>0</v>
      </c>
      <c r="K1186" s="6" t="b">
        <v>0</v>
      </c>
      <c r="L1186" s="6" t="b">
        <v>1</v>
      </c>
      <c r="M1186" s="6" t="b">
        <v>0</v>
      </c>
      <c r="N1186" s="6">
        <v>3</v>
      </c>
      <c r="O1186" s="8" t="s">
        <v>347</v>
      </c>
      <c r="P1186" s="8" t="s">
        <v>350</v>
      </c>
      <c r="Q1186" s="8" t="s">
        <v>927</v>
      </c>
      <c r="R1186" s="6">
        <v>3</v>
      </c>
      <c r="S1186" s="8" t="s">
        <v>372</v>
      </c>
      <c r="T1186" s="9"/>
      <c r="U1186" s="8" t="s">
        <v>240</v>
      </c>
      <c r="V1186" s="8" t="s">
        <v>496</v>
      </c>
      <c r="W1186" s="8" t="s">
        <v>240</v>
      </c>
      <c r="X1186" s="8" t="s">
        <v>240</v>
      </c>
      <c r="Y1186" s="8" t="s">
        <v>240</v>
      </c>
      <c r="Z1186" s="6" t="b">
        <v>0</v>
      </c>
      <c r="AA1186" s="9"/>
      <c r="AB1186" s="9"/>
    </row>
    <row r="1187" spans="1:28" ht="32">
      <c r="A1187" s="6">
        <v>1311</v>
      </c>
      <c r="B1187" s="8" t="s">
        <v>194</v>
      </c>
      <c r="C1187" s="8" t="s">
        <v>90</v>
      </c>
      <c r="D1187" s="8" t="s">
        <v>2037</v>
      </c>
      <c r="E1187" s="8" t="s">
        <v>2037</v>
      </c>
      <c r="F1187" s="6">
        <v>1311</v>
      </c>
      <c r="G1187" s="6" t="b">
        <v>0</v>
      </c>
      <c r="H1187" s="8" t="s">
        <v>240</v>
      </c>
      <c r="I1187" s="6" t="b">
        <v>0</v>
      </c>
      <c r="J1187" s="6" t="b">
        <v>1</v>
      </c>
      <c r="K1187" s="6" t="b">
        <v>0</v>
      </c>
      <c r="L1187" s="6" t="b">
        <v>1</v>
      </c>
      <c r="M1187" s="6" t="b">
        <v>0</v>
      </c>
      <c r="N1187" s="6">
        <v>6</v>
      </c>
      <c r="O1187" s="8" t="s">
        <v>331</v>
      </c>
      <c r="P1187" s="8" t="s">
        <v>350</v>
      </c>
      <c r="Q1187" s="8" t="s">
        <v>811</v>
      </c>
      <c r="R1187" s="6">
        <v>6</v>
      </c>
      <c r="S1187" s="8" t="s">
        <v>347</v>
      </c>
      <c r="T1187" s="6">
        <v>6</v>
      </c>
      <c r="U1187" s="8" t="s">
        <v>240</v>
      </c>
      <c r="V1187" s="8" t="s">
        <v>450</v>
      </c>
      <c r="W1187" s="8" t="s">
        <v>240</v>
      </c>
      <c r="X1187" s="8" t="s">
        <v>240</v>
      </c>
      <c r="Y1187" s="8" t="s">
        <v>2038</v>
      </c>
      <c r="Z1187" s="6" t="b">
        <v>0</v>
      </c>
      <c r="AA1187" s="9"/>
      <c r="AB1187" s="9"/>
    </row>
    <row r="1188" spans="1:28" ht="32">
      <c r="A1188" s="6">
        <v>1312</v>
      </c>
      <c r="B1188" s="8" t="s">
        <v>194</v>
      </c>
      <c r="C1188" s="8" t="s">
        <v>90</v>
      </c>
      <c r="D1188" s="8" t="s">
        <v>2039</v>
      </c>
      <c r="E1188" s="8" t="s">
        <v>2037</v>
      </c>
      <c r="F1188" s="6">
        <v>1311</v>
      </c>
      <c r="G1188" s="6" t="b">
        <v>0</v>
      </c>
      <c r="H1188" s="8" t="s">
        <v>240</v>
      </c>
      <c r="I1188" s="6" t="b">
        <v>0</v>
      </c>
      <c r="J1188" s="6" t="b">
        <v>1</v>
      </c>
      <c r="K1188" s="6" t="b">
        <v>0</v>
      </c>
      <c r="L1188" s="6" t="b">
        <v>1</v>
      </c>
      <c r="M1188" s="6" t="b">
        <v>0</v>
      </c>
      <c r="N1188" s="6">
        <v>6</v>
      </c>
      <c r="O1188" s="8" t="s">
        <v>331</v>
      </c>
      <c r="P1188" s="8" t="s">
        <v>350</v>
      </c>
      <c r="Q1188" s="8" t="s">
        <v>811</v>
      </c>
      <c r="R1188" s="6">
        <v>6</v>
      </c>
      <c r="S1188" s="8" t="s">
        <v>335</v>
      </c>
      <c r="T1188" s="6">
        <v>6</v>
      </c>
      <c r="U1188" s="8" t="s">
        <v>240</v>
      </c>
      <c r="V1188" s="8" t="s">
        <v>450</v>
      </c>
      <c r="W1188" s="8" t="s">
        <v>240</v>
      </c>
      <c r="X1188" s="8" t="s">
        <v>240</v>
      </c>
      <c r="Y1188" s="8" t="s">
        <v>240</v>
      </c>
      <c r="Z1188" s="6" t="b">
        <v>0</v>
      </c>
      <c r="AA1188" s="9"/>
      <c r="AB1188" s="9"/>
    </row>
    <row r="1189" spans="1:28" ht="32">
      <c r="A1189" s="6">
        <v>1313</v>
      </c>
      <c r="B1189" s="8" t="s">
        <v>194</v>
      </c>
      <c r="C1189" s="8" t="s">
        <v>90</v>
      </c>
      <c r="D1189" s="8" t="s">
        <v>2040</v>
      </c>
      <c r="E1189" s="8" t="s">
        <v>2037</v>
      </c>
      <c r="F1189" s="6">
        <v>1311</v>
      </c>
      <c r="G1189" s="6" t="b">
        <v>0</v>
      </c>
      <c r="H1189" s="8" t="s">
        <v>240</v>
      </c>
      <c r="I1189" s="6" t="b">
        <v>0</v>
      </c>
      <c r="J1189" s="6" t="b">
        <v>1</v>
      </c>
      <c r="K1189" s="6" t="b">
        <v>0</v>
      </c>
      <c r="L1189" s="6" t="b">
        <v>1</v>
      </c>
      <c r="M1189" s="6" t="b">
        <v>0</v>
      </c>
      <c r="N1189" s="6">
        <v>6</v>
      </c>
      <c r="O1189" s="8" t="s">
        <v>331</v>
      </c>
      <c r="P1189" s="8" t="s">
        <v>350</v>
      </c>
      <c r="Q1189" s="8" t="s">
        <v>811</v>
      </c>
      <c r="R1189" s="6">
        <v>6.7</v>
      </c>
      <c r="S1189" s="8" t="s">
        <v>247</v>
      </c>
      <c r="T1189" s="9"/>
      <c r="U1189" s="8" t="s">
        <v>240</v>
      </c>
      <c r="V1189" s="8" t="s">
        <v>450</v>
      </c>
      <c r="W1189" s="8" t="s">
        <v>240</v>
      </c>
      <c r="X1189" s="8" t="s">
        <v>240</v>
      </c>
      <c r="Y1189" s="8" t="s">
        <v>240</v>
      </c>
      <c r="Z1189" s="6" t="b">
        <v>0</v>
      </c>
      <c r="AA1189" s="9"/>
      <c r="AB1189" s="9"/>
    </row>
    <row r="1190" spans="1:28" ht="32">
      <c r="A1190" s="6">
        <v>1314</v>
      </c>
      <c r="B1190" s="8" t="s">
        <v>194</v>
      </c>
      <c r="C1190" s="8" t="s">
        <v>90</v>
      </c>
      <c r="D1190" s="8" t="s">
        <v>2041</v>
      </c>
      <c r="E1190" s="8" t="s">
        <v>2037</v>
      </c>
      <c r="F1190" s="6">
        <v>1311</v>
      </c>
      <c r="G1190" s="6" t="b">
        <v>0</v>
      </c>
      <c r="H1190" s="8" t="s">
        <v>240</v>
      </c>
      <c r="I1190" s="6" t="b">
        <v>0</v>
      </c>
      <c r="J1190" s="6" t="b">
        <v>1</v>
      </c>
      <c r="K1190" s="6" t="b">
        <v>0</v>
      </c>
      <c r="L1190" s="6" t="b">
        <v>1</v>
      </c>
      <c r="M1190" s="6" t="b">
        <v>0</v>
      </c>
      <c r="N1190" s="6">
        <v>6</v>
      </c>
      <c r="O1190" s="8" t="s">
        <v>331</v>
      </c>
      <c r="P1190" s="8" t="s">
        <v>350</v>
      </c>
      <c r="Q1190" s="8" t="s">
        <v>811</v>
      </c>
      <c r="R1190" s="6">
        <v>5</v>
      </c>
      <c r="S1190" s="8" t="s">
        <v>335</v>
      </c>
      <c r="T1190" s="6">
        <v>5</v>
      </c>
      <c r="U1190" s="8" t="s">
        <v>2042</v>
      </c>
      <c r="V1190" s="8" t="s">
        <v>450</v>
      </c>
      <c r="W1190" s="8" t="s">
        <v>240</v>
      </c>
      <c r="X1190" s="8" t="s">
        <v>240</v>
      </c>
      <c r="Y1190" s="8" t="s">
        <v>2043</v>
      </c>
      <c r="Z1190" s="6" t="b">
        <v>0</v>
      </c>
      <c r="AA1190" s="9"/>
      <c r="AB1190" s="9"/>
    </row>
    <row r="1191" spans="1:28" ht="32">
      <c r="A1191" s="6">
        <v>1315</v>
      </c>
      <c r="B1191" s="8" t="s">
        <v>194</v>
      </c>
      <c r="C1191" s="8" t="s">
        <v>90</v>
      </c>
      <c r="D1191" s="8" t="s">
        <v>2044</v>
      </c>
      <c r="E1191" s="8" t="s">
        <v>2037</v>
      </c>
      <c r="F1191" s="6">
        <v>1311</v>
      </c>
      <c r="G1191" s="6" t="b">
        <v>0</v>
      </c>
      <c r="H1191" s="8" t="s">
        <v>240</v>
      </c>
      <c r="I1191" s="6" t="b">
        <v>0</v>
      </c>
      <c r="J1191" s="6" t="b">
        <v>1</v>
      </c>
      <c r="K1191" s="6" t="b">
        <v>0</v>
      </c>
      <c r="L1191" s="6" t="b">
        <v>1</v>
      </c>
      <c r="M1191" s="6" t="b">
        <v>0</v>
      </c>
      <c r="N1191" s="6">
        <v>6</v>
      </c>
      <c r="O1191" s="8" t="s">
        <v>331</v>
      </c>
      <c r="P1191" s="8" t="s">
        <v>350</v>
      </c>
      <c r="Q1191" s="8" t="s">
        <v>811</v>
      </c>
      <c r="R1191" s="6">
        <v>6</v>
      </c>
      <c r="S1191" s="8" t="s">
        <v>335</v>
      </c>
      <c r="T1191" s="6">
        <v>6</v>
      </c>
      <c r="U1191" s="8" t="s">
        <v>2045</v>
      </c>
      <c r="V1191" s="8" t="s">
        <v>450</v>
      </c>
      <c r="W1191" s="8" t="s">
        <v>240</v>
      </c>
      <c r="X1191" s="8" t="s">
        <v>240</v>
      </c>
      <c r="Y1191" s="8" t="s">
        <v>240</v>
      </c>
      <c r="Z1191" s="6" t="b">
        <v>0</v>
      </c>
      <c r="AA1191" s="9"/>
      <c r="AB1191" s="9"/>
    </row>
    <row r="1192" spans="1:28" ht="32">
      <c r="A1192" s="6">
        <v>1316</v>
      </c>
      <c r="B1192" s="8" t="s">
        <v>194</v>
      </c>
      <c r="C1192" s="8" t="s">
        <v>90</v>
      </c>
      <c r="D1192" s="8" t="s">
        <v>2046</v>
      </c>
      <c r="E1192" s="8" t="s">
        <v>2037</v>
      </c>
      <c r="F1192" s="6">
        <v>1311</v>
      </c>
      <c r="G1192" s="6" t="b">
        <v>0</v>
      </c>
      <c r="H1192" s="8" t="s">
        <v>240</v>
      </c>
      <c r="I1192" s="6" t="b">
        <v>0</v>
      </c>
      <c r="J1192" s="6" t="b">
        <v>1</v>
      </c>
      <c r="K1192" s="6" t="b">
        <v>0</v>
      </c>
      <c r="L1192" s="6" t="b">
        <v>1</v>
      </c>
      <c r="M1192" s="6" t="b">
        <v>0</v>
      </c>
      <c r="N1192" s="6">
        <v>6</v>
      </c>
      <c r="O1192" s="8" t="s">
        <v>331</v>
      </c>
      <c r="P1192" s="8" t="s">
        <v>350</v>
      </c>
      <c r="Q1192" s="8" t="s">
        <v>811</v>
      </c>
      <c r="R1192" s="6">
        <v>6</v>
      </c>
      <c r="S1192" s="8" t="s">
        <v>335</v>
      </c>
      <c r="T1192" s="6">
        <v>6</v>
      </c>
      <c r="U1192" s="8" t="s">
        <v>2045</v>
      </c>
      <c r="V1192" s="8" t="s">
        <v>450</v>
      </c>
      <c r="W1192" s="8" t="s">
        <v>240</v>
      </c>
      <c r="X1192" s="8" t="s">
        <v>240</v>
      </c>
      <c r="Y1192" s="8" t="s">
        <v>240</v>
      </c>
      <c r="Z1192" s="6" t="b">
        <v>0</v>
      </c>
      <c r="AA1192" s="9"/>
      <c r="AB1192" s="9"/>
    </row>
    <row r="1193" spans="1:28" ht="32">
      <c r="A1193" s="6">
        <v>1317</v>
      </c>
      <c r="B1193" s="8" t="s">
        <v>194</v>
      </c>
      <c r="C1193" s="8" t="s">
        <v>90</v>
      </c>
      <c r="D1193" s="8" t="s">
        <v>2047</v>
      </c>
      <c r="E1193" s="8" t="s">
        <v>2037</v>
      </c>
      <c r="F1193" s="6">
        <v>1311</v>
      </c>
      <c r="G1193" s="6" t="b">
        <v>0</v>
      </c>
      <c r="H1193" s="8" t="s">
        <v>240</v>
      </c>
      <c r="I1193" s="6" t="b">
        <v>0</v>
      </c>
      <c r="J1193" s="6" t="b">
        <v>1</v>
      </c>
      <c r="K1193" s="6" t="b">
        <v>0</v>
      </c>
      <c r="L1193" s="6" t="b">
        <v>1</v>
      </c>
      <c r="M1193" s="6" t="b">
        <v>0</v>
      </c>
      <c r="N1193" s="6">
        <v>6</v>
      </c>
      <c r="O1193" s="8" t="s">
        <v>331</v>
      </c>
      <c r="P1193" s="8" t="s">
        <v>350</v>
      </c>
      <c r="Q1193" s="8" t="s">
        <v>811</v>
      </c>
      <c r="R1193" s="6">
        <v>6</v>
      </c>
      <c r="S1193" s="8" t="s">
        <v>75</v>
      </c>
      <c r="T1193" s="6">
        <v>6</v>
      </c>
      <c r="U1193" s="8" t="s">
        <v>240</v>
      </c>
      <c r="V1193" s="8" t="s">
        <v>450</v>
      </c>
      <c r="W1193" s="8" t="s">
        <v>240</v>
      </c>
      <c r="X1193" s="8" t="s">
        <v>240</v>
      </c>
      <c r="Y1193" s="8" t="s">
        <v>2048</v>
      </c>
      <c r="Z1193" s="6" t="b">
        <v>0</v>
      </c>
      <c r="AA1193" s="9"/>
      <c r="AB1193" s="9"/>
    </row>
    <row r="1194" spans="1:28" ht="32">
      <c r="A1194" s="6">
        <v>1318</v>
      </c>
      <c r="B1194" s="8" t="s">
        <v>194</v>
      </c>
      <c r="C1194" s="8" t="s">
        <v>90</v>
      </c>
      <c r="D1194" s="8" t="s">
        <v>2049</v>
      </c>
      <c r="E1194" s="8" t="s">
        <v>2037</v>
      </c>
      <c r="F1194" s="6">
        <v>1311</v>
      </c>
      <c r="G1194" s="6" t="b">
        <v>0</v>
      </c>
      <c r="H1194" s="8" t="s">
        <v>240</v>
      </c>
      <c r="I1194" s="6" t="b">
        <v>0</v>
      </c>
      <c r="J1194" s="6" t="b">
        <v>1</v>
      </c>
      <c r="K1194" s="6" t="b">
        <v>0</v>
      </c>
      <c r="L1194" s="6" t="b">
        <v>1</v>
      </c>
      <c r="M1194" s="6" t="b">
        <v>0</v>
      </c>
      <c r="N1194" s="6">
        <v>6</v>
      </c>
      <c r="O1194" s="8" t="s">
        <v>331</v>
      </c>
      <c r="P1194" s="8" t="s">
        <v>350</v>
      </c>
      <c r="Q1194" s="8" t="s">
        <v>811</v>
      </c>
      <c r="R1194" s="6">
        <v>6</v>
      </c>
      <c r="S1194" s="8" t="s">
        <v>347</v>
      </c>
      <c r="T1194" s="9"/>
      <c r="U1194" s="8" t="s">
        <v>240</v>
      </c>
      <c r="V1194" s="8" t="s">
        <v>450</v>
      </c>
      <c r="W1194" s="8" t="s">
        <v>240</v>
      </c>
      <c r="X1194" s="8" t="s">
        <v>240</v>
      </c>
      <c r="Y1194" s="8" t="s">
        <v>240</v>
      </c>
      <c r="Z1194" s="6" t="b">
        <v>0</v>
      </c>
      <c r="AA1194" s="9"/>
      <c r="AB1194" s="9"/>
    </row>
    <row r="1195" spans="1:28" ht="16">
      <c r="A1195" s="6">
        <v>1319</v>
      </c>
      <c r="B1195" s="8" t="s">
        <v>194</v>
      </c>
      <c r="C1195" s="8" t="s">
        <v>90</v>
      </c>
      <c r="D1195" s="8" t="s">
        <v>2050</v>
      </c>
      <c r="E1195" s="8" t="s">
        <v>2050</v>
      </c>
      <c r="F1195" s="6">
        <v>1319</v>
      </c>
      <c r="G1195" s="6" t="b">
        <v>0</v>
      </c>
      <c r="H1195" s="8" t="s">
        <v>240</v>
      </c>
      <c r="I1195" s="6" t="b">
        <v>0</v>
      </c>
      <c r="J1195" s="6" t="b">
        <v>0</v>
      </c>
      <c r="K1195" s="6" t="b">
        <v>0</v>
      </c>
      <c r="L1195" s="6" t="b">
        <v>1</v>
      </c>
      <c r="M1195" s="6" t="b">
        <v>0</v>
      </c>
      <c r="N1195" s="6">
        <v>6</v>
      </c>
      <c r="O1195" s="8" t="s">
        <v>331</v>
      </c>
      <c r="P1195" s="8" t="s">
        <v>350</v>
      </c>
      <c r="Q1195" s="8" t="s">
        <v>335</v>
      </c>
      <c r="R1195" s="6">
        <v>1</v>
      </c>
      <c r="S1195" s="8" t="s">
        <v>347</v>
      </c>
      <c r="T1195" s="6">
        <v>1</v>
      </c>
      <c r="U1195" s="8" t="s">
        <v>240</v>
      </c>
      <c r="V1195" s="8" t="s">
        <v>240</v>
      </c>
      <c r="W1195" s="8" t="s">
        <v>386</v>
      </c>
      <c r="X1195" s="8" t="s">
        <v>240</v>
      </c>
      <c r="Y1195" s="8" t="s">
        <v>2051</v>
      </c>
      <c r="Z1195" s="6" t="b">
        <v>0</v>
      </c>
      <c r="AA1195" s="9"/>
      <c r="AB1195" s="9"/>
    </row>
    <row r="1196" spans="1:28" ht="16">
      <c r="A1196" s="6">
        <v>1320</v>
      </c>
      <c r="B1196" s="8" t="s">
        <v>194</v>
      </c>
      <c r="C1196" s="8" t="s">
        <v>90</v>
      </c>
      <c r="D1196" s="8" t="s">
        <v>2052</v>
      </c>
      <c r="E1196" s="8" t="s">
        <v>2050</v>
      </c>
      <c r="F1196" s="6">
        <v>1319</v>
      </c>
      <c r="G1196" s="6" t="b">
        <v>0</v>
      </c>
      <c r="H1196" s="8" t="s">
        <v>240</v>
      </c>
      <c r="I1196" s="6" t="b">
        <v>0</v>
      </c>
      <c r="J1196" s="6" t="b">
        <v>0</v>
      </c>
      <c r="K1196" s="6" t="b">
        <v>0</v>
      </c>
      <c r="L1196" s="6" t="b">
        <v>1</v>
      </c>
      <c r="M1196" s="6" t="b">
        <v>0</v>
      </c>
      <c r="N1196" s="6">
        <v>6</v>
      </c>
      <c r="O1196" s="8" t="s">
        <v>331</v>
      </c>
      <c r="P1196" s="8" t="s">
        <v>350</v>
      </c>
      <c r="Q1196" s="8" t="s">
        <v>335</v>
      </c>
      <c r="R1196" s="6">
        <v>1</v>
      </c>
      <c r="S1196" s="8" t="s">
        <v>347</v>
      </c>
      <c r="T1196" s="9"/>
      <c r="U1196" s="8" t="s">
        <v>240</v>
      </c>
      <c r="V1196" s="8" t="s">
        <v>240</v>
      </c>
      <c r="W1196" s="8" t="s">
        <v>386</v>
      </c>
      <c r="X1196" s="8" t="s">
        <v>240</v>
      </c>
      <c r="Y1196" s="8" t="s">
        <v>240</v>
      </c>
      <c r="Z1196" s="6" t="b">
        <v>0</v>
      </c>
      <c r="AA1196" s="9"/>
      <c r="AB1196" s="9"/>
    </row>
    <row r="1197" spans="1:28" ht="16">
      <c r="A1197" s="6">
        <v>1321</v>
      </c>
      <c r="B1197" s="8" t="s">
        <v>194</v>
      </c>
      <c r="C1197" s="8" t="s">
        <v>90</v>
      </c>
      <c r="D1197" s="8" t="s">
        <v>2053</v>
      </c>
      <c r="E1197" s="8" t="s">
        <v>2053</v>
      </c>
      <c r="F1197" s="6">
        <v>1321</v>
      </c>
      <c r="G1197" s="6" t="b">
        <v>0</v>
      </c>
      <c r="H1197" s="8" t="s">
        <v>240</v>
      </c>
      <c r="I1197" s="6" t="b">
        <v>0</v>
      </c>
      <c r="J1197" s="6" t="b">
        <v>0</v>
      </c>
      <c r="K1197" s="6" t="b">
        <v>0</v>
      </c>
      <c r="L1197" s="6" t="b">
        <v>1</v>
      </c>
      <c r="M1197" s="6" t="b">
        <v>0</v>
      </c>
      <c r="N1197" s="6">
        <v>6</v>
      </c>
      <c r="O1197" s="8" t="s">
        <v>331</v>
      </c>
      <c r="P1197" s="8" t="s">
        <v>350</v>
      </c>
      <c r="Q1197" s="8" t="s">
        <v>446</v>
      </c>
      <c r="R1197" s="6">
        <v>6</v>
      </c>
      <c r="S1197" s="8" t="s">
        <v>75</v>
      </c>
      <c r="T1197" s="9"/>
      <c r="U1197" s="8" t="s">
        <v>240</v>
      </c>
      <c r="V1197" s="8" t="s">
        <v>240</v>
      </c>
      <c r="W1197" s="8" t="s">
        <v>240</v>
      </c>
      <c r="X1197" s="8" t="s">
        <v>240</v>
      </c>
      <c r="Y1197" s="8" t="s">
        <v>240</v>
      </c>
      <c r="Z1197" s="6" t="b">
        <v>0</v>
      </c>
      <c r="AA1197" s="9"/>
      <c r="AB1197" s="9"/>
    </row>
    <row r="1198" spans="1:28" ht="16">
      <c r="A1198" s="6">
        <v>1322</v>
      </c>
      <c r="B1198" s="8" t="s">
        <v>194</v>
      </c>
      <c r="C1198" s="8" t="s">
        <v>90</v>
      </c>
      <c r="D1198" s="8" t="s">
        <v>2054</v>
      </c>
      <c r="E1198" s="8" t="s">
        <v>2053</v>
      </c>
      <c r="F1198" s="6">
        <v>1321</v>
      </c>
      <c r="G1198" s="6" t="b">
        <v>0</v>
      </c>
      <c r="H1198" s="8" t="s">
        <v>240</v>
      </c>
      <c r="I1198" s="6" t="b">
        <v>0</v>
      </c>
      <c r="J1198" s="6" t="b">
        <v>0</v>
      </c>
      <c r="K1198" s="6" t="b">
        <v>0</v>
      </c>
      <c r="L1198" s="6" t="b">
        <v>1</v>
      </c>
      <c r="M1198" s="6" t="b">
        <v>0</v>
      </c>
      <c r="N1198" s="6">
        <v>6</v>
      </c>
      <c r="O1198" s="8" t="s">
        <v>331</v>
      </c>
      <c r="P1198" s="8" t="s">
        <v>350</v>
      </c>
      <c r="Q1198" s="8" t="s">
        <v>446</v>
      </c>
      <c r="R1198" s="6">
        <v>2.6</v>
      </c>
      <c r="S1198" s="8" t="s">
        <v>247</v>
      </c>
      <c r="T1198" s="9"/>
      <c r="U1198" s="8" t="s">
        <v>240</v>
      </c>
      <c r="V1198" s="8" t="s">
        <v>240</v>
      </c>
      <c r="W1198" s="8" t="s">
        <v>240</v>
      </c>
      <c r="X1198" s="8" t="s">
        <v>240</v>
      </c>
      <c r="Y1198" s="8" t="s">
        <v>240</v>
      </c>
      <c r="Z1198" s="6" t="b">
        <v>0</v>
      </c>
      <c r="AA1198" s="9"/>
      <c r="AB1198" s="9"/>
    </row>
    <row r="1199" spans="1:28" ht="16">
      <c r="A1199" s="6">
        <v>1323</v>
      </c>
      <c r="B1199" s="8" t="s">
        <v>194</v>
      </c>
      <c r="C1199" s="8" t="s">
        <v>124</v>
      </c>
      <c r="D1199" s="8" t="s">
        <v>2055</v>
      </c>
      <c r="E1199" s="8" t="s">
        <v>2055</v>
      </c>
      <c r="F1199" s="6">
        <v>1323</v>
      </c>
      <c r="G1199" s="6" t="b">
        <v>0</v>
      </c>
      <c r="H1199" s="8" t="s">
        <v>240</v>
      </c>
      <c r="I1199" s="6" t="b">
        <v>0</v>
      </c>
      <c r="J1199" s="6" t="b">
        <v>0</v>
      </c>
      <c r="K1199" s="6" t="b">
        <v>0</v>
      </c>
      <c r="L1199" s="6" t="b">
        <v>1</v>
      </c>
      <c r="M1199" s="6" t="b">
        <v>0</v>
      </c>
      <c r="N1199" s="6">
        <v>6</v>
      </c>
      <c r="O1199" s="8" t="s">
        <v>347</v>
      </c>
      <c r="P1199" s="8" t="s">
        <v>238</v>
      </c>
      <c r="Q1199" s="8" t="s">
        <v>446</v>
      </c>
      <c r="R1199" s="6">
        <v>6</v>
      </c>
      <c r="S1199" s="8" t="s">
        <v>347</v>
      </c>
      <c r="T1199" s="9"/>
      <c r="U1199" s="8" t="s">
        <v>240</v>
      </c>
      <c r="V1199" s="8" t="s">
        <v>496</v>
      </c>
      <c r="W1199" s="8" t="s">
        <v>240</v>
      </c>
      <c r="X1199" s="8" t="s">
        <v>240</v>
      </c>
      <c r="Y1199" s="8" t="s">
        <v>240</v>
      </c>
      <c r="Z1199" s="6" t="b">
        <v>0</v>
      </c>
      <c r="AA1199" s="9"/>
      <c r="AB1199" s="9"/>
    </row>
    <row r="1200" spans="1:28" ht="16">
      <c r="A1200" s="6">
        <v>1324</v>
      </c>
      <c r="B1200" s="8" t="s">
        <v>194</v>
      </c>
      <c r="C1200" s="8" t="s">
        <v>124</v>
      </c>
      <c r="D1200" s="8" t="s">
        <v>2056</v>
      </c>
      <c r="E1200" s="8" t="s">
        <v>2055</v>
      </c>
      <c r="F1200" s="6">
        <v>1323</v>
      </c>
      <c r="G1200" s="6" t="b">
        <v>0</v>
      </c>
      <c r="H1200" s="8" t="s">
        <v>240</v>
      </c>
      <c r="I1200" s="6" t="b">
        <v>0</v>
      </c>
      <c r="J1200" s="6" t="b">
        <v>0</v>
      </c>
      <c r="K1200" s="6" t="b">
        <v>0</v>
      </c>
      <c r="L1200" s="6" t="b">
        <v>1</v>
      </c>
      <c r="M1200" s="6" t="b">
        <v>0</v>
      </c>
      <c r="N1200" s="6">
        <v>6</v>
      </c>
      <c r="O1200" s="8" t="s">
        <v>347</v>
      </c>
      <c r="P1200" s="8" t="s">
        <v>238</v>
      </c>
      <c r="Q1200" s="8" t="s">
        <v>446</v>
      </c>
      <c r="R1200" s="6">
        <v>6</v>
      </c>
      <c r="S1200" s="8" t="s">
        <v>347</v>
      </c>
      <c r="T1200" s="9"/>
      <c r="U1200" s="8" t="s">
        <v>2057</v>
      </c>
      <c r="V1200" s="8" t="s">
        <v>496</v>
      </c>
      <c r="W1200" s="8" t="s">
        <v>240</v>
      </c>
      <c r="X1200" s="8" t="s">
        <v>240</v>
      </c>
      <c r="Y1200" s="8" t="s">
        <v>2058</v>
      </c>
      <c r="Z1200" s="6" t="b">
        <v>0</v>
      </c>
      <c r="AA1200" s="9"/>
      <c r="AB1200" s="9"/>
    </row>
    <row r="1201" spans="1:28" ht="32">
      <c r="A1201" s="6">
        <v>1325</v>
      </c>
      <c r="B1201" s="8" t="s">
        <v>194</v>
      </c>
      <c r="C1201" s="8" t="s">
        <v>124</v>
      </c>
      <c r="D1201" s="8" t="s">
        <v>2059</v>
      </c>
      <c r="E1201" s="8" t="s">
        <v>2055</v>
      </c>
      <c r="F1201" s="6">
        <v>1323</v>
      </c>
      <c r="G1201" s="6" t="b">
        <v>0</v>
      </c>
      <c r="H1201" s="8" t="s">
        <v>240</v>
      </c>
      <c r="I1201" s="6" t="b">
        <v>0</v>
      </c>
      <c r="J1201" s="6" t="b">
        <v>0</v>
      </c>
      <c r="K1201" s="6" t="b">
        <v>0</v>
      </c>
      <c r="L1201" s="6" t="b">
        <v>1</v>
      </c>
      <c r="M1201" s="6" t="b">
        <v>0</v>
      </c>
      <c r="N1201" s="6">
        <v>6</v>
      </c>
      <c r="O1201" s="8" t="s">
        <v>347</v>
      </c>
      <c r="P1201" s="8" t="s">
        <v>238</v>
      </c>
      <c r="Q1201" s="8" t="s">
        <v>446</v>
      </c>
      <c r="R1201" s="6">
        <v>6</v>
      </c>
      <c r="S1201" s="8" t="s">
        <v>347</v>
      </c>
      <c r="T1201" s="9"/>
      <c r="U1201" s="8" t="s">
        <v>2057</v>
      </c>
      <c r="V1201" s="8" t="s">
        <v>496</v>
      </c>
      <c r="W1201" s="8" t="s">
        <v>240</v>
      </c>
      <c r="X1201" s="8" t="s">
        <v>240</v>
      </c>
      <c r="Y1201" s="8" t="s">
        <v>240</v>
      </c>
      <c r="Z1201" s="6" t="b">
        <v>0</v>
      </c>
      <c r="AA1201" s="9"/>
      <c r="AB1201" s="9"/>
    </row>
    <row r="1202" spans="1:28" ht="16">
      <c r="A1202" s="6">
        <v>1326</v>
      </c>
      <c r="B1202" s="8" t="s">
        <v>194</v>
      </c>
      <c r="C1202" s="8" t="s">
        <v>124</v>
      </c>
      <c r="D1202" s="8" t="s">
        <v>2060</v>
      </c>
      <c r="E1202" s="8" t="s">
        <v>2055</v>
      </c>
      <c r="F1202" s="6">
        <v>1323</v>
      </c>
      <c r="G1202" s="6" t="b">
        <v>0</v>
      </c>
      <c r="H1202" s="8" t="s">
        <v>240</v>
      </c>
      <c r="I1202" s="6" t="b">
        <v>0</v>
      </c>
      <c r="J1202" s="6" t="b">
        <v>0</v>
      </c>
      <c r="K1202" s="6" t="b">
        <v>0</v>
      </c>
      <c r="L1202" s="6" t="b">
        <v>1</v>
      </c>
      <c r="M1202" s="6" t="b">
        <v>0</v>
      </c>
      <c r="N1202" s="6">
        <v>6</v>
      </c>
      <c r="O1202" s="8" t="s">
        <v>347</v>
      </c>
      <c r="P1202" s="8" t="s">
        <v>238</v>
      </c>
      <c r="Q1202" s="8" t="s">
        <v>446</v>
      </c>
      <c r="R1202" s="6">
        <v>6</v>
      </c>
      <c r="S1202" s="8" t="s">
        <v>347</v>
      </c>
      <c r="T1202" s="9"/>
      <c r="U1202" s="8" t="s">
        <v>240</v>
      </c>
      <c r="V1202" s="8" t="s">
        <v>496</v>
      </c>
      <c r="W1202" s="8" t="s">
        <v>240</v>
      </c>
      <c r="X1202" s="8" t="s">
        <v>240</v>
      </c>
      <c r="Y1202" s="8" t="s">
        <v>240</v>
      </c>
      <c r="Z1202" s="6" t="b">
        <v>0</v>
      </c>
      <c r="AA1202" s="9"/>
      <c r="AB1202" s="9"/>
    </row>
    <row r="1203" spans="1:28" ht="16">
      <c r="A1203" s="6">
        <v>1327</v>
      </c>
      <c r="B1203" s="8" t="s">
        <v>194</v>
      </c>
      <c r="C1203" s="8" t="s">
        <v>90</v>
      </c>
      <c r="D1203" s="8" t="s">
        <v>2061</v>
      </c>
      <c r="E1203" s="8" t="s">
        <v>2061</v>
      </c>
      <c r="F1203" s="6">
        <v>1327</v>
      </c>
      <c r="G1203" s="6" t="b">
        <v>0</v>
      </c>
      <c r="H1203" s="8" t="s">
        <v>240</v>
      </c>
      <c r="I1203" s="6" t="b">
        <v>0</v>
      </c>
      <c r="J1203" s="6" t="b">
        <v>1</v>
      </c>
      <c r="K1203" s="6" t="b">
        <v>0</v>
      </c>
      <c r="L1203" s="6" t="b">
        <v>1</v>
      </c>
      <c r="M1203" s="6" t="b">
        <v>0</v>
      </c>
      <c r="N1203" s="6">
        <v>6</v>
      </c>
      <c r="O1203" s="8" t="s">
        <v>331</v>
      </c>
      <c r="P1203" s="8" t="s">
        <v>350</v>
      </c>
      <c r="Q1203" s="8" t="s">
        <v>762</v>
      </c>
      <c r="R1203" s="6">
        <v>2</v>
      </c>
      <c r="S1203" s="8" t="s">
        <v>335</v>
      </c>
      <c r="T1203" s="6">
        <v>2</v>
      </c>
      <c r="U1203" s="8" t="s">
        <v>240</v>
      </c>
      <c r="V1203" s="8" t="s">
        <v>450</v>
      </c>
      <c r="W1203" s="8" t="s">
        <v>483</v>
      </c>
      <c r="X1203" s="8" t="s">
        <v>240</v>
      </c>
      <c r="Y1203" s="8" t="s">
        <v>2062</v>
      </c>
      <c r="Z1203" s="6" t="b">
        <v>0</v>
      </c>
      <c r="AA1203" s="9"/>
      <c r="AB1203" s="9"/>
    </row>
    <row r="1204" spans="1:28" ht="32">
      <c r="A1204" s="6">
        <v>1328</v>
      </c>
      <c r="B1204" s="8" t="s">
        <v>194</v>
      </c>
      <c r="C1204" s="8" t="s">
        <v>90</v>
      </c>
      <c r="D1204" s="8" t="s">
        <v>2063</v>
      </c>
      <c r="E1204" s="8" t="s">
        <v>2061</v>
      </c>
      <c r="F1204" s="6">
        <v>1327</v>
      </c>
      <c r="G1204" s="6" t="b">
        <v>0</v>
      </c>
      <c r="H1204" s="8" t="s">
        <v>240</v>
      </c>
      <c r="I1204" s="6" t="b">
        <v>0</v>
      </c>
      <c r="J1204" s="6" t="b">
        <v>1</v>
      </c>
      <c r="K1204" s="6" t="b">
        <v>0</v>
      </c>
      <c r="L1204" s="6" t="b">
        <v>1</v>
      </c>
      <c r="M1204" s="6" t="b">
        <v>0</v>
      </c>
      <c r="N1204" s="6">
        <v>6</v>
      </c>
      <c r="O1204" s="8" t="s">
        <v>331</v>
      </c>
      <c r="P1204" s="8" t="s">
        <v>350</v>
      </c>
      <c r="Q1204" s="8" t="s">
        <v>2064</v>
      </c>
      <c r="R1204" s="6">
        <v>2</v>
      </c>
      <c r="S1204" s="8" t="s">
        <v>335</v>
      </c>
      <c r="T1204" s="9"/>
      <c r="U1204" s="8" t="s">
        <v>240</v>
      </c>
      <c r="V1204" s="8" t="s">
        <v>450</v>
      </c>
      <c r="W1204" s="8" t="s">
        <v>483</v>
      </c>
      <c r="X1204" s="8" t="s">
        <v>240</v>
      </c>
      <c r="Y1204" s="8" t="s">
        <v>240</v>
      </c>
      <c r="Z1204" s="6" t="b">
        <v>0</v>
      </c>
      <c r="AA1204" s="9"/>
      <c r="AB1204" s="9"/>
    </row>
    <row r="1205" spans="1:28" ht="32">
      <c r="A1205" s="6">
        <v>1329</v>
      </c>
      <c r="B1205" s="8" t="s">
        <v>194</v>
      </c>
      <c r="C1205" s="8" t="s">
        <v>126</v>
      </c>
      <c r="D1205" s="8" t="s">
        <v>2065</v>
      </c>
      <c r="E1205" s="8" t="s">
        <v>2065</v>
      </c>
      <c r="F1205" s="6">
        <v>1329</v>
      </c>
      <c r="G1205" s="6" t="b">
        <v>0</v>
      </c>
      <c r="H1205" s="8" t="s">
        <v>240</v>
      </c>
      <c r="I1205" s="6" t="b">
        <v>0</v>
      </c>
      <c r="J1205" s="6" t="b">
        <v>0</v>
      </c>
      <c r="K1205" s="6" t="b">
        <v>0</v>
      </c>
      <c r="L1205" s="6" t="b">
        <v>1</v>
      </c>
      <c r="M1205" s="6" t="b">
        <v>0</v>
      </c>
      <c r="N1205" s="6">
        <v>8</v>
      </c>
      <c r="O1205" s="8" t="s">
        <v>331</v>
      </c>
      <c r="P1205" s="8" t="s">
        <v>338</v>
      </c>
      <c r="Q1205" s="8" t="s">
        <v>1490</v>
      </c>
      <c r="R1205" s="6">
        <v>10</v>
      </c>
      <c r="S1205" s="8" t="s">
        <v>347</v>
      </c>
      <c r="T1205" s="6">
        <v>10</v>
      </c>
      <c r="U1205" s="8" t="s">
        <v>240</v>
      </c>
      <c r="V1205" s="8" t="s">
        <v>450</v>
      </c>
      <c r="W1205" s="8" t="s">
        <v>240</v>
      </c>
      <c r="X1205" s="8" t="s">
        <v>240</v>
      </c>
      <c r="Y1205" s="8" t="s">
        <v>2066</v>
      </c>
      <c r="Z1205" s="6" t="b">
        <v>0</v>
      </c>
      <c r="AA1205" s="9"/>
      <c r="AB1205" s="9"/>
    </row>
    <row r="1206" spans="1:28" ht="32">
      <c r="A1206" s="6">
        <v>1330</v>
      </c>
      <c r="B1206" s="8" t="s">
        <v>194</v>
      </c>
      <c r="C1206" s="8" t="s">
        <v>126</v>
      </c>
      <c r="D1206" s="8" t="s">
        <v>2067</v>
      </c>
      <c r="E1206" s="8" t="s">
        <v>2065</v>
      </c>
      <c r="F1206" s="6">
        <v>1329</v>
      </c>
      <c r="G1206" s="6" t="b">
        <v>0</v>
      </c>
      <c r="H1206" s="8" t="s">
        <v>240</v>
      </c>
      <c r="I1206" s="6" t="b">
        <v>0</v>
      </c>
      <c r="J1206" s="6" t="b">
        <v>0</v>
      </c>
      <c r="K1206" s="6" t="b">
        <v>0</v>
      </c>
      <c r="L1206" s="6" t="b">
        <v>1</v>
      </c>
      <c r="M1206" s="6" t="b">
        <v>0</v>
      </c>
      <c r="N1206" s="6">
        <v>8</v>
      </c>
      <c r="O1206" s="8" t="s">
        <v>331</v>
      </c>
      <c r="P1206" s="8" t="s">
        <v>238</v>
      </c>
      <c r="Q1206" s="8" t="s">
        <v>335</v>
      </c>
      <c r="R1206" s="6">
        <v>10</v>
      </c>
      <c r="S1206" s="8" t="s">
        <v>335</v>
      </c>
      <c r="T1206" s="6">
        <v>10</v>
      </c>
      <c r="U1206" s="8" t="s">
        <v>240</v>
      </c>
      <c r="V1206" s="8" t="s">
        <v>450</v>
      </c>
      <c r="W1206" s="8" t="s">
        <v>240</v>
      </c>
      <c r="X1206" s="8" t="s">
        <v>240</v>
      </c>
      <c r="Y1206" s="8" t="s">
        <v>240</v>
      </c>
      <c r="Z1206" s="6" t="b">
        <v>0</v>
      </c>
      <c r="AA1206" s="9"/>
      <c r="AB1206" s="9"/>
    </row>
    <row r="1207" spans="1:28" ht="32">
      <c r="A1207" s="6">
        <v>1331</v>
      </c>
      <c r="B1207" s="8" t="s">
        <v>194</v>
      </c>
      <c r="C1207" s="8" t="s">
        <v>126</v>
      </c>
      <c r="D1207" s="8" t="s">
        <v>2068</v>
      </c>
      <c r="E1207" s="8" t="s">
        <v>2065</v>
      </c>
      <c r="F1207" s="6">
        <v>1329</v>
      </c>
      <c r="G1207" s="6" t="b">
        <v>0</v>
      </c>
      <c r="H1207" s="8" t="s">
        <v>240</v>
      </c>
      <c r="I1207" s="6" t="b">
        <v>0</v>
      </c>
      <c r="J1207" s="6" t="b">
        <v>0</v>
      </c>
      <c r="K1207" s="6" t="b">
        <v>0</v>
      </c>
      <c r="L1207" s="6" t="b">
        <v>1</v>
      </c>
      <c r="M1207" s="6" t="b">
        <v>0</v>
      </c>
      <c r="N1207" s="6">
        <v>8</v>
      </c>
      <c r="O1207" s="8" t="s">
        <v>331</v>
      </c>
      <c r="P1207" s="8" t="s">
        <v>338</v>
      </c>
      <c r="Q1207" s="8" t="s">
        <v>1490</v>
      </c>
      <c r="R1207" s="6">
        <v>10</v>
      </c>
      <c r="S1207" s="8" t="s">
        <v>335</v>
      </c>
      <c r="T1207" s="6">
        <v>10</v>
      </c>
      <c r="U1207" s="8" t="s">
        <v>240</v>
      </c>
      <c r="V1207" s="8" t="s">
        <v>450</v>
      </c>
      <c r="W1207" s="8" t="s">
        <v>240</v>
      </c>
      <c r="X1207" s="8" t="s">
        <v>240</v>
      </c>
      <c r="Y1207" s="8" t="s">
        <v>240</v>
      </c>
      <c r="Z1207" s="6" t="b">
        <v>0</v>
      </c>
      <c r="AA1207" s="9"/>
      <c r="AB1207" s="9"/>
    </row>
    <row r="1208" spans="1:28" ht="16">
      <c r="A1208" s="6">
        <v>1332</v>
      </c>
      <c r="B1208" s="8" t="s">
        <v>194</v>
      </c>
      <c r="C1208" s="8" t="s">
        <v>90</v>
      </c>
      <c r="D1208" s="8" t="s">
        <v>2069</v>
      </c>
      <c r="E1208" s="8" t="s">
        <v>2069</v>
      </c>
      <c r="F1208" s="6">
        <v>1332</v>
      </c>
      <c r="G1208" s="6" t="b">
        <v>0</v>
      </c>
      <c r="H1208" s="8" t="s">
        <v>240</v>
      </c>
      <c r="I1208" s="6" t="b">
        <v>0</v>
      </c>
      <c r="J1208" s="6" t="b">
        <v>1</v>
      </c>
      <c r="K1208" s="6" t="b">
        <v>0</v>
      </c>
      <c r="L1208" s="6" t="b">
        <v>1</v>
      </c>
      <c r="M1208" s="6" t="b">
        <v>0</v>
      </c>
      <c r="N1208" s="6">
        <v>6</v>
      </c>
      <c r="O1208" s="8" t="s">
        <v>331</v>
      </c>
      <c r="P1208" s="8" t="s">
        <v>350</v>
      </c>
      <c r="Q1208" s="8" t="s">
        <v>575</v>
      </c>
      <c r="R1208" s="6">
        <v>6</v>
      </c>
      <c r="S1208" s="8" t="s">
        <v>75</v>
      </c>
      <c r="T1208" s="6">
        <v>4</v>
      </c>
      <c r="U1208" s="8" t="s">
        <v>240</v>
      </c>
      <c r="V1208" s="8" t="s">
        <v>450</v>
      </c>
      <c r="W1208" s="8" t="s">
        <v>240</v>
      </c>
      <c r="X1208" s="8" t="s">
        <v>240</v>
      </c>
      <c r="Y1208" s="8" t="s">
        <v>2070</v>
      </c>
      <c r="Z1208" s="6" t="b">
        <v>0</v>
      </c>
      <c r="AA1208" s="9"/>
      <c r="AB1208" s="9"/>
    </row>
    <row r="1209" spans="1:28" ht="16">
      <c r="A1209" s="6">
        <v>1333</v>
      </c>
      <c r="B1209" s="8" t="s">
        <v>194</v>
      </c>
      <c r="C1209" s="8" t="s">
        <v>90</v>
      </c>
      <c r="D1209" s="8" t="s">
        <v>2071</v>
      </c>
      <c r="E1209" s="8" t="s">
        <v>2071</v>
      </c>
      <c r="F1209" s="6">
        <v>1333</v>
      </c>
      <c r="G1209" s="6" t="b">
        <v>0</v>
      </c>
      <c r="H1209" s="8" t="s">
        <v>240</v>
      </c>
      <c r="I1209" s="6" t="b">
        <v>0</v>
      </c>
      <c r="J1209" s="6" t="b">
        <v>1</v>
      </c>
      <c r="K1209" s="6" t="b">
        <v>0</v>
      </c>
      <c r="L1209" s="6" t="b">
        <v>1</v>
      </c>
      <c r="M1209" s="6" t="b">
        <v>0</v>
      </c>
      <c r="N1209" s="6">
        <v>6</v>
      </c>
      <c r="O1209" s="8" t="s">
        <v>331</v>
      </c>
      <c r="P1209" s="8" t="s">
        <v>350</v>
      </c>
      <c r="Q1209" s="8" t="s">
        <v>762</v>
      </c>
      <c r="R1209" s="6">
        <v>4</v>
      </c>
      <c r="S1209" s="8" t="s">
        <v>335</v>
      </c>
      <c r="T1209" s="6">
        <v>4</v>
      </c>
      <c r="U1209" s="8" t="s">
        <v>240</v>
      </c>
      <c r="V1209" s="8" t="s">
        <v>450</v>
      </c>
      <c r="W1209" s="8" t="s">
        <v>240</v>
      </c>
      <c r="X1209" s="8" t="s">
        <v>240</v>
      </c>
      <c r="Y1209" s="8" t="s">
        <v>2072</v>
      </c>
      <c r="Z1209" s="6" t="b">
        <v>0</v>
      </c>
      <c r="AA1209" s="9"/>
      <c r="AB1209" s="9"/>
    </row>
    <row r="1210" spans="1:28" ht="32">
      <c r="A1210" s="6">
        <v>1334</v>
      </c>
      <c r="B1210" s="8" t="s">
        <v>194</v>
      </c>
      <c r="C1210" s="8" t="s">
        <v>90</v>
      </c>
      <c r="D1210" s="8" t="s">
        <v>2073</v>
      </c>
      <c r="E1210" s="8" t="s">
        <v>2071</v>
      </c>
      <c r="F1210" s="6">
        <v>1333</v>
      </c>
      <c r="G1210" s="6" t="b">
        <v>0</v>
      </c>
      <c r="H1210" s="8" t="s">
        <v>240</v>
      </c>
      <c r="I1210" s="6" t="b">
        <v>0</v>
      </c>
      <c r="J1210" s="6" t="b">
        <v>1</v>
      </c>
      <c r="K1210" s="6" t="b">
        <v>0</v>
      </c>
      <c r="L1210" s="6" t="b">
        <v>1</v>
      </c>
      <c r="M1210" s="6" t="b">
        <v>0</v>
      </c>
      <c r="N1210" s="6">
        <v>6</v>
      </c>
      <c r="O1210" s="8" t="s">
        <v>331</v>
      </c>
      <c r="P1210" s="8" t="s">
        <v>350</v>
      </c>
      <c r="Q1210" s="8" t="s">
        <v>762</v>
      </c>
      <c r="R1210" s="6">
        <v>4</v>
      </c>
      <c r="S1210" s="8" t="s">
        <v>335</v>
      </c>
      <c r="T1210" s="9"/>
      <c r="U1210" s="8" t="s">
        <v>240</v>
      </c>
      <c r="V1210" s="8" t="s">
        <v>450</v>
      </c>
      <c r="W1210" s="8" t="s">
        <v>240</v>
      </c>
      <c r="X1210" s="8" t="s">
        <v>240</v>
      </c>
      <c r="Y1210" s="8" t="s">
        <v>240</v>
      </c>
      <c r="Z1210" s="6" t="b">
        <v>0</v>
      </c>
      <c r="AA1210" s="9"/>
      <c r="AB1210" s="9"/>
    </row>
    <row r="1211" spans="1:28" ht="32">
      <c r="A1211" s="6">
        <v>1335</v>
      </c>
      <c r="B1211" s="8" t="s">
        <v>194</v>
      </c>
      <c r="C1211" s="8" t="s">
        <v>90</v>
      </c>
      <c r="D1211" s="8" t="s">
        <v>2074</v>
      </c>
      <c r="E1211" s="8" t="s">
        <v>2074</v>
      </c>
      <c r="F1211" s="6">
        <v>1335</v>
      </c>
      <c r="G1211" s="6" t="b">
        <v>0</v>
      </c>
      <c r="H1211" s="8" t="s">
        <v>240</v>
      </c>
      <c r="I1211" s="6" t="b">
        <v>0</v>
      </c>
      <c r="J1211" s="6" t="b">
        <v>0</v>
      </c>
      <c r="K1211" s="6" t="b">
        <v>0</v>
      </c>
      <c r="L1211" s="6" t="b">
        <v>1</v>
      </c>
      <c r="M1211" s="6" t="b">
        <v>0</v>
      </c>
      <c r="N1211" s="6">
        <v>6</v>
      </c>
      <c r="O1211" s="8" t="s">
        <v>331</v>
      </c>
      <c r="P1211" s="8" t="s">
        <v>350</v>
      </c>
      <c r="Q1211" s="8" t="s">
        <v>811</v>
      </c>
      <c r="R1211" s="6">
        <v>8</v>
      </c>
      <c r="S1211" s="8" t="s">
        <v>347</v>
      </c>
      <c r="T1211" s="6">
        <v>8</v>
      </c>
      <c r="U1211" s="8" t="s">
        <v>240</v>
      </c>
      <c r="V1211" s="8" t="s">
        <v>482</v>
      </c>
      <c r="W1211" s="8" t="s">
        <v>240</v>
      </c>
      <c r="X1211" s="8" t="s">
        <v>240</v>
      </c>
      <c r="Y1211" s="8" t="s">
        <v>240</v>
      </c>
      <c r="Z1211" s="6" t="b">
        <v>0</v>
      </c>
      <c r="AA1211" s="9"/>
      <c r="AB1211" s="9"/>
    </row>
    <row r="1212" spans="1:28" ht="32">
      <c r="A1212" s="6">
        <v>1336</v>
      </c>
      <c r="B1212" s="8" t="s">
        <v>194</v>
      </c>
      <c r="C1212" s="8" t="s">
        <v>90</v>
      </c>
      <c r="D1212" s="8" t="s">
        <v>2075</v>
      </c>
      <c r="E1212" s="8" t="s">
        <v>2074</v>
      </c>
      <c r="F1212" s="6">
        <v>1335</v>
      </c>
      <c r="G1212" s="6" t="b">
        <v>0</v>
      </c>
      <c r="H1212" s="8" t="s">
        <v>240</v>
      </c>
      <c r="I1212" s="6" t="b">
        <v>0</v>
      </c>
      <c r="J1212" s="6" t="b">
        <v>0</v>
      </c>
      <c r="K1212" s="6" t="b">
        <v>0</v>
      </c>
      <c r="L1212" s="6" t="b">
        <v>1</v>
      </c>
      <c r="M1212" s="6" t="b">
        <v>0</v>
      </c>
      <c r="N1212" s="6">
        <v>6</v>
      </c>
      <c r="O1212" s="8" t="s">
        <v>331</v>
      </c>
      <c r="P1212" s="8" t="s">
        <v>350</v>
      </c>
      <c r="Q1212" s="8" t="s">
        <v>335</v>
      </c>
      <c r="R1212" s="6">
        <v>8</v>
      </c>
      <c r="S1212" s="8" t="s">
        <v>347</v>
      </c>
      <c r="T1212" s="6">
        <v>8</v>
      </c>
      <c r="U1212" s="8" t="s">
        <v>240</v>
      </c>
      <c r="V1212" s="8" t="s">
        <v>482</v>
      </c>
      <c r="W1212" s="8" t="s">
        <v>240</v>
      </c>
      <c r="X1212" s="8" t="s">
        <v>240</v>
      </c>
      <c r="Y1212" s="8" t="s">
        <v>240</v>
      </c>
      <c r="Z1212" s="6" t="b">
        <v>0</v>
      </c>
      <c r="AA1212" s="9"/>
      <c r="AB1212" s="9"/>
    </row>
    <row r="1213" spans="1:28" ht="16">
      <c r="A1213" s="6">
        <v>1337</v>
      </c>
      <c r="B1213" s="8" t="s">
        <v>194</v>
      </c>
      <c r="C1213" s="8" t="s">
        <v>90</v>
      </c>
      <c r="D1213" s="8" t="s">
        <v>2076</v>
      </c>
      <c r="E1213" s="8" t="s">
        <v>2076</v>
      </c>
      <c r="F1213" s="6">
        <v>1337</v>
      </c>
      <c r="G1213" s="6" t="b">
        <v>0</v>
      </c>
      <c r="H1213" s="8" t="s">
        <v>240</v>
      </c>
      <c r="I1213" s="6" t="b">
        <v>0</v>
      </c>
      <c r="J1213" s="6" t="b">
        <v>1</v>
      </c>
      <c r="K1213" s="6" t="b">
        <v>0</v>
      </c>
      <c r="L1213" s="6" t="b">
        <v>1</v>
      </c>
      <c r="M1213" s="6" t="b">
        <v>0</v>
      </c>
      <c r="N1213" s="6">
        <v>6</v>
      </c>
      <c r="O1213" s="8" t="s">
        <v>331</v>
      </c>
      <c r="P1213" s="8" t="s">
        <v>350</v>
      </c>
      <c r="Q1213" s="8" t="s">
        <v>927</v>
      </c>
      <c r="R1213" s="6">
        <v>5</v>
      </c>
      <c r="S1213" s="8" t="s">
        <v>347</v>
      </c>
      <c r="T1213" s="9"/>
      <c r="U1213" s="8" t="s">
        <v>240</v>
      </c>
      <c r="V1213" s="8" t="s">
        <v>450</v>
      </c>
      <c r="W1213" s="8" t="s">
        <v>483</v>
      </c>
      <c r="X1213" s="8" t="s">
        <v>240</v>
      </c>
      <c r="Y1213" s="8" t="s">
        <v>2077</v>
      </c>
      <c r="Z1213" s="6" t="b">
        <v>0</v>
      </c>
      <c r="AA1213" s="9"/>
      <c r="AB1213" s="9"/>
    </row>
    <row r="1214" spans="1:28" ht="32">
      <c r="A1214" s="6">
        <v>1338</v>
      </c>
      <c r="B1214" s="8" t="s">
        <v>194</v>
      </c>
      <c r="C1214" s="8" t="s">
        <v>90</v>
      </c>
      <c r="D1214" s="8" t="s">
        <v>2078</v>
      </c>
      <c r="E1214" s="8" t="s">
        <v>2076</v>
      </c>
      <c r="F1214" s="6">
        <v>1337</v>
      </c>
      <c r="G1214" s="6" t="b">
        <v>0</v>
      </c>
      <c r="H1214" s="8" t="s">
        <v>240</v>
      </c>
      <c r="I1214" s="6" t="b">
        <v>0</v>
      </c>
      <c r="J1214" s="6" t="b">
        <v>1</v>
      </c>
      <c r="K1214" s="6" t="b">
        <v>0</v>
      </c>
      <c r="L1214" s="6" t="b">
        <v>1</v>
      </c>
      <c r="M1214" s="6" t="b">
        <v>0</v>
      </c>
      <c r="N1214" s="6">
        <v>6</v>
      </c>
      <c r="O1214" s="8" t="s">
        <v>331</v>
      </c>
      <c r="P1214" s="8" t="s">
        <v>350</v>
      </c>
      <c r="Q1214" s="8" t="s">
        <v>927</v>
      </c>
      <c r="R1214" s="6">
        <v>6</v>
      </c>
      <c r="S1214" s="8" t="s">
        <v>75</v>
      </c>
      <c r="T1214" s="9"/>
      <c r="U1214" s="8" t="s">
        <v>240</v>
      </c>
      <c r="V1214" s="8" t="s">
        <v>450</v>
      </c>
      <c r="W1214" s="8" t="s">
        <v>483</v>
      </c>
      <c r="X1214" s="8" t="s">
        <v>240</v>
      </c>
      <c r="Y1214" s="8" t="s">
        <v>2079</v>
      </c>
      <c r="Z1214" s="6" t="b">
        <v>0</v>
      </c>
      <c r="AA1214" s="9"/>
      <c r="AB1214" s="9"/>
    </row>
    <row r="1215" spans="1:28" ht="32">
      <c r="A1215" s="6">
        <v>1339</v>
      </c>
      <c r="B1215" s="8" t="s">
        <v>194</v>
      </c>
      <c r="C1215" s="8" t="s">
        <v>90</v>
      </c>
      <c r="D1215" s="8" t="s">
        <v>2080</v>
      </c>
      <c r="E1215" s="8" t="s">
        <v>2076</v>
      </c>
      <c r="F1215" s="6">
        <v>1337</v>
      </c>
      <c r="G1215" s="6" t="b">
        <v>0</v>
      </c>
      <c r="H1215" s="8" t="s">
        <v>240</v>
      </c>
      <c r="I1215" s="6" t="b">
        <v>0</v>
      </c>
      <c r="J1215" s="6" t="b">
        <v>1</v>
      </c>
      <c r="K1215" s="6" t="b">
        <v>0</v>
      </c>
      <c r="L1215" s="6" t="b">
        <v>1</v>
      </c>
      <c r="M1215" s="6" t="b">
        <v>0</v>
      </c>
      <c r="N1215" s="6">
        <v>6</v>
      </c>
      <c r="O1215" s="8" t="s">
        <v>331</v>
      </c>
      <c r="P1215" s="8" t="s">
        <v>350</v>
      </c>
      <c r="Q1215" s="8" t="s">
        <v>335</v>
      </c>
      <c r="R1215" s="6">
        <v>5</v>
      </c>
      <c r="S1215" s="8" t="s">
        <v>347</v>
      </c>
      <c r="T1215" s="6">
        <v>5</v>
      </c>
      <c r="U1215" s="8" t="s">
        <v>240</v>
      </c>
      <c r="V1215" s="8" t="s">
        <v>450</v>
      </c>
      <c r="W1215" s="8" t="s">
        <v>483</v>
      </c>
      <c r="X1215" s="8" t="s">
        <v>240</v>
      </c>
      <c r="Y1215" s="8" t="s">
        <v>240</v>
      </c>
      <c r="Z1215" s="6" t="b">
        <v>0</v>
      </c>
      <c r="AA1215" s="9"/>
      <c r="AB1215" s="9"/>
    </row>
    <row r="1216" spans="1:28" ht="32">
      <c r="A1216" s="6">
        <v>1340</v>
      </c>
      <c r="B1216" s="8" t="s">
        <v>194</v>
      </c>
      <c r="C1216" s="8" t="s">
        <v>90</v>
      </c>
      <c r="D1216" s="8" t="s">
        <v>2081</v>
      </c>
      <c r="E1216" s="8" t="s">
        <v>2076</v>
      </c>
      <c r="F1216" s="6">
        <v>1337</v>
      </c>
      <c r="G1216" s="6" t="b">
        <v>0</v>
      </c>
      <c r="H1216" s="8" t="s">
        <v>240</v>
      </c>
      <c r="I1216" s="6" t="b">
        <v>0</v>
      </c>
      <c r="J1216" s="6" t="b">
        <v>1</v>
      </c>
      <c r="K1216" s="6" t="b">
        <v>0</v>
      </c>
      <c r="L1216" s="6" t="b">
        <v>1</v>
      </c>
      <c r="M1216" s="6" t="b">
        <v>0</v>
      </c>
      <c r="N1216" s="6">
        <v>6</v>
      </c>
      <c r="O1216" s="8" t="s">
        <v>331</v>
      </c>
      <c r="P1216" s="8" t="s">
        <v>350</v>
      </c>
      <c r="Q1216" s="8" t="s">
        <v>927</v>
      </c>
      <c r="R1216" s="6">
        <v>5</v>
      </c>
      <c r="S1216" s="8" t="s">
        <v>347</v>
      </c>
      <c r="T1216" s="9"/>
      <c r="U1216" s="8" t="s">
        <v>240</v>
      </c>
      <c r="V1216" s="8" t="s">
        <v>450</v>
      </c>
      <c r="W1216" s="8" t="s">
        <v>483</v>
      </c>
      <c r="X1216" s="8" t="s">
        <v>240</v>
      </c>
      <c r="Y1216" s="8" t="s">
        <v>240</v>
      </c>
      <c r="Z1216" s="6" t="b">
        <v>0</v>
      </c>
      <c r="AA1216" s="9"/>
      <c r="AB1216" s="9"/>
    </row>
    <row r="1217" spans="1:28" ht="16">
      <c r="A1217" s="6">
        <v>1341</v>
      </c>
      <c r="B1217" s="8" t="s">
        <v>194</v>
      </c>
      <c r="C1217" s="8" t="s">
        <v>90</v>
      </c>
      <c r="D1217" s="8" t="s">
        <v>2082</v>
      </c>
      <c r="E1217" s="8" t="s">
        <v>2082</v>
      </c>
      <c r="F1217" s="6">
        <v>1341</v>
      </c>
      <c r="G1217" s="6" t="b">
        <v>0</v>
      </c>
      <c r="H1217" s="8" t="s">
        <v>240</v>
      </c>
      <c r="I1217" s="6" t="b">
        <v>0</v>
      </c>
      <c r="J1217" s="6" t="b">
        <v>1</v>
      </c>
      <c r="K1217" s="6" t="b">
        <v>0</v>
      </c>
      <c r="L1217" s="6" t="b">
        <v>1</v>
      </c>
      <c r="M1217" s="6" t="b">
        <v>0</v>
      </c>
      <c r="N1217" s="6">
        <v>6</v>
      </c>
      <c r="O1217" s="8" t="s">
        <v>331</v>
      </c>
      <c r="P1217" s="8" t="s">
        <v>350</v>
      </c>
      <c r="Q1217" s="8" t="s">
        <v>762</v>
      </c>
      <c r="R1217" s="6">
        <v>4</v>
      </c>
      <c r="S1217" s="8" t="s">
        <v>347</v>
      </c>
      <c r="T1217" s="6">
        <v>4</v>
      </c>
      <c r="U1217" s="8" t="s">
        <v>240</v>
      </c>
      <c r="V1217" s="8" t="s">
        <v>450</v>
      </c>
      <c r="W1217" s="8" t="s">
        <v>240</v>
      </c>
      <c r="X1217" s="8" t="s">
        <v>240</v>
      </c>
      <c r="Y1217" s="8" t="s">
        <v>2083</v>
      </c>
      <c r="Z1217" s="6" t="b">
        <v>0</v>
      </c>
      <c r="AA1217" s="9"/>
      <c r="AB1217" s="9"/>
    </row>
    <row r="1218" spans="1:28" ht="16">
      <c r="A1218" s="6">
        <v>1342</v>
      </c>
      <c r="B1218" s="8" t="s">
        <v>194</v>
      </c>
      <c r="C1218" s="8" t="s">
        <v>90</v>
      </c>
      <c r="D1218" s="8" t="s">
        <v>2084</v>
      </c>
      <c r="E1218" s="8" t="s">
        <v>2084</v>
      </c>
      <c r="F1218" s="6">
        <v>1342</v>
      </c>
      <c r="G1218" s="6" t="b">
        <v>0</v>
      </c>
      <c r="H1218" s="8" t="s">
        <v>240</v>
      </c>
      <c r="I1218" s="6" t="b">
        <v>1</v>
      </c>
      <c r="J1218" s="6" t="b">
        <v>0</v>
      </c>
      <c r="K1218" s="6" t="b">
        <v>0</v>
      </c>
      <c r="L1218" s="6" t="b">
        <v>1</v>
      </c>
      <c r="M1218" s="6" t="b">
        <v>0</v>
      </c>
      <c r="N1218" s="6">
        <v>6</v>
      </c>
      <c r="O1218" s="8" t="s">
        <v>331</v>
      </c>
      <c r="P1218" s="8" t="s">
        <v>1678</v>
      </c>
      <c r="Q1218" s="8" t="s">
        <v>446</v>
      </c>
      <c r="R1218" s="6">
        <v>6</v>
      </c>
      <c r="S1218" s="8" t="s">
        <v>347</v>
      </c>
      <c r="T1218" s="6">
        <v>6</v>
      </c>
      <c r="U1218" s="8" t="s">
        <v>240</v>
      </c>
      <c r="V1218" s="8" t="s">
        <v>450</v>
      </c>
      <c r="W1218" s="8" t="s">
        <v>240</v>
      </c>
      <c r="X1218" s="8" t="s">
        <v>240</v>
      </c>
      <c r="Y1218" s="8" t="s">
        <v>2085</v>
      </c>
      <c r="Z1218" s="6" t="b">
        <v>0</v>
      </c>
      <c r="AA1218" s="9"/>
      <c r="AB1218" s="9"/>
    </row>
    <row r="1219" spans="1:28" ht="32">
      <c r="A1219" s="6">
        <v>1343</v>
      </c>
      <c r="B1219" s="8" t="s">
        <v>194</v>
      </c>
      <c r="C1219" s="8" t="s">
        <v>90</v>
      </c>
      <c r="D1219" s="8" t="s">
        <v>2086</v>
      </c>
      <c r="E1219" s="8" t="s">
        <v>2084</v>
      </c>
      <c r="F1219" s="6">
        <v>1342</v>
      </c>
      <c r="G1219" s="6" t="b">
        <v>0</v>
      </c>
      <c r="H1219" s="8" t="s">
        <v>240</v>
      </c>
      <c r="I1219" s="6" t="b">
        <v>1</v>
      </c>
      <c r="J1219" s="6" t="b">
        <v>0</v>
      </c>
      <c r="K1219" s="6" t="b">
        <v>0</v>
      </c>
      <c r="L1219" s="6" t="b">
        <v>1</v>
      </c>
      <c r="M1219" s="6" t="b">
        <v>0</v>
      </c>
      <c r="N1219" s="6">
        <v>6</v>
      </c>
      <c r="O1219" s="8" t="s">
        <v>331</v>
      </c>
      <c r="P1219" s="8" t="s">
        <v>1678</v>
      </c>
      <c r="Q1219" s="8" t="s">
        <v>446</v>
      </c>
      <c r="R1219" s="6">
        <v>6</v>
      </c>
      <c r="S1219" s="8" t="s">
        <v>347</v>
      </c>
      <c r="T1219" s="9"/>
      <c r="U1219" s="8" t="s">
        <v>2087</v>
      </c>
      <c r="V1219" s="8" t="s">
        <v>450</v>
      </c>
      <c r="W1219" s="8" t="s">
        <v>240</v>
      </c>
      <c r="X1219" s="8" t="s">
        <v>240</v>
      </c>
      <c r="Y1219" s="8" t="s">
        <v>2088</v>
      </c>
      <c r="Z1219" s="6" t="b">
        <v>0</v>
      </c>
      <c r="AA1219" s="9"/>
      <c r="AB1219" s="9"/>
    </row>
    <row r="1220" spans="1:28" ht="32">
      <c r="A1220" s="6">
        <v>1345</v>
      </c>
      <c r="B1220" s="8" t="s">
        <v>194</v>
      </c>
      <c r="C1220" s="8" t="s">
        <v>126</v>
      </c>
      <c r="D1220" s="8" t="s">
        <v>2089</v>
      </c>
      <c r="E1220" s="8" t="s">
        <v>2089</v>
      </c>
      <c r="F1220" s="6">
        <v>1345</v>
      </c>
      <c r="G1220" s="6" t="b">
        <v>0</v>
      </c>
      <c r="H1220" s="8" t="s">
        <v>240</v>
      </c>
      <c r="I1220" s="6" t="b">
        <v>0</v>
      </c>
      <c r="J1220" s="6" t="b">
        <v>0</v>
      </c>
      <c r="K1220" s="6" t="b">
        <v>0</v>
      </c>
      <c r="L1220" s="6" t="b">
        <v>1</v>
      </c>
      <c r="M1220" s="6" t="b">
        <v>0</v>
      </c>
      <c r="N1220" s="6">
        <v>8</v>
      </c>
      <c r="O1220" s="8" t="s">
        <v>331</v>
      </c>
      <c r="P1220" s="8" t="s">
        <v>350</v>
      </c>
      <c r="Q1220" s="8" t="s">
        <v>446</v>
      </c>
      <c r="R1220" s="6">
        <v>8</v>
      </c>
      <c r="S1220" s="8" t="s">
        <v>347</v>
      </c>
      <c r="T1220" s="6">
        <v>6</v>
      </c>
      <c r="U1220" s="8" t="s">
        <v>240</v>
      </c>
      <c r="V1220" s="8" t="s">
        <v>496</v>
      </c>
      <c r="W1220" s="8" t="s">
        <v>240</v>
      </c>
      <c r="X1220" s="8" t="s">
        <v>240</v>
      </c>
      <c r="Y1220" s="8" t="s">
        <v>2090</v>
      </c>
      <c r="Z1220" s="6" t="b">
        <v>0</v>
      </c>
      <c r="AA1220" s="9"/>
      <c r="AB1220" s="9"/>
    </row>
    <row r="1221" spans="1:28" ht="32">
      <c r="A1221" s="6">
        <v>1346</v>
      </c>
      <c r="B1221" s="8" t="s">
        <v>194</v>
      </c>
      <c r="C1221" s="8" t="s">
        <v>126</v>
      </c>
      <c r="D1221" s="8" t="s">
        <v>2091</v>
      </c>
      <c r="E1221" s="8" t="s">
        <v>2089</v>
      </c>
      <c r="F1221" s="6">
        <v>1345</v>
      </c>
      <c r="G1221" s="6" t="b">
        <v>0</v>
      </c>
      <c r="H1221" s="8" t="s">
        <v>240</v>
      </c>
      <c r="I1221" s="6" t="b">
        <v>0</v>
      </c>
      <c r="J1221" s="6" t="b">
        <v>0</v>
      </c>
      <c r="K1221" s="6" t="b">
        <v>0</v>
      </c>
      <c r="L1221" s="6" t="b">
        <v>1</v>
      </c>
      <c r="M1221" s="6" t="b">
        <v>0</v>
      </c>
      <c r="N1221" s="6">
        <v>8</v>
      </c>
      <c r="O1221" s="8" t="s">
        <v>331</v>
      </c>
      <c r="P1221" s="8" t="s">
        <v>350</v>
      </c>
      <c r="Q1221" s="8" t="s">
        <v>335</v>
      </c>
      <c r="R1221" s="6">
        <v>8</v>
      </c>
      <c r="S1221" s="8" t="s">
        <v>335</v>
      </c>
      <c r="T1221" s="6">
        <v>6</v>
      </c>
      <c r="U1221" s="8" t="s">
        <v>240</v>
      </c>
      <c r="V1221" s="8" t="s">
        <v>496</v>
      </c>
      <c r="W1221" s="8" t="s">
        <v>240</v>
      </c>
      <c r="X1221" s="8" t="s">
        <v>240</v>
      </c>
      <c r="Y1221" s="8" t="s">
        <v>240</v>
      </c>
      <c r="Z1221" s="6" t="b">
        <v>0</v>
      </c>
      <c r="AA1221" s="9"/>
      <c r="AB1221" s="9"/>
    </row>
    <row r="1222" spans="1:28" ht="16">
      <c r="A1222" s="6">
        <v>1347</v>
      </c>
      <c r="B1222" s="8" t="s">
        <v>194</v>
      </c>
      <c r="C1222" s="8" t="s">
        <v>108</v>
      </c>
      <c r="D1222" s="8" t="s">
        <v>2092</v>
      </c>
      <c r="E1222" s="8" t="s">
        <v>2092</v>
      </c>
      <c r="F1222" s="6">
        <v>1347</v>
      </c>
      <c r="G1222" s="6" t="b">
        <v>0</v>
      </c>
      <c r="H1222" s="8" t="s">
        <v>240</v>
      </c>
      <c r="I1222" s="6" t="b">
        <v>0</v>
      </c>
      <c r="J1222" s="6" t="b">
        <v>0</v>
      </c>
      <c r="K1222" s="6" t="b">
        <v>0</v>
      </c>
      <c r="L1222" s="6" t="b">
        <v>1</v>
      </c>
      <c r="M1222" s="6" t="b">
        <v>0</v>
      </c>
      <c r="N1222" s="6">
        <v>3</v>
      </c>
      <c r="O1222" s="8" t="s">
        <v>347</v>
      </c>
      <c r="P1222" s="8" t="s">
        <v>238</v>
      </c>
      <c r="Q1222" s="8" t="s">
        <v>381</v>
      </c>
      <c r="R1222" s="6">
        <v>6</v>
      </c>
      <c r="S1222" s="8" t="s">
        <v>347</v>
      </c>
      <c r="T1222" s="9"/>
      <c r="U1222" s="8" t="s">
        <v>240</v>
      </c>
      <c r="V1222" s="8" t="s">
        <v>496</v>
      </c>
      <c r="W1222" s="8" t="s">
        <v>240</v>
      </c>
      <c r="X1222" s="8" t="s">
        <v>240</v>
      </c>
      <c r="Y1222" s="8" t="s">
        <v>240</v>
      </c>
      <c r="Z1222" s="6" t="b">
        <v>0</v>
      </c>
      <c r="AA1222" s="9"/>
      <c r="AB1222" s="9"/>
    </row>
    <row r="1223" spans="1:28" ht="16">
      <c r="A1223" s="6">
        <v>1348</v>
      </c>
      <c r="B1223" s="8" t="s">
        <v>194</v>
      </c>
      <c r="C1223" s="8" t="s">
        <v>90</v>
      </c>
      <c r="D1223" s="8" t="s">
        <v>2093</v>
      </c>
      <c r="E1223" s="8" t="s">
        <v>2093</v>
      </c>
      <c r="F1223" s="6">
        <v>1348</v>
      </c>
      <c r="G1223" s="6" t="b">
        <v>0</v>
      </c>
      <c r="H1223" s="8" t="s">
        <v>240</v>
      </c>
      <c r="I1223" s="6" t="b">
        <v>0</v>
      </c>
      <c r="J1223" s="6" t="b">
        <v>0</v>
      </c>
      <c r="K1223" s="6" t="b">
        <v>0</v>
      </c>
      <c r="L1223" s="6" t="b">
        <v>1</v>
      </c>
      <c r="M1223" s="6" t="b">
        <v>0</v>
      </c>
      <c r="N1223" s="6">
        <v>6</v>
      </c>
      <c r="O1223" s="8" t="s">
        <v>331</v>
      </c>
      <c r="P1223" s="8" t="s">
        <v>2094</v>
      </c>
      <c r="Q1223" s="8" t="s">
        <v>446</v>
      </c>
      <c r="R1223" s="6">
        <v>6</v>
      </c>
      <c r="S1223" s="8" t="s">
        <v>75</v>
      </c>
      <c r="T1223" s="9"/>
      <c r="U1223" s="8" t="s">
        <v>240</v>
      </c>
      <c r="V1223" s="8" t="s">
        <v>450</v>
      </c>
      <c r="W1223" s="8" t="s">
        <v>240</v>
      </c>
      <c r="X1223" s="8" t="s">
        <v>240</v>
      </c>
      <c r="Y1223" s="8" t="s">
        <v>240</v>
      </c>
      <c r="Z1223" s="6" t="b">
        <v>0</v>
      </c>
      <c r="AA1223" s="9"/>
      <c r="AB1223" s="9"/>
    </row>
    <row r="1224" spans="1:28" ht="16">
      <c r="A1224" s="6">
        <v>1349</v>
      </c>
      <c r="B1224" s="8" t="s">
        <v>194</v>
      </c>
      <c r="C1224" s="8" t="s">
        <v>90</v>
      </c>
      <c r="D1224" s="8" t="s">
        <v>2095</v>
      </c>
      <c r="E1224" s="8" t="s">
        <v>2093</v>
      </c>
      <c r="F1224" s="6">
        <v>1348</v>
      </c>
      <c r="G1224" s="6" t="b">
        <v>0</v>
      </c>
      <c r="H1224" s="8" t="s">
        <v>240</v>
      </c>
      <c r="I1224" s="6" t="b">
        <v>0</v>
      </c>
      <c r="J1224" s="6" t="b">
        <v>0</v>
      </c>
      <c r="K1224" s="6" t="b">
        <v>0</v>
      </c>
      <c r="L1224" s="6" t="b">
        <v>1</v>
      </c>
      <c r="M1224" s="6" t="b">
        <v>0</v>
      </c>
      <c r="N1224" s="6">
        <v>6</v>
      </c>
      <c r="O1224" s="8" t="s">
        <v>331</v>
      </c>
      <c r="P1224" s="8" t="s">
        <v>2094</v>
      </c>
      <c r="Q1224" s="8" t="s">
        <v>446</v>
      </c>
      <c r="R1224" s="6">
        <v>6</v>
      </c>
      <c r="S1224" s="8" t="s">
        <v>75</v>
      </c>
      <c r="T1224" s="9"/>
      <c r="U1224" s="8" t="s">
        <v>240</v>
      </c>
      <c r="V1224" s="8" t="s">
        <v>450</v>
      </c>
      <c r="W1224" s="8" t="s">
        <v>240</v>
      </c>
      <c r="X1224" s="8" t="s">
        <v>240</v>
      </c>
      <c r="Y1224" s="8" t="s">
        <v>240</v>
      </c>
      <c r="Z1224" s="6" t="b">
        <v>0</v>
      </c>
      <c r="AA1224" s="9"/>
      <c r="AB1224" s="9"/>
    </row>
    <row r="1225" spans="1:28" ht="16">
      <c r="A1225" s="6">
        <v>1351</v>
      </c>
      <c r="B1225" s="8" t="s">
        <v>194</v>
      </c>
      <c r="C1225" s="8" t="s">
        <v>90</v>
      </c>
      <c r="D1225" s="8" t="s">
        <v>2096</v>
      </c>
      <c r="E1225" s="8" t="s">
        <v>2096</v>
      </c>
      <c r="F1225" s="6">
        <v>1351</v>
      </c>
      <c r="G1225" s="6" t="b">
        <v>0</v>
      </c>
      <c r="H1225" s="8" t="s">
        <v>240</v>
      </c>
      <c r="I1225" s="6" t="b">
        <v>0</v>
      </c>
      <c r="J1225" s="6" t="b">
        <v>0</v>
      </c>
      <c r="K1225" s="6" t="b">
        <v>1</v>
      </c>
      <c r="L1225" s="6" t="b">
        <v>1</v>
      </c>
      <c r="M1225" s="6" t="b">
        <v>0</v>
      </c>
      <c r="N1225" s="6">
        <v>6</v>
      </c>
      <c r="O1225" s="8" t="s">
        <v>331</v>
      </c>
      <c r="P1225" s="8" t="s">
        <v>338</v>
      </c>
      <c r="Q1225" s="8" t="s">
        <v>1490</v>
      </c>
      <c r="R1225" s="6">
        <v>6</v>
      </c>
      <c r="S1225" s="8" t="s">
        <v>347</v>
      </c>
      <c r="T1225" s="6">
        <v>6</v>
      </c>
      <c r="U1225" s="8" t="s">
        <v>240</v>
      </c>
      <c r="V1225" s="8" t="s">
        <v>450</v>
      </c>
      <c r="W1225" s="8" t="s">
        <v>240</v>
      </c>
      <c r="X1225" s="8" t="s">
        <v>240</v>
      </c>
      <c r="Y1225" s="8" t="s">
        <v>2097</v>
      </c>
      <c r="Z1225" s="6" t="b">
        <v>0</v>
      </c>
      <c r="AA1225" s="9"/>
      <c r="AB1225" s="9"/>
    </row>
    <row r="1226" spans="1:28" ht="16">
      <c r="A1226" s="6">
        <v>1352</v>
      </c>
      <c r="B1226" s="8" t="s">
        <v>194</v>
      </c>
      <c r="C1226" s="8" t="s">
        <v>90</v>
      </c>
      <c r="D1226" s="8" t="s">
        <v>2098</v>
      </c>
      <c r="E1226" s="8" t="s">
        <v>2096</v>
      </c>
      <c r="F1226" s="6">
        <v>1351</v>
      </c>
      <c r="G1226" s="6" t="b">
        <v>0</v>
      </c>
      <c r="H1226" s="8" t="s">
        <v>240</v>
      </c>
      <c r="I1226" s="6" t="b">
        <v>0</v>
      </c>
      <c r="J1226" s="6" t="b">
        <v>0</v>
      </c>
      <c r="K1226" s="6" t="b">
        <v>1</v>
      </c>
      <c r="L1226" s="6" t="b">
        <v>1</v>
      </c>
      <c r="M1226" s="6" t="b">
        <v>0</v>
      </c>
      <c r="N1226" s="6">
        <v>6</v>
      </c>
      <c r="O1226" s="8" t="s">
        <v>331</v>
      </c>
      <c r="P1226" s="8" t="s">
        <v>338</v>
      </c>
      <c r="Q1226" s="8" t="s">
        <v>1490</v>
      </c>
      <c r="R1226" s="6">
        <v>6</v>
      </c>
      <c r="S1226" s="8" t="s">
        <v>347</v>
      </c>
      <c r="T1226" s="9"/>
      <c r="U1226" s="8" t="s">
        <v>240</v>
      </c>
      <c r="V1226" s="8" t="s">
        <v>450</v>
      </c>
      <c r="W1226" s="8" t="s">
        <v>240</v>
      </c>
      <c r="X1226" s="8" t="s">
        <v>240</v>
      </c>
      <c r="Y1226" s="8" t="s">
        <v>240</v>
      </c>
      <c r="Z1226" s="6" t="b">
        <v>0</v>
      </c>
      <c r="AA1226" s="9"/>
      <c r="AB1226" s="9"/>
    </row>
    <row r="1227" spans="1:28" ht="32">
      <c r="A1227" s="6">
        <v>1356</v>
      </c>
      <c r="B1227" s="8" t="s">
        <v>194</v>
      </c>
      <c r="C1227" s="8" t="s">
        <v>1994</v>
      </c>
      <c r="D1227" s="8" t="s">
        <v>2099</v>
      </c>
      <c r="E1227" s="8" t="s">
        <v>2099</v>
      </c>
      <c r="F1227" s="6">
        <v>1356</v>
      </c>
      <c r="G1227" s="6" t="b">
        <v>0</v>
      </c>
      <c r="H1227" s="8" t="s">
        <v>240</v>
      </c>
      <c r="I1227" s="6" t="b">
        <v>0</v>
      </c>
      <c r="J1227" s="6" t="b">
        <v>0</v>
      </c>
      <c r="K1227" s="6" t="b">
        <v>0</v>
      </c>
      <c r="L1227" s="6" t="b">
        <v>1</v>
      </c>
      <c r="M1227" s="6" t="b">
        <v>0</v>
      </c>
      <c r="N1227" s="6">
        <v>10</v>
      </c>
      <c r="O1227" s="8" t="s">
        <v>347</v>
      </c>
      <c r="P1227" s="8" t="s">
        <v>350</v>
      </c>
      <c r="Q1227" s="8" t="s">
        <v>481</v>
      </c>
      <c r="R1227" s="6">
        <v>4</v>
      </c>
      <c r="S1227" s="8" t="s">
        <v>347</v>
      </c>
      <c r="T1227" s="6">
        <v>4</v>
      </c>
      <c r="U1227" s="8" t="s">
        <v>240</v>
      </c>
      <c r="V1227" s="8" t="s">
        <v>496</v>
      </c>
      <c r="W1227" s="8" t="s">
        <v>240</v>
      </c>
      <c r="X1227" s="8" t="s">
        <v>240</v>
      </c>
      <c r="Y1227" s="8" t="s">
        <v>2100</v>
      </c>
      <c r="Z1227" s="6" t="b">
        <v>0</v>
      </c>
      <c r="AA1227" s="9"/>
      <c r="AB1227" s="9"/>
    </row>
    <row r="1228" spans="1:28" ht="32">
      <c r="A1228" s="6">
        <v>1357</v>
      </c>
      <c r="B1228" s="8" t="s">
        <v>194</v>
      </c>
      <c r="C1228" s="8" t="s">
        <v>126</v>
      </c>
      <c r="D1228" s="8" t="s">
        <v>2101</v>
      </c>
      <c r="E1228" s="8" t="s">
        <v>2101</v>
      </c>
      <c r="F1228" s="6">
        <v>1357</v>
      </c>
      <c r="G1228" s="6" t="b">
        <v>0</v>
      </c>
      <c r="H1228" s="8" t="s">
        <v>240</v>
      </c>
      <c r="I1228" s="6" t="b">
        <v>0</v>
      </c>
      <c r="J1228" s="6" t="b">
        <v>0</v>
      </c>
      <c r="K1228" s="6" t="b">
        <v>0</v>
      </c>
      <c r="L1228" s="6" t="b">
        <v>1</v>
      </c>
      <c r="M1228" s="6" t="b">
        <v>0</v>
      </c>
      <c r="N1228" s="6">
        <v>8</v>
      </c>
      <c r="O1228" s="8" t="s">
        <v>331</v>
      </c>
      <c r="P1228" s="8" t="s">
        <v>516</v>
      </c>
      <c r="Q1228" s="8" t="s">
        <v>811</v>
      </c>
      <c r="R1228" s="6">
        <v>7</v>
      </c>
      <c r="S1228" s="8" t="s">
        <v>347</v>
      </c>
      <c r="T1228" s="6">
        <v>7</v>
      </c>
      <c r="U1228" s="8" t="s">
        <v>240</v>
      </c>
      <c r="V1228" s="8" t="s">
        <v>482</v>
      </c>
      <c r="W1228" s="8" t="s">
        <v>240</v>
      </c>
      <c r="X1228" s="8" t="s">
        <v>240</v>
      </c>
      <c r="Y1228" s="8" t="s">
        <v>2102</v>
      </c>
      <c r="Z1228" s="6" t="b">
        <v>0</v>
      </c>
      <c r="AA1228" s="9"/>
      <c r="AB1228" s="9"/>
    </row>
    <row r="1229" spans="1:28" ht="32">
      <c r="A1229" s="6">
        <v>1358</v>
      </c>
      <c r="B1229" s="8" t="s">
        <v>194</v>
      </c>
      <c r="C1229" s="8" t="s">
        <v>126</v>
      </c>
      <c r="D1229" s="8" t="s">
        <v>2103</v>
      </c>
      <c r="E1229" s="8" t="s">
        <v>2101</v>
      </c>
      <c r="F1229" s="6">
        <v>1357</v>
      </c>
      <c r="G1229" s="6" t="b">
        <v>0</v>
      </c>
      <c r="H1229" s="8" t="s">
        <v>240</v>
      </c>
      <c r="I1229" s="6" t="b">
        <v>0</v>
      </c>
      <c r="J1229" s="6" t="b">
        <v>0</v>
      </c>
      <c r="K1229" s="6" t="b">
        <v>0</v>
      </c>
      <c r="L1229" s="6" t="b">
        <v>1</v>
      </c>
      <c r="M1229" s="6" t="b">
        <v>0</v>
      </c>
      <c r="N1229" s="6">
        <v>8</v>
      </c>
      <c r="O1229" s="8" t="s">
        <v>331</v>
      </c>
      <c r="P1229" s="8" t="s">
        <v>516</v>
      </c>
      <c r="Q1229" s="8" t="s">
        <v>335</v>
      </c>
      <c r="R1229" s="6">
        <v>7</v>
      </c>
      <c r="S1229" s="8" t="s">
        <v>347</v>
      </c>
      <c r="T1229" s="6">
        <v>7</v>
      </c>
      <c r="U1229" s="8" t="s">
        <v>240</v>
      </c>
      <c r="V1229" s="8" t="s">
        <v>482</v>
      </c>
      <c r="W1229" s="8" t="s">
        <v>240</v>
      </c>
      <c r="X1229" s="8" t="s">
        <v>240</v>
      </c>
      <c r="Y1229" s="8" t="s">
        <v>240</v>
      </c>
      <c r="Z1229" s="6" t="b">
        <v>0</v>
      </c>
      <c r="AA1229" s="9"/>
      <c r="AB1229" s="9"/>
    </row>
    <row r="1230" spans="1:28" ht="32">
      <c r="A1230" s="6">
        <v>1359</v>
      </c>
      <c r="B1230" s="8" t="s">
        <v>194</v>
      </c>
      <c r="C1230" s="8" t="s">
        <v>126</v>
      </c>
      <c r="D1230" s="8" t="s">
        <v>2104</v>
      </c>
      <c r="E1230" s="8" t="s">
        <v>2101</v>
      </c>
      <c r="F1230" s="6">
        <v>1357</v>
      </c>
      <c r="G1230" s="6" t="b">
        <v>0</v>
      </c>
      <c r="H1230" s="8" t="s">
        <v>240</v>
      </c>
      <c r="I1230" s="6" t="b">
        <v>0</v>
      </c>
      <c r="J1230" s="6" t="b">
        <v>0</v>
      </c>
      <c r="K1230" s="6" t="b">
        <v>0</v>
      </c>
      <c r="L1230" s="6" t="b">
        <v>1</v>
      </c>
      <c r="M1230" s="6" t="b">
        <v>0</v>
      </c>
      <c r="N1230" s="6">
        <v>8</v>
      </c>
      <c r="O1230" s="8" t="s">
        <v>331</v>
      </c>
      <c r="P1230" s="8" t="s">
        <v>516</v>
      </c>
      <c r="Q1230" s="8" t="s">
        <v>811</v>
      </c>
      <c r="R1230" s="6">
        <v>7</v>
      </c>
      <c r="S1230" s="8" t="s">
        <v>347</v>
      </c>
      <c r="T1230" s="9"/>
      <c r="U1230" s="8" t="s">
        <v>240</v>
      </c>
      <c r="V1230" s="8" t="s">
        <v>482</v>
      </c>
      <c r="W1230" s="8" t="s">
        <v>240</v>
      </c>
      <c r="X1230" s="8" t="s">
        <v>240</v>
      </c>
      <c r="Y1230" s="8" t="s">
        <v>240</v>
      </c>
      <c r="Z1230" s="6" t="b">
        <v>0</v>
      </c>
      <c r="AA1230" s="9"/>
      <c r="AB1230" s="9"/>
    </row>
    <row r="1231" spans="1:28" ht="32">
      <c r="A1231" s="6">
        <v>1360</v>
      </c>
      <c r="B1231" s="8" t="s">
        <v>194</v>
      </c>
      <c r="C1231" s="8" t="s">
        <v>108</v>
      </c>
      <c r="D1231" s="8" t="s">
        <v>2105</v>
      </c>
      <c r="E1231" s="8" t="s">
        <v>2105</v>
      </c>
      <c r="F1231" s="6">
        <v>1360</v>
      </c>
      <c r="G1231" s="6" t="b">
        <v>0</v>
      </c>
      <c r="H1231" s="8" t="s">
        <v>240</v>
      </c>
      <c r="I1231" s="6" t="b">
        <v>0</v>
      </c>
      <c r="J1231" s="6" t="b">
        <v>0</v>
      </c>
      <c r="K1231" s="6" t="b">
        <v>0</v>
      </c>
      <c r="L1231" s="6" t="b">
        <v>1</v>
      </c>
      <c r="M1231" s="6" t="b">
        <v>0</v>
      </c>
      <c r="N1231" s="6">
        <v>3</v>
      </c>
      <c r="O1231" s="8" t="s">
        <v>347</v>
      </c>
      <c r="P1231" s="8" t="s">
        <v>238</v>
      </c>
      <c r="Q1231" s="8" t="s">
        <v>811</v>
      </c>
      <c r="R1231" s="6">
        <v>7</v>
      </c>
      <c r="S1231" s="8" t="s">
        <v>347</v>
      </c>
      <c r="T1231" s="6">
        <v>7</v>
      </c>
      <c r="U1231" s="8" t="s">
        <v>240</v>
      </c>
      <c r="V1231" s="8" t="s">
        <v>496</v>
      </c>
      <c r="W1231" s="8" t="s">
        <v>240</v>
      </c>
      <c r="X1231" s="8" t="s">
        <v>240</v>
      </c>
      <c r="Y1231" s="8" t="s">
        <v>2106</v>
      </c>
      <c r="Z1231" s="6" t="b">
        <v>0</v>
      </c>
      <c r="AA1231" s="9"/>
      <c r="AB1231" s="9"/>
    </row>
    <row r="1232" spans="1:28" ht="32">
      <c r="A1232" s="6">
        <v>1361</v>
      </c>
      <c r="B1232" s="8" t="s">
        <v>194</v>
      </c>
      <c r="C1232" s="8" t="s">
        <v>108</v>
      </c>
      <c r="D1232" s="8" t="s">
        <v>2107</v>
      </c>
      <c r="E1232" s="8" t="s">
        <v>2105</v>
      </c>
      <c r="F1232" s="6">
        <v>1360</v>
      </c>
      <c r="G1232" s="6" t="b">
        <v>0</v>
      </c>
      <c r="H1232" s="8" t="s">
        <v>240</v>
      </c>
      <c r="I1232" s="6" t="b">
        <v>0</v>
      </c>
      <c r="J1232" s="6" t="b">
        <v>0</v>
      </c>
      <c r="K1232" s="6" t="b">
        <v>0</v>
      </c>
      <c r="L1232" s="6" t="b">
        <v>1</v>
      </c>
      <c r="M1232" s="6" t="b">
        <v>0</v>
      </c>
      <c r="N1232" s="6">
        <v>3</v>
      </c>
      <c r="O1232" s="8" t="s">
        <v>347</v>
      </c>
      <c r="P1232" s="8" t="s">
        <v>238</v>
      </c>
      <c r="Q1232" s="8" t="s">
        <v>811</v>
      </c>
      <c r="R1232" s="6">
        <v>7</v>
      </c>
      <c r="S1232" s="8" t="s">
        <v>347</v>
      </c>
      <c r="T1232" s="9"/>
      <c r="U1232" s="8" t="s">
        <v>240</v>
      </c>
      <c r="V1232" s="8" t="s">
        <v>496</v>
      </c>
      <c r="W1232" s="8" t="s">
        <v>240</v>
      </c>
      <c r="X1232" s="8" t="s">
        <v>240</v>
      </c>
      <c r="Y1232" s="8" t="s">
        <v>240</v>
      </c>
      <c r="Z1232" s="6" t="b">
        <v>0</v>
      </c>
      <c r="AA1232" s="9"/>
      <c r="AB1232" s="9"/>
    </row>
    <row r="1233" spans="1:28" ht="32">
      <c r="A1233" s="6">
        <v>1362</v>
      </c>
      <c r="B1233" s="8" t="s">
        <v>194</v>
      </c>
      <c r="C1233" s="8" t="s">
        <v>126</v>
      </c>
      <c r="D1233" s="8" t="s">
        <v>2108</v>
      </c>
      <c r="E1233" s="8" t="s">
        <v>2108</v>
      </c>
      <c r="F1233" s="6">
        <v>1362</v>
      </c>
      <c r="G1233" s="6" t="b">
        <v>0</v>
      </c>
      <c r="H1233" s="8" t="s">
        <v>240</v>
      </c>
      <c r="I1233" s="6" t="b">
        <v>0</v>
      </c>
      <c r="J1233" s="6" t="b">
        <v>0</v>
      </c>
      <c r="K1233" s="6" t="b">
        <v>0</v>
      </c>
      <c r="L1233" s="6" t="b">
        <v>1</v>
      </c>
      <c r="M1233" s="6" t="b">
        <v>0</v>
      </c>
      <c r="N1233" s="6">
        <v>8</v>
      </c>
      <c r="O1233" s="8" t="s">
        <v>331</v>
      </c>
      <c r="P1233" s="8" t="s">
        <v>380</v>
      </c>
      <c r="Q1233" s="8" t="s">
        <v>927</v>
      </c>
      <c r="R1233" s="6">
        <v>6</v>
      </c>
      <c r="S1233" s="8" t="s">
        <v>347</v>
      </c>
      <c r="T1233" s="6">
        <v>6</v>
      </c>
      <c r="U1233" s="8" t="s">
        <v>2109</v>
      </c>
      <c r="V1233" s="8" t="s">
        <v>1012</v>
      </c>
      <c r="W1233" s="8" t="s">
        <v>240</v>
      </c>
      <c r="X1233" s="8" t="s">
        <v>240</v>
      </c>
      <c r="Y1233" s="8" t="s">
        <v>2110</v>
      </c>
      <c r="Z1233" s="6" t="b">
        <v>0</v>
      </c>
      <c r="AA1233" s="9"/>
      <c r="AB1233" s="9"/>
    </row>
    <row r="1234" spans="1:28" ht="32">
      <c r="A1234" s="6">
        <v>1363</v>
      </c>
      <c r="B1234" s="8" t="s">
        <v>194</v>
      </c>
      <c r="C1234" s="8" t="s">
        <v>90</v>
      </c>
      <c r="D1234" s="8" t="s">
        <v>2111</v>
      </c>
      <c r="E1234" s="8" t="s">
        <v>2108</v>
      </c>
      <c r="F1234" s="6">
        <v>1362</v>
      </c>
      <c r="G1234" s="6" t="b">
        <v>0</v>
      </c>
      <c r="H1234" s="8" t="s">
        <v>240</v>
      </c>
      <c r="I1234" s="6" t="b">
        <v>0</v>
      </c>
      <c r="J1234" s="6" t="b">
        <v>0</v>
      </c>
      <c r="K1234" s="6" t="b">
        <v>0</v>
      </c>
      <c r="L1234" s="6" t="b">
        <v>1</v>
      </c>
      <c r="M1234" s="6" t="b">
        <v>0</v>
      </c>
      <c r="N1234" s="6">
        <v>6</v>
      </c>
      <c r="O1234" s="8" t="s">
        <v>331</v>
      </c>
      <c r="P1234" s="8" t="s">
        <v>380</v>
      </c>
      <c r="Q1234" s="8" t="s">
        <v>335</v>
      </c>
      <c r="R1234" s="6">
        <v>6</v>
      </c>
      <c r="S1234" s="8" t="s">
        <v>335</v>
      </c>
      <c r="T1234" s="6">
        <v>6</v>
      </c>
      <c r="U1234" s="8" t="s">
        <v>240</v>
      </c>
      <c r="V1234" s="8" t="s">
        <v>1012</v>
      </c>
      <c r="W1234" s="8" t="s">
        <v>240</v>
      </c>
      <c r="X1234" s="8" t="s">
        <v>240</v>
      </c>
      <c r="Y1234" s="8" t="s">
        <v>240</v>
      </c>
      <c r="Z1234" s="6" t="b">
        <v>0</v>
      </c>
      <c r="AA1234" s="9"/>
      <c r="AB1234" s="9"/>
    </row>
    <row r="1235" spans="1:28" ht="32">
      <c r="A1235" s="6">
        <v>1364</v>
      </c>
      <c r="B1235" s="8" t="s">
        <v>194</v>
      </c>
      <c r="C1235" s="8" t="s">
        <v>126</v>
      </c>
      <c r="D1235" s="8" t="s">
        <v>2112</v>
      </c>
      <c r="E1235" s="8" t="s">
        <v>2108</v>
      </c>
      <c r="F1235" s="6">
        <v>1362</v>
      </c>
      <c r="G1235" s="6" t="b">
        <v>0</v>
      </c>
      <c r="H1235" s="8" t="s">
        <v>240</v>
      </c>
      <c r="I1235" s="6" t="b">
        <v>0</v>
      </c>
      <c r="J1235" s="6" t="b">
        <v>0</v>
      </c>
      <c r="K1235" s="6" t="b">
        <v>0</v>
      </c>
      <c r="L1235" s="6" t="b">
        <v>1</v>
      </c>
      <c r="M1235" s="6" t="b">
        <v>0</v>
      </c>
      <c r="N1235" s="6">
        <v>8</v>
      </c>
      <c r="O1235" s="8" t="s">
        <v>331</v>
      </c>
      <c r="P1235" s="8" t="s">
        <v>380</v>
      </c>
      <c r="Q1235" s="8" t="s">
        <v>335</v>
      </c>
      <c r="R1235" s="6">
        <v>6</v>
      </c>
      <c r="S1235" s="8" t="s">
        <v>523</v>
      </c>
      <c r="T1235" s="6">
        <v>6</v>
      </c>
      <c r="U1235" s="8" t="s">
        <v>240</v>
      </c>
      <c r="V1235" s="8" t="s">
        <v>1012</v>
      </c>
      <c r="W1235" s="8" t="s">
        <v>240</v>
      </c>
      <c r="X1235" s="8" t="s">
        <v>240</v>
      </c>
      <c r="Y1235" s="8" t="s">
        <v>240</v>
      </c>
      <c r="Z1235" s="6" t="b">
        <v>0</v>
      </c>
      <c r="AA1235" s="9"/>
      <c r="AB1235" s="9"/>
    </row>
    <row r="1236" spans="1:28" ht="32">
      <c r="A1236" s="6">
        <v>1365</v>
      </c>
      <c r="B1236" s="8" t="s">
        <v>194</v>
      </c>
      <c r="C1236" s="8" t="s">
        <v>126</v>
      </c>
      <c r="D1236" s="8" t="s">
        <v>2113</v>
      </c>
      <c r="E1236" s="8" t="s">
        <v>2108</v>
      </c>
      <c r="F1236" s="6">
        <v>1362</v>
      </c>
      <c r="G1236" s="6" t="b">
        <v>0</v>
      </c>
      <c r="H1236" s="8" t="s">
        <v>240</v>
      </c>
      <c r="I1236" s="6" t="b">
        <v>0</v>
      </c>
      <c r="J1236" s="6" t="b">
        <v>0</v>
      </c>
      <c r="K1236" s="6" t="b">
        <v>0</v>
      </c>
      <c r="L1236" s="6" t="b">
        <v>1</v>
      </c>
      <c r="M1236" s="6" t="b">
        <v>0</v>
      </c>
      <c r="N1236" s="6">
        <v>8</v>
      </c>
      <c r="O1236" s="8" t="s">
        <v>331</v>
      </c>
      <c r="P1236" s="8" t="s">
        <v>380</v>
      </c>
      <c r="Q1236" s="8" t="s">
        <v>335</v>
      </c>
      <c r="R1236" s="6">
        <v>6</v>
      </c>
      <c r="S1236" s="8" t="s">
        <v>335</v>
      </c>
      <c r="T1236" s="6">
        <v>6</v>
      </c>
      <c r="U1236" s="8" t="s">
        <v>2114</v>
      </c>
      <c r="V1236" s="8" t="s">
        <v>1012</v>
      </c>
      <c r="W1236" s="8" t="s">
        <v>240</v>
      </c>
      <c r="X1236" s="8" t="s">
        <v>240</v>
      </c>
      <c r="Y1236" s="8" t="s">
        <v>2115</v>
      </c>
      <c r="Z1236" s="6" t="b">
        <v>0</v>
      </c>
      <c r="AA1236" s="9"/>
      <c r="AB1236" s="9"/>
    </row>
    <row r="1237" spans="1:28" ht="32">
      <c r="A1237" s="6">
        <v>1366</v>
      </c>
      <c r="B1237" s="8" t="s">
        <v>194</v>
      </c>
      <c r="C1237" s="8" t="s">
        <v>90</v>
      </c>
      <c r="D1237" s="8" t="s">
        <v>2116</v>
      </c>
      <c r="E1237" s="8" t="s">
        <v>2108</v>
      </c>
      <c r="F1237" s="6">
        <v>1362</v>
      </c>
      <c r="G1237" s="6" t="b">
        <v>0</v>
      </c>
      <c r="H1237" s="8" t="s">
        <v>240</v>
      </c>
      <c r="I1237" s="6" t="b">
        <v>0</v>
      </c>
      <c r="J1237" s="6" t="b">
        <v>0</v>
      </c>
      <c r="K1237" s="6" t="b">
        <v>0</v>
      </c>
      <c r="L1237" s="6" t="b">
        <v>1</v>
      </c>
      <c r="M1237" s="6" t="b">
        <v>0</v>
      </c>
      <c r="N1237" s="6">
        <v>6</v>
      </c>
      <c r="O1237" s="8" t="s">
        <v>331</v>
      </c>
      <c r="P1237" s="8" t="s">
        <v>380</v>
      </c>
      <c r="Q1237" s="8" t="s">
        <v>335</v>
      </c>
      <c r="R1237" s="6">
        <v>6</v>
      </c>
      <c r="S1237" s="8" t="s">
        <v>335</v>
      </c>
      <c r="T1237" s="6">
        <v>6</v>
      </c>
      <c r="U1237" s="8" t="s">
        <v>240</v>
      </c>
      <c r="V1237" s="8" t="s">
        <v>1012</v>
      </c>
      <c r="W1237" s="8" t="s">
        <v>240</v>
      </c>
      <c r="X1237" s="8" t="s">
        <v>240</v>
      </c>
      <c r="Y1237" s="8" t="s">
        <v>2117</v>
      </c>
      <c r="Z1237" s="6" t="b">
        <v>0</v>
      </c>
      <c r="AA1237" s="9"/>
      <c r="AB1237" s="9"/>
    </row>
    <row r="1238" spans="1:28" ht="32">
      <c r="A1238" s="6">
        <v>1367</v>
      </c>
      <c r="B1238" s="8" t="s">
        <v>194</v>
      </c>
      <c r="C1238" s="8" t="s">
        <v>90</v>
      </c>
      <c r="D1238" s="8" t="s">
        <v>2118</v>
      </c>
      <c r="E1238" s="8" t="s">
        <v>2108</v>
      </c>
      <c r="F1238" s="6">
        <v>1362</v>
      </c>
      <c r="G1238" s="6" t="b">
        <v>0</v>
      </c>
      <c r="H1238" s="8" t="s">
        <v>240</v>
      </c>
      <c r="I1238" s="6" t="b">
        <v>0</v>
      </c>
      <c r="J1238" s="6" t="b">
        <v>0</v>
      </c>
      <c r="K1238" s="6" t="b">
        <v>0</v>
      </c>
      <c r="L1238" s="6" t="b">
        <v>1</v>
      </c>
      <c r="M1238" s="6" t="b">
        <v>0</v>
      </c>
      <c r="N1238" s="6">
        <v>6</v>
      </c>
      <c r="O1238" s="8" t="s">
        <v>331</v>
      </c>
      <c r="P1238" s="8" t="s">
        <v>380</v>
      </c>
      <c r="Q1238" s="8" t="s">
        <v>927</v>
      </c>
      <c r="R1238" s="6">
        <v>6</v>
      </c>
      <c r="S1238" s="8" t="s">
        <v>347</v>
      </c>
      <c r="T1238" s="9"/>
      <c r="U1238" s="8" t="s">
        <v>240</v>
      </c>
      <c r="V1238" s="8" t="s">
        <v>1012</v>
      </c>
      <c r="W1238" s="8" t="s">
        <v>240</v>
      </c>
      <c r="X1238" s="8" t="s">
        <v>240</v>
      </c>
      <c r="Y1238" s="8" t="s">
        <v>240</v>
      </c>
      <c r="Z1238" s="6" t="b">
        <v>0</v>
      </c>
      <c r="AA1238" s="9"/>
      <c r="AB1238" s="9"/>
    </row>
    <row r="1239" spans="1:28" ht="32">
      <c r="A1239" s="6">
        <v>1368</v>
      </c>
      <c r="B1239" s="8" t="s">
        <v>194</v>
      </c>
      <c r="C1239" s="8" t="s">
        <v>126</v>
      </c>
      <c r="D1239" s="8" t="s">
        <v>2119</v>
      </c>
      <c r="E1239" s="8" t="s">
        <v>2108</v>
      </c>
      <c r="F1239" s="6">
        <v>1362</v>
      </c>
      <c r="G1239" s="6" t="b">
        <v>0</v>
      </c>
      <c r="H1239" s="8" t="s">
        <v>240</v>
      </c>
      <c r="I1239" s="6" t="b">
        <v>0</v>
      </c>
      <c r="J1239" s="6" t="b">
        <v>0</v>
      </c>
      <c r="K1239" s="6" t="b">
        <v>0</v>
      </c>
      <c r="L1239" s="6" t="b">
        <v>1</v>
      </c>
      <c r="M1239" s="6" t="b">
        <v>0</v>
      </c>
      <c r="N1239" s="6">
        <v>8</v>
      </c>
      <c r="O1239" s="8" t="s">
        <v>331</v>
      </c>
      <c r="P1239" s="8" t="s">
        <v>380</v>
      </c>
      <c r="Q1239" s="8" t="s">
        <v>927</v>
      </c>
      <c r="R1239" s="6">
        <v>8</v>
      </c>
      <c r="S1239" s="8" t="s">
        <v>75</v>
      </c>
      <c r="T1239" s="9"/>
      <c r="U1239" s="8" t="s">
        <v>240</v>
      </c>
      <c r="V1239" s="8" t="s">
        <v>1012</v>
      </c>
      <c r="W1239" s="8" t="s">
        <v>240</v>
      </c>
      <c r="X1239" s="8" t="s">
        <v>240</v>
      </c>
      <c r="Y1239" s="8" t="s">
        <v>240</v>
      </c>
      <c r="Z1239" s="6" t="b">
        <v>0</v>
      </c>
      <c r="AA1239" s="9"/>
      <c r="AB1239" s="9"/>
    </row>
    <row r="1240" spans="1:28" ht="32">
      <c r="A1240" s="6">
        <v>1369</v>
      </c>
      <c r="B1240" s="8" t="s">
        <v>194</v>
      </c>
      <c r="C1240" s="8" t="s">
        <v>126</v>
      </c>
      <c r="D1240" s="8" t="s">
        <v>2120</v>
      </c>
      <c r="E1240" s="8" t="s">
        <v>2108</v>
      </c>
      <c r="F1240" s="6">
        <v>1362</v>
      </c>
      <c r="G1240" s="6" t="b">
        <v>0</v>
      </c>
      <c r="H1240" s="8" t="s">
        <v>240</v>
      </c>
      <c r="I1240" s="6" t="b">
        <v>0</v>
      </c>
      <c r="J1240" s="6" t="b">
        <v>0</v>
      </c>
      <c r="K1240" s="6" t="b">
        <v>0</v>
      </c>
      <c r="L1240" s="6" t="b">
        <v>1</v>
      </c>
      <c r="M1240" s="6" t="b">
        <v>0</v>
      </c>
      <c r="N1240" s="6">
        <v>8</v>
      </c>
      <c r="O1240" s="8" t="s">
        <v>331</v>
      </c>
      <c r="P1240" s="8" t="s">
        <v>350</v>
      </c>
      <c r="Q1240" s="8" t="s">
        <v>575</v>
      </c>
      <c r="R1240" s="6">
        <v>6</v>
      </c>
      <c r="S1240" s="8" t="s">
        <v>335</v>
      </c>
      <c r="T1240" s="6">
        <v>6</v>
      </c>
      <c r="U1240" s="8" t="s">
        <v>2121</v>
      </c>
      <c r="V1240" s="8" t="s">
        <v>1012</v>
      </c>
      <c r="W1240" s="8" t="s">
        <v>240</v>
      </c>
      <c r="X1240" s="8" t="s">
        <v>240</v>
      </c>
      <c r="Y1240" s="8" t="s">
        <v>2122</v>
      </c>
      <c r="Z1240" s="6" t="b">
        <v>0</v>
      </c>
      <c r="AA1240" s="9"/>
      <c r="AB1240" s="9"/>
    </row>
    <row r="1241" spans="1:28" ht="32">
      <c r="A1241" s="6">
        <v>1370</v>
      </c>
      <c r="B1241" s="8" t="s">
        <v>194</v>
      </c>
      <c r="C1241" s="8" t="s">
        <v>126</v>
      </c>
      <c r="D1241" s="8" t="s">
        <v>2123</v>
      </c>
      <c r="E1241" s="8" t="s">
        <v>2108</v>
      </c>
      <c r="F1241" s="6">
        <v>1362</v>
      </c>
      <c r="G1241" s="6" t="b">
        <v>0</v>
      </c>
      <c r="H1241" s="8" t="s">
        <v>240</v>
      </c>
      <c r="I1241" s="6" t="b">
        <v>0</v>
      </c>
      <c r="J1241" s="6" t="b">
        <v>0</v>
      </c>
      <c r="K1241" s="6" t="b">
        <v>0</v>
      </c>
      <c r="L1241" s="6" t="b">
        <v>1</v>
      </c>
      <c r="M1241" s="6" t="b">
        <v>0</v>
      </c>
      <c r="N1241" s="6">
        <v>8</v>
      </c>
      <c r="O1241" s="8" t="s">
        <v>331</v>
      </c>
      <c r="P1241" s="8" t="s">
        <v>380</v>
      </c>
      <c r="Q1241" s="8" t="s">
        <v>927</v>
      </c>
      <c r="R1241" s="6">
        <v>8</v>
      </c>
      <c r="S1241" s="8" t="s">
        <v>75</v>
      </c>
      <c r="T1241" s="9"/>
      <c r="U1241" s="8" t="s">
        <v>2124</v>
      </c>
      <c r="V1241" s="8" t="s">
        <v>1012</v>
      </c>
      <c r="W1241" s="8" t="s">
        <v>240</v>
      </c>
      <c r="X1241" s="8" t="s">
        <v>240</v>
      </c>
      <c r="Y1241" s="8" t="s">
        <v>240</v>
      </c>
      <c r="Z1241" s="6" t="b">
        <v>0</v>
      </c>
      <c r="AA1241" s="9"/>
      <c r="AB1241" s="9"/>
    </row>
    <row r="1242" spans="1:28" ht="16">
      <c r="A1242" s="6">
        <v>1371</v>
      </c>
      <c r="B1242" s="8" t="s">
        <v>194</v>
      </c>
      <c r="C1242" s="8" t="s">
        <v>90</v>
      </c>
      <c r="D1242" s="8" t="s">
        <v>2125</v>
      </c>
      <c r="E1242" s="8" t="s">
        <v>2125</v>
      </c>
      <c r="F1242" s="6">
        <v>1371</v>
      </c>
      <c r="G1242" s="6" t="b">
        <v>0</v>
      </c>
      <c r="H1242" s="8" t="s">
        <v>240</v>
      </c>
      <c r="I1242" s="6" t="b">
        <v>0</v>
      </c>
      <c r="J1242" s="6" t="b">
        <v>0</v>
      </c>
      <c r="K1242" s="6" t="b">
        <v>0</v>
      </c>
      <c r="L1242" s="6" t="b">
        <v>1</v>
      </c>
      <c r="M1242" s="6" t="b">
        <v>0</v>
      </c>
      <c r="N1242" s="6">
        <v>6</v>
      </c>
      <c r="O1242" s="8" t="s">
        <v>331</v>
      </c>
      <c r="P1242" s="8" t="s">
        <v>350</v>
      </c>
      <c r="Q1242" s="8" t="s">
        <v>446</v>
      </c>
      <c r="R1242" s="6">
        <v>2</v>
      </c>
      <c r="S1242" s="8" t="s">
        <v>347</v>
      </c>
      <c r="T1242" s="9"/>
      <c r="U1242" s="8" t="s">
        <v>240</v>
      </c>
      <c r="V1242" s="8" t="s">
        <v>450</v>
      </c>
      <c r="W1242" s="8" t="s">
        <v>240</v>
      </c>
      <c r="X1242" s="8" t="s">
        <v>240</v>
      </c>
      <c r="Y1242" s="8" t="s">
        <v>240</v>
      </c>
      <c r="Z1242" s="6" t="b">
        <v>0</v>
      </c>
      <c r="AA1242" s="9"/>
      <c r="AB1242" s="9"/>
    </row>
    <row r="1243" spans="1:28" ht="32">
      <c r="A1243" s="6">
        <v>1372</v>
      </c>
      <c r="B1243" s="8" t="s">
        <v>194</v>
      </c>
      <c r="C1243" s="8" t="s">
        <v>90</v>
      </c>
      <c r="D1243" s="8" t="s">
        <v>2126</v>
      </c>
      <c r="E1243" s="8" t="s">
        <v>2125</v>
      </c>
      <c r="F1243" s="6">
        <v>1371</v>
      </c>
      <c r="G1243" s="6" t="b">
        <v>0</v>
      </c>
      <c r="H1243" s="8" t="s">
        <v>240</v>
      </c>
      <c r="I1243" s="6" t="b">
        <v>0</v>
      </c>
      <c r="J1243" s="6" t="b">
        <v>0</v>
      </c>
      <c r="K1243" s="6" t="b">
        <v>0</v>
      </c>
      <c r="L1243" s="6" t="b">
        <v>1</v>
      </c>
      <c r="M1243" s="6" t="b">
        <v>0</v>
      </c>
      <c r="N1243" s="6">
        <v>6</v>
      </c>
      <c r="O1243" s="8" t="s">
        <v>331</v>
      </c>
      <c r="P1243" s="8" t="s">
        <v>350</v>
      </c>
      <c r="Q1243" s="8" t="s">
        <v>335</v>
      </c>
      <c r="R1243" s="6">
        <v>2</v>
      </c>
      <c r="S1243" s="8" t="s">
        <v>335</v>
      </c>
      <c r="T1243" s="6">
        <v>2</v>
      </c>
      <c r="U1243" s="8" t="s">
        <v>240</v>
      </c>
      <c r="V1243" s="8" t="s">
        <v>450</v>
      </c>
      <c r="W1243" s="8" t="s">
        <v>240</v>
      </c>
      <c r="X1243" s="8" t="s">
        <v>240</v>
      </c>
      <c r="Y1243" s="8" t="s">
        <v>2127</v>
      </c>
      <c r="Z1243" s="6" t="b">
        <v>0</v>
      </c>
      <c r="AA1243" s="9"/>
      <c r="AB1243" s="9"/>
    </row>
    <row r="1244" spans="1:28" ht="16">
      <c r="A1244" s="6">
        <v>1373</v>
      </c>
      <c r="B1244" s="8" t="s">
        <v>194</v>
      </c>
      <c r="C1244" s="8" t="s">
        <v>108</v>
      </c>
      <c r="D1244" s="8" t="s">
        <v>2128</v>
      </c>
      <c r="E1244" s="8" t="s">
        <v>2128</v>
      </c>
      <c r="F1244" s="6">
        <v>1373</v>
      </c>
      <c r="G1244" s="6" t="b">
        <v>0</v>
      </c>
      <c r="H1244" s="8" t="s">
        <v>240</v>
      </c>
      <c r="I1244" s="6" t="b">
        <v>0</v>
      </c>
      <c r="J1244" s="6" t="b">
        <v>0</v>
      </c>
      <c r="K1244" s="6" t="b">
        <v>0</v>
      </c>
      <c r="L1244" s="6" t="b">
        <v>1</v>
      </c>
      <c r="M1244" s="6" t="b">
        <v>0</v>
      </c>
      <c r="N1244" s="6">
        <v>3</v>
      </c>
      <c r="O1244" s="8" t="s">
        <v>331</v>
      </c>
      <c r="P1244" s="8" t="s">
        <v>380</v>
      </c>
      <c r="Q1244" s="8" t="s">
        <v>446</v>
      </c>
      <c r="R1244" s="6">
        <v>3</v>
      </c>
      <c r="S1244" s="8" t="s">
        <v>75</v>
      </c>
      <c r="T1244" s="9"/>
      <c r="U1244" s="8" t="s">
        <v>240</v>
      </c>
      <c r="V1244" s="8" t="s">
        <v>496</v>
      </c>
      <c r="W1244" s="8" t="s">
        <v>240</v>
      </c>
      <c r="X1244" s="8" t="s">
        <v>240</v>
      </c>
      <c r="Y1244" s="8" t="s">
        <v>240</v>
      </c>
      <c r="Z1244" s="6" t="b">
        <v>0</v>
      </c>
      <c r="AA1244" s="9"/>
      <c r="AB1244" s="9"/>
    </row>
    <row r="1245" spans="1:28" ht="16">
      <c r="A1245" s="6">
        <v>1374</v>
      </c>
      <c r="B1245" s="8" t="s">
        <v>194</v>
      </c>
      <c r="C1245" s="8" t="s">
        <v>124</v>
      </c>
      <c r="D1245" s="8" t="s">
        <v>2129</v>
      </c>
      <c r="E1245" s="8" t="s">
        <v>2129</v>
      </c>
      <c r="F1245" s="6">
        <v>1374</v>
      </c>
      <c r="G1245" s="6" t="b">
        <v>0</v>
      </c>
      <c r="H1245" s="8" t="s">
        <v>240</v>
      </c>
      <c r="I1245" s="6" t="b">
        <v>0</v>
      </c>
      <c r="J1245" s="6" t="b">
        <v>0</v>
      </c>
      <c r="K1245" s="6" t="b">
        <v>0</v>
      </c>
      <c r="L1245" s="6" t="b">
        <v>1</v>
      </c>
      <c r="M1245" s="6" t="b">
        <v>0</v>
      </c>
      <c r="N1245" s="6">
        <v>6</v>
      </c>
      <c r="O1245" s="8" t="s">
        <v>347</v>
      </c>
      <c r="P1245" s="8" t="s">
        <v>238</v>
      </c>
      <c r="Q1245" s="8" t="s">
        <v>762</v>
      </c>
      <c r="R1245" s="6">
        <v>6</v>
      </c>
      <c r="S1245" s="8" t="s">
        <v>347</v>
      </c>
      <c r="T1245" s="9"/>
      <c r="U1245" s="8" t="s">
        <v>240</v>
      </c>
      <c r="V1245" s="8" t="s">
        <v>496</v>
      </c>
      <c r="W1245" s="8" t="s">
        <v>240</v>
      </c>
      <c r="X1245" s="8" t="s">
        <v>240</v>
      </c>
      <c r="Y1245" s="8" t="s">
        <v>2130</v>
      </c>
      <c r="Z1245" s="6" t="b">
        <v>0</v>
      </c>
      <c r="AA1245" s="9"/>
      <c r="AB1245" s="9"/>
    </row>
    <row r="1246" spans="1:28" ht="16">
      <c r="A1246" s="6">
        <v>1377</v>
      </c>
      <c r="B1246" s="8" t="s">
        <v>194</v>
      </c>
      <c r="C1246" s="8" t="s">
        <v>90</v>
      </c>
      <c r="D1246" s="8" t="s">
        <v>2131</v>
      </c>
      <c r="E1246" s="8" t="s">
        <v>2131</v>
      </c>
      <c r="F1246" s="6">
        <v>1377</v>
      </c>
      <c r="G1246" s="6" t="b">
        <v>0</v>
      </c>
      <c r="H1246" s="8" t="s">
        <v>240</v>
      </c>
      <c r="I1246" s="6" t="b">
        <v>0</v>
      </c>
      <c r="J1246" s="6" t="b">
        <v>0</v>
      </c>
      <c r="K1246" s="6" t="b">
        <v>1</v>
      </c>
      <c r="L1246" s="6" t="b">
        <v>1</v>
      </c>
      <c r="M1246" s="6" t="b">
        <v>0</v>
      </c>
      <c r="N1246" s="6">
        <v>6</v>
      </c>
      <c r="O1246" s="8" t="s">
        <v>331</v>
      </c>
      <c r="P1246" s="8" t="s">
        <v>238</v>
      </c>
      <c r="Q1246" s="8" t="s">
        <v>927</v>
      </c>
      <c r="R1246" s="6">
        <v>9</v>
      </c>
      <c r="S1246" s="8" t="s">
        <v>347</v>
      </c>
      <c r="T1246" s="6">
        <v>9</v>
      </c>
      <c r="U1246" s="8" t="s">
        <v>240</v>
      </c>
      <c r="V1246" s="8" t="s">
        <v>450</v>
      </c>
      <c r="W1246" s="8" t="s">
        <v>240</v>
      </c>
      <c r="X1246" s="8" t="s">
        <v>240</v>
      </c>
      <c r="Y1246" s="8" t="s">
        <v>2132</v>
      </c>
      <c r="Z1246" s="6" t="b">
        <v>0</v>
      </c>
      <c r="AA1246" s="9"/>
      <c r="AB1246" s="9"/>
    </row>
    <row r="1247" spans="1:28" ht="16">
      <c r="A1247" s="6">
        <v>1378</v>
      </c>
      <c r="B1247" s="8" t="s">
        <v>194</v>
      </c>
      <c r="C1247" s="8" t="s">
        <v>90</v>
      </c>
      <c r="D1247" s="8" t="s">
        <v>2133</v>
      </c>
      <c r="E1247" s="8" t="s">
        <v>2131</v>
      </c>
      <c r="F1247" s="6">
        <v>1377</v>
      </c>
      <c r="G1247" s="6" t="b">
        <v>0</v>
      </c>
      <c r="H1247" s="8" t="s">
        <v>240</v>
      </c>
      <c r="I1247" s="6" t="b">
        <v>0</v>
      </c>
      <c r="J1247" s="6" t="b">
        <v>0</v>
      </c>
      <c r="K1247" s="6" t="b">
        <v>1</v>
      </c>
      <c r="L1247" s="6" t="b">
        <v>1</v>
      </c>
      <c r="M1247" s="6" t="b">
        <v>0</v>
      </c>
      <c r="N1247" s="6">
        <v>6</v>
      </c>
      <c r="O1247" s="8" t="s">
        <v>331</v>
      </c>
      <c r="P1247" s="8" t="s">
        <v>238</v>
      </c>
      <c r="Q1247" s="8" t="s">
        <v>335</v>
      </c>
      <c r="R1247" s="6">
        <v>9</v>
      </c>
      <c r="S1247" s="8" t="s">
        <v>335</v>
      </c>
      <c r="T1247" s="6">
        <v>9</v>
      </c>
      <c r="U1247" s="8" t="s">
        <v>240</v>
      </c>
      <c r="V1247" s="8" t="s">
        <v>450</v>
      </c>
      <c r="W1247" s="8" t="s">
        <v>240</v>
      </c>
      <c r="X1247" s="8" t="s">
        <v>240</v>
      </c>
      <c r="Y1247" s="8" t="s">
        <v>240</v>
      </c>
      <c r="Z1247" s="6" t="b">
        <v>0</v>
      </c>
      <c r="AA1247" s="9"/>
      <c r="AB1247" s="9"/>
    </row>
    <row r="1248" spans="1:28" ht="32">
      <c r="A1248" s="6">
        <v>1379</v>
      </c>
      <c r="B1248" s="8" t="s">
        <v>194</v>
      </c>
      <c r="C1248" s="8" t="s">
        <v>90</v>
      </c>
      <c r="D1248" s="8" t="s">
        <v>2134</v>
      </c>
      <c r="E1248" s="8" t="s">
        <v>2131</v>
      </c>
      <c r="F1248" s="6">
        <v>1377</v>
      </c>
      <c r="G1248" s="6" t="b">
        <v>0</v>
      </c>
      <c r="H1248" s="8" t="s">
        <v>240</v>
      </c>
      <c r="I1248" s="6" t="b">
        <v>0</v>
      </c>
      <c r="J1248" s="6" t="b">
        <v>0</v>
      </c>
      <c r="K1248" s="6" t="b">
        <v>1</v>
      </c>
      <c r="L1248" s="6" t="b">
        <v>1</v>
      </c>
      <c r="M1248" s="6" t="b">
        <v>0</v>
      </c>
      <c r="N1248" s="6">
        <v>6</v>
      </c>
      <c r="O1248" s="8" t="s">
        <v>331</v>
      </c>
      <c r="P1248" s="8" t="s">
        <v>238</v>
      </c>
      <c r="Q1248" s="8" t="s">
        <v>927</v>
      </c>
      <c r="R1248" s="6">
        <v>9</v>
      </c>
      <c r="S1248" s="8" t="s">
        <v>347</v>
      </c>
      <c r="T1248" s="9"/>
      <c r="U1248" s="8" t="s">
        <v>240</v>
      </c>
      <c r="V1248" s="8" t="s">
        <v>450</v>
      </c>
      <c r="W1248" s="8" t="s">
        <v>240</v>
      </c>
      <c r="X1248" s="8" t="s">
        <v>240</v>
      </c>
      <c r="Y1248" s="8" t="s">
        <v>240</v>
      </c>
      <c r="Z1248" s="6" t="b">
        <v>0</v>
      </c>
      <c r="AA1248" s="9"/>
      <c r="AB1248" s="9"/>
    </row>
    <row r="1249" spans="1:28" ht="16">
      <c r="A1249" s="6">
        <v>1380</v>
      </c>
      <c r="B1249" s="8" t="s">
        <v>194</v>
      </c>
      <c r="C1249" s="8" t="s">
        <v>90</v>
      </c>
      <c r="D1249" s="8" t="s">
        <v>2135</v>
      </c>
      <c r="E1249" s="8" t="s">
        <v>2131</v>
      </c>
      <c r="F1249" s="6">
        <v>1377</v>
      </c>
      <c r="G1249" s="6" t="b">
        <v>0</v>
      </c>
      <c r="H1249" s="8" t="s">
        <v>240</v>
      </c>
      <c r="I1249" s="6" t="b">
        <v>0</v>
      </c>
      <c r="J1249" s="6" t="b">
        <v>0</v>
      </c>
      <c r="K1249" s="6" t="b">
        <v>1</v>
      </c>
      <c r="L1249" s="6" t="b">
        <v>1</v>
      </c>
      <c r="M1249" s="6" t="b">
        <v>0</v>
      </c>
      <c r="N1249" s="6">
        <v>6</v>
      </c>
      <c r="O1249" s="8" t="s">
        <v>331</v>
      </c>
      <c r="P1249" s="8" t="s">
        <v>238</v>
      </c>
      <c r="Q1249" s="8" t="s">
        <v>927</v>
      </c>
      <c r="R1249" s="6">
        <v>9</v>
      </c>
      <c r="S1249" s="8" t="s">
        <v>347</v>
      </c>
      <c r="T1249" s="9"/>
      <c r="U1249" s="8" t="s">
        <v>240</v>
      </c>
      <c r="V1249" s="8" t="s">
        <v>450</v>
      </c>
      <c r="W1249" s="8" t="s">
        <v>240</v>
      </c>
      <c r="X1249" s="8" t="s">
        <v>240</v>
      </c>
      <c r="Y1249" s="8" t="s">
        <v>240</v>
      </c>
      <c r="Z1249" s="6" t="b">
        <v>0</v>
      </c>
      <c r="AA1249" s="9"/>
      <c r="AB1249" s="9"/>
    </row>
    <row r="1250" spans="1:28" ht="32">
      <c r="A1250" s="6">
        <v>1381</v>
      </c>
      <c r="B1250" s="8" t="s">
        <v>194</v>
      </c>
      <c r="C1250" s="8" t="s">
        <v>90</v>
      </c>
      <c r="D1250" s="8" t="s">
        <v>2136</v>
      </c>
      <c r="E1250" s="8" t="s">
        <v>2136</v>
      </c>
      <c r="F1250" s="6">
        <v>1381</v>
      </c>
      <c r="G1250" s="6" t="b">
        <v>0</v>
      </c>
      <c r="H1250" s="8" t="s">
        <v>240</v>
      </c>
      <c r="I1250" s="6" t="b">
        <v>0</v>
      </c>
      <c r="J1250" s="6" t="b">
        <v>0</v>
      </c>
      <c r="K1250" s="6" t="b">
        <v>0</v>
      </c>
      <c r="L1250" s="6" t="b">
        <v>1</v>
      </c>
      <c r="M1250" s="6" t="b">
        <v>0</v>
      </c>
      <c r="N1250" s="6">
        <v>6</v>
      </c>
      <c r="O1250" s="8" t="s">
        <v>331</v>
      </c>
      <c r="P1250" s="8" t="s">
        <v>350</v>
      </c>
      <c r="Q1250" s="8" t="s">
        <v>811</v>
      </c>
      <c r="R1250" s="6">
        <v>3</v>
      </c>
      <c r="S1250" s="8" t="s">
        <v>347</v>
      </c>
      <c r="T1250" s="9"/>
      <c r="U1250" s="8" t="s">
        <v>240</v>
      </c>
      <c r="V1250" s="8" t="s">
        <v>1559</v>
      </c>
      <c r="W1250" s="8" t="s">
        <v>386</v>
      </c>
      <c r="X1250" s="8" t="s">
        <v>240</v>
      </c>
      <c r="Y1250" s="8" t="s">
        <v>240</v>
      </c>
      <c r="Z1250" s="6" t="b">
        <v>0</v>
      </c>
      <c r="AA1250" s="9"/>
      <c r="AB1250" s="9"/>
    </row>
    <row r="1251" spans="1:28" ht="32">
      <c r="A1251" s="6">
        <v>1382</v>
      </c>
      <c r="B1251" s="8" t="s">
        <v>194</v>
      </c>
      <c r="C1251" s="8" t="s">
        <v>90</v>
      </c>
      <c r="D1251" s="8" t="s">
        <v>2137</v>
      </c>
      <c r="E1251" s="8" t="s">
        <v>2136</v>
      </c>
      <c r="F1251" s="6">
        <v>1381</v>
      </c>
      <c r="G1251" s="6" t="b">
        <v>0</v>
      </c>
      <c r="H1251" s="8" t="s">
        <v>240</v>
      </c>
      <c r="I1251" s="6" t="b">
        <v>0</v>
      </c>
      <c r="J1251" s="6" t="b">
        <v>0</v>
      </c>
      <c r="K1251" s="6" t="b">
        <v>0</v>
      </c>
      <c r="L1251" s="6" t="b">
        <v>1</v>
      </c>
      <c r="M1251" s="6" t="b">
        <v>0</v>
      </c>
      <c r="N1251" s="6">
        <v>6</v>
      </c>
      <c r="O1251" s="8" t="s">
        <v>331</v>
      </c>
      <c r="P1251" s="8" t="s">
        <v>350</v>
      </c>
      <c r="Q1251" s="8" t="s">
        <v>811</v>
      </c>
      <c r="R1251" s="6">
        <v>3</v>
      </c>
      <c r="S1251" s="8" t="s">
        <v>347</v>
      </c>
      <c r="T1251" s="9"/>
      <c r="U1251" s="8" t="s">
        <v>240</v>
      </c>
      <c r="V1251" s="8" t="s">
        <v>1559</v>
      </c>
      <c r="W1251" s="8" t="s">
        <v>386</v>
      </c>
      <c r="X1251" s="8" t="s">
        <v>240</v>
      </c>
      <c r="Y1251" s="8" t="s">
        <v>240</v>
      </c>
      <c r="Z1251" s="6" t="b">
        <v>0</v>
      </c>
      <c r="AA1251" s="9"/>
      <c r="AB1251" s="9"/>
    </row>
    <row r="1252" spans="1:28" ht="32">
      <c r="A1252" s="6">
        <v>1383</v>
      </c>
      <c r="B1252" s="8" t="s">
        <v>194</v>
      </c>
      <c r="C1252" s="8" t="s">
        <v>90</v>
      </c>
      <c r="D1252" s="8" t="s">
        <v>2138</v>
      </c>
      <c r="E1252" s="8" t="s">
        <v>2136</v>
      </c>
      <c r="F1252" s="6">
        <v>1381</v>
      </c>
      <c r="G1252" s="6" t="b">
        <v>0</v>
      </c>
      <c r="H1252" s="8" t="s">
        <v>240</v>
      </c>
      <c r="I1252" s="6" t="b">
        <v>0</v>
      </c>
      <c r="J1252" s="6" t="b">
        <v>0</v>
      </c>
      <c r="K1252" s="6" t="b">
        <v>0</v>
      </c>
      <c r="L1252" s="6" t="b">
        <v>1</v>
      </c>
      <c r="M1252" s="6" t="b">
        <v>0</v>
      </c>
      <c r="N1252" s="6">
        <v>6</v>
      </c>
      <c r="O1252" s="8" t="s">
        <v>331</v>
      </c>
      <c r="P1252" s="8" t="s">
        <v>350</v>
      </c>
      <c r="Q1252" s="8" t="s">
        <v>811</v>
      </c>
      <c r="R1252" s="6">
        <v>3</v>
      </c>
      <c r="S1252" s="8" t="s">
        <v>347</v>
      </c>
      <c r="T1252" s="6">
        <v>3</v>
      </c>
      <c r="U1252" s="8" t="s">
        <v>240</v>
      </c>
      <c r="V1252" s="8" t="s">
        <v>1559</v>
      </c>
      <c r="W1252" s="8" t="s">
        <v>386</v>
      </c>
      <c r="X1252" s="8" t="s">
        <v>240</v>
      </c>
      <c r="Y1252" s="8" t="s">
        <v>240</v>
      </c>
      <c r="Z1252" s="6" t="b">
        <v>0</v>
      </c>
      <c r="AA1252" s="9"/>
      <c r="AB1252" s="9"/>
    </row>
    <row r="1253" spans="1:28" ht="16">
      <c r="A1253" s="6">
        <v>1384</v>
      </c>
      <c r="B1253" s="8" t="s">
        <v>194</v>
      </c>
      <c r="C1253" s="8" t="s">
        <v>101</v>
      </c>
      <c r="D1253" s="8" t="s">
        <v>2139</v>
      </c>
      <c r="E1253" s="8" t="s">
        <v>2139</v>
      </c>
      <c r="F1253" s="6">
        <v>1384</v>
      </c>
      <c r="G1253" s="6" t="b">
        <v>0</v>
      </c>
      <c r="H1253" s="8" t="s">
        <v>240</v>
      </c>
      <c r="I1253" s="6" t="b">
        <v>0</v>
      </c>
      <c r="J1253" s="6" t="b">
        <v>0</v>
      </c>
      <c r="K1253" s="6" t="b">
        <v>0</v>
      </c>
      <c r="L1253" s="6" t="b">
        <v>1</v>
      </c>
      <c r="M1253" s="6" t="b">
        <v>0</v>
      </c>
      <c r="N1253" s="6">
        <v>6</v>
      </c>
      <c r="O1253" s="8" t="s">
        <v>347</v>
      </c>
      <c r="P1253" s="8" t="s">
        <v>255</v>
      </c>
      <c r="Q1253" s="8" t="s">
        <v>381</v>
      </c>
      <c r="R1253" s="6">
        <v>2</v>
      </c>
      <c r="S1253" s="8" t="s">
        <v>341</v>
      </c>
      <c r="T1253" s="9"/>
      <c r="U1253" s="8" t="s">
        <v>240</v>
      </c>
      <c r="V1253" s="8" t="s">
        <v>482</v>
      </c>
      <c r="W1253" s="8" t="s">
        <v>483</v>
      </c>
      <c r="X1253" s="8" t="s">
        <v>240</v>
      </c>
      <c r="Y1253" s="8" t="s">
        <v>2140</v>
      </c>
      <c r="Z1253" s="6" t="b">
        <v>0</v>
      </c>
      <c r="AA1253" s="9"/>
      <c r="AB1253" s="9"/>
    </row>
    <row r="1254" spans="1:28" ht="32">
      <c r="A1254" s="6">
        <v>1385</v>
      </c>
      <c r="B1254" s="8" t="s">
        <v>194</v>
      </c>
      <c r="C1254" s="8" t="s">
        <v>101</v>
      </c>
      <c r="D1254" s="8" t="s">
        <v>2141</v>
      </c>
      <c r="E1254" s="8" t="s">
        <v>2139</v>
      </c>
      <c r="F1254" s="6">
        <v>1384</v>
      </c>
      <c r="G1254" s="6" t="b">
        <v>0</v>
      </c>
      <c r="H1254" s="8" t="s">
        <v>240</v>
      </c>
      <c r="I1254" s="6" t="b">
        <v>0</v>
      </c>
      <c r="J1254" s="6" t="b">
        <v>0</v>
      </c>
      <c r="K1254" s="6" t="b">
        <v>0</v>
      </c>
      <c r="L1254" s="6" t="b">
        <v>1</v>
      </c>
      <c r="M1254" s="6" t="b">
        <v>0</v>
      </c>
      <c r="N1254" s="6">
        <v>6</v>
      </c>
      <c r="O1254" s="8" t="s">
        <v>347</v>
      </c>
      <c r="P1254" s="8" t="s">
        <v>255</v>
      </c>
      <c r="Q1254" s="8" t="s">
        <v>381</v>
      </c>
      <c r="R1254" s="6">
        <v>2</v>
      </c>
      <c r="S1254" s="8" t="s">
        <v>341</v>
      </c>
      <c r="T1254" s="6">
        <v>2</v>
      </c>
      <c r="U1254" s="8" t="s">
        <v>240</v>
      </c>
      <c r="V1254" s="8" t="s">
        <v>482</v>
      </c>
      <c r="W1254" s="8" t="s">
        <v>483</v>
      </c>
      <c r="X1254" s="8" t="s">
        <v>240</v>
      </c>
      <c r="Y1254" s="8" t="s">
        <v>240</v>
      </c>
      <c r="Z1254" s="6" t="b">
        <v>0</v>
      </c>
      <c r="AA1254" s="9"/>
      <c r="AB1254" s="9"/>
    </row>
    <row r="1255" spans="1:28" ht="32">
      <c r="A1255" s="6">
        <v>1386</v>
      </c>
      <c r="B1255" s="8" t="s">
        <v>194</v>
      </c>
      <c r="C1255" s="8" t="s">
        <v>101</v>
      </c>
      <c r="D1255" s="8" t="s">
        <v>2142</v>
      </c>
      <c r="E1255" s="8" t="s">
        <v>2139</v>
      </c>
      <c r="F1255" s="6">
        <v>1384</v>
      </c>
      <c r="G1255" s="6" t="b">
        <v>0</v>
      </c>
      <c r="H1255" s="8" t="s">
        <v>240</v>
      </c>
      <c r="I1255" s="6" t="b">
        <v>0</v>
      </c>
      <c r="J1255" s="6" t="b">
        <v>0</v>
      </c>
      <c r="K1255" s="6" t="b">
        <v>0</v>
      </c>
      <c r="L1255" s="6" t="b">
        <v>1</v>
      </c>
      <c r="M1255" s="6" t="b">
        <v>0</v>
      </c>
      <c r="N1255" s="6">
        <v>6</v>
      </c>
      <c r="O1255" s="8" t="s">
        <v>347</v>
      </c>
      <c r="P1255" s="8" t="s">
        <v>255</v>
      </c>
      <c r="Q1255" s="8" t="s">
        <v>381</v>
      </c>
      <c r="R1255" s="6">
        <v>1</v>
      </c>
      <c r="S1255" s="8" t="s">
        <v>347</v>
      </c>
      <c r="T1255" s="6">
        <v>2</v>
      </c>
      <c r="U1255" s="8" t="s">
        <v>240</v>
      </c>
      <c r="V1255" s="8" t="s">
        <v>482</v>
      </c>
      <c r="W1255" s="8" t="s">
        <v>483</v>
      </c>
      <c r="X1255" s="8" t="s">
        <v>240</v>
      </c>
      <c r="Y1255" s="8" t="s">
        <v>2143</v>
      </c>
      <c r="Z1255" s="6" t="b">
        <v>0</v>
      </c>
      <c r="AA1255" s="9"/>
      <c r="AB1255" s="9"/>
    </row>
    <row r="1256" spans="1:28" ht="16">
      <c r="A1256" s="6">
        <v>1387</v>
      </c>
      <c r="B1256" s="8" t="s">
        <v>194</v>
      </c>
      <c r="C1256" s="8" t="s">
        <v>90</v>
      </c>
      <c r="D1256" s="8" t="s">
        <v>2144</v>
      </c>
      <c r="E1256" s="8" t="s">
        <v>2144</v>
      </c>
      <c r="F1256" s="6">
        <v>1387</v>
      </c>
      <c r="G1256" s="6" t="b">
        <v>0</v>
      </c>
      <c r="H1256" s="8" t="s">
        <v>240</v>
      </c>
      <c r="I1256" s="6" t="b">
        <v>0</v>
      </c>
      <c r="J1256" s="6" t="b">
        <v>0</v>
      </c>
      <c r="K1256" s="6" t="b">
        <v>0</v>
      </c>
      <c r="L1256" s="6" t="b">
        <v>1</v>
      </c>
      <c r="M1256" s="6" t="b">
        <v>0</v>
      </c>
      <c r="N1256" s="6">
        <v>6</v>
      </c>
      <c r="O1256" s="8" t="s">
        <v>331</v>
      </c>
      <c r="P1256" s="8" t="s">
        <v>350</v>
      </c>
      <c r="Q1256" s="8" t="s">
        <v>446</v>
      </c>
      <c r="R1256" s="6">
        <v>6</v>
      </c>
      <c r="S1256" s="8" t="s">
        <v>75</v>
      </c>
      <c r="T1256" s="9"/>
      <c r="U1256" s="8" t="s">
        <v>240</v>
      </c>
      <c r="V1256" s="8" t="s">
        <v>496</v>
      </c>
      <c r="W1256" s="8" t="s">
        <v>240</v>
      </c>
      <c r="X1256" s="8" t="s">
        <v>240</v>
      </c>
      <c r="Y1256" s="8" t="s">
        <v>240</v>
      </c>
      <c r="Z1256" s="6" t="b">
        <v>0</v>
      </c>
      <c r="AA1256" s="9"/>
      <c r="AB1256" s="9"/>
    </row>
    <row r="1257" spans="1:28" ht="16">
      <c r="A1257" s="6">
        <v>1389</v>
      </c>
      <c r="B1257" s="8" t="s">
        <v>194</v>
      </c>
      <c r="C1257" s="8" t="s">
        <v>90</v>
      </c>
      <c r="D1257" s="8" t="s">
        <v>2145</v>
      </c>
      <c r="E1257" s="8" t="s">
        <v>2145</v>
      </c>
      <c r="F1257" s="6">
        <v>1389</v>
      </c>
      <c r="G1257" s="6" t="b">
        <v>0</v>
      </c>
      <c r="H1257" s="8" t="s">
        <v>240</v>
      </c>
      <c r="I1257" s="6" t="b">
        <v>0</v>
      </c>
      <c r="J1257" s="6" t="b">
        <v>1</v>
      </c>
      <c r="K1257" s="6" t="b">
        <v>0</v>
      </c>
      <c r="L1257" s="6" t="b">
        <v>1</v>
      </c>
      <c r="M1257" s="6" t="b">
        <v>0</v>
      </c>
      <c r="N1257" s="6">
        <v>6</v>
      </c>
      <c r="O1257" s="8" t="s">
        <v>331</v>
      </c>
      <c r="P1257" s="8" t="s">
        <v>380</v>
      </c>
      <c r="Q1257" s="8" t="s">
        <v>446</v>
      </c>
      <c r="R1257" s="6">
        <v>8</v>
      </c>
      <c r="S1257" s="8" t="s">
        <v>347</v>
      </c>
      <c r="T1257" s="6">
        <v>8</v>
      </c>
      <c r="U1257" s="8" t="s">
        <v>240</v>
      </c>
      <c r="V1257" s="8" t="s">
        <v>450</v>
      </c>
      <c r="W1257" s="8" t="s">
        <v>240</v>
      </c>
      <c r="X1257" s="8" t="s">
        <v>240</v>
      </c>
      <c r="Y1257" s="8" t="s">
        <v>2146</v>
      </c>
      <c r="Z1257" s="6" t="b">
        <v>0</v>
      </c>
      <c r="AA1257" s="9"/>
      <c r="AB1257" s="9"/>
    </row>
    <row r="1258" spans="1:28" ht="32">
      <c r="A1258" s="6">
        <v>1390</v>
      </c>
      <c r="B1258" s="8" t="s">
        <v>194</v>
      </c>
      <c r="C1258" s="8" t="s">
        <v>90</v>
      </c>
      <c r="D1258" s="8" t="s">
        <v>2147</v>
      </c>
      <c r="E1258" s="8" t="s">
        <v>2145</v>
      </c>
      <c r="F1258" s="6">
        <v>1389</v>
      </c>
      <c r="G1258" s="6" t="b">
        <v>0</v>
      </c>
      <c r="H1258" s="8" t="s">
        <v>240</v>
      </c>
      <c r="I1258" s="6" t="b">
        <v>0</v>
      </c>
      <c r="J1258" s="6" t="b">
        <v>1</v>
      </c>
      <c r="K1258" s="6" t="b">
        <v>0</v>
      </c>
      <c r="L1258" s="6" t="b">
        <v>1</v>
      </c>
      <c r="M1258" s="6" t="b">
        <v>0</v>
      </c>
      <c r="N1258" s="6">
        <v>6</v>
      </c>
      <c r="O1258" s="8" t="s">
        <v>331</v>
      </c>
      <c r="P1258" s="8" t="s">
        <v>380</v>
      </c>
      <c r="Q1258" s="8" t="s">
        <v>446</v>
      </c>
      <c r="R1258" s="6">
        <v>8</v>
      </c>
      <c r="S1258" s="8" t="s">
        <v>347</v>
      </c>
      <c r="T1258" s="9"/>
      <c r="U1258" s="8" t="s">
        <v>240</v>
      </c>
      <c r="V1258" s="8" t="s">
        <v>450</v>
      </c>
      <c r="W1258" s="8" t="s">
        <v>240</v>
      </c>
      <c r="X1258" s="8" t="s">
        <v>240</v>
      </c>
      <c r="Y1258" s="8" t="s">
        <v>240</v>
      </c>
      <c r="Z1258" s="6" t="b">
        <v>0</v>
      </c>
      <c r="AA1258" s="9"/>
      <c r="AB1258" s="9"/>
    </row>
    <row r="1259" spans="1:28" ht="32">
      <c r="A1259" s="6">
        <v>1391</v>
      </c>
      <c r="B1259" s="8" t="s">
        <v>194</v>
      </c>
      <c r="C1259" s="8" t="s">
        <v>90</v>
      </c>
      <c r="D1259" s="8" t="s">
        <v>2148</v>
      </c>
      <c r="E1259" s="8" t="s">
        <v>2145</v>
      </c>
      <c r="F1259" s="6">
        <v>1389</v>
      </c>
      <c r="G1259" s="6" t="b">
        <v>0</v>
      </c>
      <c r="H1259" s="8" t="s">
        <v>240</v>
      </c>
      <c r="I1259" s="6" t="b">
        <v>0</v>
      </c>
      <c r="J1259" s="6" t="b">
        <v>1</v>
      </c>
      <c r="K1259" s="6" t="b">
        <v>0</v>
      </c>
      <c r="L1259" s="6" t="b">
        <v>1</v>
      </c>
      <c r="M1259" s="6" t="b">
        <v>0</v>
      </c>
      <c r="N1259" s="6">
        <v>6</v>
      </c>
      <c r="O1259" s="8" t="s">
        <v>331</v>
      </c>
      <c r="P1259" s="8" t="s">
        <v>380</v>
      </c>
      <c r="Q1259" s="8" t="s">
        <v>446</v>
      </c>
      <c r="R1259" s="6">
        <v>8</v>
      </c>
      <c r="S1259" s="8" t="s">
        <v>347</v>
      </c>
      <c r="T1259" s="9"/>
      <c r="U1259" s="8" t="s">
        <v>240</v>
      </c>
      <c r="V1259" s="8" t="s">
        <v>450</v>
      </c>
      <c r="W1259" s="8" t="s">
        <v>240</v>
      </c>
      <c r="X1259" s="8" t="s">
        <v>240</v>
      </c>
      <c r="Y1259" s="8" t="s">
        <v>240</v>
      </c>
      <c r="Z1259" s="6" t="b">
        <v>0</v>
      </c>
      <c r="AA1259" s="9"/>
      <c r="AB1259" s="9"/>
    </row>
    <row r="1260" spans="1:28" ht="32">
      <c r="A1260" s="6">
        <v>1392</v>
      </c>
      <c r="B1260" s="8" t="s">
        <v>194</v>
      </c>
      <c r="C1260" s="8" t="s">
        <v>90</v>
      </c>
      <c r="D1260" s="8" t="s">
        <v>2149</v>
      </c>
      <c r="E1260" s="8" t="s">
        <v>2145</v>
      </c>
      <c r="F1260" s="6">
        <v>1389</v>
      </c>
      <c r="G1260" s="6" t="b">
        <v>0</v>
      </c>
      <c r="H1260" s="8" t="s">
        <v>240</v>
      </c>
      <c r="I1260" s="6" t="b">
        <v>0</v>
      </c>
      <c r="J1260" s="6" t="b">
        <v>1</v>
      </c>
      <c r="K1260" s="6" t="b">
        <v>0</v>
      </c>
      <c r="L1260" s="6" t="b">
        <v>1</v>
      </c>
      <c r="M1260" s="6" t="b">
        <v>0</v>
      </c>
      <c r="N1260" s="6">
        <v>6</v>
      </c>
      <c r="O1260" s="8" t="s">
        <v>331</v>
      </c>
      <c r="P1260" s="8" t="s">
        <v>380</v>
      </c>
      <c r="Q1260" s="8" t="s">
        <v>446</v>
      </c>
      <c r="R1260" s="6">
        <v>8</v>
      </c>
      <c r="S1260" s="8" t="s">
        <v>347</v>
      </c>
      <c r="T1260" s="9"/>
      <c r="U1260" s="8" t="s">
        <v>240</v>
      </c>
      <c r="V1260" s="8" t="s">
        <v>450</v>
      </c>
      <c r="W1260" s="8" t="s">
        <v>240</v>
      </c>
      <c r="X1260" s="8" t="s">
        <v>240</v>
      </c>
      <c r="Y1260" s="8" t="s">
        <v>240</v>
      </c>
      <c r="Z1260" s="6" t="b">
        <v>0</v>
      </c>
      <c r="AA1260" s="9"/>
      <c r="AB1260" s="9"/>
    </row>
    <row r="1261" spans="1:28" ht="32">
      <c r="A1261" s="6">
        <v>1393</v>
      </c>
      <c r="B1261" s="8" t="s">
        <v>194</v>
      </c>
      <c r="C1261" s="8" t="s">
        <v>90</v>
      </c>
      <c r="D1261" s="8" t="s">
        <v>2150</v>
      </c>
      <c r="E1261" s="8" t="s">
        <v>2145</v>
      </c>
      <c r="F1261" s="6">
        <v>1389</v>
      </c>
      <c r="G1261" s="6" t="b">
        <v>0</v>
      </c>
      <c r="H1261" s="8" t="s">
        <v>240</v>
      </c>
      <c r="I1261" s="6" t="b">
        <v>0</v>
      </c>
      <c r="J1261" s="6" t="b">
        <v>1</v>
      </c>
      <c r="K1261" s="6" t="b">
        <v>0</v>
      </c>
      <c r="L1261" s="6" t="b">
        <v>1</v>
      </c>
      <c r="M1261" s="6" t="b">
        <v>0</v>
      </c>
      <c r="N1261" s="6">
        <v>6</v>
      </c>
      <c r="O1261" s="8" t="s">
        <v>331</v>
      </c>
      <c r="P1261" s="8" t="s">
        <v>380</v>
      </c>
      <c r="Q1261" s="8" t="s">
        <v>446</v>
      </c>
      <c r="R1261" s="6">
        <v>6</v>
      </c>
      <c r="S1261" s="8" t="s">
        <v>75</v>
      </c>
      <c r="T1261" s="6">
        <v>8</v>
      </c>
      <c r="U1261" s="8" t="s">
        <v>240</v>
      </c>
      <c r="V1261" s="8" t="s">
        <v>450</v>
      </c>
      <c r="W1261" s="8" t="s">
        <v>240</v>
      </c>
      <c r="X1261" s="8" t="s">
        <v>240</v>
      </c>
      <c r="Y1261" s="8" t="s">
        <v>240</v>
      </c>
      <c r="Z1261" s="6" t="b">
        <v>0</v>
      </c>
      <c r="AA1261" s="9"/>
      <c r="AB1261" s="9"/>
    </row>
    <row r="1262" spans="1:28" ht="32">
      <c r="A1262" s="6">
        <v>1394</v>
      </c>
      <c r="B1262" s="8" t="s">
        <v>194</v>
      </c>
      <c r="C1262" s="8" t="s">
        <v>90</v>
      </c>
      <c r="D1262" s="8" t="s">
        <v>2151</v>
      </c>
      <c r="E1262" s="8" t="s">
        <v>2145</v>
      </c>
      <c r="F1262" s="6">
        <v>1389</v>
      </c>
      <c r="G1262" s="6" t="b">
        <v>0</v>
      </c>
      <c r="H1262" s="8" t="s">
        <v>240</v>
      </c>
      <c r="I1262" s="6" t="b">
        <v>0</v>
      </c>
      <c r="J1262" s="6" t="b">
        <v>1</v>
      </c>
      <c r="K1262" s="6" t="b">
        <v>0</v>
      </c>
      <c r="L1262" s="6" t="b">
        <v>1</v>
      </c>
      <c r="M1262" s="6" t="b">
        <v>0</v>
      </c>
      <c r="N1262" s="6">
        <v>6</v>
      </c>
      <c r="O1262" s="8" t="s">
        <v>331</v>
      </c>
      <c r="P1262" s="8" t="s">
        <v>380</v>
      </c>
      <c r="Q1262" s="8" t="s">
        <v>446</v>
      </c>
      <c r="R1262" s="6">
        <v>8</v>
      </c>
      <c r="S1262" s="8" t="s">
        <v>347</v>
      </c>
      <c r="T1262" s="9"/>
      <c r="U1262" s="8" t="s">
        <v>240</v>
      </c>
      <c r="V1262" s="8" t="s">
        <v>450</v>
      </c>
      <c r="W1262" s="8" t="s">
        <v>240</v>
      </c>
      <c r="X1262" s="8" t="s">
        <v>240</v>
      </c>
      <c r="Y1262" s="8" t="s">
        <v>240</v>
      </c>
      <c r="Z1262" s="6" t="b">
        <v>0</v>
      </c>
      <c r="AA1262" s="9"/>
      <c r="AB1262" s="9"/>
    </row>
    <row r="1263" spans="1:28" ht="32">
      <c r="A1263" s="6">
        <v>1395</v>
      </c>
      <c r="B1263" s="8" t="s">
        <v>194</v>
      </c>
      <c r="C1263" s="8" t="s">
        <v>90</v>
      </c>
      <c r="D1263" s="8" t="s">
        <v>2152</v>
      </c>
      <c r="E1263" s="8" t="s">
        <v>2145</v>
      </c>
      <c r="F1263" s="6">
        <v>1389</v>
      </c>
      <c r="G1263" s="6" t="b">
        <v>0</v>
      </c>
      <c r="H1263" s="8" t="s">
        <v>240</v>
      </c>
      <c r="I1263" s="6" t="b">
        <v>0</v>
      </c>
      <c r="J1263" s="6" t="b">
        <v>1</v>
      </c>
      <c r="K1263" s="6" t="b">
        <v>0</v>
      </c>
      <c r="L1263" s="6" t="b">
        <v>1</v>
      </c>
      <c r="M1263" s="6" t="b">
        <v>0</v>
      </c>
      <c r="N1263" s="6">
        <v>6</v>
      </c>
      <c r="O1263" s="8" t="s">
        <v>331</v>
      </c>
      <c r="P1263" s="8" t="s">
        <v>380</v>
      </c>
      <c r="Q1263" s="8" t="s">
        <v>446</v>
      </c>
      <c r="R1263" s="6">
        <v>8</v>
      </c>
      <c r="S1263" s="8" t="s">
        <v>347</v>
      </c>
      <c r="T1263" s="9"/>
      <c r="U1263" s="8" t="s">
        <v>240</v>
      </c>
      <c r="V1263" s="8" t="s">
        <v>450</v>
      </c>
      <c r="W1263" s="8" t="s">
        <v>240</v>
      </c>
      <c r="X1263" s="8" t="s">
        <v>240</v>
      </c>
      <c r="Y1263" s="8" t="s">
        <v>240</v>
      </c>
      <c r="Z1263" s="6" t="b">
        <v>0</v>
      </c>
      <c r="AA1263" s="9"/>
      <c r="AB1263" s="9"/>
    </row>
    <row r="1264" spans="1:28" ht="32">
      <c r="A1264" s="6">
        <v>1396</v>
      </c>
      <c r="B1264" s="8" t="s">
        <v>194</v>
      </c>
      <c r="C1264" s="8" t="s">
        <v>90</v>
      </c>
      <c r="D1264" s="8" t="s">
        <v>2153</v>
      </c>
      <c r="E1264" s="8" t="s">
        <v>2145</v>
      </c>
      <c r="F1264" s="6">
        <v>1389</v>
      </c>
      <c r="G1264" s="6" t="b">
        <v>0</v>
      </c>
      <c r="H1264" s="8" t="s">
        <v>240</v>
      </c>
      <c r="I1264" s="6" t="b">
        <v>0</v>
      </c>
      <c r="J1264" s="6" t="b">
        <v>1</v>
      </c>
      <c r="K1264" s="6" t="b">
        <v>0</v>
      </c>
      <c r="L1264" s="6" t="b">
        <v>1</v>
      </c>
      <c r="M1264" s="6" t="b">
        <v>0</v>
      </c>
      <c r="N1264" s="6">
        <v>6</v>
      </c>
      <c r="O1264" s="8" t="s">
        <v>331</v>
      </c>
      <c r="P1264" s="8" t="s">
        <v>350</v>
      </c>
      <c r="Q1264" s="8" t="s">
        <v>335</v>
      </c>
      <c r="R1264" s="6">
        <v>8</v>
      </c>
      <c r="S1264" s="8" t="s">
        <v>335</v>
      </c>
      <c r="T1264" s="6">
        <v>8</v>
      </c>
      <c r="U1264" s="8" t="s">
        <v>240</v>
      </c>
      <c r="V1264" s="8" t="s">
        <v>450</v>
      </c>
      <c r="W1264" s="8" t="s">
        <v>240</v>
      </c>
      <c r="X1264" s="8" t="s">
        <v>240</v>
      </c>
      <c r="Y1264" s="8" t="s">
        <v>240</v>
      </c>
      <c r="Z1264" s="6" t="b">
        <v>0</v>
      </c>
      <c r="AA1264" s="9"/>
      <c r="AB1264" s="9"/>
    </row>
    <row r="1265" spans="1:28" ht="32">
      <c r="A1265" s="6">
        <v>1397</v>
      </c>
      <c r="B1265" s="8" t="s">
        <v>194</v>
      </c>
      <c r="C1265" s="8" t="s">
        <v>90</v>
      </c>
      <c r="D1265" s="8" t="s">
        <v>2154</v>
      </c>
      <c r="E1265" s="8" t="s">
        <v>2145</v>
      </c>
      <c r="F1265" s="6">
        <v>1389</v>
      </c>
      <c r="G1265" s="6" t="b">
        <v>0</v>
      </c>
      <c r="H1265" s="8" t="s">
        <v>240</v>
      </c>
      <c r="I1265" s="6" t="b">
        <v>0</v>
      </c>
      <c r="J1265" s="6" t="b">
        <v>1</v>
      </c>
      <c r="K1265" s="6" t="b">
        <v>0</v>
      </c>
      <c r="L1265" s="6" t="b">
        <v>1</v>
      </c>
      <c r="M1265" s="6" t="b">
        <v>0</v>
      </c>
      <c r="N1265" s="6">
        <v>6</v>
      </c>
      <c r="O1265" s="8" t="s">
        <v>331</v>
      </c>
      <c r="P1265" s="8" t="s">
        <v>380</v>
      </c>
      <c r="Q1265" s="8" t="s">
        <v>446</v>
      </c>
      <c r="R1265" s="6">
        <v>8</v>
      </c>
      <c r="S1265" s="8" t="s">
        <v>347</v>
      </c>
      <c r="T1265" s="9"/>
      <c r="U1265" s="8" t="s">
        <v>240</v>
      </c>
      <c r="V1265" s="8" t="s">
        <v>450</v>
      </c>
      <c r="W1265" s="8" t="s">
        <v>240</v>
      </c>
      <c r="X1265" s="8" t="s">
        <v>240</v>
      </c>
      <c r="Y1265" s="8" t="s">
        <v>240</v>
      </c>
      <c r="Z1265" s="6" t="b">
        <v>0</v>
      </c>
      <c r="AA1265" s="9"/>
      <c r="AB1265" s="9"/>
    </row>
    <row r="1266" spans="1:28" ht="32">
      <c r="A1266" s="6">
        <v>1398</v>
      </c>
      <c r="B1266" s="8" t="s">
        <v>194</v>
      </c>
      <c r="C1266" s="8" t="s">
        <v>90</v>
      </c>
      <c r="D1266" s="8" t="s">
        <v>2155</v>
      </c>
      <c r="E1266" s="8" t="s">
        <v>2145</v>
      </c>
      <c r="F1266" s="6">
        <v>1389</v>
      </c>
      <c r="G1266" s="6" t="b">
        <v>0</v>
      </c>
      <c r="H1266" s="8" t="s">
        <v>240</v>
      </c>
      <c r="I1266" s="6" t="b">
        <v>0</v>
      </c>
      <c r="J1266" s="6" t="b">
        <v>1</v>
      </c>
      <c r="K1266" s="6" t="b">
        <v>0</v>
      </c>
      <c r="L1266" s="6" t="b">
        <v>1</v>
      </c>
      <c r="M1266" s="6" t="b">
        <v>0</v>
      </c>
      <c r="N1266" s="6">
        <v>6</v>
      </c>
      <c r="O1266" s="8" t="s">
        <v>331</v>
      </c>
      <c r="P1266" s="8" t="s">
        <v>350</v>
      </c>
      <c r="Q1266" s="8" t="s">
        <v>335</v>
      </c>
      <c r="R1266" s="6">
        <v>8</v>
      </c>
      <c r="S1266" s="8" t="s">
        <v>335</v>
      </c>
      <c r="T1266" s="6">
        <v>8</v>
      </c>
      <c r="U1266" s="8" t="s">
        <v>240</v>
      </c>
      <c r="V1266" s="8" t="s">
        <v>450</v>
      </c>
      <c r="W1266" s="8" t="s">
        <v>240</v>
      </c>
      <c r="X1266" s="8" t="s">
        <v>240</v>
      </c>
      <c r="Y1266" s="8" t="s">
        <v>240</v>
      </c>
      <c r="Z1266" s="6" t="b">
        <v>0</v>
      </c>
      <c r="AA1266" s="9"/>
      <c r="AB1266" s="9"/>
    </row>
    <row r="1267" spans="1:28" ht="32">
      <c r="A1267" s="6">
        <v>1399</v>
      </c>
      <c r="B1267" s="8" t="s">
        <v>194</v>
      </c>
      <c r="C1267" s="8" t="s">
        <v>90</v>
      </c>
      <c r="D1267" s="8" t="s">
        <v>2156</v>
      </c>
      <c r="E1267" s="8" t="s">
        <v>2145</v>
      </c>
      <c r="F1267" s="6">
        <v>1389</v>
      </c>
      <c r="G1267" s="6" t="b">
        <v>0</v>
      </c>
      <c r="H1267" s="8" t="s">
        <v>240</v>
      </c>
      <c r="I1267" s="6" t="b">
        <v>0</v>
      </c>
      <c r="J1267" s="6" t="b">
        <v>1</v>
      </c>
      <c r="K1267" s="6" t="b">
        <v>0</v>
      </c>
      <c r="L1267" s="6" t="b">
        <v>1</v>
      </c>
      <c r="M1267" s="6" t="b">
        <v>0</v>
      </c>
      <c r="N1267" s="6">
        <v>6</v>
      </c>
      <c r="O1267" s="8" t="s">
        <v>331</v>
      </c>
      <c r="P1267" s="8" t="s">
        <v>380</v>
      </c>
      <c r="Q1267" s="8" t="s">
        <v>446</v>
      </c>
      <c r="R1267" s="6">
        <v>8</v>
      </c>
      <c r="S1267" s="8" t="s">
        <v>335</v>
      </c>
      <c r="T1267" s="6">
        <v>8</v>
      </c>
      <c r="U1267" s="8" t="s">
        <v>240</v>
      </c>
      <c r="V1267" s="8" t="s">
        <v>450</v>
      </c>
      <c r="W1267" s="8" t="s">
        <v>240</v>
      </c>
      <c r="X1267" s="8" t="s">
        <v>240</v>
      </c>
      <c r="Y1267" s="8" t="s">
        <v>240</v>
      </c>
      <c r="Z1267" s="6" t="b">
        <v>0</v>
      </c>
      <c r="AA1267" s="9"/>
      <c r="AB1267" s="9"/>
    </row>
    <row r="1268" spans="1:28" ht="16">
      <c r="A1268" s="6">
        <v>1400</v>
      </c>
      <c r="B1268" s="8" t="s">
        <v>194</v>
      </c>
      <c r="C1268" s="8" t="s">
        <v>90</v>
      </c>
      <c r="D1268" s="8" t="s">
        <v>2157</v>
      </c>
      <c r="E1268" s="8" t="s">
        <v>2157</v>
      </c>
      <c r="F1268" s="6">
        <v>1400</v>
      </c>
      <c r="G1268" s="6" t="b">
        <v>0</v>
      </c>
      <c r="H1268" s="8" t="s">
        <v>240</v>
      </c>
      <c r="I1268" s="6" t="b">
        <v>0</v>
      </c>
      <c r="J1268" s="6" t="b">
        <v>0</v>
      </c>
      <c r="K1268" s="6" t="b">
        <v>1</v>
      </c>
      <c r="L1268" s="6" t="b">
        <v>1</v>
      </c>
      <c r="M1268" s="6" t="b">
        <v>0</v>
      </c>
      <c r="N1268" s="6">
        <v>6</v>
      </c>
      <c r="O1268" s="8" t="s">
        <v>331</v>
      </c>
      <c r="P1268" s="8" t="s">
        <v>238</v>
      </c>
      <c r="Q1268" s="8" t="s">
        <v>239</v>
      </c>
      <c r="R1268" s="6">
        <v>10</v>
      </c>
      <c r="S1268" s="8" t="s">
        <v>347</v>
      </c>
      <c r="T1268" s="6">
        <v>10</v>
      </c>
      <c r="U1268" s="8" t="s">
        <v>240</v>
      </c>
      <c r="V1268" s="8" t="s">
        <v>450</v>
      </c>
      <c r="W1268" s="8" t="s">
        <v>240</v>
      </c>
      <c r="X1268" s="8" t="s">
        <v>240</v>
      </c>
      <c r="Y1268" s="8" t="s">
        <v>240</v>
      </c>
      <c r="Z1268" s="6" t="b">
        <v>0</v>
      </c>
      <c r="AA1268" s="9"/>
      <c r="AB1268" s="9"/>
    </row>
    <row r="1269" spans="1:28" ht="32">
      <c r="A1269" s="6">
        <v>1402</v>
      </c>
      <c r="B1269" s="8" t="s">
        <v>194</v>
      </c>
      <c r="C1269" s="8" t="s">
        <v>90</v>
      </c>
      <c r="D1269" s="8" t="s">
        <v>2158</v>
      </c>
      <c r="E1269" s="8" t="s">
        <v>2157</v>
      </c>
      <c r="F1269" s="6">
        <v>1400</v>
      </c>
      <c r="G1269" s="6" t="b">
        <v>0</v>
      </c>
      <c r="H1269" s="8" t="s">
        <v>240</v>
      </c>
      <c r="I1269" s="6" t="b">
        <v>0</v>
      </c>
      <c r="J1269" s="6" t="b">
        <v>0</v>
      </c>
      <c r="K1269" s="6" t="b">
        <v>1</v>
      </c>
      <c r="L1269" s="6" t="b">
        <v>1</v>
      </c>
      <c r="M1269" s="6" t="b">
        <v>0</v>
      </c>
      <c r="N1269" s="6">
        <v>6</v>
      </c>
      <c r="O1269" s="8" t="s">
        <v>331</v>
      </c>
      <c r="P1269" s="8" t="s">
        <v>238</v>
      </c>
      <c r="Q1269" s="8" t="s">
        <v>239</v>
      </c>
      <c r="R1269" s="6">
        <v>10</v>
      </c>
      <c r="S1269" s="8" t="s">
        <v>347</v>
      </c>
      <c r="T1269" s="6">
        <v>10</v>
      </c>
      <c r="U1269" s="8" t="s">
        <v>240</v>
      </c>
      <c r="V1269" s="8" t="s">
        <v>450</v>
      </c>
      <c r="W1269" s="8" t="s">
        <v>240</v>
      </c>
      <c r="X1269" s="8" t="s">
        <v>240</v>
      </c>
      <c r="Y1269" s="8" t="s">
        <v>240</v>
      </c>
      <c r="Z1269" s="6" t="b">
        <v>0</v>
      </c>
      <c r="AA1269" s="9"/>
      <c r="AB1269" s="9"/>
    </row>
    <row r="1270" spans="1:28" ht="32">
      <c r="A1270" s="6">
        <v>1403</v>
      </c>
      <c r="B1270" s="8" t="s">
        <v>194</v>
      </c>
      <c r="C1270" s="8" t="s">
        <v>90</v>
      </c>
      <c r="D1270" s="8" t="s">
        <v>2159</v>
      </c>
      <c r="E1270" s="8" t="s">
        <v>2160</v>
      </c>
      <c r="F1270" s="6">
        <v>1655</v>
      </c>
      <c r="G1270" s="6" t="b">
        <v>0</v>
      </c>
      <c r="H1270" s="8" t="s">
        <v>240</v>
      </c>
      <c r="I1270" s="6" t="b">
        <v>0</v>
      </c>
      <c r="J1270" s="6" t="b">
        <v>0</v>
      </c>
      <c r="K1270" s="6" t="b">
        <v>1</v>
      </c>
      <c r="L1270" s="6" t="b">
        <v>1</v>
      </c>
      <c r="M1270" s="6" t="b">
        <v>0</v>
      </c>
      <c r="N1270" s="6">
        <v>6</v>
      </c>
      <c r="O1270" s="8" t="s">
        <v>331</v>
      </c>
      <c r="P1270" s="8" t="s">
        <v>238</v>
      </c>
      <c r="Q1270" s="8" t="s">
        <v>239</v>
      </c>
      <c r="R1270" s="6">
        <v>6</v>
      </c>
      <c r="S1270" s="8" t="s">
        <v>75</v>
      </c>
      <c r="T1270" s="9"/>
      <c r="U1270" s="8" t="s">
        <v>240</v>
      </c>
      <c r="V1270" s="8" t="s">
        <v>450</v>
      </c>
      <c r="W1270" s="8" t="s">
        <v>240</v>
      </c>
      <c r="X1270" s="8" t="s">
        <v>240</v>
      </c>
      <c r="Y1270" s="8" t="s">
        <v>2161</v>
      </c>
      <c r="Z1270" s="6" t="b">
        <v>0</v>
      </c>
      <c r="AA1270" s="9"/>
      <c r="AB1270" s="9"/>
    </row>
    <row r="1271" spans="1:28" ht="32">
      <c r="A1271" s="6">
        <v>1404</v>
      </c>
      <c r="B1271" s="8" t="s">
        <v>194</v>
      </c>
      <c r="C1271" s="8" t="s">
        <v>126</v>
      </c>
      <c r="D1271" s="8" t="s">
        <v>2162</v>
      </c>
      <c r="E1271" s="8" t="s">
        <v>2162</v>
      </c>
      <c r="F1271" s="6">
        <v>1404</v>
      </c>
      <c r="G1271" s="6" t="b">
        <v>0</v>
      </c>
      <c r="H1271" s="8" t="s">
        <v>240</v>
      </c>
      <c r="I1271" s="6" t="b">
        <v>0</v>
      </c>
      <c r="J1271" s="6" t="b">
        <v>0</v>
      </c>
      <c r="K1271" s="6" t="b">
        <v>0</v>
      </c>
      <c r="L1271" s="6" t="b">
        <v>1</v>
      </c>
      <c r="M1271" s="6" t="b">
        <v>0</v>
      </c>
      <c r="N1271" s="6">
        <v>8</v>
      </c>
      <c r="O1271" s="8" t="s">
        <v>331</v>
      </c>
      <c r="P1271" s="8" t="s">
        <v>350</v>
      </c>
      <c r="Q1271" s="8" t="s">
        <v>811</v>
      </c>
      <c r="R1271" s="6">
        <v>5</v>
      </c>
      <c r="S1271" s="8" t="s">
        <v>347</v>
      </c>
      <c r="T1271" s="6">
        <v>5</v>
      </c>
      <c r="U1271" s="8" t="s">
        <v>240</v>
      </c>
      <c r="V1271" s="8" t="s">
        <v>496</v>
      </c>
      <c r="W1271" s="8" t="s">
        <v>240</v>
      </c>
      <c r="X1271" s="8" t="s">
        <v>240</v>
      </c>
      <c r="Y1271" s="8" t="s">
        <v>2163</v>
      </c>
      <c r="Z1271" s="6" t="b">
        <v>0</v>
      </c>
      <c r="AA1271" s="9"/>
      <c r="AB1271" s="9"/>
    </row>
    <row r="1272" spans="1:28" ht="32">
      <c r="A1272" s="6">
        <v>1405</v>
      </c>
      <c r="B1272" s="8" t="s">
        <v>194</v>
      </c>
      <c r="C1272" s="8" t="s">
        <v>126</v>
      </c>
      <c r="D1272" s="8" t="s">
        <v>2164</v>
      </c>
      <c r="E1272" s="8" t="s">
        <v>2162</v>
      </c>
      <c r="F1272" s="6">
        <v>1404</v>
      </c>
      <c r="G1272" s="6" t="b">
        <v>0</v>
      </c>
      <c r="H1272" s="8" t="s">
        <v>240</v>
      </c>
      <c r="I1272" s="6" t="b">
        <v>0</v>
      </c>
      <c r="J1272" s="6" t="b">
        <v>0</v>
      </c>
      <c r="K1272" s="6" t="b">
        <v>0</v>
      </c>
      <c r="L1272" s="6" t="b">
        <v>1</v>
      </c>
      <c r="M1272" s="6" t="b">
        <v>0</v>
      </c>
      <c r="N1272" s="6">
        <v>8</v>
      </c>
      <c r="O1272" s="8" t="s">
        <v>331</v>
      </c>
      <c r="P1272" s="8" t="s">
        <v>350</v>
      </c>
      <c r="Q1272" s="8" t="s">
        <v>811</v>
      </c>
      <c r="R1272" s="6">
        <v>5</v>
      </c>
      <c r="S1272" s="8" t="s">
        <v>347</v>
      </c>
      <c r="T1272" s="9"/>
      <c r="U1272" s="8" t="s">
        <v>240</v>
      </c>
      <c r="V1272" s="8" t="s">
        <v>496</v>
      </c>
      <c r="W1272" s="8" t="s">
        <v>240</v>
      </c>
      <c r="X1272" s="8" t="s">
        <v>240</v>
      </c>
      <c r="Y1272" s="8" t="s">
        <v>240</v>
      </c>
      <c r="Z1272" s="6" t="b">
        <v>0</v>
      </c>
      <c r="AA1272" s="9"/>
      <c r="AB1272" s="9"/>
    </row>
    <row r="1273" spans="1:28" ht="32">
      <c r="A1273" s="6">
        <v>1406</v>
      </c>
      <c r="B1273" s="8" t="s">
        <v>194</v>
      </c>
      <c r="C1273" s="8" t="s">
        <v>126</v>
      </c>
      <c r="D1273" s="8" t="s">
        <v>2165</v>
      </c>
      <c r="E1273" s="8" t="s">
        <v>2162</v>
      </c>
      <c r="F1273" s="6">
        <v>1404</v>
      </c>
      <c r="G1273" s="6" t="b">
        <v>0</v>
      </c>
      <c r="H1273" s="8" t="s">
        <v>240</v>
      </c>
      <c r="I1273" s="6" t="b">
        <v>0</v>
      </c>
      <c r="J1273" s="6" t="b">
        <v>0</v>
      </c>
      <c r="K1273" s="6" t="b">
        <v>0</v>
      </c>
      <c r="L1273" s="6" t="b">
        <v>1</v>
      </c>
      <c r="M1273" s="6" t="b">
        <v>0</v>
      </c>
      <c r="N1273" s="6">
        <v>8</v>
      </c>
      <c r="O1273" s="8" t="s">
        <v>331</v>
      </c>
      <c r="P1273" s="8" t="s">
        <v>350</v>
      </c>
      <c r="Q1273" s="8" t="s">
        <v>811</v>
      </c>
      <c r="R1273" s="6">
        <v>5</v>
      </c>
      <c r="S1273" s="8" t="s">
        <v>347</v>
      </c>
      <c r="T1273" s="9"/>
      <c r="U1273" s="8" t="s">
        <v>240</v>
      </c>
      <c r="V1273" s="8" t="s">
        <v>496</v>
      </c>
      <c r="W1273" s="8" t="s">
        <v>240</v>
      </c>
      <c r="X1273" s="8" t="s">
        <v>240</v>
      </c>
      <c r="Y1273" s="8" t="s">
        <v>240</v>
      </c>
      <c r="Z1273" s="6" t="b">
        <v>0</v>
      </c>
      <c r="AA1273" s="9"/>
      <c r="AB1273" s="9"/>
    </row>
    <row r="1274" spans="1:28" ht="32">
      <c r="A1274" s="6">
        <v>1407</v>
      </c>
      <c r="B1274" s="8" t="s">
        <v>194</v>
      </c>
      <c r="C1274" s="8" t="s">
        <v>126</v>
      </c>
      <c r="D1274" s="8" t="s">
        <v>2166</v>
      </c>
      <c r="E1274" s="8" t="s">
        <v>2162</v>
      </c>
      <c r="F1274" s="6">
        <v>1404</v>
      </c>
      <c r="G1274" s="6" t="b">
        <v>0</v>
      </c>
      <c r="H1274" s="8" t="s">
        <v>240</v>
      </c>
      <c r="I1274" s="6" t="b">
        <v>0</v>
      </c>
      <c r="J1274" s="6" t="b">
        <v>0</v>
      </c>
      <c r="K1274" s="6" t="b">
        <v>0</v>
      </c>
      <c r="L1274" s="6" t="b">
        <v>1</v>
      </c>
      <c r="M1274" s="6" t="b">
        <v>0</v>
      </c>
      <c r="N1274" s="6">
        <v>8</v>
      </c>
      <c r="O1274" s="8" t="s">
        <v>331</v>
      </c>
      <c r="P1274" s="8" t="s">
        <v>350</v>
      </c>
      <c r="Q1274" s="8" t="s">
        <v>811</v>
      </c>
      <c r="R1274" s="6">
        <v>5</v>
      </c>
      <c r="S1274" s="8" t="s">
        <v>347</v>
      </c>
      <c r="T1274" s="9"/>
      <c r="U1274" s="8" t="s">
        <v>240</v>
      </c>
      <c r="V1274" s="8" t="s">
        <v>496</v>
      </c>
      <c r="W1274" s="8" t="s">
        <v>240</v>
      </c>
      <c r="X1274" s="8" t="s">
        <v>240</v>
      </c>
      <c r="Y1274" s="8" t="s">
        <v>240</v>
      </c>
      <c r="Z1274" s="6" t="b">
        <v>0</v>
      </c>
      <c r="AA1274" s="9"/>
      <c r="AB1274" s="9"/>
    </row>
    <row r="1275" spans="1:28" ht="16">
      <c r="A1275" s="6">
        <v>1408</v>
      </c>
      <c r="B1275" s="8" t="s">
        <v>194</v>
      </c>
      <c r="C1275" s="8" t="s">
        <v>90</v>
      </c>
      <c r="D1275" s="8" t="s">
        <v>2167</v>
      </c>
      <c r="E1275" s="8" t="s">
        <v>2167</v>
      </c>
      <c r="F1275" s="6">
        <v>1408</v>
      </c>
      <c r="G1275" s="6" t="b">
        <v>0</v>
      </c>
      <c r="H1275" s="8" t="s">
        <v>240</v>
      </c>
      <c r="I1275" s="6" t="b">
        <v>0</v>
      </c>
      <c r="J1275" s="6" t="b">
        <v>0</v>
      </c>
      <c r="K1275" s="6" t="b">
        <v>0</v>
      </c>
      <c r="L1275" s="6" t="b">
        <v>1</v>
      </c>
      <c r="M1275" s="6" t="b">
        <v>0</v>
      </c>
      <c r="N1275" s="6">
        <v>6</v>
      </c>
      <c r="O1275" s="8" t="s">
        <v>331</v>
      </c>
      <c r="P1275" s="8" t="s">
        <v>350</v>
      </c>
      <c r="Q1275" s="8" t="s">
        <v>446</v>
      </c>
      <c r="R1275" s="6">
        <v>1</v>
      </c>
      <c r="S1275" s="8" t="s">
        <v>341</v>
      </c>
      <c r="T1275" s="9"/>
      <c r="U1275" s="8" t="s">
        <v>240</v>
      </c>
      <c r="V1275" s="8" t="s">
        <v>450</v>
      </c>
      <c r="W1275" s="8" t="s">
        <v>240</v>
      </c>
      <c r="X1275" s="8" t="s">
        <v>240</v>
      </c>
      <c r="Y1275" s="8" t="s">
        <v>240</v>
      </c>
      <c r="Z1275" s="6" t="b">
        <v>0</v>
      </c>
      <c r="AA1275" s="9"/>
      <c r="AB1275" s="9"/>
    </row>
    <row r="1276" spans="1:28" ht="32">
      <c r="A1276" s="6">
        <v>1409</v>
      </c>
      <c r="B1276" s="8" t="s">
        <v>194</v>
      </c>
      <c r="C1276" s="8" t="s">
        <v>90</v>
      </c>
      <c r="D1276" s="8" t="s">
        <v>2168</v>
      </c>
      <c r="E1276" s="8" t="s">
        <v>2167</v>
      </c>
      <c r="F1276" s="6">
        <v>1408</v>
      </c>
      <c r="G1276" s="6" t="b">
        <v>0</v>
      </c>
      <c r="H1276" s="8" t="s">
        <v>240</v>
      </c>
      <c r="I1276" s="6" t="b">
        <v>0</v>
      </c>
      <c r="J1276" s="6" t="b">
        <v>0</v>
      </c>
      <c r="K1276" s="6" t="b">
        <v>0</v>
      </c>
      <c r="L1276" s="6" t="b">
        <v>1</v>
      </c>
      <c r="M1276" s="6" t="b">
        <v>0</v>
      </c>
      <c r="N1276" s="6">
        <v>6</v>
      </c>
      <c r="O1276" s="8" t="s">
        <v>331</v>
      </c>
      <c r="P1276" s="8" t="s">
        <v>350</v>
      </c>
      <c r="Q1276" s="8" t="s">
        <v>446</v>
      </c>
      <c r="R1276" s="6">
        <v>1</v>
      </c>
      <c r="S1276" s="8" t="s">
        <v>341</v>
      </c>
      <c r="T1276" s="9"/>
      <c r="U1276" s="8" t="s">
        <v>240</v>
      </c>
      <c r="V1276" s="8" t="s">
        <v>450</v>
      </c>
      <c r="W1276" s="8" t="s">
        <v>240</v>
      </c>
      <c r="X1276" s="8" t="s">
        <v>240</v>
      </c>
      <c r="Y1276" s="8" t="s">
        <v>240</v>
      </c>
      <c r="Z1276" s="6" t="b">
        <v>0</v>
      </c>
      <c r="AA1276" s="9"/>
      <c r="AB1276" s="9"/>
    </row>
    <row r="1277" spans="1:28" ht="16">
      <c r="A1277" s="6">
        <v>1410</v>
      </c>
      <c r="B1277" s="8" t="s">
        <v>194</v>
      </c>
      <c r="C1277" s="8" t="s">
        <v>108</v>
      </c>
      <c r="D1277" s="8" t="s">
        <v>2169</v>
      </c>
      <c r="E1277" s="8" t="s">
        <v>2169</v>
      </c>
      <c r="F1277" s="6">
        <v>1410</v>
      </c>
      <c r="G1277" s="6" t="b">
        <v>0</v>
      </c>
      <c r="H1277" s="8" t="s">
        <v>240</v>
      </c>
      <c r="I1277" s="6" t="b">
        <v>0</v>
      </c>
      <c r="J1277" s="6" t="b">
        <v>0</v>
      </c>
      <c r="K1277" s="6" t="b">
        <v>0</v>
      </c>
      <c r="L1277" s="6" t="b">
        <v>1</v>
      </c>
      <c r="M1277" s="6" t="b">
        <v>0</v>
      </c>
      <c r="N1277" s="6">
        <v>3</v>
      </c>
      <c r="O1277" s="8" t="s">
        <v>347</v>
      </c>
      <c r="P1277" s="8" t="s">
        <v>238</v>
      </c>
      <c r="Q1277" s="8" t="s">
        <v>381</v>
      </c>
      <c r="R1277" s="6">
        <v>2</v>
      </c>
      <c r="S1277" s="8" t="s">
        <v>347</v>
      </c>
      <c r="T1277" s="6">
        <v>2</v>
      </c>
      <c r="U1277" s="8" t="s">
        <v>240</v>
      </c>
      <c r="V1277" s="8" t="s">
        <v>496</v>
      </c>
      <c r="W1277" s="8" t="s">
        <v>240</v>
      </c>
      <c r="X1277" s="8" t="s">
        <v>240</v>
      </c>
      <c r="Y1277" s="8" t="s">
        <v>2170</v>
      </c>
      <c r="Z1277" s="6" t="b">
        <v>0</v>
      </c>
      <c r="AA1277" s="9"/>
      <c r="AB1277" s="9"/>
    </row>
    <row r="1278" spans="1:28" ht="16">
      <c r="A1278" s="6">
        <v>1411</v>
      </c>
      <c r="B1278" s="8" t="s">
        <v>194</v>
      </c>
      <c r="C1278" s="8" t="s">
        <v>90</v>
      </c>
      <c r="D1278" s="8" t="s">
        <v>2171</v>
      </c>
      <c r="E1278" s="8" t="s">
        <v>2171</v>
      </c>
      <c r="F1278" s="6">
        <v>1411</v>
      </c>
      <c r="G1278" s="6" t="b">
        <v>0</v>
      </c>
      <c r="H1278" s="8" t="s">
        <v>240</v>
      </c>
      <c r="I1278" s="6" t="b">
        <v>0</v>
      </c>
      <c r="J1278" s="6" t="b">
        <v>1</v>
      </c>
      <c r="K1278" s="6" t="b">
        <v>0</v>
      </c>
      <c r="L1278" s="6" t="b">
        <v>1</v>
      </c>
      <c r="M1278" s="6" t="b">
        <v>0</v>
      </c>
      <c r="N1278" s="6">
        <v>6</v>
      </c>
      <c r="O1278" s="8" t="s">
        <v>331</v>
      </c>
      <c r="P1278" s="8" t="s">
        <v>350</v>
      </c>
      <c r="Q1278" s="8" t="s">
        <v>575</v>
      </c>
      <c r="R1278" s="6">
        <v>0</v>
      </c>
      <c r="S1278" s="8" t="s">
        <v>347</v>
      </c>
      <c r="T1278" s="9"/>
      <c r="U1278" s="8" t="s">
        <v>240</v>
      </c>
      <c r="V1278" s="8" t="s">
        <v>450</v>
      </c>
      <c r="W1278" s="8" t="s">
        <v>386</v>
      </c>
      <c r="X1278" s="8" t="s">
        <v>240</v>
      </c>
      <c r="Y1278" s="8" t="s">
        <v>240</v>
      </c>
      <c r="Z1278" s="6" t="b">
        <v>0</v>
      </c>
      <c r="AA1278" s="9"/>
      <c r="AB1278" s="9"/>
    </row>
    <row r="1279" spans="1:28" ht="16">
      <c r="A1279" s="6">
        <v>1412</v>
      </c>
      <c r="B1279" s="8" t="s">
        <v>194</v>
      </c>
      <c r="C1279" s="8" t="s">
        <v>90</v>
      </c>
      <c r="D1279" s="8" t="s">
        <v>2172</v>
      </c>
      <c r="E1279" s="8" t="s">
        <v>2172</v>
      </c>
      <c r="F1279" s="6">
        <v>1412</v>
      </c>
      <c r="G1279" s="6" t="b">
        <v>0</v>
      </c>
      <c r="H1279" s="8" t="s">
        <v>240</v>
      </c>
      <c r="I1279" s="6" t="b">
        <v>0</v>
      </c>
      <c r="J1279" s="6" t="b">
        <v>0</v>
      </c>
      <c r="K1279" s="6" t="b">
        <v>0</v>
      </c>
      <c r="L1279" s="6" t="b">
        <v>1</v>
      </c>
      <c r="M1279" s="6" t="b">
        <v>0</v>
      </c>
      <c r="N1279" s="6">
        <v>6</v>
      </c>
      <c r="O1279" s="8" t="s">
        <v>331</v>
      </c>
      <c r="P1279" s="8" t="s">
        <v>240</v>
      </c>
      <c r="Q1279" s="8" t="s">
        <v>240</v>
      </c>
      <c r="R1279" s="6">
        <v>6</v>
      </c>
      <c r="S1279" s="8" t="s">
        <v>75</v>
      </c>
      <c r="T1279" s="9"/>
      <c r="U1279" s="8" t="s">
        <v>240</v>
      </c>
      <c r="V1279" s="8" t="s">
        <v>240</v>
      </c>
      <c r="W1279" s="8" t="s">
        <v>240</v>
      </c>
      <c r="X1279" s="8" t="s">
        <v>240</v>
      </c>
      <c r="Y1279" s="8" t="s">
        <v>240</v>
      </c>
      <c r="Z1279" s="6" t="b">
        <v>0</v>
      </c>
      <c r="AA1279" s="9"/>
      <c r="AB1279" s="9"/>
    </row>
    <row r="1280" spans="1:28" ht="16">
      <c r="A1280" s="6">
        <v>1413</v>
      </c>
      <c r="B1280" s="8" t="s">
        <v>194</v>
      </c>
      <c r="C1280" s="8" t="s">
        <v>1715</v>
      </c>
      <c r="D1280" s="8" t="s">
        <v>2173</v>
      </c>
      <c r="E1280" s="8" t="s">
        <v>2173</v>
      </c>
      <c r="F1280" s="6">
        <v>1413</v>
      </c>
      <c r="G1280" s="6" t="b">
        <v>0</v>
      </c>
      <c r="H1280" s="8" t="s">
        <v>240</v>
      </c>
      <c r="I1280" s="6" t="b">
        <v>0</v>
      </c>
      <c r="J1280" s="6" t="b">
        <v>0</v>
      </c>
      <c r="K1280" s="6" t="b">
        <v>0</v>
      </c>
      <c r="L1280" s="6" t="b">
        <v>1</v>
      </c>
      <c r="M1280" s="6" t="b">
        <v>0</v>
      </c>
      <c r="N1280" s="6">
        <v>6</v>
      </c>
      <c r="O1280" s="8" t="s">
        <v>331</v>
      </c>
      <c r="P1280" s="8" t="s">
        <v>333</v>
      </c>
      <c r="Q1280" s="8" t="s">
        <v>446</v>
      </c>
      <c r="R1280" s="6">
        <v>6</v>
      </c>
      <c r="S1280" s="8" t="s">
        <v>75</v>
      </c>
      <c r="T1280" s="9"/>
      <c r="U1280" s="8" t="s">
        <v>240</v>
      </c>
      <c r="V1280" s="8" t="s">
        <v>496</v>
      </c>
      <c r="W1280" s="8" t="s">
        <v>240</v>
      </c>
      <c r="X1280" s="8" t="s">
        <v>240</v>
      </c>
      <c r="Y1280" s="8" t="s">
        <v>240</v>
      </c>
      <c r="Z1280" s="6" t="b">
        <v>0</v>
      </c>
      <c r="AA1280" s="9"/>
      <c r="AB1280" s="9"/>
    </row>
    <row r="1281" spans="1:28" ht="16">
      <c r="A1281" s="6">
        <v>1414</v>
      </c>
      <c r="B1281" s="8" t="s">
        <v>194</v>
      </c>
      <c r="C1281" s="8" t="s">
        <v>1994</v>
      </c>
      <c r="D1281" s="8" t="s">
        <v>2174</v>
      </c>
      <c r="E1281" s="8" t="s">
        <v>2174</v>
      </c>
      <c r="F1281" s="6">
        <v>1414</v>
      </c>
      <c r="G1281" s="6" t="b">
        <v>0</v>
      </c>
      <c r="H1281" s="8" t="s">
        <v>240</v>
      </c>
      <c r="I1281" s="6" t="b">
        <v>0</v>
      </c>
      <c r="J1281" s="6" t="b">
        <v>0</v>
      </c>
      <c r="K1281" s="6" t="b">
        <v>0</v>
      </c>
      <c r="L1281" s="6" t="b">
        <v>1</v>
      </c>
      <c r="M1281" s="6" t="b">
        <v>0</v>
      </c>
      <c r="N1281" s="6">
        <v>10</v>
      </c>
      <c r="O1281" s="8" t="s">
        <v>347</v>
      </c>
      <c r="P1281" s="8" t="s">
        <v>350</v>
      </c>
      <c r="Q1281" s="8" t="s">
        <v>927</v>
      </c>
      <c r="R1281" s="6">
        <v>10</v>
      </c>
      <c r="S1281" s="8" t="s">
        <v>347</v>
      </c>
      <c r="T1281" s="6">
        <v>10</v>
      </c>
      <c r="U1281" s="8" t="s">
        <v>240</v>
      </c>
      <c r="V1281" s="8" t="s">
        <v>496</v>
      </c>
      <c r="W1281" s="8" t="s">
        <v>240</v>
      </c>
      <c r="X1281" s="8" t="s">
        <v>240</v>
      </c>
      <c r="Y1281" s="8" t="s">
        <v>240</v>
      </c>
      <c r="Z1281" s="6" t="b">
        <v>0</v>
      </c>
      <c r="AA1281" s="9"/>
      <c r="AB1281" s="9"/>
    </row>
    <row r="1282" spans="1:28" ht="16">
      <c r="A1282" s="6">
        <v>1415</v>
      </c>
      <c r="B1282" s="8" t="s">
        <v>194</v>
      </c>
      <c r="C1282" s="8" t="s">
        <v>1994</v>
      </c>
      <c r="D1282" s="8" t="s">
        <v>2175</v>
      </c>
      <c r="E1282" s="8" t="s">
        <v>2174</v>
      </c>
      <c r="F1282" s="6">
        <v>1414</v>
      </c>
      <c r="G1282" s="6" t="b">
        <v>0</v>
      </c>
      <c r="H1282" s="8" t="s">
        <v>240</v>
      </c>
      <c r="I1282" s="6" t="b">
        <v>0</v>
      </c>
      <c r="J1282" s="6" t="b">
        <v>0</v>
      </c>
      <c r="K1282" s="6" t="b">
        <v>0</v>
      </c>
      <c r="L1282" s="6" t="b">
        <v>1</v>
      </c>
      <c r="M1282" s="6" t="b">
        <v>0</v>
      </c>
      <c r="N1282" s="6">
        <v>10</v>
      </c>
      <c r="O1282" s="8" t="s">
        <v>347</v>
      </c>
      <c r="P1282" s="8" t="s">
        <v>350</v>
      </c>
      <c r="Q1282" s="8" t="s">
        <v>927</v>
      </c>
      <c r="R1282" s="6">
        <v>10</v>
      </c>
      <c r="S1282" s="8" t="s">
        <v>347</v>
      </c>
      <c r="T1282" s="9"/>
      <c r="U1282" s="8" t="s">
        <v>240</v>
      </c>
      <c r="V1282" s="8" t="s">
        <v>496</v>
      </c>
      <c r="W1282" s="8" t="s">
        <v>240</v>
      </c>
      <c r="X1282" s="8" t="s">
        <v>240</v>
      </c>
      <c r="Y1282" s="8" t="s">
        <v>240</v>
      </c>
      <c r="Z1282" s="6" t="b">
        <v>0</v>
      </c>
      <c r="AA1282" s="9"/>
      <c r="AB1282" s="9"/>
    </row>
    <row r="1283" spans="1:28" ht="16">
      <c r="A1283" s="6">
        <v>1416</v>
      </c>
      <c r="B1283" s="8" t="s">
        <v>194</v>
      </c>
      <c r="C1283" s="8" t="s">
        <v>1994</v>
      </c>
      <c r="D1283" s="8" t="s">
        <v>1994</v>
      </c>
      <c r="E1283" s="8" t="s">
        <v>1994</v>
      </c>
      <c r="F1283" s="6">
        <v>1416</v>
      </c>
      <c r="G1283" s="6" t="b">
        <v>0</v>
      </c>
      <c r="H1283" s="8" t="s">
        <v>240</v>
      </c>
      <c r="I1283" s="6" t="b">
        <v>0</v>
      </c>
      <c r="J1283" s="6" t="b">
        <v>0</v>
      </c>
      <c r="K1283" s="6" t="b">
        <v>0</v>
      </c>
      <c r="L1283" s="6" t="b">
        <v>1</v>
      </c>
      <c r="M1283" s="6" t="b">
        <v>0</v>
      </c>
      <c r="N1283" s="6">
        <v>10</v>
      </c>
      <c r="O1283" s="8" t="s">
        <v>347</v>
      </c>
      <c r="P1283" s="8" t="s">
        <v>350</v>
      </c>
      <c r="Q1283" s="8" t="s">
        <v>502</v>
      </c>
      <c r="R1283" s="6">
        <v>10</v>
      </c>
      <c r="S1283" s="8" t="s">
        <v>347</v>
      </c>
      <c r="T1283" s="6">
        <v>10</v>
      </c>
      <c r="U1283" s="8" t="s">
        <v>240</v>
      </c>
      <c r="V1283" s="8" t="s">
        <v>496</v>
      </c>
      <c r="W1283" s="8" t="s">
        <v>240</v>
      </c>
      <c r="X1283" s="8" t="s">
        <v>240</v>
      </c>
      <c r="Y1283" s="8" t="s">
        <v>2176</v>
      </c>
      <c r="Z1283" s="6" t="b">
        <v>0</v>
      </c>
      <c r="AA1283" s="9"/>
      <c r="AB1283" s="9"/>
    </row>
    <row r="1284" spans="1:28" ht="16">
      <c r="A1284" s="6">
        <v>1417</v>
      </c>
      <c r="B1284" s="8" t="s">
        <v>194</v>
      </c>
      <c r="C1284" s="8" t="s">
        <v>1710</v>
      </c>
      <c r="D1284" s="8" t="s">
        <v>2177</v>
      </c>
      <c r="E1284" s="8" t="s">
        <v>2177</v>
      </c>
      <c r="F1284" s="6">
        <v>1417</v>
      </c>
      <c r="G1284" s="6" t="b">
        <v>0</v>
      </c>
      <c r="H1284" s="8" t="s">
        <v>240</v>
      </c>
      <c r="I1284" s="6" t="b">
        <v>0</v>
      </c>
      <c r="J1284" s="6" t="b">
        <v>0</v>
      </c>
      <c r="K1284" s="6" t="b">
        <v>0</v>
      </c>
      <c r="L1284" s="6" t="b">
        <v>1</v>
      </c>
      <c r="M1284" s="6" t="b">
        <v>0</v>
      </c>
      <c r="N1284" s="6">
        <v>8</v>
      </c>
      <c r="O1284" s="8" t="s">
        <v>341</v>
      </c>
      <c r="P1284" s="8" t="s">
        <v>333</v>
      </c>
      <c r="Q1284" s="8" t="s">
        <v>446</v>
      </c>
      <c r="R1284" s="6">
        <v>8</v>
      </c>
      <c r="S1284" s="8" t="s">
        <v>75</v>
      </c>
      <c r="T1284" s="9"/>
      <c r="U1284" s="8" t="s">
        <v>240</v>
      </c>
      <c r="V1284" s="8" t="s">
        <v>496</v>
      </c>
      <c r="W1284" s="8" t="s">
        <v>240</v>
      </c>
      <c r="X1284" s="8" t="s">
        <v>240</v>
      </c>
      <c r="Y1284" s="8" t="s">
        <v>2178</v>
      </c>
      <c r="Z1284" s="6" t="b">
        <v>0</v>
      </c>
      <c r="AA1284" s="9"/>
      <c r="AB1284" s="9"/>
    </row>
    <row r="1285" spans="1:28" ht="32">
      <c r="A1285" s="6">
        <v>1418</v>
      </c>
      <c r="B1285" s="8" t="s">
        <v>194</v>
      </c>
      <c r="C1285" s="8" t="s">
        <v>1710</v>
      </c>
      <c r="D1285" s="8" t="s">
        <v>2179</v>
      </c>
      <c r="E1285" s="8" t="s">
        <v>2177</v>
      </c>
      <c r="F1285" s="6">
        <v>1417</v>
      </c>
      <c r="G1285" s="6" t="b">
        <v>0</v>
      </c>
      <c r="H1285" s="8" t="s">
        <v>240</v>
      </c>
      <c r="I1285" s="6" t="b">
        <v>0</v>
      </c>
      <c r="J1285" s="6" t="b">
        <v>0</v>
      </c>
      <c r="K1285" s="6" t="b">
        <v>0</v>
      </c>
      <c r="L1285" s="6" t="b">
        <v>1</v>
      </c>
      <c r="M1285" s="6" t="b">
        <v>0</v>
      </c>
      <c r="N1285" s="6">
        <v>8</v>
      </c>
      <c r="O1285" s="8" t="s">
        <v>341</v>
      </c>
      <c r="P1285" s="8" t="s">
        <v>350</v>
      </c>
      <c r="Q1285" s="8" t="s">
        <v>239</v>
      </c>
      <c r="R1285" s="6">
        <v>8</v>
      </c>
      <c r="S1285" s="8" t="s">
        <v>75</v>
      </c>
      <c r="T1285" s="9"/>
      <c r="U1285" s="8" t="s">
        <v>2180</v>
      </c>
      <c r="V1285" s="8" t="s">
        <v>496</v>
      </c>
      <c r="W1285" s="8" t="s">
        <v>240</v>
      </c>
      <c r="X1285" s="8" t="s">
        <v>240</v>
      </c>
      <c r="Y1285" s="8" t="s">
        <v>240</v>
      </c>
      <c r="Z1285" s="6" t="b">
        <v>0</v>
      </c>
      <c r="AA1285" s="9"/>
      <c r="AB1285" s="9"/>
    </row>
    <row r="1286" spans="1:28" ht="32">
      <c r="A1286" s="6">
        <v>1419</v>
      </c>
      <c r="B1286" s="8" t="s">
        <v>194</v>
      </c>
      <c r="C1286" s="8" t="s">
        <v>1710</v>
      </c>
      <c r="D1286" s="8" t="s">
        <v>2181</v>
      </c>
      <c r="E1286" s="8" t="s">
        <v>2177</v>
      </c>
      <c r="F1286" s="6">
        <v>1417</v>
      </c>
      <c r="G1286" s="6" t="b">
        <v>0</v>
      </c>
      <c r="H1286" s="8" t="s">
        <v>240</v>
      </c>
      <c r="I1286" s="6" t="b">
        <v>0</v>
      </c>
      <c r="J1286" s="6" t="b">
        <v>0</v>
      </c>
      <c r="K1286" s="6" t="b">
        <v>0</v>
      </c>
      <c r="L1286" s="6" t="b">
        <v>1</v>
      </c>
      <c r="M1286" s="6" t="b">
        <v>0</v>
      </c>
      <c r="N1286" s="6">
        <v>8</v>
      </c>
      <c r="O1286" s="8" t="s">
        <v>341</v>
      </c>
      <c r="P1286" s="8" t="s">
        <v>350</v>
      </c>
      <c r="Q1286" s="8" t="s">
        <v>239</v>
      </c>
      <c r="R1286" s="6">
        <v>8</v>
      </c>
      <c r="S1286" s="8" t="s">
        <v>75</v>
      </c>
      <c r="T1286" s="9"/>
      <c r="U1286" s="8" t="s">
        <v>2180</v>
      </c>
      <c r="V1286" s="8" t="s">
        <v>496</v>
      </c>
      <c r="W1286" s="8" t="s">
        <v>240</v>
      </c>
      <c r="X1286" s="8" t="s">
        <v>240</v>
      </c>
      <c r="Y1286" s="8" t="s">
        <v>240</v>
      </c>
      <c r="Z1286" s="6" t="b">
        <v>0</v>
      </c>
      <c r="AA1286" s="9"/>
      <c r="AB1286" s="9"/>
    </row>
    <row r="1287" spans="1:28" ht="16">
      <c r="A1287" s="6">
        <v>1420</v>
      </c>
      <c r="B1287" s="8" t="s">
        <v>194</v>
      </c>
      <c r="C1287" s="8" t="s">
        <v>1710</v>
      </c>
      <c r="D1287" s="8" t="s">
        <v>1710</v>
      </c>
      <c r="E1287" s="8" t="s">
        <v>1710</v>
      </c>
      <c r="F1287" s="6">
        <v>1420</v>
      </c>
      <c r="G1287" s="6" t="b">
        <v>0</v>
      </c>
      <c r="H1287" s="8" t="s">
        <v>240</v>
      </c>
      <c r="I1287" s="6" t="b">
        <v>0</v>
      </c>
      <c r="J1287" s="6" t="b">
        <v>0</v>
      </c>
      <c r="K1287" s="6" t="b">
        <v>0</v>
      </c>
      <c r="L1287" s="6" t="b">
        <v>1</v>
      </c>
      <c r="M1287" s="6" t="b">
        <v>0</v>
      </c>
      <c r="N1287" s="6">
        <v>8</v>
      </c>
      <c r="O1287" s="8" t="s">
        <v>341</v>
      </c>
      <c r="P1287" s="8" t="s">
        <v>350</v>
      </c>
      <c r="Q1287" s="8" t="s">
        <v>446</v>
      </c>
      <c r="R1287" s="6">
        <v>8</v>
      </c>
      <c r="S1287" s="8" t="s">
        <v>341</v>
      </c>
      <c r="T1287" s="9"/>
      <c r="U1287" s="8" t="s">
        <v>240</v>
      </c>
      <c r="V1287" s="8" t="s">
        <v>496</v>
      </c>
      <c r="W1287" s="8" t="s">
        <v>240</v>
      </c>
      <c r="X1287" s="8" t="s">
        <v>240</v>
      </c>
      <c r="Y1287" s="8" t="s">
        <v>240</v>
      </c>
      <c r="Z1287" s="6" t="b">
        <v>0</v>
      </c>
      <c r="AA1287" s="9"/>
      <c r="AB1287" s="9"/>
    </row>
    <row r="1288" spans="1:28" ht="32">
      <c r="A1288" s="6">
        <v>1421</v>
      </c>
      <c r="B1288" s="8" t="s">
        <v>194</v>
      </c>
      <c r="C1288" s="8" t="s">
        <v>90</v>
      </c>
      <c r="D1288" s="8" t="s">
        <v>2182</v>
      </c>
      <c r="E1288" s="8" t="s">
        <v>2182</v>
      </c>
      <c r="F1288" s="6">
        <v>1421</v>
      </c>
      <c r="G1288" s="6" t="b">
        <v>0</v>
      </c>
      <c r="H1288" s="8" t="s">
        <v>240</v>
      </c>
      <c r="I1288" s="6" t="b">
        <v>0</v>
      </c>
      <c r="J1288" s="6" t="b">
        <v>1</v>
      </c>
      <c r="K1288" s="6" t="b">
        <v>0</v>
      </c>
      <c r="L1288" s="6" t="b">
        <v>1</v>
      </c>
      <c r="M1288" s="6" t="b">
        <v>0</v>
      </c>
      <c r="N1288" s="6">
        <v>6</v>
      </c>
      <c r="O1288" s="8" t="s">
        <v>331</v>
      </c>
      <c r="P1288" s="8" t="s">
        <v>350</v>
      </c>
      <c r="Q1288" s="8" t="s">
        <v>811</v>
      </c>
      <c r="R1288" s="6">
        <v>6</v>
      </c>
      <c r="S1288" s="8" t="s">
        <v>347</v>
      </c>
      <c r="T1288" s="6">
        <v>2</v>
      </c>
      <c r="U1288" s="8" t="s">
        <v>2183</v>
      </c>
      <c r="V1288" s="8" t="s">
        <v>450</v>
      </c>
      <c r="W1288" s="8" t="s">
        <v>240</v>
      </c>
      <c r="X1288" s="8" t="s">
        <v>240</v>
      </c>
      <c r="Y1288" s="8" t="s">
        <v>2184</v>
      </c>
      <c r="Z1288" s="6" t="b">
        <v>0</v>
      </c>
      <c r="AA1288" s="9"/>
      <c r="AB1288" s="9"/>
    </row>
    <row r="1289" spans="1:28" ht="32">
      <c r="A1289" s="6">
        <v>1422</v>
      </c>
      <c r="B1289" s="8" t="s">
        <v>194</v>
      </c>
      <c r="C1289" s="8" t="s">
        <v>90</v>
      </c>
      <c r="D1289" s="8" t="s">
        <v>2185</v>
      </c>
      <c r="E1289" s="8" t="s">
        <v>2182</v>
      </c>
      <c r="F1289" s="6">
        <v>1421</v>
      </c>
      <c r="G1289" s="6" t="b">
        <v>0</v>
      </c>
      <c r="H1289" s="8" t="s">
        <v>240</v>
      </c>
      <c r="I1289" s="6" t="b">
        <v>0</v>
      </c>
      <c r="J1289" s="6" t="b">
        <v>1</v>
      </c>
      <c r="K1289" s="6" t="b">
        <v>0</v>
      </c>
      <c r="L1289" s="6" t="b">
        <v>1</v>
      </c>
      <c r="M1289" s="6" t="b">
        <v>0</v>
      </c>
      <c r="N1289" s="6">
        <v>6</v>
      </c>
      <c r="O1289" s="8" t="s">
        <v>331</v>
      </c>
      <c r="P1289" s="8" t="s">
        <v>350</v>
      </c>
      <c r="Q1289" s="8" t="s">
        <v>335</v>
      </c>
      <c r="R1289" s="6">
        <v>6</v>
      </c>
      <c r="S1289" s="8" t="s">
        <v>347</v>
      </c>
      <c r="T1289" s="6">
        <v>5</v>
      </c>
      <c r="U1289" s="8" t="s">
        <v>240</v>
      </c>
      <c r="V1289" s="8" t="s">
        <v>450</v>
      </c>
      <c r="W1289" s="8" t="s">
        <v>240</v>
      </c>
      <c r="X1289" s="8" t="s">
        <v>240</v>
      </c>
      <c r="Y1289" s="8" t="s">
        <v>2186</v>
      </c>
      <c r="Z1289" s="6" t="b">
        <v>0</v>
      </c>
      <c r="AA1289" s="9"/>
      <c r="AB1289" s="9"/>
    </row>
    <row r="1290" spans="1:28" ht="32">
      <c r="A1290" s="6">
        <v>1423</v>
      </c>
      <c r="B1290" s="8" t="s">
        <v>194</v>
      </c>
      <c r="C1290" s="8" t="s">
        <v>90</v>
      </c>
      <c r="D1290" s="8" t="s">
        <v>2187</v>
      </c>
      <c r="E1290" s="8" t="s">
        <v>2182</v>
      </c>
      <c r="F1290" s="6">
        <v>1421</v>
      </c>
      <c r="G1290" s="6" t="b">
        <v>0</v>
      </c>
      <c r="H1290" s="8" t="s">
        <v>240</v>
      </c>
      <c r="I1290" s="6" t="b">
        <v>0</v>
      </c>
      <c r="J1290" s="6" t="b">
        <v>1</v>
      </c>
      <c r="K1290" s="6" t="b">
        <v>0</v>
      </c>
      <c r="L1290" s="6" t="b">
        <v>1</v>
      </c>
      <c r="M1290" s="6" t="b">
        <v>0</v>
      </c>
      <c r="N1290" s="6">
        <v>6</v>
      </c>
      <c r="O1290" s="8" t="s">
        <v>331</v>
      </c>
      <c r="P1290" s="8" t="s">
        <v>350</v>
      </c>
      <c r="Q1290" s="8" t="s">
        <v>811</v>
      </c>
      <c r="R1290" s="6">
        <v>6.8</v>
      </c>
      <c r="S1290" s="8" t="s">
        <v>247</v>
      </c>
      <c r="T1290" s="6">
        <v>6</v>
      </c>
      <c r="U1290" s="8" t="s">
        <v>240</v>
      </c>
      <c r="V1290" s="8" t="s">
        <v>450</v>
      </c>
      <c r="W1290" s="8" t="s">
        <v>240</v>
      </c>
      <c r="X1290" s="8" t="s">
        <v>240</v>
      </c>
      <c r="Y1290" s="8" t="s">
        <v>240</v>
      </c>
      <c r="Z1290" s="6" t="b">
        <v>0</v>
      </c>
      <c r="AA1290" s="9"/>
      <c r="AB1290" s="9"/>
    </row>
    <row r="1291" spans="1:28" ht="16">
      <c r="A1291" s="6">
        <v>1424</v>
      </c>
      <c r="B1291" s="8" t="s">
        <v>194</v>
      </c>
      <c r="C1291" s="8" t="s">
        <v>90</v>
      </c>
      <c r="D1291" s="8" t="s">
        <v>2188</v>
      </c>
      <c r="E1291" s="8" t="s">
        <v>2188</v>
      </c>
      <c r="F1291" s="6">
        <v>1424</v>
      </c>
      <c r="G1291" s="6" t="b">
        <v>0</v>
      </c>
      <c r="H1291" s="8" t="s">
        <v>240</v>
      </c>
      <c r="I1291" s="6" t="b">
        <v>0</v>
      </c>
      <c r="J1291" s="6" t="b">
        <v>0</v>
      </c>
      <c r="K1291" s="6" t="b">
        <v>1</v>
      </c>
      <c r="L1291" s="6" t="b">
        <v>1</v>
      </c>
      <c r="M1291" s="6" t="b">
        <v>0</v>
      </c>
      <c r="N1291" s="6">
        <v>6</v>
      </c>
      <c r="O1291" s="8" t="s">
        <v>331</v>
      </c>
      <c r="P1291" s="8" t="s">
        <v>238</v>
      </c>
      <c r="Q1291" s="8" t="s">
        <v>762</v>
      </c>
      <c r="R1291" s="6">
        <v>4</v>
      </c>
      <c r="S1291" s="8" t="s">
        <v>335</v>
      </c>
      <c r="T1291" s="6">
        <v>4</v>
      </c>
      <c r="U1291" s="8" t="s">
        <v>240</v>
      </c>
      <c r="V1291" s="8" t="s">
        <v>450</v>
      </c>
      <c r="W1291" s="8" t="s">
        <v>240</v>
      </c>
      <c r="X1291" s="8" t="s">
        <v>240</v>
      </c>
      <c r="Y1291" s="8" t="s">
        <v>240</v>
      </c>
      <c r="Z1291" s="6" t="b">
        <v>0</v>
      </c>
      <c r="AA1291" s="9"/>
      <c r="AB1291" s="9"/>
    </row>
    <row r="1292" spans="1:28" ht="16">
      <c r="A1292" s="6">
        <v>1425</v>
      </c>
      <c r="B1292" s="8" t="s">
        <v>194</v>
      </c>
      <c r="C1292" s="8" t="s">
        <v>90</v>
      </c>
      <c r="D1292" s="8" t="s">
        <v>2189</v>
      </c>
      <c r="E1292" s="8" t="s">
        <v>2188</v>
      </c>
      <c r="F1292" s="6">
        <v>1424</v>
      </c>
      <c r="G1292" s="6" t="b">
        <v>0</v>
      </c>
      <c r="H1292" s="8" t="s">
        <v>240</v>
      </c>
      <c r="I1292" s="6" t="b">
        <v>0</v>
      </c>
      <c r="J1292" s="6" t="b">
        <v>0</v>
      </c>
      <c r="K1292" s="6" t="b">
        <v>1</v>
      </c>
      <c r="L1292" s="6" t="b">
        <v>1</v>
      </c>
      <c r="M1292" s="6" t="b">
        <v>0</v>
      </c>
      <c r="N1292" s="6">
        <v>6</v>
      </c>
      <c r="O1292" s="8" t="s">
        <v>331</v>
      </c>
      <c r="P1292" s="8" t="s">
        <v>238</v>
      </c>
      <c r="Q1292" s="8" t="s">
        <v>335</v>
      </c>
      <c r="R1292" s="6">
        <v>4</v>
      </c>
      <c r="S1292" s="8" t="s">
        <v>335</v>
      </c>
      <c r="T1292" s="6">
        <v>4</v>
      </c>
      <c r="U1292" s="8" t="s">
        <v>240</v>
      </c>
      <c r="V1292" s="8" t="s">
        <v>450</v>
      </c>
      <c r="W1292" s="8" t="s">
        <v>240</v>
      </c>
      <c r="X1292" s="8" t="s">
        <v>240</v>
      </c>
      <c r="Y1292" s="8" t="s">
        <v>240</v>
      </c>
      <c r="Z1292" s="6" t="b">
        <v>0</v>
      </c>
      <c r="AA1292" s="9"/>
      <c r="AB1292" s="9"/>
    </row>
    <row r="1293" spans="1:28" ht="16">
      <c r="A1293" s="6">
        <v>1426</v>
      </c>
      <c r="B1293" s="8" t="s">
        <v>194</v>
      </c>
      <c r="C1293" s="8" t="s">
        <v>90</v>
      </c>
      <c r="D1293" s="8" t="s">
        <v>2190</v>
      </c>
      <c r="E1293" s="8" t="s">
        <v>2190</v>
      </c>
      <c r="F1293" s="6">
        <v>1426</v>
      </c>
      <c r="G1293" s="6" t="b">
        <v>0</v>
      </c>
      <c r="H1293" s="8" t="s">
        <v>240</v>
      </c>
      <c r="I1293" s="6" t="b">
        <v>0</v>
      </c>
      <c r="J1293" s="6" t="b">
        <v>1</v>
      </c>
      <c r="K1293" s="6" t="b">
        <v>0</v>
      </c>
      <c r="L1293" s="6" t="b">
        <v>1</v>
      </c>
      <c r="M1293" s="6" t="b">
        <v>0</v>
      </c>
      <c r="N1293" s="6">
        <v>6</v>
      </c>
      <c r="O1293" s="8" t="s">
        <v>331</v>
      </c>
      <c r="P1293" s="8" t="s">
        <v>240</v>
      </c>
      <c r="Q1293" s="8" t="s">
        <v>240</v>
      </c>
      <c r="R1293" s="6">
        <v>6</v>
      </c>
      <c r="S1293" s="8" t="s">
        <v>75</v>
      </c>
      <c r="T1293" s="9"/>
      <c r="U1293" s="8" t="s">
        <v>240</v>
      </c>
      <c r="V1293" s="8" t="s">
        <v>240</v>
      </c>
      <c r="W1293" s="8" t="s">
        <v>240</v>
      </c>
      <c r="X1293" s="8" t="s">
        <v>240</v>
      </c>
      <c r="Y1293" s="8" t="s">
        <v>240</v>
      </c>
      <c r="Z1293" s="6" t="b">
        <v>0</v>
      </c>
      <c r="AA1293" s="9"/>
      <c r="AB1293" s="9"/>
    </row>
    <row r="1294" spans="1:28" ht="16">
      <c r="A1294" s="6">
        <v>1427</v>
      </c>
      <c r="B1294" s="8" t="s">
        <v>194</v>
      </c>
      <c r="C1294" s="8" t="s">
        <v>90</v>
      </c>
      <c r="D1294" s="8" t="s">
        <v>2191</v>
      </c>
      <c r="E1294" s="8" t="s">
        <v>2191</v>
      </c>
      <c r="F1294" s="6">
        <v>1427</v>
      </c>
      <c r="G1294" s="6" t="b">
        <v>0</v>
      </c>
      <c r="H1294" s="8" t="s">
        <v>240</v>
      </c>
      <c r="I1294" s="6" t="b">
        <v>1</v>
      </c>
      <c r="J1294" s="6" t="b">
        <v>0</v>
      </c>
      <c r="K1294" s="6" t="b">
        <v>0</v>
      </c>
      <c r="L1294" s="6" t="b">
        <v>1</v>
      </c>
      <c r="M1294" s="6" t="b">
        <v>0</v>
      </c>
      <c r="N1294" s="6">
        <v>6</v>
      </c>
      <c r="O1294" s="8" t="s">
        <v>331</v>
      </c>
      <c r="P1294" s="8" t="s">
        <v>255</v>
      </c>
      <c r="Q1294" s="8" t="s">
        <v>927</v>
      </c>
      <c r="R1294" s="6">
        <v>6</v>
      </c>
      <c r="S1294" s="8" t="s">
        <v>347</v>
      </c>
      <c r="T1294" s="6">
        <v>6</v>
      </c>
      <c r="U1294" s="8" t="s">
        <v>240</v>
      </c>
      <c r="V1294" s="8" t="s">
        <v>482</v>
      </c>
      <c r="W1294" s="8" t="s">
        <v>240</v>
      </c>
      <c r="X1294" s="8" t="s">
        <v>240</v>
      </c>
      <c r="Y1294" s="8" t="s">
        <v>2192</v>
      </c>
      <c r="Z1294" s="6" t="b">
        <v>0</v>
      </c>
      <c r="AA1294" s="9"/>
      <c r="AB1294" s="9"/>
    </row>
    <row r="1295" spans="1:28" ht="32">
      <c r="A1295" s="6">
        <v>1428</v>
      </c>
      <c r="B1295" s="8" t="s">
        <v>194</v>
      </c>
      <c r="C1295" s="8" t="s">
        <v>90</v>
      </c>
      <c r="D1295" s="8" t="s">
        <v>2193</v>
      </c>
      <c r="E1295" s="8" t="s">
        <v>2191</v>
      </c>
      <c r="F1295" s="6">
        <v>1427</v>
      </c>
      <c r="G1295" s="6" t="b">
        <v>0</v>
      </c>
      <c r="H1295" s="8" t="s">
        <v>240</v>
      </c>
      <c r="I1295" s="6" t="b">
        <v>1</v>
      </c>
      <c r="J1295" s="6" t="b">
        <v>0</v>
      </c>
      <c r="K1295" s="6" t="b">
        <v>0</v>
      </c>
      <c r="L1295" s="6" t="b">
        <v>1</v>
      </c>
      <c r="M1295" s="6" t="b">
        <v>0</v>
      </c>
      <c r="N1295" s="6">
        <v>6</v>
      </c>
      <c r="O1295" s="8" t="s">
        <v>331</v>
      </c>
      <c r="P1295" s="8" t="s">
        <v>255</v>
      </c>
      <c r="Q1295" s="8" t="s">
        <v>335</v>
      </c>
      <c r="R1295" s="6">
        <v>6</v>
      </c>
      <c r="S1295" s="8" t="s">
        <v>347</v>
      </c>
      <c r="T1295" s="6">
        <v>5</v>
      </c>
      <c r="U1295" s="8" t="s">
        <v>240</v>
      </c>
      <c r="V1295" s="8" t="s">
        <v>482</v>
      </c>
      <c r="W1295" s="8" t="s">
        <v>240</v>
      </c>
      <c r="X1295" s="8" t="s">
        <v>240</v>
      </c>
      <c r="Y1295" s="8" t="s">
        <v>240</v>
      </c>
      <c r="Z1295" s="6" t="b">
        <v>0</v>
      </c>
      <c r="AA1295" s="9"/>
      <c r="AB1295" s="9"/>
    </row>
    <row r="1296" spans="1:28" ht="32">
      <c r="A1296" s="6">
        <v>1429</v>
      </c>
      <c r="B1296" s="8" t="s">
        <v>194</v>
      </c>
      <c r="C1296" s="8" t="s">
        <v>90</v>
      </c>
      <c r="D1296" s="8" t="s">
        <v>2194</v>
      </c>
      <c r="E1296" s="8" t="s">
        <v>2191</v>
      </c>
      <c r="F1296" s="6">
        <v>1427</v>
      </c>
      <c r="G1296" s="6" t="b">
        <v>0</v>
      </c>
      <c r="H1296" s="8" t="s">
        <v>240</v>
      </c>
      <c r="I1296" s="6" t="b">
        <v>1</v>
      </c>
      <c r="J1296" s="6" t="b">
        <v>0</v>
      </c>
      <c r="K1296" s="6" t="b">
        <v>0</v>
      </c>
      <c r="L1296" s="6" t="b">
        <v>1</v>
      </c>
      <c r="M1296" s="6" t="b">
        <v>0</v>
      </c>
      <c r="N1296" s="6">
        <v>6</v>
      </c>
      <c r="O1296" s="8" t="s">
        <v>331</v>
      </c>
      <c r="P1296" s="8" t="s">
        <v>255</v>
      </c>
      <c r="Q1296" s="8" t="s">
        <v>335</v>
      </c>
      <c r="R1296" s="6">
        <v>6</v>
      </c>
      <c r="S1296" s="8" t="s">
        <v>347</v>
      </c>
      <c r="T1296" s="6">
        <v>6</v>
      </c>
      <c r="U1296" s="8" t="s">
        <v>240</v>
      </c>
      <c r="V1296" s="8" t="s">
        <v>482</v>
      </c>
      <c r="W1296" s="8" t="s">
        <v>240</v>
      </c>
      <c r="X1296" s="8" t="s">
        <v>240</v>
      </c>
      <c r="Y1296" s="8" t="s">
        <v>240</v>
      </c>
      <c r="Z1296" s="6" t="b">
        <v>0</v>
      </c>
      <c r="AA1296" s="9"/>
      <c r="AB1296" s="9"/>
    </row>
    <row r="1297" spans="1:28" ht="16">
      <c r="A1297" s="6">
        <v>1430</v>
      </c>
      <c r="B1297" s="8" t="s">
        <v>194</v>
      </c>
      <c r="C1297" s="8" t="s">
        <v>90</v>
      </c>
      <c r="D1297" s="8" t="s">
        <v>2195</v>
      </c>
      <c r="E1297" s="8" t="s">
        <v>2195</v>
      </c>
      <c r="F1297" s="6">
        <v>1430</v>
      </c>
      <c r="G1297" s="6" t="b">
        <v>0</v>
      </c>
      <c r="H1297" s="8" t="s">
        <v>240</v>
      </c>
      <c r="I1297" s="6" t="b">
        <v>0</v>
      </c>
      <c r="J1297" s="6" t="b">
        <v>0</v>
      </c>
      <c r="K1297" s="6" t="b">
        <v>0</v>
      </c>
      <c r="L1297" s="6" t="b">
        <v>1</v>
      </c>
      <c r="M1297" s="6" t="b">
        <v>0</v>
      </c>
      <c r="N1297" s="6">
        <v>6</v>
      </c>
      <c r="O1297" s="8" t="s">
        <v>331</v>
      </c>
      <c r="P1297" s="8" t="s">
        <v>350</v>
      </c>
      <c r="Q1297" s="8" t="s">
        <v>446</v>
      </c>
      <c r="R1297" s="6">
        <v>6</v>
      </c>
      <c r="S1297" s="8" t="s">
        <v>75</v>
      </c>
      <c r="T1297" s="9"/>
      <c r="U1297" s="8" t="s">
        <v>240</v>
      </c>
      <c r="V1297" s="8" t="s">
        <v>496</v>
      </c>
      <c r="W1297" s="8" t="s">
        <v>240</v>
      </c>
      <c r="X1297" s="8" t="s">
        <v>240</v>
      </c>
      <c r="Y1297" s="8" t="s">
        <v>240</v>
      </c>
      <c r="Z1297" s="6" t="b">
        <v>0</v>
      </c>
      <c r="AA1297" s="9"/>
      <c r="AB1297" s="9"/>
    </row>
    <row r="1298" spans="1:28" ht="16">
      <c r="A1298" s="6">
        <v>1431</v>
      </c>
      <c r="B1298" s="8" t="s">
        <v>194</v>
      </c>
      <c r="C1298" s="8" t="s">
        <v>90</v>
      </c>
      <c r="D1298" s="8" t="s">
        <v>2196</v>
      </c>
      <c r="E1298" s="8" t="s">
        <v>2195</v>
      </c>
      <c r="F1298" s="6">
        <v>1430</v>
      </c>
      <c r="G1298" s="6" t="b">
        <v>0</v>
      </c>
      <c r="H1298" s="8" t="s">
        <v>240</v>
      </c>
      <c r="I1298" s="6" t="b">
        <v>0</v>
      </c>
      <c r="J1298" s="6" t="b">
        <v>0</v>
      </c>
      <c r="K1298" s="6" t="b">
        <v>0</v>
      </c>
      <c r="L1298" s="6" t="b">
        <v>1</v>
      </c>
      <c r="M1298" s="6" t="b">
        <v>0</v>
      </c>
      <c r="N1298" s="6">
        <v>6</v>
      </c>
      <c r="O1298" s="8" t="s">
        <v>331</v>
      </c>
      <c r="P1298" s="8" t="s">
        <v>350</v>
      </c>
      <c r="Q1298" s="8" t="s">
        <v>446</v>
      </c>
      <c r="R1298" s="6">
        <v>4.3</v>
      </c>
      <c r="S1298" s="8" t="s">
        <v>247</v>
      </c>
      <c r="T1298" s="9"/>
      <c r="U1298" s="8" t="s">
        <v>240</v>
      </c>
      <c r="V1298" s="8" t="s">
        <v>496</v>
      </c>
      <c r="W1298" s="8" t="s">
        <v>240</v>
      </c>
      <c r="X1298" s="8" t="s">
        <v>240</v>
      </c>
      <c r="Y1298" s="8" t="s">
        <v>240</v>
      </c>
      <c r="Z1298" s="6" t="b">
        <v>0</v>
      </c>
      <c r="AA1298" s="9"/>
      <c r="AB1298" s="9"/>
    </row>
    <row r="1299" spans="1:28" ht="16">
      <c r="A1299" s="6">
        <v>1432</v>
      </c>
      <c r="B1299" s="8" t="s">
        <v>194</v>
      </c>
      <c r="C1299" s="8" t="s">
        <v>90</v>
      </c>
      <c r="D1299" s="8" t="s">
        <v>2197</v>
      </c>
      <c r="E1299" s="8" t="s">
        <v>2197</v>
      </c>
      <c r="F1299" s="6">
        <v>1432</v>
      </c>
      <c r="G1299" s="6" t="b">
        <v>0</v>
      </c>
      <c r="H1299" s="8" t="s">
        <v>240</v>
      </c>
      <c r="I1299" s="6" t="b">
        <v>0</v>
      </c>
      <c r="J1299" s="6" t="b">
        <v>0</v>
      </c>
      <c r="K1299" s="6" t="b">
        <v>0</v>
      </c>
      <c r="L1299" s="6" t="b">
        <v>1</v>
      </c>
      <c r="M1299" s="6" t="b">
        <v>0</v>
      </c>
      <c r="N1299" s="6">
        <v>6</v>
      </c>
      <c r="O1299" s="8" t="s">
        <v>331</v>
      </c>
      <c r="P1299" s="8" t="s">
        <v>350</v>
      </c>
      <c r="Q1299" s="8" t="s">
        <v>446</v>
      </c>
      <c r="R1299" s="6">
        <v>4</v>
      </c>
      <c r="S1299" s="8" t="s">
        <v>347</v>
      </c>
      <c r="T1299" s="6">
        <v>4</v>
      </c>
      <c r="U1299" s="8" t="s">
        <v>240</v>
      </c>
      <c r="V1299" s="8" t="s">
        <v>496</v>
      </c>
      <c r="W1299" s="8" t="s">
        <v>240</v>
      </c>
      <c r="X1299" s="8" t="s">
        <v>240</v>
      </c>
      <c r="Y1299" s="8" t="s">
        <v>240</v>
      </c>
      <c r="Z1299" s="6" t="b">
        <v>0</v>
      </c>
      <c r="AA1299" s="9"/>
      <c r="AB1299" s="9"/>
    </row>
    <row r="1300" spans="1:28" ht="16">
      <c r="A1300" s="6">
        <v>1433</v>
      </c>
      <c r="B1300" s="8" t="s">
        <v>194</v>
      </c>
      <c r="C1300" s="8" t="s">
        <v>90</v>
      </c>
      <c r="D1300" s="8" t="s">
        <v>2198</v>
      </c>
      <c r="E1300" s="8" t="s">
        <v>2197</v>
      </c>
      <c r="F1300" s="6">
        <v>1432</v>
      </c>
      <c r="G1300" s="6" t="b">
        <v>0</v>
      </c>
      <c r="H1300" s="8" t="s">
        <v>240</v>
      </c>
      <c r="I1300" s="6" t="b">
        <v>0</v>
      </c>
      <c r="J1300" s="6" t="b">
        <v>0</v>
      </c>
      <c r="K1300" s="6" t="b">
        <v>0</v>
      </c>
      <c r="L1300" s="6" t="b">
        <v>1</v>
      </c>
      <c r="M1300" s="6" t="b">
        <v>0</v>
      </c>
      <c r="N1300" s="6">
        <v>6</v>
      </c>
      <c r="O1300" s="8" t="s">
        <v>331</v>
      </c>
      <c r="P1300" s="8" t="s">
        <v>350</v>
      </c>
      <c r="Q1300" s="8" t="s">
        <v>446</v>
      </c>
      <c r="R1300" s="6">
        <v>4</v>
      </c>
      <c r="S1300" s="8" t="s">
        <v>347</v>
      </c>
      <c r="T1300" s="6">
        <v>4</v>
      </c>
      <c r="U1300" s="8" t="s">
        <v>240</v>
      </c>
      <c r="V1300" s="8" t="s">
        <v>496</v>
      </c>
      <c r="W1300" s="8" t="s">
        <v>240</v>
      </c>
      <c r="X1300" s="8" t="s">
        <v>240</v>
      </c>
      <c r="Y1300" s="8" t="s">
        <v>240</v>
      </c>
      <c r="Z1300" s="6" t="b">
        <v>0</v>
      </c>
      <c r="AA1300" s="9"/>
      <c r="AB1300" s="9"/>
    </row>
    <row r="1301" spans="1:28" ht="16">
      <c r="A1301" s="6">
        <v>1434</v>
      </c>
      <c r="B1301" s="8" t="s">
        <v>194</v>
      </c>
      <c r="C1301" s="8" t="s">
        <v>1715</v>
      </c>
      <c r="D1301" s="8" t="s">
        <v>2199</v>
      </c>
      <c r="E1301" s="8" t="s">
        <v>2199</v>
      </c>
      <c r="F1301" s="6">
        <v>1434</v>
      </c>
      <c r="G1301" s="6" t="b">
        <v>0</v>
      </c>
      <c r="H1301" s="8" t="s">
        <v>240</v>
      </c>
      <c r="I1301" s="6" t="b">
        <v>0</v>
      </c>
      <c r="J1301" s="6" t="b">
        <v>0</v>
      </c>
      <c r="K1301" s="6" t="b">
        <v>0</v>
      </c>
      <c r="L1301" s="6" t="b">
        <v>1</v>
      </c>
      <c r="M1301" s="6" t="b">
        <v>0</v>
      </c>
      <c r="N1301" s="6">
        <v>6</v>
      </c>
      <c r="O1301" s="8" t="s">
        <v>331</v>
      </c>
      <c r="P1301" s="8" t="s">
        <v>822</v>
      </c>
      <c r="Q1301" s="8" t="s">
        <v>446</v>
      </c>
      <c r="R1301" s="6">
        <v>6</v>
      </c>
      <c r="S1301" s="8" t="s">
        <v>75</v>
      </c>
      <c r="T1301" s="9"/>
      <c r="U1301" s="8" t="s">
        <v>240</v>
      </c>
      <c r="V1301" s="8" t="s">
        <v>1057</v>
      </c>
      <c r="W1301" s="8" t="s">
        <v>240</v>
      </c>
      <c r="X1301" s="8" t="s">
        <v>240</v>
      </c>
      <c r="Y1301" s="8" t="s">
        <v>240</v>
      </c>
      <c r="Z1301" s="6" t="b">
        <v>0</v>
      </c>
      <c r="AA1301" s="9"/>
      <c r="AB1301" s="9"/>
    </row>
    <row r="1302" spans="1:28" ht="16">
      <c r="A1302" s="6">
        <v>1435</v>
      </c>
      <c r="B1302" s="8" t="s">
        <v>194</v>
      </c>
      <c r="C1302" s="8" t="s">
        <v>1883</v>
      </c>
      <c r="D1302" s="8" t="s">
        <v>1883</v>
      </c>
      <c r="E1302" s="8" t="s">
        <v>1883</v>
      </c>
      <c r="F1302" s="6">
        <v>1435</v>
      </c>
      <c r="G1302" s="6" t="b">
        <v>0</v>
      </c>
      <c r="H1302" s="8" t="s">
        <v>240</v>
      </c>
      <c r="I1302" s="6" t="b">
        <v>0</v>
      </c>
      <c r="J1302" s="6" t="b">
        <v>0</v>
      </c>
      <c r="K1302" s="6" t="b">
        <v>0</v>
      </c>
      <c r="L1302" s="6" t="b">
        <v>1</v>
      </c>
      <c r="M1302" s="6" t="b">
        <v>0</v>
      </c>
      <c r="N1302" s="6">
        <v>10</v>
      </c>
      <c r="O1302" s="8" t="s">
        <v>341</v>
      </c>
      <c r="P1302" s="8" t="s">
        <v>238</v>
      </c>
      <c r="Q1302" s="8" t="s">
        <v>446</v>
      </c>
      <c r="R1302" s="6">
        <v>10</v>
      </c>
      <c r="S1302" s="8" t="s">
        <v>75</v>
      </c>
      <c r="T1302" s="9"/>
      <c r="U1302" s="8" t="s">
        <v>240</v>
      </c>
      <c r="V1302" s="8" t="s">
        <v>496</v>
      </c>
      <c r="W1302" s="8" t="s">
        <v>240</v>
      </c>
      <c r="X1302" s="8" t="s">
        <v>240</v>
      </c>
      <c r="Y1302" s="8" t="s">
        <v>240</v>
      </c>
      <c r="Z1302" s="6" t="b">
        <v>0</v>
      </c>
      <c r="AA1302" s="9"/>
      <c r="AB1302" s="9"/>
    </row>
    <row r="1303" spans="1:28" ht="16">
      <c r="A1303" s="6">
        <v>1436</v>
      </c>
      <c r="B1303" s="8" t="s">
        <v>194</v>
      </c>
      <c r="C1303" s="8" t="s">
        <v>101</v>
      </c>
      <c r="D1303" s="8" t="s">
        <v>101</v>
      </c>
      <c r="E1303" s="8" t="s">
        <v>101</v>
      </c>
      <c r="F1303" s="6">
        <v>1436</v>
      </c>
      <c r="G1303" s="6" t="b">
        <v>0</v>
      </c>
      <c r="H1303" s="8" t="s">
        <v>240</v>
      </c>
      <c r="I1303" s="6" t="b">
        <v>0</v>
      </c>
      <c r="J1303" s="6" t="b">
        <v>0</v>
      </c>
      <c r="K1303" s="6" t="b">
        <v>0</v>
      </c>
      <c r="L1303" s="6" t="b">
        <v>1</v>
      </c>
      <c r="M1303" s="6" t="b">
        <v>0</v>
      </c>
      <c r="N1303" s="6">
        <v>6</v>
      </c>
      <c r="O1303" s="8" t="s">
        <v>347</v>
      </c>
      <c r="P1303" s="8" t="s">
        <v>255</v>
      </c>
      <c r="Q1303" s="8" t="s">
        <v>381</v>
      </c>
      <c r="R1303" s="6">
        <v>6</v>
      </c>
      <c r="S1303" s="8" t="s">
        <v>347</v>
      </c>
      <c r="T1303" s="9"/>
      <c r="U1303" s="8" t="s">
        <v>240</v>
      </c>
      <c r="V1303" s="8" t="s">
        <v>482</v>
      </c>
      <c r="W1303" s="8" t="s">
        <v>240</v>
      </c>
      <c r="X1303" s="8" t="s">
        <v>240</v>
      </c>
      <c r="Y1303" s="8" t="s">
        <v>2200</v>
      </c>
      <c r="Z1303" s="6" t="b">
        <v>0</v>
      </c>
      <c r="AA1303" s="9"/>
      <c r="AB1303" s="9"/>
    </row>
    <row r="1304" spans="1:28" ht="16">
      <c r="A1304" s="6">
        <v>1437</v>
      </c>
      <c r="B1304" s="8" t="s">
        <v>194</v>
      </c>
      <c r="C1304" s="8" t="s">
        <v>101</v>
      </c>
      <c r="D1304" s="8" t="s">
        <v>2201</v>
      </c>
      <c r="E1304" s="8" t="s">
        <v>2201</v>
      </c>
      <c r="F1304" s="6">
        <v>1437</v>
      </c>
      <c r="G1304" s="6" t="b">
        <v>0</v>
      </c>
      <c r="H1304" s="8" t="s">
        <v>240</v>
      </c>
      <c r="I1304" s="6" t="b">
        <v>0</v>
      </c>
      <c r="J1304" s="6" t="b">
        <v>0</v>
      </c>
      <c r="K1304" s="6" t="b">
        <v>0</v>
      </c>
      <c r="L1304" s="6" t="b">
        <v>1</v>
      </c>
      <c r="M1304" s="6" t="b">
        <v>0</v>
      </c>
      <c r="N1304" s="6">
        <v>6</v>
      </c>
      <c r="O1304" s="8" t="s">
        <v>347</v>
      </c>
      <c r="P1304" s="8" t="s">
        <v>255</v>
      </c>
      <c r="Q1304" s="8" t="s">
        <v>898</v>
      </c>
      <c r="R1304" s="6">
        <v>6</v>
      </c>
      <c r="S1304" s="8" t="s">
        <v>341</v>
      </c>
      <c r="T1304" s="6">
        <v>5</v>
      </c>
      <c r="U1304" s="8" t="s">
        <v>240</v>
      </c>
      <c r="V1304" s="8" t="s">
        <v>482</v>
      </c>
      <c r="W1304" s="8" t="s">
        <v>240</v>
      </c>
      <c r="X1304" s="8" t="s">
        <v>240</v>
      </c>
      <c r="Y1304" s="8" t="s">
        <v>2202</v>
      </c>
      <c r="Z1304" s="6" t="b">
        <v>0</v>
      </c>
      <c r="AA1304" s="9"/>
      <c r="AB1304" s="9"/>
    </row>
    <row r="1305" spans="1:28" ht="16">
      <c r="A1305" s="6">
        <v>1438</v>
      </c>
      <c r="B1305" s="8" t="s">
        <v>194</v>
      </c>
      <c r="C1305" s="8" t="s">
        <v>101</v>
      </c>
      <c r="D1305" s="8" t="s">
        <v>2203</v>
      </c>
      <c r="E1305" s="8" t="s">
        <v>2201</v>
      </c>
      <c r="F1305" s="6">
        <v>1437</v>
      </c>
      <c r="G1305" s="6" t="b">
        <v>0</v>
      </c>
      <c r="H1305" s="8" t="s">
        <v>240</v>
      </c>
      <c r="I1305" s="6" t="b">
        <v>0</v>
      </c>
      <c r="J1305" s="6" t="b">
        <v>0</v>
      </c>
      <c r="K1305" s="6" t="b">
        <v>0</v>
      </c>
      <c r="L1305" s="6" t="b">
        <v>1</v>
      </c>
      <c r="M1305" s="6" t="b">
        <v>0</v>
      </c>
      <c r="N1305" s="6">
        <v>6</v>
      </c>
      <c r="O1305" s="8" t="s">
        <v>347</v>
      </c>
      <c r="P1305" s="8" t="s">
        <v>255</v>
      </c>
      <c r="Q1305" s="8" t="s">
        <v>335</v>
      </c>
      <c r="R1305" s="6">
        <v>7</v>
      </c>
      <c r="S1305" s="8" t="s">
        <v>347</v>
      </c>
      <c r="T1305" s="6">
        <v>7</v>
      </c>
      <c r="U1305" s="8" t="s">
        <v>240</v>
      </c>
      <c r="V1305" s="8" t="s">
        <v>482</v>
      </c>
      <c r="W1305" s="8" t="s">
        <v>240</v>
      </c>
      <c r="X1305" s="8" t="s">
        <v>240</v>
      </c>
      <c r="Y1305" s="8" t="s">
        <v>240</v>
      </c>
      <c r="Z1305" s="6" t="b">
        <v>0</v>
      </c>
      <c r="AA1305" s="9"/>
      <c r="AB1305" s="9"/>
    </row>
    <row r="1306" spans="1:28" ht="16">
      <c r="A1306" s="6">
        <v>1439</v>
      </c>
      <c r="B1306" s="8" t="s">
        <v>194</v>
      </c>
      <c r="C1306" s="8" t="s">
        <v>101</v>
      </c>
      <c r="D1306" s="8" t="s">
        <v>2204</v>
      </c>
      <c r="E1306" s="8" t="s">
        <v>2201</v>
      </c>
      <c r="F1306" s="6">
        <v>1437</v>
      </c>
      <c r="G1306" s="6" t="b">
        <v>0</v>
      </c>
      <c r="H1306" s="8" t="s">
        <v>240</v>
      </c>
      <c r="I1306" s="6" t="b">
        <v>0</v>
      </c>
      <c r="J1306" s="6" t="b">
        <v>0</v>
      </c>
      <c r="K1306" s="6" t="b">
        <v>0</v>
      </c>
      <c r="L1306" s="6" t="b">
        <v>1</v>
      </c>
      <c r="M1306" s="6" t="b">
        <v>0</v>
      </c>
      <c r="N1306" s="6">
        <v>6</v>
      </c>
      <c r="O1306" s="8" t="s">
        <v>347</v>
      </c>
      <c r="P1306" s="8" t="s">
        <v>255</v>
      </c>
      <c r="Q1306" s="8" t="s">
        <v>898</v>
      </c>
      <c r="R1306" s="6">
        <v>6</v>
      </c>
      <c r="S1306" s="8" t="s">
        <v>341</v>
      </c>
      <c r="T1306" s="6">
        <v>7</v>
      </c>
      <c r="U1306" s="8" t="s">
        <v>240</v>
      </c>
      <c r="V1306" s="8" t="s">
        <v>482</v>
      </c>
      <c r="W1306" s="8" t="s">
        <v>240</v>
      </c>
      <c r="X1306" s="8" t="s">
        <v>240</v>
      </c>
      <c r="Y1306" s="8" t="s">
        <v>1861</v>
      </c>
      <c r="Z1306" s="6" t="b">
        <v>0</v>
      </c>
      <c r="AA1306" s="9"/>
      <c r="AB1306" s="9"/>
    </row>
    <row r="1307" spans="1:28" ht="16">
      <c r="A1307" s="6">
        <v>1440</v>
      </c>
      <c r="B1307" s="8" t="s">
        <v>194</v>
      </c>
      <c r="C1307" s="8" t="s">
        <v>101</v>
      </c>
      <c r="D1307" s="8" t="s">
        <v>2205</v>
      </c>
      <c r="E1307" s="8" t="s">
        <v>2201</v>
      </c>
      <c r="F1307" s="6">
        <v>1437</v>
      </c>
      <c r="G1307" s="6" t="b">
        <v>0</v>
      </c>
      <c r="H1307" s="8" t="s">
        <v>240</v>
      </c>
      <c r="I1307" s="6" t="b">
        <v>0</v>
      </c>
      <c r="J1307" s="6" t="b">
        <v>0</v>
      </c>
      <c r="K1307" s="6" t="b">
        <v>0</v>
      </c>
      <c r="L1307" s="6" t="b">
        <v>1</v>
      </c>
      <c r="M1307" s="6" t="b">
        <v>0</v>
      </c>
      <c r="N1307" s="6">
        <v>6</v>
      </c>
      <c r="O1307" s="8" t="s">
        <v>347</v>
      </c>
      <c r="P1307" s="8" t="s">
        <v>255</v>
      </c>
      <c r="Q1307" s="8" t="s">
        <v>898</v>
      </c>
      <c r="R1307" s="6">
        <v>6</v>
      </c>
      <c r="S1307" s="8" t="s">
        <v>341</v>
      </c>
      <c r="T1307" s="6">
        <v>3</v>
      </c>
      <c r="U1307" s="8" t="s">
        <v>240</v>
      </c>
      <c r="V1307" s="8" t="s">
        <v>482</v>
      </c>
      <c r="W1307" s="8" t="s">
        <v>240</v>
      </c>
      <c r="X1307" s="8" t="s">
        <v>240</v>
      </c>
      <c r="Y1307" s="8" t="s">
        <v>240</v>
      </c>
      <c r="Z1307" s="6" t="b">
        <v>0</v>
      </c>
      <c r="AA1307" s="9"/>
      <c r="AB1307" s="9"/>
    </row>
    <row r="1308" spans="1:28" ht="16">
      <c r="A1308" s="6">
        <v>1441</v>
      </c>
      <c r="B1308" s="8" t="s">
        <v>194</v>
      </c>
      <c r="C1308" s="8" t="s">
        <v>101</v>
      </c>
      <c r="D1308" s="8" t="s">
        <v>2206</v>
      </c>
      <c r="E1308" s="8" t="s">
        <v>2201</v>
      </c>
      <c r="F1308" s="6">
        <v>1437</v>
      </c>
      <c r="G1308" s="6" t="b">
        <v>0</v>
      </c>
      <c r="H1308" s="8" t="s">
        <v>240</v>
      </c>
      <c r="I1308" s="6" t="b">
        <v>0</v>
      </c>
      <c r="J1308" s="6" t="b">
        <v>0</v>
      </c>
      <c r="K1308" s="6" t="b">
        <v>0</v>
      </c>
      <c r="L1308" s="6" t="b">
        <v>1</v>
      </c>
      <c r="M1308" s="6" t="b">
        <v>0</v>
      </c>
      <c r="N1308" s="6">
        <v>6</v>
      </c>
      <c r="O1308" s="8" t="s">
        <v>347</v>
      </c>
      <c r="P1308" s="8" t="s">
        <v>255</v>
      </c>
      <c r="Q1308" s="8" t="s">
        <v>339</v>
      </c>
      <c r="R1308" s="6">
        <v>4</v>
      </c>
      <c r="S1308" s="8" t="s">
        <v>347</v>
      </c>
      <c r="T1308" s="6">
        <v>4</v>
      </c>
      <c r="U1308" s="8" t="s">
        <v>240</v>
      </c>
      <c r="V1308" s="8" t="s">
        <v>482</v>
      </c>
      <c r="W1308" s="8" t="s">
        <v>240</v>
      </c>
      <c r="X1308" s="8" t="s">
        <v>240</v>
      </c>
      <c r="Y1308" s="8" t="s">
        <v>2207</v>
      </c>
      <c r="Z1308" s="6" t="b">
        <v>0</v>
      </c>
      <c r="AA1308" s="9"/>
      <c r="AB1308" s="9"/>
    </row>
    <row r="1309" spans="1:28" ht="16">
      <c r="A1309" s="6">
        <v>1442</v>
      </c>
      <c r="B1309" s="8" t="s">
        <v>194</v>
      </c>
      <c r="C1309" s="8" t="s">
        <v>101</v>
      </c>
      <c r="D1309" s="8" t="s">
        <v>2208</v>
      </c>
      <c r="E1309" s="8" t="s">
        <v>2201</v>
      </c>
      <c r="F1309" s="6">
        <v>1437</v>
      </c>
      <c r="G1309" s="6" t="b">
        <v>0</v>
      </c>
      <c r="H1309" s="8" t="s">
        <v>240</v>
      </c>
      <c r="I1309" s="6" t="b">
        <v>0</v>
      </c>
      <c r="J1309" s="6" t="b">
        <v>0</v>
      </c>
      <c r="K1309" s="6" t="b">
        <v>0</v>
      </c>
      <c r="L1309" s="6" t="b">
        <v>1</v>
      </c>
      <c r="M1309" s="6" t="b">
        <v>0</v>
      </c>
      <c r="N1309" s="6">
        <v>6</v>
      </c>
      <c r="O1309" s="8" t="s">
        <v>347</v>
      </c>
      <c r="P1309" s="8" t="s">
        <v>255</v>
      </c>
      <c r="Q1309" s="8" t="s">
        <v>898</v>
      </c>
      <c r="R1309" s="6">
        <v>6</v>
      </c>
      <c r="S1309" s="8" t="s">
        <v>341</v>
      </c>
      <c r="T1309" s="6">
        <v>4</v>
      </c>
      <c r="U1309" s="8" t="s">
        <v>240</v>
      </c>
      <c r="V1309" s="8" t="s">
        <v>482</v>
      </c>
      <c r="W1309" s="8" t="s">
        <v>240</v>
      </c>
      <c r="X1309" s="8" t="s">
        <v>240</v>
      </c>
      <c r="Y1309" s="8" t="s">
        <v>240</v>
      </c>
      <c r="Z1309" s="6" t="b">
        <v>0</v>
      </c>
      <c r="AA1309" s="9"/>
      <c r="AB1309" s="9"/>
    </row>
    <row r="1310" spans="1:28" ht="32">
      <c r="A1310" s="6">
        <v>1443</v>
      </c>
      <c r="B1310" s="8" t="s">
        <v>194</v>
      </c>
      <c r="C1310" s="8" t="s">
        <v>101</v>
      </c>
      <c r="D1310" s="8" t="s">
        <v>2209</v>
      </c>
      <c r="E1310" s="8" t="s">
        <v>2201</v>
      </c>
      <c r="F1310" s="6">
        <v>1437</v>
      </c>
      <c r="G1310" s="6" t="b">
        <v>0</v>
      </c>
      <c r="H1310" s="8" t="s">
        <v>240</v>
      </c>
      <c r="I1310" s="6" t="b">
        <v>0</v>
      </c>
      <c r="J1310" s="6" t="b">
        <v>0</v>
      </c>
      <c r="K1310" s="6" t="b">
        <v>0</v>
      </c>
      <c r="L1310" s="6" t="b">
        <v>1</v>
      </c>
      <c r="M1310" s="6" t="b">
        <v>0</v>
      </c>
      <c r="N1310" s="6">
        <v>6</v>
      </c>
      <c r="O1310" s="8" t="s">
        <v>347</v>
      </c>
      <c r="P1310" s="8" t="s">
        <v>255</v>
      </c>
      <c r="Q1310" s="8" t="s">
        <v>335</v>
      </c>
      <c r="R1310" s="6">
        <v>4</v>
      </c>
      <c r="S1310" s="8" t="s">
        <v>347</v>
      </c>
      <c r="T1310" s="6">
        <v>4</v>
      </c>
      <c r="U1310" s="8" t="s">
        <v>240</v>
      </c>
      <c r="V1310" s="8" t="s">
        <v>482</v>
      </c>
      <c r="W1310" s="8" t="s">
        <v>240</v>
      </c>
      <c r="X1310" s="8" t="s">
        <v>240</v>
      </c>
      <c r="Y1310" s="8" t="s">
        <v>2210</v>
      </c>
      <c r="Z1310" s="6" t="b">
        <v>0</v>
      </c>
      <c r="AA1310" s="9"/>
      <c r="AB1310" s="9"/>
    </row>
    <row r="1311" spans="1:28" ht="16">
      <c r="A1311" s="6">
        <v>1444</v>
      </c>
      <c r="B1311" s="8" t="s">
        <v>194</v>
      </c>
      <c r="C1311" s="8" t="s">
        <v>101</v>
      </c>
      <c r="D1311" s="8" t="s">
        <v>2211</v>
      </c>
      <c r="E1311" s="8" t="s">
        <v>2201</v>
      </c>
      <c r="F1311" s="6">
        <v>1437</v>
      </c>
      <c r="G1311" s="6" t="b">
        <v>0</v>
      </c>
      <c r="H1311" s="8" t="s">
        <v>240</v>
      </c>
      <c r="I1311" s="6" t="b">
        <v>0</v>
      </c>
      <c r="J1311" s="6" t="b">
        <v>0</v>
      </c>
      <c r="K1311" s="6" t="b">
        <v>0</v>
      </c>
      <c r="L1311" s="6" t="b">
        <v>1</v>
      </c>
      <c r="M1311" s="6" t="b">
        <v>0</v>
      </c>
      <c r="N1311" s="6">
        <v>6</v>
      </c>
      <c r="O1311" s="8" t="s">
        <v>347</v>
      </c>
      <c r="P1311" s="8" t="s">
        <v>255</v>
      </c>
      <c r="Q1311" s="8" t="s">
        <v>335</v>
      </c>
      <c r="R1311" s="6">
        <v>5</v>
      </c>
      <c r="S1311" s="8" t="s">
        <v>347</v>
      </c>
      <c r="T1311" s="6">
        <v>5</v>
      </c>
      <c r="U1311" s="8" t="s">
        <v>240</v>
      </c>
      <c r="V1311" s="8" t="s">
        <v>482</v>
      </c>
      <c r="W1311" s="8" t="s">
        <v>240</v>
      </c>
      <c r="X1311" s="8" t="s">
        <v>240</v>
      </c>
      <c r="Y1311" s="8" t="s">
        <v>2212</v>
      </c>
      <c r="Z1311" s="6" t="b">
        <v>0</v>
      </c>
      <c r="AA1311" s="9"/>
      <c r="AB1311" s="9"/>
    </row>
    <row r="1312" spans="1:28" ht="16">
      <c r="A1312" s="6">
        <v>1445</v>
      </c>
      <c r="B1312" s="8" t="s">
        <v>194</v>
      </c>
      <c r="C1312" s="8" t="s">
        <v>101</v>
      </c>
      <c r="D1312" s="8" t="s">
        <v>2213</v>
      </c>
      <c r="E1312" s="8" t="s">
        <v>2201</v>
      </c>
      <c r="F1312" s="6">
        <v>1437</v>
      </c>
      <c r="G1312" s="6" t="b">
        <v>0</v>
      </c>
      <c r="H1312" s="8" t="s">
        <v>240</v>
      </c>
      <c r="I1312" s="6" t="b">
        <v>0</v>
      </c>
      <c r="J1312" s="6" t="b">
        <v>0</v>
      </c>
      <c r="K1312" s="6" t="b">
        <v>0</v>
      </c>
      <c r="L1312" s="6" t="b">
        <v>1</v>
      </c>
      <c r="M1312" s="6" t="b">
        <v>0</v>
      </c>
      <c r="N1312" s="6">
        <v>6</v>
      </c>
      <c r="O1312" s="8" t="s">
        <v>347</v>
      </c>
      <c r="P1312" s="8" t="s">
        <v>255</v>
      </c>
      <c r="Q1312" s="8" t="s">
        <v>339</v>
      </c>
      <c r="R1312" s="6">
        <v>7</v>
      </c>
      <c r="S1312" s="8" t="s">
        <v>347</v>
      </c>
      <c r="T1312" s="6">
        <v>7</v>
      </c>
      <c r="U1312" s="8" t="s">
        <v>240</v>
      </c>
      <c r="V1312" s="8" t="s">
        <v>482</v>
      </c>
      <c r="W1312" s="8" t="s">
        <v>240</v>
      </c>
      <c r="X1312" s="8" t="s">
        <v>240</v>
      </c>
      <c r="Y1312" s="8" t="s">
        <v>2214</v>
      </c>
      <c r="Z1312" s="6" t="b">
        <v>0</v>
      </c>
      <c r="AA1312" s="9"/>
      <c r="AB1312" s="9"/>
    </row>
    <row r="1313" spans="1:28" ht="16">
      <c r="A1313" s="6">
        <v>1446</v>
      </c>
      <c r="B1313" s="8" t="s">
        <v>194</v>
      </c>
      <c r="C1313" s="8" t="s">
        <v>90</v>
      </c>
      <c r="D1313" s="8" t="s">
        <v>2215</v>
      </c>
      <c r="E1313" s="8" t="s">
        <v>2215</v>
      </c>
      <c r="F1313" s="6">
        <v>1446</v>
      </c>
      <c r="G1313" s="6" t="b">
        <v>0</v>
      </c>
      <c r="H1313" s="8" t="s">
        <v>240</v>
      </c>
      <c r="I1313" s="6" t="b">
        <v>0</v>
      </c>
      <c r="J1313" s="6" t="b">
        <v>1</v>
      </c>
      <c r="K1313" s="6" t="b">
        <v>0</v>
      </c>
      <c r="L1313" s="6" t="b">
        <v>1</v>
      </c>
      <c r="M1313" s="6" t="b">
        <v>0</v>
      </c>
      <c r="N1313" s="6">
        <v>6</v>
      </c>
      <c r="O1313" s="8" t="s">
        <v>331</v>
      </c>
      <c r="P1313" s="8" t="s">
        <v>350</v>
      </c>
      <c r="Q1313" s="8" t="s">
        <v>446</v>
      </c>
      <c r="R1313" s="6">
        <v>6</v>
      </c>
      <c r="S1313" s="8" t="s">
        <v>347</v>
      </c>
      <c r="T1313" s="9"/>
      <c r="U1313" s="8" t="s">
        <v>240</v>
      </c>
      <c r="V1313" s="8" t="s">
        <v>496</v>
      </c>
      <c r="W1313" s="8" t="s">
        <v>240</v>
      </c>
      <c r="X1313" s="8" t="s">
        <v>240</v>
      </c>
      <c r="Y1313" s="8" t="s">
        <v>240</v>
      </c>
      <c r="Z1313" s="6" t="b">
        <v>0</v>
      </c>
      <c r="AA1313" s="9"/>
      <c r="AB1313" s="9"/>
    </row>
    <row r="1314" spans="1:28" ht="16">
      <c r="A1314" s="6">
        <v>1449</v>
      </c>
      <c r="B1314" s="8" t="s">
        <v>194</v>
      </c>
      <c r="C1314" s="8" t="s">
        <v>90</v>
      </c>
      <c r="D1314" s="8" t="s">
        <v>2216</v>
      </c>
      <c r="E1314" s="8" t="s">
        <v>2216</v>
      </c>
      <c r="F1314" s="6">
        <v>1449</v>
      </c>
      <c r="G1314" s="6" t="b">
        <v>0</v>
      </c>
      <c r="H1314" s="8" t="s">
        <v>240</v>
      </c>
      <c r="I1314" s="6" t="b">
        <v>1</v>
      </c>
      <c r="J1314" s="6" t="b">
        <v>0</v>
      </c>
      <c r="K1314" s="6" t="b">
        <v>0</v>
      </c>
      <c r="L1314" s="6" t="b">
        <v>1</v>
      </c>
      <c r="M1314" s="6" t="b">
        <v>0</v>
      </c>
      <c r="N1314" s="6">
        <v>6</v>
      </c>
      <c r="O1314" s="8" t="s">
        <v>331</v>
      </c>
      <c r="P1314" s="8" t="s">
        <v>240</v>
      </c>
      <c r="Q1314" s="8" t="s">
        <v>240</v>
      </c>
      <c r="R1314" s="6">
        <v>6</v>
      </c>
      <c r="S1314" s="8" t="s">
        <v>75</v>
      </c>
      <c r="T1314" s="6">
        <v>2</v>
      </c>
      <c r="U1314" s="8" t="s">
        <v>240</v>
      </c>
      <c r="V1314" s="8" t="s">
        <v>240</v>
      </c>
      <c r="W1314" s="8" t="s">
        <v>483</v>
      </c>
      <c r="X1314" s="8" t="s">
        <v>240</v>
      </c>
      <c r="Y1314" s="8" t="s">
        <v>2217</v>
      </c>
      <c r="Z1314" s="6" t="b">
        <v>0</v>
      </c>
      <c r="AA1314" s="9"/>
      <c r="AB1314" s="9"/>
    </row>
    <row r="1315" spans="1:28" ht="16">
      <c r="A1315" s="6">
        <v>1450</v>
      </c>
      <c r="B1315" s="8" t="s">
        <v>194</v>
      </c>
      <c r="C1315" s="8" t="s">
        <v>90</v>
      </c>
      <c r="D1315" s="8" t="s">
        <v>2218</v>
      </c>
      <c r="E1315" s="8" t="s">
        <v>2216</v>
      </c>
      <c r="F1315" s="6">
        <v>1449</v>
      </c>
      <c r="G1315" s="6" t="b">
        <v>0</v>
      </c>
      <c r="H1315" s="8" t="s">
        <v>240</v>
      </c>
      <c r="I1315" s="6" t="b">
        <v>1</v>
      </c>
      <c r="J1315" s="6" t="b">
        <v>0</v>
      </c>
      <c r="K1315" s="6" t="b">
        <v>0</v>
      </c>
      <c r="L1315" s="6" t="b">
        <v>1</v>
      </c>
      <c r="M1315" s="6" t="b">
        <v>0</v>
      </c>
      <c r="N1315" s="6">
        <v>6</v>
      </c>
      <c r="O1315" s="8" t="s">
        <v>331</v>
      </c>
      <c r="P1315" s="8" t="s">
        <v>240</v>
      </c>
      <c r="Q1315" s="8" t="s">
        <v>240</v>
      </c>
      <c r="R1315" s="6">
        <v>6</v>
      </c>
      <c r="S1315" s="8" t="s">
        <v>75</v>
      </c>
      <c r="T1315" s="6">
        <v>2</v>
      </c>
      <c r="U1315" s="8" t="s">
        <v>2219</v>
      </c>
      <c r="V1315" s="8" t="s">
        <v>240</v>
      </c>
      <c r="W1315" s="8" t="s">
        <v>483</v>
      </c>
      <c r="X1315" s="8" t="s">
        <v>240</v>
      </c>
      <c r="Y1315" s="8" t="s">
        <v>240</v>
      </c>
      <c r="Z1315" s="6" t="b">
        <v>0</v>
      </c>
      <c r="AA1315" s="9"/>
      <c r="AB1315" s="9"/>
    </row>
    <row r="1316" spans="1:28" ht="32">
      <c r="A1316" s="6">
        <v>1451</v>
      </c>
      <c r="B1316" s="8" t="s">
        <v>194</v>
      </c>
      <c r="C1316" s="8" t="s">
        <v>126</v>
      </c>
      <c r="D1316" s="8" t="s">
        <v>2220</v>
      </c>
      <c r="E1316" s="8" t="s">
        <v>2220</v>
      </c>
      <c r="F1316" s="6">
        <v>1451</v>
      </c>
      <c r="G1316" s="6" t="b">
        <v>0</v>
      </c>
      <c r="H1316" s="8" t="s">
        <v>240</v>
      </c>
      <c r="I1316" s="6" t="b">
        <v>0</v>
      </c>
      <c r="J1316" s="6" t="b">
        <v>0</v>
      </c>
      <c r="K1316" s="6" t="b">
        <v>0</v>
      </c>
      <c r="L1316" s="6" t="b">
        <v>1</v>
      </c>
      <c r="M1316" s="6" t="b">
        <v>0</v>
      </c>
      <c r="N1316" s="6">
        <v>8</v>
      </c>
      <c r="O1316" s="8" t="s">
        <v>331</v>
      </c>
      <c r="P1316" s="8" t="s">
        <v>333</v>
      </c>
      <c r="Q1316" s="8" t="s">
        <v>2221</v>
      </c>
      <c r="R1316" s="6">
        <v>5</v>
      </c>
      <c r="S1316" s="8" t="s">
        <v>347</v>
      </c>
      <c r="T1316" s="6">
        <v>5</v>
      </c>
      <c r="U1316" s="8" t="s">
        <v>240</v>
      </c>
      <c r="V1316" s="8" t="s">
        <v>496</v>
      </c>
      <c r="W1316" s="8" t="s">
        <v>240</v>
      </c>
      <c r="X1316" s="8" t="s">
        <v>240</v>
      </c>
      <c r="Y1316" s="8" t="s">
        <v>240</v>
      </c>
      <c r="Z1316" s="6" t="b">
        <v>0</v>
      </c>
      <c r="AA1316" s="9"/>
      <c r="AB1316" s="9"/>
    </row>
    <row r="1317" spans="1:28" ht="32">
      <c r="A1317" s="6">
        <v>1452</v>
      </c>
      <c r="B1317" s="8" t="s">
        <v>194</v>
      </c>
      <c r="C1317" s="8" t="s">
        <v>126</v>
      </c>
      <c r="D1317" s="8" t="s">
        <v>2222</v>
      </c>
      <c r="E1317" s="8" t="s">
        <v>2222</v>
      </c>
      <c r="F1317" s="6">
        <v>1452</v>
      </c>
      <c r="G1317" s="6" t="b">
        <v>0</v>
      </c>
      <c r="H1317" s="8" t="s">
        <v>240</v>
      </c>
      <c r="I1317" s="6" t="b">
        <v>0</v>
      </c>
      <c r="J1317" s="6" t="b">
        <v>0</v>
      </c>
      <c r="K1317" s="6" t="b">
        <v>0</v>
      </c>
      <c r="L1317" s="6" t="b">
        <v>1</v>
      </c>
      <c r="M1317" s="6" t="b">
        <v>0</v>
      </c>
      <c r="N1317" s="6">
        <v>8</v>
      </c>
      <c r="O1317" s="8" t="s">
        <v>331</v>
      </c>
      <c r="P1317" s="8" t="s">
        <v>350</v>
      </c>
      <c r="Q1317" s="8" t="s">
        <v>811</v>
      </c>
      <c r="R1317" s="6">
        <v>9</v>
      </c>
      <c r="S1317" s="8" t="s">
        <v>347</v>
      </c>
      <c r="T1317" s="6">
        <v>9</v>
      </c>
      <c r="U1317" s="8" t="s">
        <v>240</v>
      </c>
      <c r="V1317" s="8" t="s">
        <v>496</v>
      </c>
      <c r="W1317" s="8" t="s">
        <v>240</v>
      </c>
      <c r="X1317" s="8" t="s">
        <v>240</v>
      </c>
      <c r="Y1317" s="8" t="s">
        <v>2223</v>
      </c>
      <c r="Z1317" s="6" t="b">
        <v>0</v>
      </c>
      <c r="AA1317" s="9"/>
      <c r="AB1317" s="9"/>
    </row>
    <row r="1318" spans="1:28" ht="32">
      <c r="A1318" s="6">
        <v>1453</v>
      </c>
      <c r="B1318" s="8" t="s">
        <v>194</v>
      </c>
      <c r="C1318" s="8" t="s">
        <v>126</v>
      </c>
      <c r="D1318" s="8" t="s">
        <v>2224</v>
      </c>
      <c r="E1318" s="8" t="s">
        <v>2222</v>
      </c>
      <c r="F1318" s="6">
        <v>1452</v>
      </c>
      <c r="G1318" s="6" t="b">
        <v>0</v>
      </c>
      <c r="H1318" s="8" t="s">
        <v>240</v>
      </c>
      <c r="I1318" s="6" t="b">
        <v>0</v>
      </c>
      <c r="J1318" s="6" t="b">
        <v>0</v>
      </c>
      <c r="K1318" s="6" t="b">
        <v>0</v>
      </c>
      <c r="L1318" s="6" t="b">
        <v>1</v>
      </c>
      <c r="M1318" s="6" t="b">
        <v>0</v>
      </c>
      <c r="N1318" s="6">
        <v>8</v>
      </c>
      <c r="O1318" s="8" t="s">
        <v>331</v>
      </c>
      <c r="P1318" s="8" t="s">
        <v>350</v>
      </c>
      <c r="Q1318" s="8" t="s">
        <v>811</v>
      </c>
      <c r="R1318" s="6">
        <v>9</v>
      </c>
      <c r="S1318" s="8" t="s">
        <v>347</v>
      </c>
      <c r="T1318" s="9"/>
      <c r="U1318" s="8" t="s">
        <v>240</v>
      </c>
      <c r="V1318" s="8" t="s">
        <v>496</v>
      </c>
      <c r="W1318" s="8" t="s">
        <v>240</v>
      </c>
      <c r="X1318" s="8" t="s">
        <v>240</v>
      </c>
      <c r="Y1318" s="8" t="s">
        <v>240</v>
      </c>
      <c r="Z1318" s="6" t="b">
        <v>0</v>
      </c>
      <c r="AA1318" s="9"/>
      <c r="AB1318" s="9"/>
    </row>
    <row r="1319" spans="1:28" ht="16">
      <c r="A1319" s="6">
        <v>1454</v>
      </c>
      <c r="B1319" s="8" t="s">
        <v>194</v>
      </c>
      <c r="C1319" s="8" t="s">
        <v>124</v>
      </c>
      <c r="D1319" s="8" t="s">
        <v>2225</v>
      </c>
      <c r="E1319" s="8" t="s">
        <v>2225</v>
      </c>
      <c r="F1319" s="6">
        <v>1454</v>
      </c>
      <c r="G1319" s="6" t="b">
        <v>0</v>
      </c>
      <c r="H1319" s="8" t="s">
        <v>240</v>
      </c>
      <c r="I1319" s="6" t="b">
        <v>0</v>
      </c>
      <c r="J1319" s="6" t="b">
        <v>0</v>
      </c>
      <c r="K1319" s="6" t="b">
        <v>0</v>
      </c>
      <c r="L1319" s="6" t="b">
        <v>1</v>
      </c>
      <c r="M1319" s="6" t="b">
        <v>0</v>
      </c>
      <c r="N1319" s="6">
        <v>6</v>
      </c>
      <c r="O1319" s="8" t="s">
        <v>331</v>
      </c>
      <c r="P1319" s="8" t="s">
        <v>238</v>
      </c>
      <c r="Q1319" s="8" t="s">
        <v>446</v>
      </c>
      <c r="R1319" s="6">
        <v>6</v>
      </c>
      <c r="S1319" s="8" t="s">
        <v>75</v>
      </c>
      <c r="T1319" s="9"/>
      <c r="U1319" s="8" t="s">
        <v>240</v>
      </c>
      <c r="V1319" s="8" t="s">
        <v>496</v>
      </c>
      <c r="W1319" s="8" t="s">
        <v>240</v>
      </c>
      <c r="X1319" s="8" t="s">
        <v>240</v>
      </c>
      <c r="Y1319" s="8" t="s">
        <v>240</v>
      </c>
      <c r="Z1319" s="6" t="b">
        <v>0</v>
      </c>
      <c r="AA1319" s="9"/>
      <c r="AB1319" s="9"/>
    </row>
    <row r="1320" spans="1:28" ht="32">
      <c r="A1320" s="6">
        <v>1455</v>
      </c>
      <c r="B1320" s="8" t="s">
        <v>194</v>
      </c>
      <c r="C1320" s="8" t="s">
        <v>124</v>
      </c>
      <c r="D1320" s="8" t="s">
        <v>2226</v>
      </c>
      <c r="E1320" s="8" t="s">
        <v>2225</v>
      </c>
      <c r="F1320" s="6">
        <v>1454</v>
      </c>
      <c r="G1320" s="6" t="b">
        <v>0</v>
      </c>
      <c r="H1320" s="8" t="s">
        <v>240</v>
      </c>
      <c r="I1320" s="6" t="b">
        <v>0</v>
      </c>
      <c r="J1320" s="6" t="b">
        <v>0</v>
      </c>
      <c r="K1320" s="6" t="b">
        <v>0</v>
      </c>
      <c r="L1320" s="6" t="b">
        <v>1</v>
      </c>
      <c r="M1320" s="6" t="b">
        <v>0</v>
      </c>
      <c r="N1320" s="6">
        <v>6</v>
      </c>
      <c r="O1320" s="8" t="s">
        <v>331</v>
      </c>
      <c r="P1320" s="8" t="s">
        <v>238</v>
      </c>
      <c r="Q1320" s="8" t="s">
        <v>446</v>
      </c>
      <c r="R1320" s="6">
        <v>6</v>
      </c>
      <c r="S1320" s="8" t="s">
        <v>75</v>
      </c>
      <c r="T1320" s="9"/>
      <c r="U1320" s="8" t="s">
        <v>240</v>
      </c>
      <c r="V1320" s="8" t="s">
        <v>496</v>
      </c>
      <c r="W1320" s="8" t="s">
        <v>240</v>
      </c>
      <c r="X1320" s="8" t="s">
        <v>240</v>
      </c>
      <c r="Y1320" s="8" t="s">
        <v>240</v>
      </c>
      <c r="Z1320" s="6" t="b">
        <v>0</v>
      </c>
      <c r="AA1320" s="9"/>
      <c r="AB1320" s="9"/>
    </row>
    <row r="1321" spans="1:28" ht="16">
      <c r="A1321" s="6">
        <v>1456</v>
      </c>
      <c r="B1321" s="8" t="s">
        <v>194</v>
      </c>
      <c r="C1321" s="8" t="s">
        <v>2025</v>
      </c>
      <c r="D1321" s="8" t="s">
        <v>2025</v>
      </c>
      <c r="E1321" s="8" t="s">
        <v>2025</v>
      </c>
      <c r="F1321" s="6">
        <v>1456</v>
      </c>
      <c r="G1321" s="6" t="b">
        <v>0</v>
      </c>
      <c r="H1321" s="8" t="s">
        <v>240</v>
      </c>
      <c r="I1321" s="6" t="b">
        <v>0</v>
      </c>
      <c r="J1321" s="6" t="b">
        <v>0</v>
      </c>
      <c r="K1321" s="6" t="b">
        <v>0</v>
      </c>
      <c r="L1321" s="6" t="b">
        <v>1</v>
      </c>
      <c r="M1321" s="6" t="b">
        <v>0</v>
      </c>
      <c r="N1321" s="6">
        <v>10</v>
      </c>
      <c r="O1321" s="8" t="s">
        <v>237</v>
      </c>
      <c r="P1321" s="8" t="s">
        <v>350</v>
      </c>
      <c r="Q1321" s="8" t="s">
        <v>381</v>
      </c>
      <c r="R1321" s="6">
        <v>10</v>
      </c>
      <c r="S1321" s="8" t="s">
        <v>237</v>
      </c>
      <c r="T1321" s="6">
        <v>7</v>
      </c>
      <c r="U1321" s="8" t="s">
        <v>240</v>
      </c>
      <c r="V1321" s="8" t="s">
        <v>2227</v>
      </c>
      <c r="W1321" s="8" t="s">
        <v>240</v>
      </c>
      <c r="X1321" s="8" t="s">
        <v>240</v>
      </c>
      <c r="Y1321" s="8" t="s">
        <v>2228</v>
      </c>
      <c r="Z1321" s="6" t="b">
        <v>0</v>
      </c>
      <c r="AA1321" s="9"/>
      <c r="AB1321" s="9"/>
    </row>
    <row r="1322" spans="1:28" ht="16">
      <c r="A1322" s="6">
        <v>1457</v>
      </c>
      <c r="B1322" s="8" t="s">
        <v>194</v>
      </c>
      <c r="C1322" s="8" t="s">
        <v>2025</v>
      </c>
      <c r="D1322" s="8" t="s">
        <v>2229</v>
      </c>
      <c r="E1322" s="8" t="s">
        <v>2229</v>
      </c>
      <c r="F1322" s="6">
        <v>1457</v>
      </c>
      <c r="G1322" s="6" t="b">
        <v>0</v>
      </c>
      <c r="H1322" s="8" t="s">
        <v>240</v>
      </c>
      <c r="I1322" s="6" t="b">
        <v>0</v>
      </c>
      <c r="J1322" s="6" t="b">
        <v>0</v>
      </c>
      <c r="K1322" s="6" t="b">
        <v>0</v>
      </c>
      <c r="L1322" s="6" t="b">
        <v>1</v>
      </c>
      <c r="M1322" s="6" t="b">
        <v>0</v>
      </c>
      <c r="N1322" s="6">
        <v>10</v>
      </c>
      <c r="O1322" s="8" t="s">
        <v>237</v>
      </c>
      <c r="P1322" s="8" t="s">
        <v>1678</v>
      </c>
      <c r="Q1322" s="8" t="s">
        <v>446</v>
      </c>
      <c r="R1322" s="6">
        <v>10</v>
      </c>
      <c r="S1322" s="8" t="s">
        <v>75</v>
      </c>
      <c r="T1322" s="6">
        <v>7</v>
      </c>
      <c r="U1322" s="8" t="s">
        <v>240</v>
      </c>
      <c r="V1322" s="8" t="s">
        <v>1696</v>
      </c>
      <c r="W1322" s="8" t="s">
        <v>240</v>
      </c>
      <c r="X1322" s="8" t="s">
        <v>240</v>
      </c>
      <c r="Y1322" s="8" t="s">
        <v>240</v>
      </c>
      <c r="Z1322" s="6" t="b">
        <v>0</v>
      </c>
      <c r="AA1322" s="9"/>
      <c r="AB1322" s="9"/>
    </row>
    <row r="1323" spans="1:28" ht="16">
      <c r="A1323" s="6">
        <v>1458</v>
      </c>
      <c r="B1323" s="8" t="s">
        <v>194</v>
      </c>
      <c r="C1323" s="8" t="s">
        <v>2025</v>
      </c>
      <c r="D1323" s="8" t="s">
        <v>2230</v>
      </c>
      <c r="E1323" s="8" t="s">
        <v>2229</v>
      </c>
      <c r="F1323" s="6">
        <v>1457</v>
      </c>
      <c r="G1323" s="6" t="b">
        <v>0</v>
      </c>
      <c r="H1323" s="8" t="s">
        <v>240</v>
      </c>
      <c r="I1323" s="6" t="b">
        <v>0</v>
      </c>
      <c r="J1323" s="6" t="b">
        <v>0</v>
      </c>
      <c r="K1323" s="6" t="b">
        <v>0</v>
      </c>
      <c r="L1323" s="6" t="b">
        <v>1</v>
      </c>
      <c r="M1323" s="6" t="b">
        <v>0</v>
      </c>
      <c r="N1323" s="6">
        <v>10</v>
      </c>
      <c r="O1323" s="8" t="s">
        <v>237</v>
      </c>
      <c r="P1323" s="8" t="s">
        <v>1678</v>
      </c>
      <c r="Q1323" s="8" t="s">
        <v>446</v>
      </c>
      <c r="R1323" s="6">
        <v>10</v>
      </c>
      <c r="S1323" s="8" t="s">
        <v>75</v>
      </c>
      <c r="T1323" s="9"/>
      <c r="U1323" s="8" t="s">
        <v>240</v>
      </c>
      <c r="V1323" s="8" t="s">
        <v>1696</v>
      </c>
      <c r="W1323" s="8" t="s">
        <v>240</v>
      </c>
      <c r="X1323" s="8" t="s">
        <v>240</v>
      </c>
      <c r="Y1323" s="8" t="s">
        <v>2231</v>
      </c>
      <c r="Z1323" s="6" t="b">
        <v>0</v>
      </c>
      <c r="AA1323" s="9"/>
      <c r="AB1323" s="9"/>
    </row>
    <row r="1324" spans="1:28" ht="16">
      <c r="A1324" s="6">
        <v>1459</v>
      </c>
      <c r="B1324" s="8" t="s">
        <v>194</v>
      </c>
      <c r="C1324" s="8" t="s">
        <v>90</v>
      </c>
      <c r="D1324" s="8" t="s">
        <v>2232</v>
      </c>
      <c r="E1324" s="8" t="s">
        <v>2232</v>
      </c>
      <c r="F1324" s="6">
        <v>1459</v>
      </c>
      <c r="G1324" s="6" t="b">
        <v>0</v>
      </c>
      <c r="H1324" s="8" t="s">
        <v>240</v>
      </c>
      <c r="I1324" s="6" t="b">
        <v>1</v>
      </c>
      <c r="J1324" s="6" t="b">
        <v>0</v>
      </c>
      <c r="K1324" s="6" t="b">
        <v>0</v>
      </c>
      <c r="L1324" s="6" t="b">
        <v>1</v>
      </c>
      <c r="M1324" s="6" t="b">
        <v>0</v>
      </c>
      <c r="N1324" s="6">
        <v>6</v>
      </c>
      <c r="O1324" s="8" t="s">
        <v>331</v>
      </c>
      <c r="P1324" s="8" t="s">
        <v>2094</v>
      </c>
      <c r="Q1324" s="8" t="s">
        <v>446</v>
      </c>
      <c r="R1324" s="6">
        <v>6</v>
      </c>
      <c r="S1324" s="8" t="s">
        <v>75</v>
      </c>
      <c r="T1324" s="9"/>
      <c r="U1324" s="8" t="s">
        <v>240</v>
      </c>
      <c r="V1324" s="8" t="s">
        <v>240</v>
      </c>
      <c r="W1324" s="8" t="s">
        <v>483</v>
      </c>
      <c r="X1324" s="8" t="s">
        <v>240</v>
      </c>
      <c r="Y1324" s="8" t="s">
        <v>2233</v>
      </c>
      <c r="Z1324" s="6" t="b">
        <v>0</v>
      </c>
      <c r="AA1324" s="9"/>
      <c r="AB1324" s="9"/>
    </row>
    <row r="1325" spans="1:28" ht="16">
      <c r="A1325" s="6">
        <v>1460</v>
      </c>
      <c r="B1325" s="8" t="s">
        <v>194</v>
      </c>
      <c r="C1325" s="8" t="s">
        <v>90</v>
      </c>
      <c r="D1325" s="8" t="s">
        <v>2234</v>
      </c>
      <c r="E1325" s="8" t="s">
        <v>2232</v>
      </c>
      <c r="F1325" s="6">
        <v>1459</v>
      </c>
      <c r="G1325" s="6" t="b">
        <v>0</v>
      </c>
      <c r="H1325" s="8" t="s">
        <v>240</v>
      </c>
      <c r="I1325" s="6" t="b">
        <v>1</v>
      </c>
      <c r="J1325" s="6" t="b">
        <v>0</v>
      </c>
      <c r="K1325" s="6" t="b">
        <v>0</v>
      </c>
      <c r="L1325" s="6" t="b">
        <v>1</v>
      </c>
      <c r="M1325" s="6" t="b">
        <v>0</v>
      </c>
      <c r="N1325" s="6">
        <v>6</v>
      </c>
      <c r="O1325" s="8" t="s">
        <v>331</v>
      </c>
      <c r="P1325" s="8" t="s">
        <v>255</v>
      </c>
      <c r="Q1325" s="8" t="s">
        <v>335</v>
      </c>
      <c r="R1325" s="6">
        <v>1.7</v>
      </c>
      <c r="S1325" s="8" t="s">
        <v>247</v>
      </c>
      <c r="T1325" s="6">
        <v>4</v>
      </c>
      <c r="U1325" s="8" t="s">
        <v>240</v>
      </c>
      <c r="V1325" s="8" t="s">
        <v>240</v>
      </c>
      <c r="W1325" s="8" t="s">
        <v>483</v>
      </c>
      <c r="X1325" s="8" t="s">
        <v>240</v>
      </c>
      <c r="Y1325" s="8" t="s">
        <v>2235</v>
      </c>
      <c r="Z1325" s="6" t="b">
        <v>0</v>
      </c>
      <c r="AA1325" s="9"/>
      <c r="AB1325" s="9"/>
    </row>
    <row r="1326" spans="1:28" ht="16">
      <c r="A1326" s="6">
        <v>1461</v>
      </c>
      <c r="B1326" s="8" t="s">
        <v>194</v>
      </c>
      <c r="C1326" s="8" t="s">
        <v>90</v>
      </c>
      <c r="D1326" s="8" t="s">
        <v>2236</v>
      </c>
      <c r="E1326" s="8" t="s">
        <v>2236</v>
      </c>
      <c r="F1326" s="6">
        <v>1461</v>
      </c>
      <c r="G1326" s="6" t="b">
        <v>0</v>
      </c>
      <c r="H1326" s="8" t="s">
        <v>240</v>
      </c>
      <c r="I1326" s="6" t="b">
        <v>0</v>
      </c>
      <c r="J1326" s="6" t="b">
        <v>1</v>
      </c>
      <c r="K1326" s="6" t="b">
        <v>0</v>
      </c>
      <c r="L1326" s="6" t="b">
        <v>1</v>
      </c>
      <c r="M1326" s="6" t="b">
        <v>0</v>
      </c>
      <c r="N1326" s="6">
        <v>6</v>
      </c>
      <c r="O1326" s="8" t="s">
        <v>331</v>
      </c>
      <c r="P1326" s="8" t="s">
        <v>380</v>
      </c>
      <c r="Q1326" s="8" t="s">
        <v>446</v>
      </c>
      <c r="R1326" s="6">
        <v>6</v>
      </c>
      <c r="S1326" s="8" t="s">
        <v>75</v>
      </c>
      <c r="T1326" s="9"/>
      <c r="U1326" s="8" t="s">
        <v>2237</v>
      </c>
      <c r="V1326" s="8" t="s">
        <v>240</v>
      </c>
      <c r="W1326" s="8" t="s">
        <v>240</v>
      </c>
      <c r="X1326" s="8" t="s">
        <v>240</v>
      </c>
      <c r="Y1326" s="8" t="s">
        <v>240</v>
      </c>
      <c r="Z1326" s="6" t="b">
        <v>0</v>
      </c>
      <c r="AA1326" s="9"/>
      <c r="AB1326" s="9"/>
    </row>
    <row r="1327" spans="1:28" ht="16">
      <c r="A1327" s="6">
        <v>1462</v>
      </c>
      <c r="B1327" s="8" t="s">
        <v>194</v>
      </c>
      <c r="C1327" s="8" t="s">
        <v>90</v>
      </c>
      <c r="D1327" s="8" t="s">
        <v>2238</v>
      </c>
      <c r="E1327" s="8" t="s">
        <v>2238</v>
      </c>
      <c r="F1327" s="6">
        <v>1462</v>
      </c>
      <c r="G1327" s="6" t="b">
        <v>0</v>
      </c>
      <c r="H1327" s="8" t="s">
        <v>240</v>
      </c>
      <c r="I1327" s="6" t="b">
        <v>0</v>
      </c>
      <c r="J1327" s="6" t="b">
        <v>1</v>
      </c>
      <c r="K1327" s="6" t="b">
        <v>0</v>
      </c>
      <c r="L1327" s="6" t="b">
        <v>1</v>
      </c>
      <c r="M1327" s="6" t="b">
        <v>0</v>
      </c>
      <c r="N1327" s="6">
        <v>6</v>
      </c>
      <c r="O1327" s="8" t="s">
        <v>331</v>
      </c>
      <c r="P1327" s="8" t="s">
        <v>380</v>
      </c>
      <c r="Q1327" s="8" t="s">
        <v>446</v>
      </c>
      <c r="R1327" s="6">
        <v>6</v>
      </c>
      <c r="S1327" s="8" t="s">
        <v>75</v>
      </c>
      <c r="T1327" s="9"/>
      <c r="U1327" s="8" t="s">
        <v>240</v>
      </c>
      <c r="V1327" s="8" t="s">
        <v>496</v>
      </c>
      <c r="W1327" s="8" t="s">
        <v>240</v>
      </c>
      <c r="X1327" s="8" t="s">
        <v>240</v>
      </c>
      <c r="Y1327" s="8" t="s">
        <v>2239</v>
      </c>
      <c r="Z1327" s="6" t="b">
        <v>0</v>
      </c>
      <c r="AA1327" s="9"/>
      <c r="AB1327" s="9"/>
    </row>
    <row r="1328" spans="1:28" ht="32">
      <c r="A1328" s="6">
        <v>1463</v>
      </c>
      <c r="B1328" s="8" t="s">
        <v>194</v>
      </c>
      <c r="C1328" s="8" t="s">
        <v>90</v>
      </c>
      <c r="D1328" s="8" t="s">
        <v>2240</v>
      </c>
      <c r="E1328" s="8" t="s">
        <v>2238</v>
      </c>
      <c r="F1328" s="6">
        <v>1462</v>
      </c>
      <c r="G1328" s="6" t="b">
        <v>0</v>
      </c>
      <c r="H1328" s="8" t="s">
        <v>240</v>
      </c>
      <c r="I1328" s="6" t="b">
        <v>0</v>
      </c>
      <c r="J1328" s="6" t="b">
        <v>1</v>
      </c>
      <c r="K1328" s="6" t="b">
        <v>0</v>
      </c>
      <c r="L1328" s="6" t="b">
        <v>1</v>
      </c>
      <c r="M1328" s="6" t="b">
        <v>0</v>
      </c>
      <c r="N1328" s="6">
        <v>6</v>
      </c>
      <c r="O1328" s="8" t="s">
        <v>331</v>
      </c>
      <c r="P1328" s="8" t="s">
        <v>350</v>
      </c>
      <c r="Q1328" s="8" t="s">
        <v>335</v>
      </c>
      <c r="R1328" s="6">
        <v>5</v>
      </c>
      <c r="S1328" s="8" t="s">
        <v>335</v>
      </c>
      <c r="T1328" s="6">
        <v>5</v>
      </c>
      <c r="U1328" s="8" t="s">
        <v>2042</v>
      </c>
      <c r="V1328" s="8" t="s">
        <v>496</v>
      </c>
      <c r="W1328" s="8" t="s">
        <v>240</v>
      </c>
      <c r="X1328" s="8" t="s">
        <v>240</v>
      </c>
      <c r="Y1328" s="8" t="s">
        <v>240</v>
      </c>
      <c r="Z1328" s="6" t="b">
        <v>0</v>
      </c>
      <c r="AA1328" s="9"/>
      <c r="AB1328" s="9"/>
    </row>
    <row r="1329" spans="1:28" ht="32">
      <c r="A1329" s="6">
        <v>1464</v>
      </c>
      <c r="B1329" s="8" t="s">
        <v>194</v>
      </c>
      <c r="C1329" s="8" t="s">
        <v>90</v>
      </c>
      <c r="D1329" s="8" t="s">
        <v>2241</v>
      </c>
      <c r="E1329" s="8" t="s">
        <v>2241</v>
      </c>
      <c r="F1329" s="6">
        <v>1464</v>
      </c>
      <c r="G1329" s="6" t="b">
        <v>0</v>
      </c>
      <c r="H1329" s="8" t="s">
        <v>240</v>
      </c>
      <c r="I1329" s="6" t="b">
        <v>0</v>
      </c>
      <c r="J1329" s="6" t="b">
        <v>0</v>
      </c>
      <c r="K1329" s="6" t="b">
        <v>0</v>
      </c>
      <c r="L1329" s="6" t="b">
        <v>1</v>
      </c>
      <c r="M1329" s="6" t="b">
        <v>0</v>
      </c>
      <c r="N1329" s="6">
        <v>6</v>
      </c>
      <c r="O1329" s="8" t="s">
        <v>331</v>
      </c>
      <c r="P1329" s="8" t="s">
        <v>350</v>
      </c>
      <c r="Q1329" s="8" t="s">
        <v>811</v>
      </c>
      <c r="R1329" s="6">
        <v>2</v>
      </c>
      <c r="S1329" s="8" t="s">
        <v>347</v>
      </c>
      <c r="T1329" s="6">
        <v>2</v>
      </c>
      <c r="U1329" s="8" t="s">
        <v>240</v>
      </c>
      <c r="V1329" s="8" t="s">
        <v>450</v>
      </c>
      <c r="W1329" s="8" t="s">
        <v>386</v>
      </c>
      <c r="X1329" s="8" t="s">
        <v>240</v>
      </c>
      <c r="Y1329" s="8" t="s">
        <v>2242</v>
      </c>
      <c r="Z1329" s="6" t="b">
        <v>0</v>
      </c>
      <c r="AA1329" s="9"/>
      <c r="AB1329" s="9"/>
    </row>
    <row r="1330" spans="1:28" ht="16">
      <c r="A1330" s="6">
        <v>1465</v>
      </c>
      <c r="B1330" s="8" t="s">
        <v>194</v>
      </c>
      <c r="C1330" s="8" t="s">
        <v>90</v>
      </c>
      <c r="D1330" s="8" t="s">
        <v>2243</v>
      </c>
      <c r="E1330" s="8" t="s">
        <v>2243</v>
      </c>
      <c r="F1330" s="6">
        <v>1465</v>
      </c>
      <c r="G1330" s="6" t="b">
        <v>0</v>
      </c>
      <c r="H1330" s="8" t="s">
        <v>240</v>
      </c>
      <c r="I1330" s="6" t="b">
        <v>0</v>
      </c>
      <c r="J1330" s="6" t="b">
        <v>0</v>
      </c>
      <c r="K1330" s="6" t="b">
        <v>0</v>
      </c>
      <c r="L1330" s="6" t="b">
        <v>1</v>
      </c>
      <c r="M1330" s="6" t="b">
        <v>0</v>
      </c>
      <c r="N1330" s="6">
        <v>6</v>
      </c>
      <c r="O1330" s="8" t="s">
        <v>331</v>
      </c>
      <c r="P1330" s="8" t="s">
        <v>350</v>
      </c>
      <c r="Q1330" s="8" t="s">
        <v>446</v>
      </c>
      <c r="R1330" s="6">
        <v>6</v>
      </c>
      <c r="S1330" s="8" t="s">
        <v>75</v>
      </c>
      <c r="T1330" s="9"/>
      <c r="U1330" s="8" t="s">
        <v>240</v>
      </c>
      <c r="V1330" s="8" t="s">
        <v>450</v>
      </c>
      <c r="W1330" s="8" t="s">
        <v>240</v>
      </c>
      <c r="X1330" s="8" t="s">
        <v>240</v>
      </c>
      <c r="Y1330" s="8" t="s">
        <v>240</v>
      </c>
      <c r="Z1330" s="6" t="b">
        <v>0</v>
      </c>
      <c r="AA1330" s="9"/>
      <c r="AB1330" s="9"/>
    </row>
    <row r="1331" spans="1:28" ht="16">
      <c r="A1331" s="6">
        <v>1466</v>
      </c>
      <c r="B1331" s="8" t="s">
        <v>194</v>
      </c>
      <c r="C1331" s="8" t="s">
        <v>90</v>
      </c>
      <c r="D1331" s="8" t="s">
        <v>2244</v>
      </c>
      <c r="E1331" s="8" t="s">
        <v>2244</v>
      </c>
      <c r="F1331" s="6">
        <v>1466</v>
      </c>
      <c r="G1331" s="6" t="b">
        <v>0</v>
      </c>
      <c r="H1331" s="8" t="s">
        <v>240</v>
      </c>
      <c r="I1331" s="6" t="b">
        <v>0</v>
      </c>
      <c r="J1331" s="6" t="b">
        <v>1</v>
      </c>
      <c r="K1331" s="6" t="b">
        <v>0</v>
      </c>
      <c r="L1331" s="6" t="b">
        <v>1</v>
      </c>
      <c r="M1331" s="6" t="b">
        <v>0</v>
      </c>
      <c r="N1331" s="6">
        <v>6</v>
      </c>
      <c r="O1331" s="8" t="s">
        <v>331</v>
      </c>
      <c r="P1331" s="8" t="s">
        <v>350</v>
      </c>
      <c r="Q1331" s="8" t="s">
        <v>446</v>
      </c>
      <c r="R1331" s="6">
        <v>2</v>
      </c>
      <c r="S1331" s="8" t="s">
        <v>347</v>
      </c>
      <c r="T1331" s="9"/>
      <c r="U1331" s="8" t="s">
        <v>240</v>
      </c>
      <c r="V1331" s="8" t="s">
        <v>240</v>
      </c>
      <c r="W1331" s="8" t="s">
        <v>240</v>
      </c>
      <c r="X1331" s="8" t="s">
        <v>240</v>
      </c>
      <c r="Y1331" s="8" t="s">
        <v>240</v>
      </c>
      <c r="Z1331" s="6" t="b">
        <v>0</v>
      </c>
      <c r="AA1331" s="9"/>
      <c r="AB1331" s="9"/>
    </row>
    <row r="1332" spans="1:28" ht="32">
      <c r="A1332" s="6">
        <v>1467</v>
      </c>
      <c r="B1332" s="8" t="s">
        <v>194</v>
      </c>
      <c r="C1332" s="8" t="s">
        <v>90</v>
      </c>
      <c r="D1332" s="8" t="s">
        <v>2245</v>
      </c>
      <c r="E1332" s="8" t="s">
        <v>2244</v>
      </c>
      <c r="F1332" s="6">
        <v>1466</v>
      </c>
      <c r="G1332" s="6" t="b">
        <v>0</v>
      </c>
      <c r="H1332" s="8" t="s">
        <v>240</v>
      </c>
      <c r="I1332" s="6" t="b">
        <v>0</v>
      </c>
      <c r="J1332" s="6" t="b">
        <v>1</v>
      </c>
      <c r="K1332" s="6" t="b">
        <v>0</v>
      </c>
      <c r="L1332" s="6" t="b">
        <v>1</v>
      </c>
      <c r="M1332" s="6" t="b">
        <v>0</v>
      </c>
      <c r="N1332" s="6">
        <v>6</v>
      </c>
      <c r="O1332" s="8" t="s">
        <v>331</v>
      </c>
      <c r="P1332" s="8" t="s">
        <v>350</v>
      </c>
      <c r="Q1332" s="8" t="s">
        <v>446</v>
      </c>
      <c r="R1332" s="6">
        <v>6</v>
      </c>
      <c r="S1332" s="8" t="s">
        <v>335</v>
      </c>
      <c r="T1332" s="6">
        <v>6</v>
      </c>
      <c r="U1332" s="8" t="s">
        <v>240</v>
      </c>
      <c r="V1332" s="8" t="s">
        <v>240</v>
      </c>
      <c r="W1332" s="8" t="s">
        <v>240</v>
      </c>
      <c r="X1332" s="8" t="s">
        <v>240</v>
      </c>
      <c r="Y1332" s="8" t="s">
        <v>240</v>
      </c>
      <c r="Z1332" s="6" t="b">
        <v>0</v>
      </c>
      <c r="AA1332" s="9"/>
      <c r="AB1332" s="9"/>
    </row>
    <row r="1333" spans="1:28" ht="16">
      <c r="A1333" s="6">
        <v>1468</v>
      </c>
      <c r="B1333" s="8" t="s">
        <v>194</v>
      </c>
      <c r="C1333" s="8" t="s">
        <v>2246</v>
      </c>
      <c r="D1333" s="8" t="s">
        <v>2247</v>
      </c>
      <c r="E1333" s="8" t="s">
        <v>2247</v>
      </c>
      <c r="F1333" s="6">
        <v>1468</v>
      </c>
      <c r="G1333" s="6" t="b">
        <v>0</v>
      </c>
      <c r="H1333" s="8" t="s">
        <v>240</v>
      </c>
      <c r="I1333" s="6" t="b">
        <v>0</v>
      </c>
      <c r="J1333" s="6" t="b">
        <v>0</v>
      </c>
      <c r="K1333" s="6" t="b">
        <v>0</v>
      </c>
      <c r="L1333" s="6" t="b">
        <v>1</v>
      </c>
      <c r="M1333" s="6" t="b">
        <v>0</v>
      </c>
      <c r="N1333" s="6">
        <v>10</v>
      </c>
      <c r="O1333" s="8" t="s">
        <v>347</v>
      </c>
      <c r="P1333" s="8" t="s">
        <v>240</v>
      </c>
      <c r="Q1333" s="8" t="s">
        <v>240</v>
      </c>
      <c r="R1333" s="6">
        <v>10</v>
      </c>
      <c r="S1333" s="8" t="s">
        <v>75</v>
      </c>
      <c r="T1333" s="9"/>
      <c r="U1333" s="8" t="s">
        <v>240</v>
      </c>
      <c r="V1333" s="8" t="s">
        <v>240</v>
      </c>
      <c r="W1333" s="8" t="s">
        <v>240</v>
      </c>
      <c r="X1333" s="8" t="s">
        <v>240</v>
      </c>
      <c r="Y1333" s="8" t="s">
        <v>2248</v>
      </c>
      <c r="Z1333" s="6" t="b">
        <v>0</v>
      </c>
      <c r="AA1333" s="9"/>
      <c r="AB1333" s="9"/>
    </row>
    <row r="1334" spans="1:28" ht="16">
      <c r="A1334" s="6">
        <v>1469</v>
      </c>
      <c r="B1334" s="8" t="s">
        <v>194</v>
      </c>
      <c r="C1334" s="8" t="s">
        <v>2246</v>
      </c>
      <c r="D1334" s="8" t="s">
        <v>2249</v>
      </c>
      <c r="E1334" s="8" t="s">
        <v>2247</v>
      </c>
      <c r="F1334" s="6">
        <v>1468</v>
      </c>
      <c r="G1334" s="6" t="b">
        <v>0</v>
      </c>
      <c r="H1334" s="8" t="s">
        <v>240</v>
      </c>
      <c r="I1334" s="6" t="b">
        <v>0</v>
      </c>
      <c r="J1334" s="6" t="b">
        <v>0</v>
      </c>
      <c r="K1334" s="6" t="b">
        <v>0</v>
      </c>
      <c r="L1334" s="6" t="b">
        <v>1</v>
      </c>
      <c r="M1334" s="6" t="b">
        <v>0</v>
      </c>
      <c r="N1334" s="6">
        <v>10</v>
      </c>
      <c r="O1334" s="8" t="s">
        <v>347</v>
      </c>
      <c r="P1334" s="8" t="s">
        <v>240</v>
      </c>
      <c r="Q1334" s="8" t="s">
        <v>240</v>
      </c>
      <c r="R1334" s="6">
        <v>10</v>
      </c>
      <c r="S1334" s="8" t="s">
        <v>75</v>
      </c>
      <c r="T1334" s="9"/>
      <c r="U1334" s="8" t="s">
        <v>240</v>
      </c>
      <c r="V1334" s="8" t="s">
        <v>240</v>
      </c>
      <c r="W1334" s="8" t="s">
        <v>240</v>
      </c>
      <c r="X1334" s="8" t="s">
        <v>240</v>
      </c>
      <c r="Y1334" s="8" t="s">
        <v>2250</v>
      </c>
      <c r="Z1334" s="6" t="b">
        <v>0</v>
      </c>
      <c r="AA1334" s="9"/>
      <c r="AB1334" s="9"/>
    </row>
    <row r="1335" spans="1:28" ht="16">
      <c r="A1335" s="6">
        <v>1470</v>
      </c>
      <c r="B1335" s="8" t="s">
        <v>194</v>
      </c>
      <c r="C1335" s="8" t="s">
        <v>2246</v>
      </c>
      <c r="D1335" s="8" t="s">
        <v>2246</v>
      </c>
      <c r="E1335" s="8" t="s">
        <v>2246</v>
      </c>
      <c r="F1335" s="6">
        <v>1470</v>
      </c>
      <c r="G1335" s="6" t="b">
        <v>0</v>
      </c>
      <c r="H1335" s="8" t="s">
        <v>240</v>
      </c>
      <c r="I1335" s="6" t="b">
        <v>0</v>
      </c>
      <c r="J1335" s="6" t="b">
        <v>0</v>
      </c>
      <c r="K1335" s="6" t="b">
        <v>0</v>
      </c>
      <c r="L1335" s="6" t="b">
        <v>1</v>
      </c>
      <c r="M1335" s="6" t="b">
        <v>0</v>
      </c>
      <c r="N1335" s="6">
        <v>10</v>
      </c>
      <c r="O1335" s="8" t="s">
        <v>347</v>
      </c>
      <c r="P1335" s="8" t="s">
        <v>350</v>
      </c>
      <c r="Q1335" s="8" t="s">
        <v>388</v>
      </c>
      <c r="R1335" s="6">
        <v>10</v>
      </c>
      <c r="S1335" s="8" t="s">
        <v>75</v>
      </c>
      <c r="T1335" s="9"/>
      <c r="U1335" s="8" t="s">
        <v>240</v>
      </c>
      <c r="V1335" s="8" t="s">
        <v>240</v>
      </c>
      <c r="W1335" s="8" t="s">
        <v>240</v>
      </c>
      <c r="X1335" s="8" t="s">
        <v>240</v>
      </c>
      <c r="Y1335" s="8" t="s">
        <v>240</v>
      </c>
      <c r="Z1335" s="6" t="b">
        <v>0</v>
      </c>
      <c r="AA1335" s="9"/>
      <c r="AB1335" s="9"/>
    </row>
    <row r="1336" spans="1:28" ht="16">
      <c r="A1336" s="6">
        <v>1471</v>
      </c>
      <c r="B1336" s="8" t="s">
        <v>194</v>
      </c>
      <c r="C1336" s="8" t="s">
        <v>1758</v>
      </c>
      <c r="D1336" s="8" t="s">
        <v>1758</v>
      </c>
      <c r="E1336" s="8" t="s">
        <v>1758</v>
      </c>
      <c r="F1336" s="6">
        <v>1471</v>
      </c>
      <c r="G1336" s="6" t="b">
        <v>0</v>
      </c>
      <c r="H1336" s="8" t="s">
        <v>240</v>
      </c>
      <c r="I1336" s="6" t="b">
        <v>0</v>
      </c>
      <c r="J1336" s="6" t="b">
        <v>0</v>
      </c>
      <c r="K1336" s="6" t="b">
        <v>0</v>
      </c>
      <c r="L1336" s="6" t="b">
        <v>1</v>
      </c>
      <c r="M1336" s="6" t="b">
        <v>0</v>
      </c>
      <c r="N1336" s="6">
        <v>6</v>
      </c>
      <c r="O1336" s="8" t="s">
        <v>331</v>
      </c>
      <c r="P1336" s="8" t="s">
        <v>1176</v>
      </c>
      <c r="Q1336" s="8" t="s">
        <v>381</v>
      </c>
      <c r="R1336" s="6">
        <v>6</v>
      </c>
      <c r="S1336" s="8" t="s">
        <v>331</v>
      </c>
      <c r="T1336" s="6">
        <v>5</v>
      </c>
      <c r="U1336" s="8" t="s">
        <v>240</v>
      </c>
      <c r="V1336" s="8" t="s">
        <v>1696</v>
      </c>
      <c r="W1336" s="8" t="s">
        <v>240</v>
      </c>
      <c r="X1336" s="8" t="s">
        <v>240</v>
      </c>
      <c r="Y1336" s="8" t="s">
        <v>2251</v>
      </c>
      <c r="Z1336" s="6" t="b">
        <v>0</v>
      </c>
      <c r="AA1336" s="9"/>
      <c r="AB1336" s="9"/>
    </row>
    <row r="1337" spans="1:28" ht="32">
      <c r="A1337" s="6">
        <v>1472</v>
      </c>
      <c r="B1337" s="8" t="s">
        <v>194</v>
      </c>
      <c r="C1337" s="8" t="s">
        <v>1758</v>
      </c>
      <c r="D1337" s="8" t="s">
        <v>2252</v>
      </c>
      <c r="E1337" s="8" t="s">
        <v>2252</v>
      </c>
      <c r="F1337" s="6">
        <v>1472</v>
      </c>
      <c r="G1337" s="6" t="b">
        <v>0</v>
      </c>
      <c r="H1337" s="8" t="s">
        <v>240</v>
      </c>
      <c r="I1337" s="6" t="b">
        <v>0</v>
      </c>
      <c r="J1337" s="6" t="b">
        <v>0</v>
      </c>
      <c r="K1337" s="6" t="b">
        <v>0</v>
      </c>
      <c r="L1337" s="6" t="b">
        <v>1</v>
      </c>
      <c r="M1337" s="6" t="b">
        <v>0</v>
      </c>
      <c r="N1337" s="6">
        <v>6</v>
      </c>
      <c r="O1337" s="8" t="s">
        <v>331</v>
      </c>
      <c r="P1337" s="8" t="s">
        <v>1177</v>
      </c>
      <c r="Q1337" s="8" t="s">
        <v>334</v>
      </c>
      <c r="R1337" s="6">
        <v>5</v>
      </c>
      <c r="S1337" s="8" t="s">
        <v>347</v>
      </c>
      <c r="T1337" s="6">
        <v>5</v>
      </c>
      <c r="U1337" s="8" t="s">
        <v>240</v>
      </c>
      <c r="V1337" s="8" t="s">
        <v>1696</v>
      </c>
      <c r="W1337" s="8" t="s">
        <v>240</v>
      </c>
      <c r="X1337" s="8" t="s">
        <v>240</v>
      </c>
      <c r="Y1337" s="8" t="s">
        <v>2253</v>
      </c>
      <c r="Z1337" s="6" t="b">
        <v>0</v>
      </c>
      <c r="AA1337" s="9"/>
      <c r="AB1337" s="9"/>
    </row>
    <row r="1338" spans="1:28" ht="16">
      <c r="A1338" s="6">
        <v>1473</v>
      </c>
      <c r="B1338" s="8" t="s">
        <v>194</v>
      </c>
      <c r="C1338" s="8" t="s">
        <v>2254</v>
      </c>
      <c r="D1338" s="8" t="s">
        <v>2254</v>
      </c>
      <c r="E1338" s="8" t="s">
        <v>2254</v>
      </c>
      <c r="F1338" s="6">
        <v>1473</v>
      </c>
      <c r="G1338" s="6" t="b">
        <v>0</v>
      </c>
      <c r="H1338" s="8" t="s">
        <v>240</v>
      </c>
      <c r="I1338" s="6" t="b">
        <v>0</v>
      </c>
      <c r="J1338" s="6" t="b">
        <v>0</v>
      </c>
      <c r="K1338" s="6" t="b">
        <v>0</v>
      </c>
      <c r="L1338" s="6" t="b">
        <v>1</v>
      </c>
      <c r="M1338" s="6" t="b">
        <v>0</v>
      </c>
      <c r="N1338" s="6">
        <v>5</v>
      </c>
      <c r="O1338" s="8" t="s">
        <v>247</v>
      </c>
      <c r="P1338" s="8" t="s">
        <v>240</v>
      </c>
      <c r="Q1338" s="8" t="s">
        <v>240</v>
      </c>
      <c r="R1338" s="6">
        <v>5</v>
      </c>
      <c r="S1338" s="8" t="s">
        <v>75</v>
      </c>
      <c r="T1338" s="9"/>
      <c r="U1338" s="8" t="s">
        <v>240</v>
      </c>
      <c r="V1338" s="8" t="s">
        <v>1696</v>
      </c>
      <c r="W1338" s="8" t="s">
        <v>240</v>
      </c>
      <c r="X1338" s="8" t="s">
        <v>240</v>
      </c>
      <c r="Y1338" s="8" t="s">
        <v>240</v>
      </c>
      <c r="Z1338" s="6" t="b">
        <v>0</v>
      </c>
      <c r="AA1338" s="9"/>
      <c r="AB1338" s="9"/>
    </row>
    <row r="1339" spans="1:28" ht="16">
      <c r="A1339" s="6">
        <v>1474</v>
      </c>
      <c r="B1339" s="8" t="s">
        <v>194</v>
      </c>
      <c r="C1339" s="8" t="s">
        <v>90</v>
      </c>
      <c r="D1339" s="8" t="s">
        <v>2255</v>
      </c>
      <c r="E1339" s="8" t="s">
        <v>2255</v>
      </c>
      <c r="F1339" s="6">
        <v>1474</v>
      </c>
      <c r="G1339" s="6" t="b">
        <v>0</v>
      </c>
      <c r="H1339" s="8" t="s">
        <v>240</v>
      </c>
      <c r="I1339" s="6" t="b">
        <v>0</v>
      </c>
      <c r="J1339" s="6" t="b">
        <v>0</v>
      </c>
      <c r="K1339" s="6" t="b">
        <v>1</v>
      </c>
      <c r="L1339" s="6" t="b">
        <v>1</v>
      </c>
      <c r="M1339" s="6" t="b">
        <v>0</v>
      </c>
      <c r="N1339" s="6">
        <v>6</v>
      </c>
      <c r="O1339" s="8" t="s">
        <v>331</v>
      </c>
      <c r="P1339" s="8" t="s">
        <v>238</v>
      </c>
      <c r="Q1339" s="8" t="s">
        <v>575</v>
      </c>
      <c r="R1339" s="6">
        <v>10</v>
      </c>
      <c r="S1339" s="8" t="s">
        <v>347</v>
      </c>
      <c r="T1339" s="9"/>
      <c r="U1339" s="8" t="s">
        <v>240</v>
      </c>
      <c r="V1339" s="8" t="s">
        <v>450</v>
      </c>
      <c r="W1339" s="8" t="s">
        <v>240</v>
      </c>
      <c r="X1339" s="8" t="s">
        <v>240</v>
      </c>
      <c r="Y1339" s="8" t="s">
        <v>240</v>
      </c>
      <c r="Z1339" s="6" t="b">
        <v>0</v>
      </c>
      <c r="AA1339" s="9"/>
      <c r="AB1339" s="9"/>
    </row>
    <row r="1340" spans="1:28" ht="32">
      <c r="A1340" s="6">
        <v>1475</v>
      </c>
      <c r="B1340" s="8" t="s">
        <v>194</v>
      </c>
      <c r="C1340" s="8" t="s">
        <v>90</v>
      </c>
      <c r="D1340" s="8" t="s">
        <v>2256</v>
      </c>
      <c r="E1340" s="8" t="s">
        <v>2255</v>
      </c>
      <c r="F1340" s="6">
        <v>1474</v>
      </c>
      <c r="G1340" s="6" t="b">
        <v>0</v>
      </c>
      <c r="H1340" s="8" t="s">
        <v>240</v>
      </c>
      <c r="I1340" s="6" t="b">
        <v>0</v>
      </c>
      <c r="J1340" s="6" t="b">
        <v>0</v>
      </c>
      <c r="K1340" s="6" t="b">
        <v>1</v>
      </c>
      <c r="L1340" s="6" t="b">
        <v>1</v>
      </c>
      <c r="M1340" s="6" t="b">
        <v>0</v>
      </c>
      <c r="N1340" s="6">
        <v>6</v>
      </c>
      <c r="O1340" s="8" t="s">
        <v>331</v>
      </c>
      <c r="P1340" s="8" t="s">
        <v>238</v>
      </c>
      <c r="Q1340" s="8" t="s">
        <v>575</v>
      </c>
      <c r="R1340" s="6">
        <v>6</v>
      </c>
      <c r="S1340" s="8" t="s">
        <v>75</v>
      </c>
      <c r="T1340" s="9"/>
      <c r="U1340" s="8" t="s">
        <v>240</v>
      </c>
      <c r="V1340" s="8" t="s">
        <v>450</v>
      </c>
      <c r="W1340" s="8" t="s">
        <v>240</v>
      </c>
      <c r="X1340" s="8" t="s">
        <v>240</v>
      </c>
      <c r="Y1340" s="8" t="s">
        <v>240</v>
      </c>
      <c r="Z1340" s="6" t="b">
        <v>0</v>
      </c>
      <c r="AA1340" s="9"/>
      <c r="AB1340" s="9"/>
    </row>
    <row r="1341" spans="1:28" ht="32">
      <c r="A1341" s="6">
        <v>1476</v>
      </c>
      <c r="B1341" s="8" t="s">
        <v>194</v>
      </c>
      <c r="C1341" s="8" t="s">
        <v>90</v>
      </c>
      <c r="D1341" s="8" t="s">
        <v>2257</v>
      </c>
      <c r="E1341" s="8" t="s">
        <v>2255</v>
      </c>
      <c r="F1341" s="6">
        <v>1474</v>
      </c>
      <c r="G1341" s="6" t="b">
        <v>0</v>
      </c>
      <c r="H1341" s="8" t="s">
        <v>240</v>
      </c>
      <c r="I1341" s="6" t="b">
        <v>0</v>
      </c>
      <c r="J1341" s="6" t="b">
        <v>0</v>
      </c>
      <c r="K1341" s="6" t="b">
        <v>1</v>
      </c>
      <c r="L1341" s="6" t="b">
        <v>1</v>
      </c>
      <c r="M1341" s="6" t="b">
        <v>0</v>
      </c>
      <c r="N1341" s="6">
        <v>6</v>
      </c>
      <c r="O1341" s="8" t="s">
        <v>331</v>
      </c>
      <c r="P1341" s="8" t="s">
        <v>238</v>
      </c>
      <c r="Q1341" s="8" t="s">
        <v>575</v>
      </c>
      <c r="R1341" s="6">
        <v>6</v>
      </c>
      <c r="S1341" s="8" t="s">
        <v>75</v>
      </c>
      <c r="T1341" s="6">
        <v>10</v>
      </c>
      <c r="U1341" s="8" t="s">
        <v>240</v>
      </c>
      <c r="V1341" s="8" t="s">
        <v>450</v>
      </c>
      <c r="W1341" s="8" t="s">
        <v>240</v>
      </c>
      <c r="X1341" s="8" t="s">
        <v>240</v>
      </c>
      <c r="Y1341" s="8" t="s">
        <v>240</v>
      </c>
      <c r="Z1341" s="6" t="b">
        <v>0</v>
      </c>
      <c r="AA1341" s="9"/>
      <c r="AB1341" s="9"/>
    </row>
    <row r="1342" spans="1:28" ht="16">
      <c r="A1342" s="6">
        <v>1477</v>
      </c>
      <c r="B1342" s="8" t="s">
        <v>194</v>
      </c>
      <c r="C1342" s="8" t="s">
        <v>90</v>
      </c>
      <c r="D1342" s="8" t="s">
        <v>2258</v>
      </c>
      <c r="E1342" s="8" t="s">
        <v>2255</v>
      </c>
      <c r="F1342" s="6">
        <v>1474</v>
      </c>
      <c r="G1342" s="6" t="b">
        <v>0</v>
      </c>
      <c r="H1342" s="8" t="s">
        <v>240</v>
      </c>
      <c r="I1342" s="6" t="b">
        <v>0</v>
      </c>
      <c r="J1342" s="6" t="b">
        <v>0</v>
      </c>
      <c r="K1342" s="6" t="b">
        <v>1</v>
      </c>
      <c r="L1342" s="6" t="b">
        <v>1</v>
      </c>
      <c r="M1342" s="6" t="b">
        <v>0</v>
      </c>
      <c r="N1342" s="6">
        <v>6</v>
      </c>
      <c r="O1342" s="8" t="s">
        <v>331</v>
      </c>
      <c r="P1342" s="8" t="s">
        <v>238</v>
      </c>
      <c r="Q1342" s="8" t="s">
        <v>575</v>
      </c>
      <c r="R1342" s="6">
        <v>10</v>
      </c>
      <c r="S1342" s="8" t="s">
        <v>335</v>
      </c>
      <c r="T1342" s="6">
        <v>10</v>
      </c>
      <c r="U1342" s="8" t="s">
        <v>240</v>
      </c>
      <c r="V1342" s="8" t="s">
        <v>450</v>
      </c>
      <c r="W1342" s="8" t="s">
        <v>240</v>
      </c>
      <c r="X1342" s="8" t="s">
        <v>240</v>
      </c>
      <c r="Y1342" s="8" t="s">
        <v>240</v>
      </c>
      <c r="Z1342" s="6" t="b">
        <v>0</v>
      </c>
      <c r="AA1342" s="9"/>
      <c r="AB1342" s="9"/>
    </row>
    <row r="1343" spans="1:28" ht="32">
      <c r="A1343" s="6">
        <v>1478</v>
      </c>
      <c r="B1343" s="8" t="s">
        <v>194</v>
      </c>
      <c r="C1343" s="8" t="s">
        <v>90</v>
      </c>
      <c r="D1343" s="8" t="s">
        <v>2259</v>
      </c>
      <c r="E1343" s="8" t="s">
        <v>2259</v>
      </c>
      <c r="F1343" s="6">
        <v>1478</v>
      </c>
      <c r="G1343" s="6" t="b">
        <v>0</v>
      </c>
      <c r="H1343" s="8" t="s">
        <v>240</v>
      </c>
      <c r="I1343" s="6" t="b">
        <v>1</v>
      </c>
      <c r="J1343" s="6" t="b">
        <v>0</v>
      </c>
      <c r="K1343" s="6" t="b">
        <v>0</v>
      </c>
      <c r="L1343" s="6" t="b">
        <v>1</v>
      </c>
      <c r="M1343" s="6" t="b">
        <v>0</v>
      </c>
      <c r="N1343" s="6">
        <v>6</v>
      </c>
      <c r="O1343" s="8" t="s">
        <v>331</v>
      </c>
      <c r="P1343" s="8" t="s">
        <v>255</v>
      </c>
      <c r="Q1343" s="8" t="s">
        <v>811</v>
      </c>
      <c r="R1343" s="6">
        <v>6</v>
      </c>
      <c r="S1343" s="8" t="s">
        <v>347</v>
      </c>
      <c r="T1343" s="6">
        <v>6</v>
      </c>
      <c r="U1343" s="8" t="s">
        <v>1728</v>
      </c>
      <c r="V1343" s="8" t="s">
        <v>1012</v>
      </c>
      <c r="W1343" s="8" t="s">
        <v>240</v>
      </c>
      <c r="X1343" s="8" t="s">
        <v>240</v>
      </c>
      <c r="Y1343" s="8" t="s">
        <v>2260</v>
      </c>
      <c r="Z1343" s="6" t="b">
        <v>0</v>
      </c>
      <c r="AA1343" s="9"/>
      <c r="AB1343" s="9"/>
    </row>
    <row r="1344" spans="1:28" ht="32">
      <c r="A1344" s="6">
        <v>1479</v>
      </c>
      <c r="B1344" s="8" t="s">
        <v>194</v>
      </c>
      <c r="C1344" s="8" t="s">
        <v>90</v>
      </c>
      <c r="D1344" s="8" t="s">
        <v>2261</v>
      </c>
      <c r="E1344" s="8" t="s">
        <v>2259</v>
      </c>
      <c r="F1344" s="6">
        <v>1478</v>
      </c>
      <c r="G1344" s="6" t="b">
        <v>0</v>
      </c>
      <c r="H1344" s="8" t="s">
        <v>240</v>
      </c>
      <c r="I1344" s="6" t="b">
        <v>1</v>
      </c>
      <c r="J1344" s="6" t="b">
        <v>0</v>
      </c>
      <c r="K1344" s="6" t="b">
        <v>0</v>
      </c>
      <c r="L1344" s="6" t="b">
        <v>1</v>
      </c>
      <c r="M1344" s="6" t="b">
        <v>0</v>
      </c>
      <c r="N1344" s="6">
        <v>6</v>
      </c>
      <c r="O1344" s="8" t="s">
        <v>331</v>
      </c>
      <c r="P1344" s="8" t="s">
        <v>255</v>
      </c>
      <c r="Q1344" s="8" t="s">
        <v>811</v>
      </c>
      <c r="R1344" s="6">
        <v>6</v>
      </c>
      <c r="S1344" s="8" t="s">
        <v>75</v>
      </c>
      <c r="T1344" s="9"/>
      <c r="U1344" s="8" t="s">
        <v>1012</v>
      </c>
      <c r="V1344" s="8" t="s">
        <v>1012</v>
      </c>
      <c r="W1344" s="8" t="s">
        <v>240</v>
      </c>
      <c r="X1344" s="8" t="s">
        <v>240</v>
      </c>
      <c r="Y1344" s="8" t="s">
        <v>240</v>
      </c>
      <c r="Z1344" s="6" t="b">
        <v>0</v>
      </c>
      <c r="AA1344" s="9"/>
      <c r="AB1344" s="9"/>
    </row>
    <row r="1345" spans="1:28" ht="16">
      <c r="A1345" s="6">
        <v>1480</v>
      </c>
      <c r="B1345" s="8" t="s">
        <v>194</v>
      </c>
      <c r="C1345" s="8" t="s">
        <v>90</v>
      </c>
      <c r="D1345" s="8" t="s">
        <v>2262</v>
      </c>
      <c r="E1345" s="8" t="s">
        <v>2259</v>
      </c>
      <c r="F1345" s="6">
        <v>1478</v>
      </c>
      <c r="G1345" s="6" t="b">
        <v>0</v>
      </c>
      <c r="H1345" s="8" t="s">
        <v>240</v>
      </c>
      <c r="I1345" s="6" t="b">
        <v>1</v>
      </c>
      <c r="J1345" s="6" t="b">
        <v>0</v>
      </c>
      <c r="K1345" s="6" t="b">
        <v>0</v>
      </c>
      <c r="L1345" s="6" t="b">
        <v>1</v>
      </c>
      <c r="M1345" s="6" t="b">
        <v>0</v>
      </c>
      <c r="N1345" s="6">
        <v>6</v>
      </c>
      <c r="O1345" s="8" t="s">
        <v>331</v>
      </c>
      <c r="P1345" s="8" t="s">
        <v>1678</v>
      </c>
      <c r="Q1345" s="8" t="s">
        <v>446</v>
      </c>
      <c r="R1345" s="6">
        <v>6</v>
      </c>
      <c r="S1345" s="8" t="s">
        <v>347</v>
      </c>
      <c r="T1345" s="9"/>
      <c r="U1345" s="8" t="s">
        <v>2087</v>
      </c>
      <c r="V1345" s="8" t="s">
        <v>1012</v>
      </c>
      <c r="W1345" s="8" t="s">
        <v>240</v>
      </c>
      <c r="X1345" s="8" t="s">
        <v>240</v>
      </c>
      <c r="Y1345" s="8" t="s">
        <v>2263</v>
      </c>
      <c r="Z1345" s="6" t="b">
        <v>0</v>
      </c>
      <c r="AA1345" s="9"/>
      <c r="AB1345" s="9"/>
    </row>
    <row r="1346" spans="1:28" ht="32">
      <c r="A1346" s="6">
        <v>1481</v>
      </c>
      <c r="B1346" s="8" t="s">
        <v>194</v>
      </c>
      <c r="C1346" s="8" t="s">
        <v>90</v>
      </c>
      <c r="D1346" s="8" t="s">
        <v>2264</v>
      </c>
      <c r="E1346" s="8" t="s">
        <v>2259</v>
      </c>
      <c r="F1346" s="6">
        <v>1478</v>
      </c>
      <c r="G1346" s="6" t="b">
        <v>0</v>
      </c>
      <c r="H1346" s="8" t="s">
        <v>240</v>
      </c>
      <c r="I1346" s="6" t="b">
        <v>1</v>
      </c>
      <c r="J1346" s="6" t="b">
        <v>0</v>
      </c>
      <c r="K1346" s="6" t="b">
        <v>0</v>
      </c>
      <c r="L1346" s="6" t="b">
        <v>1</v>
      </c>
      <c r="M1346" s="6" t="b">
        <v>0</v>
      </c>
      <c r="N1346" s="6">
        <v>6</v>
      </c>
      <c r="O1346" s="8" t="s">
        <v>331</v>
      </c>
      <c r="P1346" s="8" t="s">
        <v>255</v>
      </c>
      <c r="Q1346" s="8" t="s">
        <v>811</v>
      </c>
      <c r="R1346" s="6">
        <v>6</v>
      </c>
      <c r="S1346" s="8" t="s">
        <v>335</v>
      </c>
      <c r="T1346" s="6">
        <v>6</v>
      </c>
      <c r="U1346" s="8" t="s">
        <v>1730</v>
      </c>
      <c r="V1346" s="8" t="s">
        <v>1012</v>
      </c>
      <c r="W1346" s="8" t="s">
        <v>240</v>
      </c>
      <c r="X1346" s="8" t="s">
        <v>240</v>
      </c>
      <c r="Y1346" s="8" t="s">
        <v>240</v>
      </c>
      <c r="Z1346" s="6" t="b">
        <v>0</v>
      </c>
      <c r="AA1346" s="9"/>
      <c r="AB1346" s="9"/>
    </row>
    <row r="1347" spans="1:28" ht="32">
      <c r="A1347" s="6">
        <v>1482</v>
      </c>
      <c r="B1347" s="8" t="s">
        <v>194</v>
      </c>
      <c r="C1347" s="8" t="s">
        <v>90</v>
      </c>
      <c r="D1347" s="8" t="s">
        <v>2265</v>
      </c>
      <c r="E1347" s="8" t="s">
        <v>2259</v>
      </c>
      <c r="F1347" s="6">
        <v>1478</v>
      </c>
      <c r="G1347" s="6" t="b">
        <v>0</v>
      </c>
      <c r="H1347" s="8" t="s">
        <v>240</v>
      </c>
      <c r="I1347" s="6" t="b">
        <v>1</v>
      </c>
      <c r="J1347" s="6" t="b">
        <v>0</v>
      </c>
      <c r="K1347" s="6" t="b">
        <v>0</v>
      </c>
      <c r="L1347" s="6" t="b">
        <v>1</v>
      </c>
      <c r="M1347" s="6" t="b">
        <v>0</v>
      </c>
      <c r="N1347" s="6">
        <v>6</v>
      </c>
      <c r="O1347" s="8" t="s">
        <v>331</v>
      </c>
      <c r="P1347" s="8" t="s">
        <v>255</v>
      </c>
      <c r="Q1347" s="8" t="s">
        <v>811</v>
      </c>
      <c r="R1347" s="6">
        <v>6</v>
      </c>
      <c r="S1347" s="8" t="s">
        <v>335</v>
      </c>
      <c r="T1347" s="6">
        <v>6</v>
      </c>
      <c r="U1347" s="8" t="s">
        <v>2266</v>
      </c>
      <c r="V1347" s="8" t="s">
        <v>1012</v>
      </c>
      <c r="W1347" s="8" t="s">
        <v>240</v>
      </c>
      <c r="X1347" s="8" t="s">
        <v>240</v>
      </c>
      <c r="Y1347" s="8" t="s">
        <v>240</v>
      </c>
      <c r="Z1347" s="6" t="b">
        <v>0</v>
      </c>
      <c r="AA1347" s="9"/>
      <c r="AB1347" s="9"/>
    </row>
    <row r="1348" spans="1:28" ht="16">
      <c r="A1348" s="6">
        <v>1483</v>
      </c>
      <c r="B1348" s="8" t="s">
        <v>194</v>
      </c>
      <c r="C1348" s="8" t="s">
        <v>90</v>
      </c>
      <c r="D1348" s="8" t="s">
        <v>2267</v>
      </c>
      <c r="E1348" s="8" t="s">
        <v>2259</v>
      </c>
      <c r="F1348" s="6">
        <v>1478</v>
      </c>
      <c r="G1348" s="6" t="b">
        <v>0</v>
      </c>
      <c r="H1348" s="8" t="s">
        <v>240</v>
      </c>
      <c r="I1348" s="6" t="b">
        <v>1</v>
      </c>
      <c r="J1348" s="6" t="b">
        <v>0</v>
      </c>
      <c r="K1348" s="6" t="b">
        <v>0</v>
      </c>
      <c r="L1348" s="6" t="b">
        <v>1</v>
      </c>
      <c r="M1348" s="6" t="b">
        <v>0</v>
      </c>
      <c r="N1348" s="6">
        <v>6</v>
      </c>
      <c r="O1348" s="8" t="s">
        <v>331</v>
      </c>
      <c r="P1348" s="8" t="s">
        <v>1678</v>
      </c>
      <c r="Q1348" s="8" t="s">
        <v>446</v>
      </c>
      <c r="R1348" s="6">
        <v>6</v>
      </c>
      <c r="S1348" s="8" t="s">
        <v>347</v>
      </c>
      <c r="T1348" s="9"/>
      <c r="U1348" s="8" t="s">
        <v>2268</v>
      </c>
      <c r="V1348" s="8" t="s">
        <v>1012</v>
      </c>
      <c r="W1348" s="8" t="s">
        <v>240</v>
      </c>
      <c r="X1348" s="8" t="s">
        <v>240</v>
      </c>
      <c r="Y1348" s="8" t="s">
        <v>240</v>
      </c>
      <c r="Z1348" s="6" t="b">
        <v>0</v>
      </c>
      <c r="AA1348" s="9"/>
      <c r="AB1348" s="9"/>
    </row>
    <row r="1349" spans="1:28" ht="16">
      <c r="A1349" s="6">
        <v>1484</v>
      </c>
      <c r="B1349" s="8" t="s">
        <v>194</v>
      </c>
      <c r="C1349" s="8" t="s">
        <v>1994</v>
      </c>
      <c r="D1349" s="8" t="s">
        <v>2269</v>
      </c>
      <c r="E1349" s="8" t="s">
        <v>2269</v>
      </c>
      <c r="F1349" s="6">
        <v>1484</v>
      </c>
      <c r="G1349" s="6" t="b">
        <v>0</v>
      </c>
      <c r="H1349" s="8" t="s">
        <v>240</v>
      </c>
      <c r="I1349" s="6" t="b">
        <v>0</v>
      </c>
      <c r="J1349" s="6" t="b">
        <v>0</v>
      </c>
      <c r="K1349" s="6" t="b">
        <v>0</v>
      </c>
      <c r="L1349" s="6" t="b">
        <v>1</v>
      </c>
      <c r="M1349" s="6" t="b">
        <v>0</v>
      </c>
      <c r="N1349" s="6">
        <v>10</v>
      </c>
      <c r="O1349" s="8" t="s">
        <v>347</v>
      </c>
      <c r="P1349" s="8" t="s">
        <v>350</v>
      </c>
      <c r="Q1349" s="8" t="s">
        <v>381</v>
      </c>
      <c r="R1349" s="6">
        <v>10</v>
      </c>
      <c r="S1349" s="8" t="s">
        <v>75</v>
      </c>
      <c r="T1349" s="9"/>
      <c r="U1349" s="8" t="s">
        <v>240</v>
      </c>
      <c r="V1349" s="8" t="s">
        <v>496</v>
      </c>
      <c r="W1349" s="8" t="s">
        <v>240</v>
      </c>
      <c r="X1349" s="8" t="s">
        <v>240</v>
      </c>
      <c r="Y1349" s="8" t="s">
        <v>240</v>
      </c>
      <c r="Z1349" s="6" t="b">
        <v>0</v>
      </c>
      <c r="AA1349" s="9"/>
      <c r="AB1349" s="9"/>
    </row>
    <row r="1350" spans="1:28" ht="32">
      <c r="A1350" s="6">
        <v>1485</v>
      </c>
      <c r="B1350" s="8" t="s">
        <v>194</v>
      </c>
      <c r="C1350" s="8" t="s">
        <v>1994</v>
      </c>
      <c r="D1350" s="8" t="s">
        <v>2270</v>
      </c>
      <c r="E1350" s="8" t="s">
        <v>2269</v>
      </c>
      <c r="F1350" s="6">
        <v>1484</v>
      </c>
      <c r="G1350" s="6" t="b">
        <v>0</v>
      </c>
      <c r="H1350" s="8" t="s">
        <v>240</v>
      </c>
      <c r="I1350" s="6" t="b">
        <v>0</v>
      </c>
      <c r="J1350" s="6" t="b">
        <v>0</v>
      </c>
      <c r="K1350" s="6" t="b">
        <v>0</v>
      </c>
      <c r="L1350" s="6" t="b">
        <v>1</v>
      </c>
      <c r="M1350" s="6" t="b">
        <v>0</v>
      </c>
      <c r="N1350" s="6">
        <v>10</v>
      </c>
      <c r="O1350" s="8" t="s">
        <v>347</v>
      </c>
      <c r="P1350" s="8" t="s">
        <v>350</v>
      </c>
      <c r="Q1350" s="8" t="s">
        <v>381</v>
      </c>
      <c r="R1350" s="6">
        <v>10</v>
      </c>
      <c r="S1350" s="8" t="s">
        <v>75</v>
      </c>
      <c r="T1350" s="9"/>
      <c r="U1350" s="8" t="s">
        <v>240</v>
      </c>
      <c r="V1350" s="8" t="s">
        <v>496</v>
      </c>
      <c r="W1350" s="8" t="s">
        <v>240</v>
      </c>
      <c r="X1350" s="8" t="s">
        <v>240</v>
      </c>
      <c r="Y1350" s="8" t="s">
        <v>240</v>
      </c>
      <c r="Z1350" s="6" t="b">
        <v>0</v>
      </c>
      <c r="AA1350" s="9"/>
      <c r="AB1350" s="9"/>
    </row>
    <row r="1351" spans="1:28" ht="16">
      <c r="A1351" s="6">
        <v>1486</v>
      </c>
      <c r="B1351" s="8" t="s">
        <v>194</v>
      </c>
      <c r="C1351" s="8" t="s">
        <v>90</v>
      </c>
      <c r="D1351" s="8" t="s">
        <v>2271</v>
      </c>
      <c r="E1351" s="8" t="s">
        <v>2271</v>
      </c>
      <c r="F1351" s="6">
        <v>1486</v>
      </c>
      <c r="G1351" s="6" t="b">
        <v>0</v>
      </c>
      <c r="H1351" s="8" t="s">
        <v>240</v>
      </c>
      <c r="I1351" s="6" t="b">
        <v>0</v>
      </c>
      <c r="J1351" s="6" t="b">
        <v>0</v>
      </c>
      <c r="K1351" s="6" t="b">
        <v>1</v>
      </c>
      <c r="L1351" s="6" t="b">
        <v>1</v>
      </c>
      <c r="M1351" s="6" t="b">
        <v>0</v>
      </c>
      <c r="N1351" s="6">
        <v>6</v>
      </c>
      <c r="O1351" s="8" t="s">
        <v>331</v>
      </c>
      <c r="P1351" s="8" t="s">
        <v>1177</v>
      </c>
      <c r="Q1351" s="8" t="s">
        <v>446</v>
      </c>
      <c r="R1351" s="6">
        <v>6</v>
      </c>
      <c r="S1351" s="8" t="s">
        <v>75</v>
      </c>
      <c r="T1351" s="9"/>
      <c r="U1351" s="8" t="s">
        <v>240</v>
      </c>
      <c r="V1351" s="8" t="s">
        <v>450</v>
      </c>
      <c r="W1351" s="8" t="s">
        <v>240</v>
      </c>
      <c r="X1351" s="8" t="s">
        <v>240</v>
      </c>
      <c r="Y1351" s="8" t="s">
        <v>240</v>
      </c>
      <c r="Z1351" s="6" t="b">
        <v>0</v>
      </c>
      <c r="AA1351" s="9"/>
      <c r="AB1351" s="9"/>
    </row>
    <row r="1352" spans="1:28" ht="16">
      <c r="A1352" s="6">
        <v>1487</v>
      </c>
      <c r="B1352" s="8" t="s">
        <v>194</v>
      </c>
      <c r="C1352" s="8" t="s">
        <v>90</v>
      </c>
      <c r="D1352" s="8" t="s">
        <v>2272</v>
      </c>
      <c r="E1352" s="8" t="s">
        <v>2271</v>
      </c>
      <c r="F1352" s="6">
        <v>1486</v>
      </c>
      <c r="G1352" s="6" t="b">
        <v>0</v>
      </c>
      <c r="H1352" s="8" t="s">
        <v>240</v>
      </c>
      <c r="I1352" s="6" t="b">
        <v>0</v>
      </c>
      <c r="J1352" s="6" t="b">
        <v>0</v>
      </c>
      <c r="K1352" s="6" t="b">
        <v>1</v>
      </c>
      <c r="L1352" s="6" t="b">
        <v>1</v>
      </c>
      <c r="M1352" s="6" t="b">
        <v>0</v>
      </c>
      <c r="N1352" s="6">
        <v>6</v>
      </c>
      <c r="O1352" s="8" t="s">
        <v>331</v>
      </c>
      <c r="P1352" s="8" t="s">
        <v>238</v>
      </c>
      <c r="Q1352" s="8" t="s">
        <v>335</v>
      </c>
      <c r="R1352" s="6">
        <v>8</v>
      </c>
      <c r="S1352" s="8" t="s">
        <v>335</v>
      </c>
      <c r="T1352" s="6">
        <v>8</v>
      </c>
      <c r="U1352" s="8" t="s">
        <v>240</v>
      </c>
      <c r="V1352" s="8" t="s">
        <v>450</v>
      </c>
      <c r="W1352" s="8" t="s">
        <v>240</v>
      </c>
      <c r="X1352" s="8" t="s">
        <v>240</v>
      </c>
      <c r="Y1352" s="8" t="s">
        <v>240</v>
      </c>
      <c r="Z1352" s="6" t="b">
        <v>0</v>
      </c>
      <c r="AA1352" s="9"/>
      <c r="AB1352" s="9"/>
    </row>
    <row r="1353" spans="1:28" ht="32">
      <c r="A1353" s="6">
        <v>1488</v>
      </c>
      <c r="B1353" s="8" t="s">
        <v>194</v>
      </c>
      <c r="C1353" s="8" t="s">
        <v>90</v>
      </c>
      <c r="D1353" s="8" t="s">
        <v>2273</v>
      </c>
      <c r="E1353" s="8" t="s">
        <v>2273</v>
      </c>
      <c r="F1353" s="6">
        <v>1488</v>
      </c>
      <c r="G1353" s="6" t="b">
        <v>0</v>
      </c>
      <c r="H1353" s="8" t="s">
        <v>240</v>
      </c>
      <c r="I1353" s="6" t="b">
        <v>0</v>
      </c>
      <c r="J1353" s="6" t="b">
        <v>1</v>
      </c>
      <c r="K1353" s="6" t="b">
        <v>0</v>
      </c>
      <c r="L1353" s="6" t="b">
        <v>1</v>
      </c>
      <c r="M1353" s="6" t="b">
        <v>0</v>
      </c>
      <c r="N1353" s="6">
        <v>6</v>
      </c>
      <c r="O1353" s="8" t="s">
        <v>331</v>
      </c>
      <c r="P1353" s="8" t="s">
        <v>350</v>
      </c>
      <c r="Q1353" s="8" t="s">
        <v>811</v>
      </c>
      <c r="R1353" s="6">
        <v>6</v>
      </c>
      <c r="S1353" s="8" t="s">
        <v>347</v>
      </c>
      <c r="T1353" s="6">
        <v>6</v>
      </c>
      <c r="U1353" s="8" t="s">
        <v>240</v>
      </c>
      <c r="V1353" s="8" t="s">
        <v>450</v>
      </c>
      <c r="W1353" s="8" t="s">
        <v>240</v>
      </c>
      <c r="X1353" s="8" t="s">
        <v>240</v>
      </c>
      <c r="Y1353" s="8" t="s">
        <v>2274</v>
      </c>
      <c r="Z1353" s="6" t="b">
        <v>0</v>
      </c>
      <c r="AA1353" s="9"/>
      <c r="AB1353" s="9"/>
    </row>
    <row r="1354" spans="1:28" ht="32">
      <c r="A1354" s="6">
        <v>1489</v>
      </c>
      <c r="B1354" s="8" t="s">
        <v>194</v>
      </c>
      <c r="C1354" s="8" t="s">
        <v>90</v>
      </c>
      <c r="D1354" s="8" t="s">
        <v>2275</v>
      </c>
      <c r="E1354" s="8" t="s">
        <v>2273</v>
      </c>
      <c r="F1354" s="6">
        <v>1488</v>
      </c>
      <c r="G1354" s="6" t="b">
        <v>0</v>
      </c>
      <c r="H1354" s="8" t="s">
        <v>240</v>
      </c>
      <c r="I1354" s="6" t="b">
        <v>0</v>
      </c>
      <c r="J1354" s="6" t="b">
        <v>1</v>
      </c>
      <c r="K1354" s="6" t="b">
        <v>0</v>
      </c>
      <c r="L1354" s="6" t="b">
        <v>1</v>
      </c>
      <c r="M1354" s="6" t="b">
        <v>0</v>
      </c>
      <c r="N1354" s="6">
        <v>6</v>
      </c>
      <c r="O1354" s="8" t="s">
        <v>331</v>
      </c>
      <c r="P1354" s="8" t="s">
        <v>350</v>
      </c>
      <c r="Q1354" s="8" t="s">
        <v>811</v>
      </c>
      <c r="R1354" s="6">
        <v>6</v>
      </c>
      <c r="S1354" s="8" t="s">
        <v>75</v>
      </c>
      <c r="T1354" s="6">
        <v>6</v>
      </c>
      <c r="U1354" s="8" t="s">
        <v>240</v>
      </c>
      <c r="V1354" s="8" t="s">
        <v>240</v>
      </c>
      <c r="W1354" s="8" t="s">
        <v>240</v>
      </c>
      <c r="X1354" s="8" t="s">
        <v>240</v>
      </c>
      <c r="Y1354" s="8" t="s">
        <v>240</v>
      </c>
      <c r="Z1354" s="6" t="b">
        <v>0</v>
      </c>
      <c r="AA1354" s="9"/>
      <c r="AB1354" s="9"/>
    </row>
    <row r="1355" spans="1:28" ht="32">
      <c r="A1355" s="6">
        <v>1490</v>
      </c>
      <c r="B1355" s="8" t="s">
        <v>194</v>
      </c>
      <c r="C1355" s="8" t="s">
        <v>90</v>
      </c>
      <c r="D1355" s="8" t="s">
        <v>2276</v>
      </c>
      <c r="E1355" s="8" t="s">
        <v>2273</v>
      </c>
      <c r="F1355" s="6">
        <v>1488</v>
      </c>
      <c r="G1355" s="6" t="b">
        <v>0</v>
      </c>
      <c r="H1355" s="8" t="s">
        <v>240</v>
      </c>
      <c r="I1355" s="6" t="b">
        <v>0</v>
      </c>
      <c r="J1355" s="6" t="b">
        <v>1</v>
      </c>
      <c r="K1355" s="6" t="b">
        <v>0</v>
      </c>
      <c r="L1355" s="6" t="b">
        <v>1</v>
      </c>
      <c r="M1355" s="6" t="b">
        <v>0</v>
      </c>
      <c r="N1355" s="6">
        <v>6</v>
      </c>
      <c r="O1355" s="8" t="s">
        <v>331</v>
      </c>
      <c r="P1355" s="8" t="s">
        <v>350</v>
      </c>
      <c r="Q1355" s="8" t="s">
        <v>335</v>
      </c>
      <c r="R1355" s="6">
        <v>6</v>
      </c>
      <c r="S1355" s="8" t="s">
        <v>335</v>
      </c>
      <c r="T1355" s="6">
        <v>6</v>
      </c>
      <c r="U1355" s="8" t="s">
        <v>240</v>
      </c>
      <c r="V1355" s="8" t="s">
        <v>450</v>
      </c>
      <c r="W1355" s="8" t="s">
        <v>240</v>
      </c>
      <c r="X1355" s="8" t="s">
        <v>240</v>
      </c>
      <c r="Y1355" s="8" t="s">
        <v>2277</v>
      </c>
      <c r="Z1355" s="6" t="b">
        <v>0</v>
      </c>
      <c r="AA1355" s="9"/>
      <c r="AB1355" s="9"/>
    </row>
    <row r="1356" spans="1:28" ht="32">
      <c r="A1356" s="6">
        <v>1491</v>
      </c>
      <c r="B1356" s="8" t="s">
        <v>194</v>
      </c>
      <c r="C1356" s="8" t="s">
        <v>90</v>
      </c>
      <c r="D1356" s="8" t="s">
        <v>2278</v>
      </c>
      <c r="E1356" s="8" t="s">
        <v>2278</v>
      </c>
      <c r="F1356" s="6">
        <v>1491</v>
      </c>
      <c r="G1356" s="6" t="b">
        <v>0</v>
      </c>
      <c r="H1356" s="8" t="s">
        <v>240</v>
      </c>
      <c r="I1356" s="6" t="b">
        <v>0</v>
      </c>
      <c r="J1356" s="6" t="b">
        <v>0</v>
      </c>
      <c r="K1356" s="6" t="b">
        <v>1</v>
      </c>
      <c r="L1356" s="6" t="b">
        <v>1</v>
      </c>
      <c r="M1356" s="6" t="b">
        <v>0</v>
      </c>
      <c r="N1356" s="6">
        <v>6</v>
      </c>
      <c r="O1356" s="8" t="s">
        <v>331</v>
      </c>
      <c r="P1356" s="8" t="s">
        <v>238</v>
      </c>
      <c r="Q1356" s="8" t="s">
        <v>811</v>
      </c>
      <c r="R1356" s="6">
        <v>6</v>
      </c>
      <c r="S1356" s="8" t="s">
        <v>523</v>
      </c>
      <c r="T1356" s="6">
        <v>6</v>
      </c>
      <c r="U1356" s="8" t="s">
        <v>240</v>
      </c>
      <c r="V1356" s="8" t="s">
        <v>450</v>
      </c>
      <c r="W1356" s="8" t="s">
        <v>240</v>
      </c>
      <c r="X1356" s="8" t="s">
        <v>240</v>
      </c>
      <c r="Y1356" s="8" t="s">
        <v>2279</v>
      </c>
      <c r="Z1356" s="6" t="b">
        <v>0</v>
      </c>
      <c r="AA1356" s="9"/>
      <c r="AB1356" s="9"/>
    </row>
    <row r="1357" spans="1:28" ht="32">
      <c r="A1357" s="6">
        <v>1492</v>
      </c>
      <c r="B1357" s="8" t="s">
        <v>194</v>
      </c>
      <c r="C1357" s="8" t="s">
        <v>90</v>
      </c>
      <c r="D1357" s="8" t="s">
        <v>2280</v>
      </c>
      <c r="E1357" s="8" t="s">
        <v>2278</v>
      </c>
      <c r="F1357" s="6">
        <v>1491</v>
      </c>
      <c r="G1357" s="6" t="b">
        <v>0</v>
      </c>
      <c r="H1357" s="8" t="s">
        <v>240</v>
      </c>
      <c r="I1357" s="6" t="b">
        <v>0</v>
      </c>
      <c r="J1357" s="6" t="b">
        <v>0</v>
      </c>
      <c r="K1357" s="6" t="b">
        <v>1</v>
      </c>
      <c r="L1357" s="6" t="b">
        <v>1</v>
      </c>
      <c r="M1357" s="6" t="b">
        <v>0</v>
      </c>
      <c r="N1357" s="6">
        <v>6</v>
      </c>
      <c r="O1357" s="8" t="s">
        <v>331</v>
      </c>
      <c r="P1357" s="8" t="s">
        <v>238</v>
      </c>
      <c r="Q1357" s="8" t="s">
        <v>335</v>
      </c>
      <c r="R1357" s="6">
        <v>6</v>
      </c>
      <c r="S1357" s="8" t="s">
        <v>523</v>
      </c>
      <c r="T1357" s="6">
        <v>6</v>
      </c>
      <c r="U1357" s="8" t="s">
        <v>240</v>
      </c>
      <c r="V1357" s="8" t="s">
        <v>450</v>
      </c>
      <c r="W1357" s="8" t="s">
        <v>240</v>
      </c>
      <c r="X1357" s="8" t="s">
        <v>240</v>
      </c>
      <c r="Y1357" s="8" t="s">
        <v>240</v>
      </c>
      <c r="Z1357" s="6" t="b">
        <v>0</v>
      </c>
      <c r="AA1357" s="9"/>
      <c r="AB1357" s="9"/>
    </row>
    <row r="1358" spans="1:28" ht="32">
      <c r="A1358" s="6">
        <v>1493</v>
      </c>
      <c r="B1358" s="8" t="s">
        <v>194</v>
      </c>
      <c r="C1358" s="8" t="s">
        <v>90</v>
      </c>
      <c r="D1358" s="8" t="s">
        <v>2281</v>
      </c>
      <c r="E1358" s="8" t="s">
        <v>2278</v>
      </c>
      <c r="F1358" s="6">
        <v>1491</v>
      </c>
      <c r="G1358" s="6" t="b">
        <v>0</v>
      </c>
      <c r="H1358" s="8" t="s">
        <v>240</v>
      </c>
      <c r="I1358" s="6" t="b">
        <v>0</v>
      </c>
      <c r="J1358" s="6" t="b">
        <v>0</v>
      </c>
      <c r="K1358" s="6" t="b">
        <v>1</v>
      </c>
      <c r="L1358" s="6" t="b">
        <v>1</v>
      </c>
      <c r="M1358" s="6" t="b">
        <v>0</v>
      </c>
      <c r="N1358" s="6">
        <v>6</v>
      </c>
      <c r="O1358" s="8" t="s">
        <v>331</v>
      </c>
      <c r="P1358" s="8" t="s">
        <v>238</v>
      </c>
      <c r="Q1358" s="8" t="s">
        <v>811</v>
      </c>
      <c r="R1358" s="6">
        <v>6</v>
      </c>
      <c r="S1358" s="8" t="s">
        <v>523</v>
      </c>
      <c r="T1358" s="9"/>
      <c r="U1358" s="8" t="s">
        <v>240</v>
      </c>
      <c r="V1358" s="8" t="s">
        <v>450</v>
      </c>
      <c r="W1358" s="8" t="s">
        <v>240</v>
      </c>
      <c r="X1358" s="8" t="s">
        <v>240</v>
      </c>
      <c r="Y1358" s="8" t="s">
        <v>240</v>
      </c>
      <c r="Z1358" s="6" t="b">
        <v>0</v>
      </c>
      <c r="AA1358" s="9"/>
      <c r="AB1358" s="9"/>
    </row>
    <row r="1359" spans="1:28" ht="32">
      <c r="A1359" s="6">
        <v>1494</v>
      </c>
      <c r="B1359" s="8" t="s">
        <v>194</v>
      </c>
      <c r="C1359" s="8" t="s">
        <v>108</v>
      </c>
      <c r="D1359" s="8" t="s">
        <v>2282</v>
      </c>
      <c r="E1359" s="8" t="s">
        <v>2282</v>
      </c>
      <c r="F1359" s="6">
        <v>1494</v>
      </c>
      <c r="G1359" s="6" t="b">
        <v>0</v>
      </c>
      <c r="H1359" s="8" t="s">
        <v>240</v>
      </c>
      <c r="I1359" s="6" t="b">
        <v>0</v>
      </c>
      <c r="J1359" s="6" t="b">
        <v>0</v>
      </c>
      <c r="K1359" s="6" t="b">
        <v>0</v>
      </c>
      <c r="L1359" s="6" t="b">
        <v>1</v>
      </c>
      <c r="M1359" s="6" t="b">
        <v>0</v>
      </c>
      <c r="N1359" s="6">
        <v>3</v>
      </c>
      <c r="O1359" s="8" t="s">
        <v>347</v>
      </c>
      <c r="P1359" s="8" t="s">
        <v>380</v>
      </c>
      <c r="Q1359" s="8" t="s">
        <v>481</v>
      </c>
      <c r="R1359" s="6">
        <v>4</v>
      </c>
      <c r="S1359" s="8" t="s">
        <v>347</v>
      </c>
      <c r="T1359" s="6">
        <v>6</v>
      </c>
      <c r="U1359" s="8" t="s">
        <v>240</v>
      </c>
      <c r="V1359" s="8" t="s">
        <v>496</v>
      </c>
      <c r="W1359" s="8" t="s">
        <v>483</v>
      </c>
      <c r="X1359" s="8" t="s">
        <v>240</v>
      </c>
      <c r="Y1359" s="8" t="s">
        <v>2283</v>
      </c>
      <c r="Z1359" s="6" t="b">
        <v>0</v>
      </c>
      <c r="AA1359" s="9"/>
      <c r="AB1359" s="9"/>
    </row>
    <row r="1360" spans="1:28" ht="32">
      <c r="A1360" s="6">
        <v>1495</v>
      </c>
      <c r="B1360" s="8" t="s">
        <v>194</v>
      </c>
      <c r="C1360" s="8" t="s">
        <v>108</v>
      </c>
      <c r="D1360" s="8" t="s">
        <v>2284</v>
      </c>
      <c r="E1360" s="8" t="s">
        <v>2282</v>
      </c>
      <c r="F1360" s="6">
        <v>1494</v>
      </c>
      <c r="G1360" s="6" t="b">
        <v>0</v>
      </c>
      <c r="H1360" s="8" t="s">
        <v>240</v>
      </c>
      <c r="I1360" s="6" t="b">
        <v>0</v>
      </c>
      <c r="J1360" s="6" t="b">
        <v>0</v>
      </c>
      <c r="K1360" s="6" t="b">
        <v>0</v>
      </c>
      <c r="L1360" s="6" t="b">
        <v>1</v>
      </c>
      <c r="M1360" s="6" t="b">
        <v>0</v>
      </c>
      <c r="N1360" s="6">
        <v>3</v>
      </c>
      <c r="O1360" s="8" t="s">
        <v>347</v>
      </c>
      <c r="P1360" s="8" t="s">
        <v>380</v>
      </c>
      <c r="Q1360" s="8" t="s">
        <v>481</v>
      </c>
      <c r="R1360" s="6">
        <v>4</v>
      </c>
      <c r="S1360" s="8" t="s">
        <v>347</v>
      </c>
      <c r="T1360" s="9"/>
      <c r="U1360" s="8" t="s">
        <v>240</v>
      </c>
      <c r="V1360" s="8" t="s">
        <v>496</v>
      </c>
      <c r="W1360" s="8" t="s">
        <v>483</v>
      </c>
      <c r="X1360" s="8" t="s">
        <v>240</v>
      </c>
      <c r="Y1360" s="8" t="s">
        <v>240</v>
      </c>
      <c r="Z1360" s="6" t="b">
        <v>0</v>
      </c>
      <c r="AA1360" s="9"/>
      <c r="AB1360" s="9"/>
    </row>
    <row r="1361" spans="1:28" ht="32">
      <c r="A1361" s="6">
        <v>1496</v>
      </c>
      <c r="B1361" s="8" t="s">
        <v>194</v>
      </c>
      <c r="C1361" s="8" t="s">
        <v>108</v>
      </c>
      <c r="D1361" s="8" t="s">
        <v>2285</v>
      </c>
      <c r="E1361" s="8" t="s">
        <v>2282</v>
      </c>
      <c r="F1361" s="6">
        <v>1494</v>
      </c>
      <c r="G1361" s="6" t="b">
        <v>0</v>
      </c>
      <c r="H1361" s="8" t="s">
        <v>240</v>
      </c>
      <c r="I1361" s="6" t="b">
        <v>0</v>
      </c>
      <c r="J1361" s="6" t="b">
        <v>0</v>
      </c>
      <c r="K1361" s="6" t="b">
        <v>0</v>
      </c>
      <c r="L1361" s="6" t="b">
        <v>1</v>
      </c>
      <c r="M1361" s="6" t="b">
        <v>0</v>
      </c>
      <c r="N1361" s="6">
        <v>3</v>
      </c>
      <c r="O1361" s="8" t="s">
        <v>347</v>
      </c>
      <c r="P1361" s="8" t="s">
        <v>380</v>
      </c>
      <c r="Q1361" s="8" t="s">
        <v>481</v>
      </c>
      <c r="R1361" s="6">
        <v>4</v>
      </c>
      <c r="S1361" s="8" t="s">
        <v>347</v>
      </c>
      <c r="T1361" s="9"/>
      <c r="U1361" s="8" t="s">
        <v>240</v>
      </c>
      <c r="V1361" s="8" t="s">
        <v>496</v>
      </c>
      <c r="W1361" s="8" t="s">
        <v>483</v>
      </c>
      <c r="X1361" s="8" t="s">
        <v>240</v>
      </c>
      <c r="Y1361" s="8" t="s">
        <v>240</v>
      </c>
      <c r="Z1361" s="6" t="b">
        <v>0</v>
      </c>
      <c r="AA1361" s="9"/>
      <c r="AB1361" s="9"/>
    </row>
    <row r="1362" spans="1:28" ht="32">
      <c r="A1362" s="6">
        <v>1497</v>
      </c>
      <c r="B1362" s="8" t="s">
        <v>194</v>
      </c>
      <c r="C1362" s="8" t="s">
        <v>108</v>
      </c>
      <c r="D1362" s="8" t="s">
        <v>108</v>
      </c>
      <c r="E1362" s="8" t="s">
        <v>108</v>
      </c>
      <c r="F1362" s="6">
        <v>1497</v>
      </c>
      <c r="G1362" s="6" t="b">
        <v>0</v>
      </c>
      <c r="H1362" s="8" t="s">
        <v>240</v>
      </c>
      <c r="I1362" s="6" t="b">
        <v>0</v>
      </c>
      <c r="J1362" s="6" t="b">
        <v>0</v>
      </c>
      <c r="K1362" s="6" t="b">
        <v>0</v>
      </c>
      <c r="L1362" s="6" t="b">
        <v>1</v>
      </c>
      <c r="M1362" s="6" t="b">
        <v>0</v>
      </c>
      <c r="N1362" s="6">
        <v>3</v>
      </c>
      <c r="O1362" s="8" t="s">
        <v>347</v>
      </c>
      <c r="P1362" s="8" t="s">
        <v>380</v>
      </c>
      <c r="Q1362" s="8" t="s">
        <v>481</v>
      </c>
      <c r="R1362" s="6">
        <v>3</v>
      </c>
      <c r="S1362" s="8" t="s">
        <v>331</v>
      </c>
      <c r="T1362" s="6">
        <v>4</v>
      </c>
      <c r="U1362" s="8" t="s">
        <v>240</v>
      </c>
      <c r="V1362" s="8" t="s">
        <v>1559</v>
      </c>
      <c r="W1362" s="8" t="s">
        <v>240</v>
      </c>
      <c r="X1362" s="8" t="s">
        <v>240</v>
      </c>
      <c r="Y1362" s="8" t="s">
        <v>2286</v>
      </c>
      <c r="Z1362" s="6" t="b">
        <v>0</v>
      </c>
      <c r="AA1362" s="9"/>
      <c r="AB1362" s="9"/>
    </row>
    <row r="1363" spans="1:28" ht="16">
      <c r="A1363" s="6">
        <v>1498</v>
      </c>
      <c r="B1363" s="8" t="s">
        <v>194</v>
      </c>
      <c r="C1363" s="8" t="s">
        <v>90</v>
      </c>
      <c r="D1363" s="8" t="s">
        <v>2287</v>
      </c>
      <c r="E1363" s="8" t="s">
        <v>2287</v>
      </c>
      <c r="F1363" s="6">
        <v>1498</v>
      </c>
      <c r="G1363" s="6" t="b">
        <v>0</v>
      </c>
      <c r="H1363" s="8" t="s">
        <v>240</v>
      </c>
      <c r="I1363" s="6" t="b">
        <v>0</v>
      </c>
      <c r="J1363" s="6" t="b">
        <v>0</v>
      </c>
      <c r="K1363" s="6" t="b">
        <v>0</v>
      </c>
      <c r="L1363" s="6" t="b">
        <v>1</v>
      </c>
      <c r="M1363" s="6" t="b">
        <v>0</v>
      </c>
      <c r="N1363" s="6">
        <v>6</v>
      </c>
      <c r="O1363" s="8" t="s">
        <v>331</v>
      </c>
      <c r="P1363" s="8" t="s">
        <v>350</v>
      </c>
      <c r="Q1363" s="8" t="s">
        <v>927</v>
      </c>
      <c r="R1363" s="6">
        <v>5</v>
      </c>
      <c r="S1363" s="8" t="s">
        <v>347</v>
      </c>
      <c r="T1363" s="6">
        <v>7</v>
      </c>
      <c r="U1363" s="8" t="s">
        <v>240</v>
      </c>
      <c r="V1363" s="8" t="s">
        <v>496</v>
      </c>
      <c r="W1363" s="8" t="s">
        <v>240</v>
      </c>
      <c r="X1363" s="8" t="s">
        <v>240</v>
      </c>
      <c r="Y1363" s="8" t="s">
        <v>2288</v>
      </c>
      <c r="Z1363" s="6" t="b">
        <v>0</v>
      </c>
      <c r="AA1363" s="9"/>
      <c r="AB1363" s="9"/>
    </row>
    <row r="1364" spans="1:28" ht="16">
      <c r="A1364" s="6">
        <v>1499</v>
      </c>
      <c r="B1364" s="8" t="s">
        <v>194</v>
      </c>
      <c r="C1364" s="8" t="s">
        <v>90</v>
      </c>
      <c r="D1364" s="8" t="s">
        <v>2289</v>
      </c>
      <c r="E1364" s="8" t="s">
        <v>2287</v>
      </c>
      <c r="F1364" s="6">
        <v>1498</v>
      </c>
      <c r="G1364" s="6" t="b">
        <v>0</v>
      </c>
      <c r="H1364" s="8" t="s">
        <v>240</v>
      </c>
      <c r="I1364" s="6" t="b">
        <v>0</v>
      </c>
      <c r="J1364" s="6" t="b">
        <v>0</v>
      </c>
      <c r="K1364" s="6" t="b">
        <v>0</v>
      </c>
      <c r="L1364" s="6" t="b">
        <v>1</v>
      </c>
      <c r="M1364" s="6" t="b">
        <v>0</v>
      </c>
      <c r="N1364" s="6">
        <v>6</v>
      </c>
      <c r="O1364" s="8" t="s">
        <v>331</v>
      </c>
      <c r="P1364" s="8" t="s">
        <v>350</v>
      </c>
      <c r="Q1364" s="8" t="s">
        <v>335</v>
      </c>
      <c r="R1364" s="6">
        <v>5</v>
      </c>
      <c r="S1364" s="8" t="s">
        <v>335</v>
      </c>
      <c r="T1364" s="6">
        <v>7</v>
      </c>
      <c r="U1364" s="8" t="s">
        <v>240</v>
      </c>
      <c r="V1364" s="8" t="s">
        <v>496</v>
      </c>
      <c r="W1364" s="8" t="s">
        <v>240</v>
      </c>
      <c r="X1364" s="8" t="s">
        <v>240</v>
      </c>
      <c r="Y1364" s="8" t="s">
        <v>240</v>
      </c>
      <c r="Z1364" s="6" t="b">
        <v>0</v>
      </c>
      <c r="AA1364" s="9"/>
      <c r="AB1364" s="9"/>
    </row>
    <row r="1365" spans="1:28" ht="32">
      <c r="A1365" s="6">
        <v>1500</v>
      </c>
      <c r="B1365" s="8" t="s">
        <v>194</v>
      </c>
      <c r="C1365" s="8" t="s">
        <v>90</v>
      </c>
      <c r="D1365" s="8" t="s">
        <v>2290</v>
      </c>
      <c r="E1365" s="8" t="s">
        <v>2290</v>
      </c>
      <c r="F1365" s="6">
        <v>1500</v>
      </c>
      <c r="G1365" s="6" t="b">
        <v>0</v>
      </c>
      <c r="H1365" s="8" t="s">
        <v>240</v>
      </c>
      <c r="I1365" s="6" t="b">
        <v>0</v>
      </c>
      <c r="J1365" s="6" t="b">
        <v>0</v>
      </c>
      <c r="K1365" s="6" t="b">
        <v>0</v>
      </c>
      <c r="L1365" s="6" t="b">
        <v>1</v>
      </c>
      <c r="M1365" s="6" t="b">
        <v>0</v>
      </c>
      <c r="N1365" s="6">
        <v>6</v>
      </c>
      <c r="O1365" s="8" t="s">
        <v>331</v>
      </c>
      <c r="P1365" s="8" t="s">
        <v>350</v>
      </c>
      <c r="Q1365" s="8" t="s">
        <v>811</v>
      </c>
      <c r="R1365" s="6">
        <v>6</v>
      </c>
      <c r="S1365" s="8" t="s">
        <v>347</v>
      </c>
      <c r="T1365" s="6">
        <v>2</v>
      </c>
      <c r="U1365" s="8" t="s">
        <v>2183</v>
      </c>
      <c r="V1365" s="8" t="s">
        <v>450</v>
      </c>
      <c r="W1365" s="8" t="s">
        <v>240</v>
      </c>
      <c r="X1365" s="8" t="s">
        <v>240</v>
      </c>
      <c r="Y1365" s="8" t="s">
        <v>240</v>
      </c>
      <c r="Z1365" s="6" t="b">
        <v>0</v>
      </c>
      <c r="AA1365" s="9"/>
      <c r="AB1365" s="9"/>
    </row>
    <row r="1366" spans="1:28" ht="16">
      <c r="A1366" s="6">
        <v>1504</v>
      </c>
      <c r="B1366" s="8" t="s">
        <v>194</v>
      </c>
      <c r="C1366" s="8" t="s">
        <v>90</v>
      </c>
      <c r="D1366" s="8" t="s">
        <v>2291</v>
      </c>
      <c r="E1366" s="8" t="s">
        <v>2291</v>
      </c>
      <c r="F1366" s="6">
        <v>1504</v>
      </c>
      <c r="G1366" s="6" t="b">
        <v>0</v>
      </c>
      <c r="H1366" s="8" t="s">
        <v>240</v>
      </c>
      <c r="I1366" s="6" t="b">
        <v>0</v>
      </c>
      <c r="J1366" s="6" t="b">
        <v>1</v>
      </c>
      <c r="K1366" s="6" t="b">
        <v>0</v>
      </c>
      <c r="L1366" s="6" t="b">
        <v>1</v>
      </c>
      <c r="M1366" s="6" t="b">
        <v>0</v>
      </c>
      <c r="N1366" s="6">
        <v>6</v>
      </c>
      <c r="O1366" s="8" t="s">
        <v>331</v>
      </c>
      <c r="P1366" s="8" t="s">
        <v>350</v>
      </c>
      <c r="Q1366" s="8" t="s">
        <v>762</v>
      </c>
      <c r="R1366" s="6">
        <v>5</v>
      </c>
      <c r="S1366" s="8" t="s">
        <v>335</v>
      </c>
      <c r="T1366" s="6">
        <v>5</v>
      </c>
      <c r="U1366" s="8" t="s">
        <v>240</v>
      </c>
      <c r="V1366" s="8" t="s">
        <v>240</v>
      </c>
      <c r="W1366" s="8" t="s">
        <v>240</v>
      </c>
      <c r="X1366" s="8" t="s">
        <v>240</v>
      </c>
      <c r="Y1366" s="8" t="s">
        <v>240</v>
      </c>
      <c r="Z1366" s="6" t="b">
        <v>0</v>
      </c>
      <c r="AA1366" s="9"/>
      <c r="AB1366" s="9"/>
    </row>
    <row r="1367" spans="1:28" ht="16">
      <c r="A1367" s="6">
        <v>1507</v>
      </c>
      <c r="B1367" s="8" t="s">
        <v>194</v>
      </c>
      <c r="C1367" s="8" t="s">
        <v>90</v>
      </c>
      <c r="D1367" s="8" t="s">
        <v>2292</v>
      </c>
      <c r="E1367" s="8" t="s">
        <v>2292</v>
      </c>
      <c r="F1367" s="6">
        <v>1507</v>
      </c>
      <c r="G1367" s="6" t="b">
        <v>0</v>
      </c>
      <c r="H1367" s="8" t="s">
        <v>240</v>
      </c>
      <c r="I1367" s="6" t="b">
        <v>0</v>
      </c>
      <c r="J1367" s="6" t="b">
        <v>0</v>
      </c>
      <c r="K1367" s="6" t="b">
        <v>1</v>
      </c>
      <c r="L1367" s="6" t="b">
        <v>1</v>
      </c>
      <c r="M1367" s="6" t="b">
        <v>0</v>
      </c>
      <c r="N1367" s="6">
        <v>6</v>
      </c>
      <c r="O1367" s="8" t="s">
        <v>331</v>
      </c>
      <c r="P1367" s="8" t="s">
        <v>238</v>
      </c>
      <c r="Q1367" s="8" t="s">
        <v>575</v>
      </c>
      <c r="R1367" s="6">
        <v>6</v>
      </c>
      <c r="S1367" s="8" t="s">
        <v>75</v>
      </c>
      <c r="T1367" s="9"/>
      <c r="U1367" s="8" t="s">
        <v>240</v>
      </c>
      <c r="V1367" s="8" t="s">
        <v>450</v>
      </c>
      <c r="W1367" s="8" t="s">
        <v>240</v>
      </c>
      <c r="X1367" s="8" t="s">
        <v>240</v>
      </c>
      <c r="Y1367" s="8" t="s">
        <v>240</v>
      </c>
      <c r="Z1367" s="6" t="b">
        <v>0</v>
      </c>
      <c r="AA1367" s="9"/>
      <c r="AB1367" s="9"/>
    </row>
    <row r="1368" spans="1:28" ht="16">
      <c r="A1368" s="6">
        <v>1508</v>
      </c>
      <c r="B1368" s="8" t="s">
        <v>194</v>
      </c>
      <c r="C1368" s="8" t="s">
        <v>90</v>
      </c>
      <c r="D1368" s="8" t="s">
        <v>2293</v>
      </c>
      <c r="E1368" s="8" t="s">
        <v>2293</v>
      </c>
      <c r="F1368" s="6">
        <v>1508</v>
      </c>
      <c r="G1368" s="6" t="b">
        <v>0</v>
      </c>
      <c r="H1368" s="8" t="s">
        <v>240</v>
      </c>
      <c r="I1368" s="6" t="b">
        <v>0</v>
      </c>
      <c r="J1368" s="6" t="b">
        <v>1</v>
      </c>
      <c r="K1368" s="6" t="b">
        <v>0</v>
      </c>
      <c r="L1368" s="6" t="b">
        <v>1</v>
      </c>
      <c r="M1368" s="6" t="b">
        <v>0</v>
      </c>
      <c r="N1368" s="6">
        <v>6</v>
      </c>
      <c r="O1368" s="8" t="s">
        <v>331</v>
      </c>
      <c r="P1368" s="8" t="s">
        <v>350</v>
      </c>
      <c r="Q1368" s="8" t="s">
        <v>446</v>
      </c>
      <c r="R1368" s="6">
        <v>5</v>
      </c>
      <c r="S1368" s="8" t="s">
        <v>347</v>
      </c>
      <c r="T1368" s="9"/>
      <c r="U1368" s="8" t="s">
        <v>240</v>
      </c>
      <c r="V1368" s="8" t="s">
        <v>450</v>
      </c>
      <c r="W1368" s="8" t="s">
        <v>240</v>
      </c>
      <c r="X1368" s="8" t="s">
        <v>240</v>
      </c>
      <c r="Y1368" s="8" t="s">
        <v>2294</v>
      </c>
      <c r="Z1368" s="6" t="b">
        <v>0</v>
      </c>
      <c r="AA1368" s="9"/>
      <c r="AB1368" s="9"/>
    </row>
    <row r="1369" spans="1:28" ht="16">
      <c r="A1369" s="6">
        <v>1509</v>
      </c>
      <c r="B1369" s="8" t="s">
        <v>194</v>
      </c>
      <c r="C1369" s="8" t="s">
        <v>90</v>
      </c>
      <c r="D1369" s="8" t="s">
        <v>2295</v>
      </c>
      <c r="E1369" s="8" t="s">
        <v>2293</v>
      </c>
      <c r="F1369" s="6">
        <v>1508</v>
      </c>
      <c r="G1369" s="6" t="b">
        <v>0</v>
      </c>
      <c r="H1369" s="8" t="s">
        <v>240</v>
      </c>
      <c r="I1369" s="6" t="b">
        <v>0</v>
      </c>
      <c r="J1369" s="6" t="b">
        <v>1</v>
      </c>
      <c r="K1369" s="6" t="b">
        <v>0</v>
      </c>
      <c r="L1369" s="6" t="b">
        <v>1</v>
      </c>
      <c r="M1369" s="6" t="b">
        <v>0</v>
      </c>
      <c r="N1369" s="6">
        <v>6</v>
      </c>
      <c r="O1369" s="8" t="s">
        <v>331</v>
      </c>
      <c r="P1369" s="8" t="s">
        <v>350</v>
      </c>
      <c r="Q1369" s="8" t="s">
        <v>335</v>
      </c>
      <c r="R1369" s="6">
        <v>5</v>
      </c>
      <c r="S1369" s="8" t="s">
        <v>335</v>
      </c>
      <c r="T1369" s="6">
        <v>4</v>
      </c>
      <c r="U1369" s="8" t="s">
        <v>240</v>
      </c>
      <c r="V1369" s="8" t="s">
        <v>450</v>
      </c>
      <c r="W1369" s="8" t="s">
        <v>240</v>
      </c>
      <c r="X1369" s="8" t="s">
        <v>240</v>
      </c>
      <c r="Y1369" s="8" t="s">
        <v>2296</v>
      </c>
      <c r="Z1369" s="6" t="b">
        <v>0</v>
      </c>
      <c r="AA1369" s="9"/>
      <c r="AB1369" s="9"/>
    </row>
    <row r="1370" spans="1:28" ht="32">
      <c r="A1370" s="6">
        <v>1510</v>
      </c>
      <c r="B1370" s="8" t="s">
        <v>194</v>
      </c>
      <c r="C1370" s="8" t="s">
        <v>90</v>
      </c>
      <c r="D1370" s="8" t="s">
        <v>2297</v>
      </c>
      <c r="E1370" s="8" t="s">
        <v>2293</v>
      </c>
      <c r="F1370" s="6">
        <v>1508</v>
      </c>
      <c r="G1370" s="6" t="b">
        <v>0</v>
      </c>
      <c r="H1370" s="8" t="s">
        <v>240</v>
      </c>
      <c r="I1370" s="6" t="b">
        <v>0</v>
      </c>
      <c r="J1370" s="6" t="b">
        <v>1</v>
      </c>
      <c r="K1370" s="6" t="b">
        <v>0</v>
      </c>
      <c r="L1370" s="6" t="b">
        <v>1</v>
      </c>
      <c r="M1370" s="6" t="b">
        <v>0</v>
      </c>
      <c r="N1370" s="6">
        <v>6</v>
      </c>
      <c r="O1370" s="8" t="s">
        <v>331</v>
      </c>
      <c r="P1370" s="8" t="s">
        <v>350</v>
      </c>
      <c r="Q1370" s="8" t="s">
        <v>446</v>
      </c>
      <c r="R1370" s="6">
        <v>5</v>
      </c>
      <c r="S1370" s="8" t="s">
        <v>347</v>
      </c>
      <c r="T1370" s="6">
        <v>5</v>
      </c>
      <c r="U1370" s="8" t="s">
        <v>1917</v>
      </c>
      <c r="V1370" s="8" t="s">
        <v>450</v>
      </c>
      <c r="W1370" s="8" t="s">
        <v>240</v>
      </c>
      <c r="X1370" s="8" t="s">
        <v>240</v>
      </c>
      <c r="Y1370" s="8" t="s">
        <v>2298</v>
      </c>
      <c r="Z1370" s="6" t="b">
        <v>0</v>
      </c>
      <c r="AA1370" s="9"/>
      <c r="AB1370" s="9"/>
    </row>
    <row r="1371" spans="1:28" ht="16">
      <c r="A1371" s="6">
        <v>1511</v>
      </c>
      <c r="B1371" s="8" t="s">
        <v>194</v>
      </c>
      <c r="C1371" s="8" t="s">
        <v>90</v>
      </c>
      <c r="D1371" s="8" t="s">
        <v>2299</v>
      </c>
      <c r="E1371" s="8" t="s">
        <v>2293</v>
      </c>
      <c r="F1371" s="6">
        <v>1508</v>
      </c>
      <c r="G1371" s="6" t="b">
        <v>0</v>
      </c>
      <c r="H1371" s="8" t="s">
        <v>240</v>
      </c>
      <c r="I1371" s="6" t="b">
        <v>0</v>
      </c>
      <c r="J1371" s="6" t="b">
        <v>1</v>
      </c>
      <c r="K1371" s="6" t="b">
        <v>0</v>
      </c>
      <c r="L1371" s="6" t="b">
        <v>1</v>
      </c>
      <c r="M1371" s="6" t="b">
        <v>0</v>
      </c>
      <c r="N1371" s="6">
        <v>6</v>
      </c>
      <c r="O1371" s="8" t="s">
        <v>331</v>
      </c>
      <c r="P1371" s="8" t="s">
        <v>350</v>
      </c>
      <c r="Q1371" s="8" t="s">
        <v>446</v>
      </c>
      <c r="R1371" s="6">
        <v>5</v>
      </c>
      <c r="S1371" s="8" t="s">
        <v>347</v>
      </c>
      <c r="T1371" s="6">
        <v>5</v>
      </c>
      <c r="U1371" s="8" t="s">
        <v>1917</v>
      </c>
      <c r="V1371" s="8" t="s">
        <v>450</v>
      </c>
      <c r="W1371" s="8" t="s">
        <v>240</v>
      </c>
      <c r="X1371" s="8" t="s">
        <v>240</v>
      </c>
      <c r="Y1371" s="8" t="s">
        <v>2300</v>
      </c>
      <c r="Z1371" s="6" t="b">
        <v>0</v>
      </c>
      <c r="AA1371" s="9"/>
      <c r="AB1371" s="9"/>
    </row>
    <row r="1372" spans="1:28" ht="16">
      <c r="A1372" s="6">
        <v>1512</v>
      </c>
      <c r="B1372" s="8" t="s">
        <v>194</v>
      </c>
      <c r="C1372" s="8" t="s">
        <v>90</v>
      </c>
      <c r="D1372" s="8" t="s">
        <v>2301</v>
      </c>
      <c r="E1372" s="8" t="s">
        <v>2301</v>
      </c>
      <c r="F1372" s="6">
        <v>1512</v>
      </c>
      <c r="G1372" s="6" t="b">
        <v>0</v>
      </c>
      <c r="H1372" s="8" t="s">
        <v>240</v>
      </c>
      <c r="I1372" s="6" t="b">
        <v>0</v>
      </c>
      <c r="J1372" s="6" t="b">
        <v>1</v>
      </c>
      <c r="K1372" s="6" t="b">
        <v>0</v>
      </c>
      <c r="L1372" s="6" t="b">
        <v>1</v>
      </c>
      <c r="M1372" s="6" t="b">
        <v>0</v>
      </c>
      <c r="N1372" s="6">
        <v>6</v>
      </c>
      <c r="O1372" s="8" t="s">
        <v>331</v>
      </c>
      <c r="P1372" s="8" t="s">
        <v>350</v>
      </c>
      <c r="Q1372" s="8" t="s">
        <v>335</v>
      </c>
      <c r="R1372" s="6">
        <v>6</v>
      </c>
      <c r="S1372" s="8" t="s">
        <v>75</v>
      </c>
      <c r="T1372" s="9"/>
      <c r="U1372" s="8" t="s">
        <v>2302</v>
      </c>
      <c r="V1372" s="8" t="s">
        <v>240</v>
      </c>
      <c r="W1372" s="8" t="s">
        <v>240</v>
      </c>
      <c r="X1372" s="8" t="s">
        <v>240</v>
      </c>
      <c r="Y1372" s="8" t="s">
        <v>240</v>
      </c>
      <c r="Z1372" s="6" t="b">
        <v>0</v>
      </c>
      <c r="AA1372" s="9"/>
      <c r="AB1372" s="9"/>
    </row>
    <row r="1373" spans="1:28" ht="16">
      <c r="A1373" s="6">
        <v>1513</v>
      </c>
      <c r="B1373" s="8" t="s">
        <v>194</v>
      </c>
      <c r="C1373" s="8" t="s">
        <v>90</v>
      </c>
      <c r="D1373" s="8" t="s">
        <v>2303</v>
      </c>
      <c r="E1373" s="8" t="s">
        <v>2301</v>
      </c>
      <c r="F1373" s="6">
        <v>1512</v>
      </c>
      <c r="G1373" s="6" t="b">
        <v>0</v>
      </c>
      <c r="H1373" s="8" t="s">
        <v>240</v>
      </c>
      <c r="I1373" s="6" t="b">
        <v>0</v>
      </c>
      <c r="J1373" s="6" t="b">
        <v>1</v>
      </c>
      <c r="K1373" s="6" t="b">
        <v>0</v>
      </c>
      <c r="L1373" s="6" t="b">
        <v>1</v>
      </c>
      <c r="M1373" s="6" t="b">
        <v>0</v>
      </c>
      <c r="N1373" s="6">
        <v>6</v>
      </c>
      <c r="O1373" s="8" t="s">
        <v>331</v>
      </c>
      <c r="P1373" s="8" t="s">
        <v>350</v>
      </c>
      <c r="Q1373" s="8" t="s">
        <v>335</v>
      </c>
      <c r="R1373" s="6">
        <v>4</v>
      </c>
      <c r="S1373" s="8" t="s">
        <v>335</v>
      </c>
      <c r="T1373" s="6">
        <v>4</v>
      </c>
      <c r="U1373" s="8" t="s">
        <v>2304</v>
      </c>
      <c r="V1373" s="8" t="s">
        <v>240</v>
      </c>
      <c r="W1373" s="8" t="s">
        <v>240</v>
      </c>
      <c r="X1373" s="8" t="s">
        <v>240</v>
      </c>
      <c r="Y1373" s="8" t="s">
        <v>240</v>
      </c>
      <c r="Z1373" s="6" t="b">
        <v>0</v>
      </c>
      <c r="AA1373" s="9"/>
      <c r="AB1373" s="9"/>
    </row>
    <row r="1374" spans="1:28" ht="16">
      <c r="A1374" s="6">
        <v>1514</v>
      </c>
      <c r="B1374" s="8" t="s">
        <v>194</v>
      </c>
      <c r="C1374" s="8" t="s">
        <v>90</v>
      </c>
      <c r="D1374" s="8" t="s">
        <v>2305</v>
      </c>
      <c r="E1374" s="8" t="s">
        <v>2305</v>
      </c>
      <c r="F1374" s="6">
        <v>1514</v>
      </c>
      <c r="G1374" s="6" t="b">
        <v>0</v>
      </c>
      <c r="H1374" s="8" t="s">
        <v>240</v>
      </c>
      <c r="I1374" s="6" t="b">
        <v>0</v>
      </c>
      <c r="J1374" s="6" t="b">
        <v>0</v>
      </c>
      <c r="K1374" s="6" t="b">
        <v>0</v>
      </c>
      <c r="L1374" s="6" t="b">
        <v>1</v>
      </c>
      <c r="M1374" s="6" t="b">
        <v>0</v>
      </c>
      <c r="N1374" s="6">
        <v>6</v>
      </c>
      <c r="O1374" s="8" t="s">
        <v>331</v>
      </c>
      <c r="P1374" s="8" t="s">
        <v>238</v>
      </c>
      <c r="Q1374" s="8" t="s">
        <v>446</v>
      </c>
      <c r="R1374" s="6">
        <v>0</v>
      </c>
      <c r="S1374" s="8" t="s">
        <v>347</v>
      </c>
      <c r="T1374" s="9"/>
      <c r="U1374" s="8" t="s">
        <v>240</v>
      </c>
      <c r="V1374" s="8" t="s">
        <v>496</v>
      </c>
      <c r="W1374" s="8" t="s">
        <v>386</v>
      </c>
      <c r="X1374" s="8" t="s">
        <v>240</v>
      </c>
      <c r="Y1374" s="8" t="s">
        <v>240</v>
      </c>
      <c r="Z1374" s="6" t="b">
        <v>0</v>
      </c>
      <c r="AA1374" s="9"/>
      <c r="AB1374" s="9"/>
    </row>
    <row r="1375" spans="1:28" ht="32">
      <c r="A1375" s="6">
        <v>1515</v>
      </c>
      <c r="B1375" s="8" t="s">
        <v>194</v>
      </c>
      <c r="C1375" s="8" t="s">
        <v>90</v>
      </c>
      <c r="D1375" s="8" t="s">
        <v>2306</v>
      </c>
      <c r="E1375" s="8" t="s">
        <v>2305</v>
      </c>
      <c r="F1375" s="6">
        <v>1514</v>
      </c>
      <c r="G1375" s="6" t="b">
        <v>0</v>
      </c>
      <c r="H1375" s="8" t="s">
        <v>240</v>
      </c>
      <c r="I1375" s="6" t="b">
        <v>0</v>
      </c>
      <c r="J1375" s="6" t="b">
        <v>0</v>
      </c>
      <c r="K1375" s="6" t="b">
        <v>0</v>
      </c>
      <c r="L1375" s="6" t="b">
        <v>1</v>
      </c>
      <c r="M1375" s="6" t="b">
        <v>0</v>
      </c>
      <c r="N1375" s="6">
        <v>6</v>
      </c>
      <c r="O1375" s="8" t="s">
        <v>331</v>
      </c>
      <c r="P1375" s="8" t="s">
        <v>238</v>
      </c>
      <c r="Q1375" s="8" t="s">
        <v>335</v>
      </c>
      <c r="R1375" s="6">
        <v>0</v>
      </c>
      <c r="S1375" s="8" t="s">
        <v>335</v>
      </c>
      <c r="T1375" s="6">
        <v>0</v>
      </c>
      <c r="U1375" s="8" t="s">
        <v>240</v>
      </c>
      <c r="V1375" s="8" t="s">
        <v>496</v>
      </c>
      <c r="W1375" s="8" t="s">
        <v>386</v>
      </c>
      <c r="X1375" s="8" t="s">
        <v>240</v>
      </c>
      <c r="Y1375" s="8" t="s">
        <v>240</v>
      </c>
      <c r="Z1375" s="6" t="b">
        <v>0</v>
      </c>
      <c r="AA1375" s="9"/>
      <c r="AB1375" s="9"/>
    </row>
    <row r="1376" spans="1:28" ht="32">
      <c r="A1376" s="6">
        <v>1516</v>
      </c>
      <c r="B1376" s="8" t="s">
        <v>194</v>
      </c>
      <c r="C1376" s="8" t="s">
        <v>90</v>
      </c>
      <c r="D1376" s="8" t="s">
        <v>2307</v>
      </c>
      <c r="E1376" s="8" t="s">
        <v>2307</v>
      </c>
      <c r="F1376" s="6">
        <v>1516</v>
      </c>
      <c r="G1376" s="6" t="b">
        <v>0</v>
      </c>
      <c r="H1376" s="8" t="s">
        <v>240</v>
      </c>
      <c r="I1376" s="6" t="b">
        <v>0</v>
      </c>
      <c r="J1376" s="6" t="b">
        <v>1</v>
      </c>
      <c r="K1376" s="6" t="b">
        <v>0</v>
      </c>
      <c r="L1376" s="6" t="b">
        <v>1</v>
      </c>
      <c r="M1376" s="6" t="b">
        <v>0</v>
      </c>
      <c r="N1376" s="6">
        <v>6</v>
      </c>
      <c r="O1376" s="8" t="s">
        <v>331</v>
      </c>
      <c r="P1376" s="8" t="s">
        <v>380</v>
      </c>
      <c r="Q1376" s="8" t="s">
        <v>811</v>
      </c>
      <c r="R1376" s="6">
        <v>2</v>
      </c>
      <c r="S1376" s="8" t="s">
        <v>372</v>
      </c>
      <c r="T1376" s="9"/>
      <c r="U1376" s="8" t="s">
        <v>240</v>
      </c>
      <c r="V1376" s="8" t="s">
        <v>496</v>
      </c>
      <c r="W1376" s="8" t="s">
        <v>240</v>
      </c>
      <c r="X1376" s="8" t="s">
        <v>240</v>
      </c>
      <c r="Y1376" s="8" t="s">
        <v>240</v>
      </c>
      <c r="Z1376" s="6" t="b">
        <v>0</v>
      </c>
      <c r="AA1376" s="9"/>
      <c r="AB1376" s="9"/>
    </row>
    <row r="1377" spans="1:28" ht="32">
      <c r="A1377" s="6">
        <v>1517</v>
      </c>
      <c r="B1377" s="8" t="s">
        <v>194</v>
      </c>
      <c r="C1377" s="8" t="s">
        <v>90</v>
      </c>
      <c r="D1377" s="8" t="s">
        <v>2308</v>
      </c>
      <c r="E1377" s="8" t="s">
        <v>2307</v>
      </c>
      <c r="F1377" s="6">
        <v>1516</v>
      </c>
      <c r="G1377" s="6" t="b">
        <v>0</v>
      </c>
      <c r="H1377" s="8" t="s">
        <v>240</v>
      </c>
      <c r="I1377" s="6" t="b">
        <v>0</v>
      </c>
      <c r="J1377" s="6" t="b">
        <v>1</v>
      </c>
      <c r="K1377" s="6" t="b">
        <v>0</v>
      </c>
      <c r="L1377" s="6" t="b">
        <v>1</v>
      </c>
      <c r="M1377" s="6" t="b">
        <v>0</v>
      </c>
      <c r="N1377" s="6">
        <v>6</v>
      </c>
      <c r="O1377" s="8" t="s">
        <v>331</v>
      </c>
      <c r="P1377" s="8" t="s">
        <v>380</v>
      </c>
      <c r="Q1377" s="8" t="s">
        <v>811</v>
      </c>
      <c r="R1377" s="6">
        <v>2</v>
      </c>
      <c r="S1377" s="8" t="s">
        <v>347</v>
      </c>
      <c r="T1377" s="9"/>
      <c r="U1377" s="8" t="s">
        <v>240</v>
      </c>
      <c r="V1377" s="8" t="s">
        <v>496</v>
      </c>
      <c r="W1377" s="8" t="s">
        <v>240</v>
      </c>
      <c r="X1377" s="8" t="s">
        <v>240</v>
      </c>
      <c r="Y1377" s="8" t="s">
        <v>240</v>
      </c>
      <c r="Z1377" s="6" t="b">
        <v>0</v>
      </c>
      <c r="AA1377" s="9"/>
      <c r="AB1377" s="9"/>
    </row>
    <row r="1378" spans="1:28" ht="16">
      <c r="A1378" s="6">
        <v>1518</v>
      </c>
      <c r="B1378" s="8" t="s">
        <v>194</v>
      </c>
      <c r="C1378" s="8" t="s">
        <v>90</v>
      </c>
      <c r="D1378" s="8" t="s">
        <v>2309</v>
      </c>
      <c r="E1378" s="8" t="s">
        <v>2309</v>
      </c>
      <c r="F1378" s="6">
        <v>1518</v>
      </c>
      <c r="G1378" s="6" t="b">
        <v>0</v>
      </c>
      <c r="H1378" s="8" t="s">
        <v>240</v>
      </c>
      <c r="I1378" s="6" t="b">
        <v>0</v>
      </c>
      <c r="J1378" s="6" t="b">
        <v>1</v>
      </c>
      <c r="K1378" s="6" t="b">
        <v>0</v>
      </c>
      <c r="L1378" s="6" t="b">
        <v>1</v>
      </c>
      <c r="M1378" s="6" t="b">
        <v>0</v>
      </c>
      <c r="N1378" s="6">
        <v>6</v>
      </c>
      <c r="O1378" s="8" t="s">
        <v>331</v>
      </c>
      <c r="P1378" s="8" t="s">
        <v>380</v>
      </c>
      <c r="Q1378" s="8" t="s">
        <v>372</v>
      </c>
      <c r="R1378" s="6">
        <v>7</v>
      </c>
      <c r="S1378" s="8" t="s">
        <v>372</v>
      </c>
      <c r="T1378" s="9"/>
      <c r="U1378" s="8" t="s">
        <v>240</v>
      </c>
      <c r="V1378" s="8" t="s">
        <v>240</v>
      </c>
      <c r="W1378" s="8" t="s">
        <v>240</v>
      </c>
      <c r="X1378" s="8" t="s">
        <v>240</v>
      </c>
      <c r="Y1378" s="8" t="s">
        <v>240</v>
      </c>
      <c r="Z1378" s="6" t="b">
        <v>0</v>
      </c>
      <c r="AA1378" s="9"/>
      <c r="AB1378" s="9"/>
    </row>
    <row r="1379" spans="1:28" ht="32">
      <c r="A1379" s="6">
        <v>1519</v>
      </c>
      <c r="B1379" s="8" t="s">
        <v>194</v>
      </c>
      <c r="C1379" s="8" t="s">
        <v>90</v>
      </c>
      <c r="D1379" s="8" t="s">
        <v>2310</v>
      </c>
      <c r="E1379" s="8" t="s">
        <v>2309</v>
      </c>
      <c r="F1379" s="6">
        <v>1518</v>
      </c>
      <c r="G1379" s="6" t="b">
        <v>0</v>
      </c>
      <c r="H1379" s="8" t="s">
        <v>240</v>
      </c>
      <c r="I1379" s="6" t="b">
        <v>0</v>
      </c>
      <c r="J1379" s="6" t="b">
        <v>1</v>
      </c>
      <c r="K1379" s="6" t="b">
        <v>0</v>
      </c>
      <c r="L1379" s="6" t="b">
        <v>1</v>
      </c>
      <c r="M1379" s="6" t="b">
        <v>0</v>
      </c>
      <c r="N1379" s="6">
        <v>6</v>
      </c>
      <c r="O1379" s="8" t="s">
        <v>331</v>
      </c>
      <c r="P1379" s="8" t="s">
        <v>380</v>
      </c>
      <c r="Q1379" s="8" t="s">
        <v>575</v>
      </c>
      <c r="R1379" s="6">
        <v>4</v>
      </c>
      <c r="S1379" s="8" t="s">
        <v>341</v>
      </c>
      <c r="T1379" s="6">
        <v>4</v>
      </c>
      <c r="U1379" s="8" t="s">
        <v>240</v>
      </c>
      <c r="V1379" s="8" t="s">
        <v>240</v>
      </c>
      <c r="W1379" s="8" t="s">
        <v>240</v>
      </c>
      <c r="X1379" s="8" t="s">
        <v>240</v>
      </c>
      <c r="Y1379" s="8" t="s">
        <v>240</v>
      </c>
      <c r="Z1379" s="6" t="b">
        <v>0</v>
      </c>
      <c r="AA1379" s="9"/>
      <c r="AB1379" s="9"/>
    </row>
    <row r="1380" spans="1:28" ht="16">
      <c r="A1380" s="6">
        <v>1520</v>
      </c>
      <c r="B1380" s="8" t="s">
        <v>194</v>
      </c>
      <c r="C1380" s="8" t="s">
        <v>90</v>
      </c>
      <c r="D1380" s="8" t="s">
        <v>2311</v>
      </c>
      <c r="E1380" s="8" t="s">
        <v>2311</v>
      </c>
      <c r="F1380" s="6">
        <v>1520</v>
      </c>
      <c r="G1380" s="6" t="b">
        <v>0</v>
      </c>
      <c r="H1380" s="8" t="s">
        <v>240</v>
      </c>
      <c r="I1380" s="6" t="b">
        <v>1</v>
      </c>
      <c r="J1380" s="6" t="b">
        <v>0</v>
      </c>
      <c r="K1380" s="6" t="b">
        <v>0</v>
      </c>
      <c r="L1380" s="6" t="b">
        <v>1</v>
      </c>
      <c r="M1380" s="6" t="b">
        <v>0</v>
      </c>
      <c r="N1380" s="6">
        <v>6</v>
      </c>
      <c r="O1380" s="8" t="s">
        <v>331</v>
      </c>
      <c r="P1380" s="8" t="s">
        <v>1678</v>
      </c>
      <c r="Q1380" s="8" t="s">
        <v>1517</v>
      </c>
      <c r="R1380" s="6">
        <v>4</v>
      </c>
      <c r="S1380" s="8" t="s">
        <v>335</v>
      </c>
      <c r="T1380" s="6">
        <v>4</v>
      </c>
      <c r="U1380" s="8" t="s">
        <v>240</v>
      </c>
      <c r="V1380" s="8" t="s">
        <v>1363</v>
      </c>
      <c r="W1380" s="8" t="s">
        <v>240</v>
      </c>
      <c r="X1380" s="8" t="s">
        <v>240</v>
      </c>
      <c r="Y1380" s="8" t="s">
        <v>240</v>
      </c>
      <c r="Z1380" s="6" t="b">
        <v>0</v>
      </c>
      <c r="AA1380" s="9"/>
      <c r="AB1380" s="9"/>
    </row>
    <row r="1381" spans="1:28" ht="16">
      <c r="A1381" s="6">
        <v>1523</v>
      </c>
      <c r="B1381" s="8" t="s">
        <v>194</v>
      </c>
      <c r="C1381" s="8" t="s">
        <v>90</v>
      </c>
      <c r="D1381" s="8" t="s">
        <v>2312</v>
      </c>
      <c r="E1381" s="8" t="s">
        <v>2311</v>
      </c>
      <c r="F1381" s="6">
        <v>1520</v>
      </c>
      <c r="G1381" s="6" t="b">
        <v>0</v>
      </c>
      <c r="H1381" s="8" t="s">
        <v>240</v>
      </c>
      <c r="I1381" s="6" t="b">
        <v>1</v>
      </c>
      <c r="J1381" s="6" t="b">
        <v>0</v>
      </c>
      <c r="K1381" s="6" t="b">
        <v>0</v>
      </c>
      <c r="L1381" s="6" t="b">
        <v>1</v>
      </c>
      <c r="M1381" s="6" t="b">
        <v>0</v>
      </c>
      <c r="N1381" s="6">
        <v>6</v>
      </c>
      <c r="O1381" s="8" t="s">
        <v>331</v>
      </c>
      <c r="P1381" s="8" t="s">
        <v>1678</v>
      </c>
      <c r="Q1381" s="8" t="s">
        <v>1517</v>
      </c>
      <c r="R1381" s="6">
        <v>6</v>
      </c>
      <c r="S1381" s="8" t="s">
        <v>75</v>
      </c>
      <c r="T1381" s="9"/>
      <c r="U1381" s="8" t="s">
        <v>240</v>
      </c>
      <c r="V1381" s="8" t="s">
        <v>1363</v>
      </c>
      <c r="W1381" s="8" t="s">
        <v>240</v>
      </c>
      <c r="X1381" s="8" t="s">
        <v>240</v>
      </c>
      <c r="Y1381" s="8" t="s">
        <v>240</v>
      </c>
      <c r="Z1381" s="6" t="b">
        <v>0</v>
      </c>
      <c r="AA1381" s="9"/>
      <c r="AB1381" s="9"/>
    </row>
    <row r="1382" spans="1:28" ht="32">
      <c r="A1382" s="6">
        <v>1524</v>
      </c>
      <c r="B1382" s="8" t="s">
        <v>194</v>
      </c>
      <c r="C1382" s="8" t="s">
        <v>90</v>
      </c>
      <c r="D1382" s="8" t="s">
        <v>2313</v>
      </c>
      <c r="E1382" s="8" t="s">
        <v>2313</v>
      </c>
      <c r="F1382" s="6">
        <v>1524</v>
      </c>
      <c r="G1382" s="6" t="b">
        <v>0</v>
      </c>
      <c r="H1382" s="8" t="s">
        <v>240</v>
      </c>
      <c r="I1382" s="6" t="b">
        <v>0</v>
      </c>
      <c r="J1382" s="6" t="b">
        <v>0</v>
      </c>
      <c r="K1382" s="6" t="b">
        <v>0</v>
      </c>
      <c r="L1382" s="6" t="b">
        <v>1</v>
      </c>
      <c r="M1382" s="6" t="b">
        <v>0</v>
      </c>
      <c r="N1382" s="6">
        <v>6</v>
      </c>
      <c r="O1382" s="8" t="s">
        <v>331</v>
      </c>
      <c r="P1382" s="8" t="s">
        <v>1678</v>
      </c>
      <c r="Q1382" s="8" t="s">
        <v>1517</v>
      </c>
      <c r="R1382" s="6">
        <v>6</v>
      </c>
      <c r="S1382" s="8" t="s">
        <v>75</v>
      </c>
      <c r="T1382" s="9"/>
      <c r="U1382" s="8" t="s">
        <v>240</v>
      </c>
      <c r="V1382" s="8" t="s">
        <v>1973</v>
      </c>
      <c r="W1382" s="8" t="s">
        <v>240</v>
      </c>
      <c r="X1382" s="8" t="s">
        <v>240</v>
      </c>
      <c r="Y1382" s="8" t="s">
        <v>240</v>
      </c>
      <c r="Z1382" s="6" t="b">
        <v>0</v>
      </c>
      <c r="AA1382" s="9"/>
      <c r="AB1382" s="9"/>
    </row>
    <row r="1383" spans="1:28" ht="32">
      <c r="A1383" s="6">
        <v>1525</v>
      </c>
      <c r="B1383" s="8" t="s">
        <v>194</v>
      </c>
      <c r="C1383" s="8" t="s">
        <v>90</v>
      </c>
      <c r="D1383" s="8" t="s">
        <v>2314</v>
      </c>
      <c r="E1383" s="8" t="s">
        <v>2313</v>
      </c>
      <c r="F1383" s="6">
        <v>1524</v>
      </c>
      <c r="G1383" s="6" t="b">
        <v>0</v>
      </c>
      <c r="H1383" s="8" t="s">
        <v>240</v>
      </c>
      <c r="I1383" s="6" t="b">
        <v>0</v>
      </c>
      <c r="J1383" s="6" t="b">
        <v>0</v>
      </c>
      <c r="K1383" s="6" t="b">
        <v>0</v>
      </c>
      <c r="L1383" s="6" t="b">
        <v>1</v>
      </c>
      <c r="M1383" s="6" t="b">
        <v>0</v>
      </c>
      <c r="N1383" s="6">
        <v>6</v>
      </c>
      <c r="O1383" s="8" t="s">
        <v>331</v>
      </c>
      <c r="P1383" s="8" t="s">
        <v>1678</v>
      </c>
      <c r="Q1383" s="8" t="s">
        <v>1517</v>
      </c>
      <c r="R1383" s="6">
        <v>6</v>
      </c>
      <c r="S1383" s="8" t="s">
        <v>75</v>
      </c>
      <c r="T1383" s="9"/>
      <c r="U1383" s="8" t="s">
        <v>240</v>
      </c>
      <c r="V1383" s="8" t="s">
        <v>1973</v>
      </c>
      <c r="W1383" s="8" t="s">
        <v>240</v>
      </c>
      <c r="X1383" s="8" t="s">
        <v>240</v>
      </c>
      <c r="Y1383" s="8" t="s">
        <v>240</v>
      </c>
      <c r="Z1383" s="6" t="b">
        <v>0</v>
      </c>
      <c r="AA1383" s="9"/>
      <c r="AB1383" s="9"/>
    </row>
    <row r="1384" spans="1:28" ht="16">
      <c r="A1384" s="6">
        <v>1526</v>
      </c>
      <c r="B1384" s="8" t="s">
        <v>2315</v>
      </c>
      <c r="C1384" s="8" t="s">
        <v>120</v>
      </c>
      <c r="D1384" s="8" t="s">
        <v>2316</v>
      </c>
      <c r="E1384" s="8" t="s">
        <v>2316</v>
      </c>
      <c r="F1384" s="6">
        <v>1526</v>
      </c>
      <c r="G1384" s="6" t="b">
        <v>0</v>
      </c>
      <c r="H1384" s="8" t="s">
        <v>240</v>
      </c>
      <c r="I1384" s="6" t="b">
        <v>0</v>
      </c>
      <c r="J1384" s="6" t="b">
        <v>0</v>
      </c>
      <c r="K1384" s="6" t="b">
        <v>0</v>
      </c>
      <c r="L1384" s="6" t="b">
        <v>0</v>
      </c>
      <c r="M1384" s="6" t="b">
        <v>0</v>
      </c>
      <c r="N1384" s="6">
        <v>8</v>
      </c>
      <c r="O1384" s="8" t="s">
        <v>331</v>
      </c>
      <c r="P1384" s="8" t="s">
        <v>516</v>
      </c>
      <c r="Q1384" s="8" t="s">
        <v>339</v>
      </c>
      <c r="R1384" s="6">
        <v>4.8</v>
      </c>
      <c r="S1384" s="8" t="s">
        <v>247</v>
      </c>
      <c r="T1384" s="6">
        <v>5</v>
      </c>
      <c r="U1384" s="8" t="s">
        <v>240</v>
      </c>
      <c r="V1384" s="8" t="s">
        <v>240</v>
      </c>
      <c r="W1384" s="8" t="s">
        <v>240</v>
      </c>
      <c r="X1384" s="8" t="s">
        <v>240</v>
      </c>
      <c r="Y1384" s="8" t="s">
        <v>2317</v>
      </c>
      <c r="Z1384" s="6" t="b">
        <v>0</v>
      </c>
      <c r="AA1384" s="9"/>
      <c r="AB1384" s="9"/>
    </row>
    <row r="1385" spans="1:28" ht="32">
      <c r="A1385" s="6">
        <v>1527</v>
      </c>
      <c r="B1385" s="8" t="s">
        <v>2315</v>
      </c>
      <c r="C1385" s="8" t="s">
        <v>120</v>
      </c>
      <c r="D1385" s="8" t="s">
        <v>2318</v>
      </c>
      <c r="E1385" s="8" t="s">
        <v>2316</v>
      </c>
      <c r="F1385" s="6">
        <v>1526</v>
      </c>
      <c r="G1385" s="6" t="b">
        <v>0</v>
      </c>
      <c r="H1385" s="8" t="s">
        <v>240</v>
      </c>
      <c r="I1385" s="6" t="b">
        <v>0</v>
      </c>
      <c r="J1385" s="6" t="b">
        <v>0</v>
      </c>
      <c r="K1385" s="6" t="b">
        <v>0</v>
      </c>
      <c r="L1385" s="6" t="b">
        <v>0</v>
      </c>
      <c r="M1385" s="6" t="b">
        <v>0</v>
      </c>
      <c r="N1385" s="6">
        <v>8</v>
      </c>
      <c r="O1385" s="8" t="s">
        <v>331</v>
      </c>
      <c r="P1385" s="8" t="s">
        <v>516</v>
      </c>
      <c r="Q1385" s="8" t="s">
        <v>339</v>
      </c>
      <c r="R1385" s="6">
        <v>8</v>
      </c>
      <c r="S1385" s="8" t="s">
        <v>75</v>
      </c>
      <c r="T1385" s="6">
        <v>5</v>
      </c>
      <c r="U1385" s="8" t="s">
        <v>240</v>
      </c>
      <c r="V1385" s="8" t="s">
        <v>240</v>
      </c>
      <c r="W1385" s="8" t="s">
        <v>240</v>
      </c>
      <c r="X1385" s="8" t="s">
        <v>240</v>
      </c>
      <c r="Y1385" s="8" t="s">
        <v>2319</v>
      </c>
      <c r="Z1385" s="6" t="b">
        <v>0</v>
      </c>
      <c r="AA1385" s="9"/>
      <c r="AB1385" s="9"/>
    </row>
    <row r="1386" spans="1:28" ht="16">
      <c r="A1386" s="6">
        <v>1528</v>
      </c>
      <c r="B1386" s="8" t="s">
        <v>2315</v>
      </c>
      <c r="C1386" s="8" t="s">
        <v>102</v>
      </c>
      <c r="D1386" s="8" t="s">
        <v>2320</v>
      </c>
      <c r="E1386" s="8" t="s">
        <v>2320</v>
      </c>
      <c r="F1386" s="6">
        <v>1528</v>
      </c>
      <c r="G1386" s="6" t="b">
        <v>0</v>
      </c>
      <c r="H1386" s="8" t="s">
        <v>240</v>
      </c>
      <c r="I1386" s="6" t="b">
        <v>0</v>
      </c>
      <c r="J1386" s="6" t="b">
        <v>0</v>
      </c>
      <c r="K1386" s="6" t="b">
        <v>0</v>
      </c>
      <c r="L1386" s="6" t="b">
        <v>0</v>
      </c>
      <c r="M1386" s="6" t="b">
        <v>0</v>
      </c>
      <c r="N1386" s="6">
        <v>7</v>
      </c>
      <c r="O1386" s="8" t="s">
        <v>237</v>
      </c>
      <c r="P1386" s="8" t="s">
        <v>516</v>
      </c>
      <c r="Q1386" s="8" t="s">
        <v>239</v>
      </c>
      <c r="R1386" s="6">
        <v>7</v>
      </c>
      <c r="S1386" s="8" t="s">
        <v>341</v>
      </c>
      <c r="T1386" s="9"/>
      <c r="U1386" s="8" t="s">
        <v>240</v>
      </c>
      <c r="V1386" s="8" t="s">
        <v>240</v>
      </c>
      <c r="W1386" s="8" t="s">
        <v>240</v>
      </c>
      <c r="X1386" s="8" t="s">
        <v>240</v>
      </c>
      <c r="Y1386" s="8" t="s">
        <v>240</v>
      </c>
      <c r="Z1386" s="6" t="b">
        <v>0</v>
      </c>
      <c r="AA1386" s="9"/>
      <c r="AB1386" s="9"/>
    </row>
    <row r="1387" spans="1:28" ht="16">
      <c r="A1387" s="6">
        <v>1529</v>
      </c>
      <c r="B1387" s="8" t="s">
        <v>2315</v>
      </c>
      <c r="C1387" s="8" t="s">
        <v>102</v>
      </c>
      <c r="D1387" s="8" t="s">
        <v>2321</v>
      </c>
      <c r="E1387" s="8" t="s">
        <v>2320</v>
      </c>
      <c r="F1387" s="6">
        <v>1528</v>
      </c>
      <c r="G1387" s="6" t="b">
        <v>0</v>
      </c>
      <c r="H1387" s="8" t="s">
        <v>240</v>
      </c>
      <c r="I1387" s="6" t="b">
        <v>0</v>
      </c>
      <c r="J1387" s="6" t="b">
        <v>0</v>
      </c>
      <c r="K1387" s="6" t="b">
        <v>0</v>
      </c>
      <c r="L1387" s="6" t="b">
        <v>0</v>
      </c>
      <c r="M1387" s="6" t="b">
        <v>0</v>
      </c>
      <c r="N1387" s="6">
        <v>7</v>
      </c>
      <c r="O1387" s="8" t="s">
        <v>237</v>
      </c>
      <c r="P1387" s="8" t="s">
        <v>516</v>
      </c>
      <c r="Q1387" s="8" t="s">
        <v>239</v>
      </c>
      <c r="R1387" s="6">
        <v>7</v>
      </c>
      <c r="S1387" s="8" t="s">
        <v>341</v>
      </c>
      <c r="T1387" s="9"/>
      <c r="U1387" s="8" t="s">
        <v>240</v>
      </c>
      <c r="V1387" s="8" t="s">
        <v>240</v>
      </c>
      <c r="W1387" s="8" t="s">
        <v>240</v>
      </c>
      <c r="X1387" s="8" t="s">
        <v>240</v>
      </c>
      <c r="Y1387" s="8" t="s">
        <v>2322</v>
      </c>
      <c r="Z1387" s="6" t="b">
        <v>0</v>
      </c>
      <c r="AA1387" s="9"/>
      <c r="AB1387" s="9"/>
    </row>
    <row r="1388" spans="1:28" ht="16">
      <c r="A1388" s="6">
        <v>1530</v>
      </c>
      <c r="B1388" s="8" t="s">
        <v>2315</v>
      </c>
      <c r="C1388" s="8" t="s">
        <v>135</v>
      </c>
      <c r="D1388" s="8" t="s">
        <v>2323</v>
      </c>
      <c r="E1388" s="8" t="s">
        <v>2323</v>
      </c>
      <c r="F1388" s="6">
        <v>1530</v>
      </c>
      <c r="G1388" s="6" t="b">
        <v>0</v>
      </c>
      <c r="H1388" s="8" t="s">
        <v>240</v>
      </c>
      <c r="I1388" s="6" t="b">
        <v>0</v>
      </c>
      <c r="J1388" s="6" t="b">
        <v>0</v>
      </c>
      <c r="K1388" s="6" t="b">
        <v>0</v>
      </c>
      <c r="L1388" s="6" t="b">
        <v>0</v>
      </c>
      <c r="M1388" s="6" t="b">
        <v>0</v>
      </c>
      <c r="N1388" s="6">
        <v>6</v>
      </c>
      <c r="O1388" s="8" t="s">
        <v>237</v>
      </c>
      <c r="P1388" s="8" t="s">
        <v>516</v>
      </c>
      <c r="Q1388" s="8" t="s">
        <v>335</v>
      </c>
      <c r="R1388" s="6">
        <v>7</v>
      </c>
      <c r="S1388" s="8" t="s">
        <v>341</v>
      </c>
      <c r="T1388" s="9"/>
      <c r="U1388" s="8" t="s">
        <v>240</v>
      </c>
      <c r="V1388" s="8" t="s">
        <v>240</v>
      </c>
      <c r="W1388" s="8" t="s">
        <v>240</v>
      </c>
      <c r="X1388" s="8" t="s">
        <v>240</v>
      </c>
      <c r="Y1388" s="8" t="s">
        <v>240</v>
      </c>
      <c r="Z1388" s="6" t="b">
        <v>0</v>
      </c>
      <c r="AA1388" s="9"/>
      <c r="AB1388" s="9"/>
    </row>
    <row r="1389" spans="1:28" ht="32">
      <c r="A1389" s="6">
        <v>1531</v>
      </c>
      <c r="B1389" s="8" t="s">
        <v>2315</v>
      </c>
      <c r="C1389" s="8" t="s">
        <v>135</v>
      </c>
      <c r="D1389" s="8" t="s">
        <v>2324</v>
      </c>
      <c r="E1389" s="8" t="s">
        <v>2323</v>
      </c>
      <c r="F1389" s="6">
        <v>1530</v>
      </c>
      <c r="G1389" s="6" t="b">
        <v>0</v>
      </c>
      <c r="H1389" s="8" t="s">
        <v>240</v>
      </c>
      <c r="I1389" s="6" t="b">
        <v>0</v>
      </c>
      <c r="J1389" s="6" t="b">
        <v>0</v>
      </c>
      <c r="K1389" s="6" t="b">
        <v>0</v>
      </c>
      <c r="L1389" s="6" t="b">
        <v>0</v>
      </c>
      <c r="M1389" s="6" t="b">
        <v>0</v>
      </c>
      <c r="N1389" s="6">
        <v>6</v>
      </c>
      <c r="O1389" s="8" t="s">
        <v>237</v>
      </c>
      <c r="P1389" s="8" t="s">
        <v>516</v>
      </c>
      <c r="Q1389" s="8" t="s">
        <v>335</v>
      </c>
      <c r="R1389" s="6">
        <v>6</v>
      </c>
      <c r="S1389" s="8" t="s">
        <v>335</v>
      </c>
      <c r="T1389" s="6">
        <v>6</v>
      </c>
      <c r="U1389" s="8" t="s">
        <v>240</v>
      </c>
      <c r="V1389" s="8" t="s">
        <v>240</v>
      </c>
      <c r="W1389" s="8" t="s">
        <v>240</v>
      </c>
      <c r="X1389" s="8" t="s">
        <v>240</v>
      </c>
      <c r="Y1389" s="8" t="s">
        <v>2325</v>
      </c>
      <c r="Z1389" s="6" t="b">
        <v>0</v>
      </c>
      <c r="AA1389" s="9"/>
      <c r="AB1389" s="9"/>
    </row>
    <row r="1390" spans="1:28" ht="16">
      <c r="A1390" s="6">
        <v>1532</v>
      </c>
      <c r="B1390" s="8" t="s">
        <v>2315</v>
      </c>
      <c r="C1390" s="8" t="s">
        <v>2326</v>
      </c>
      <c r="D1390" s="8" t="s">
        <v>2327</v>
      </c>
      <c r="E1390" s="8" t="s">
        <v>2327</v>
      </c>
      <c r="F1390" s="6">
        <v>1532</v>
      </c>
      <c r="G1390" s="6" t="b">
        <v>0</v>
      </c>
      <c r="H1390" s="8" t="s">
        <v>240</v>
      </c>
      <c r="I1390" s="6" t="b">
        <v>0</v>
      </c>
      <c r="J1390" s="6" t="b">
        <v>0</v>
      </c>
      <c r="K1390" s="6" t="b">
        <v>0</v>
      </c>
      <c r="L1390" s="6" t="b">
        <v>0</v>
      </c>
      <c r="M1390" s="6" t="b">
        <v>0</v>
      </c>
      <c r="N1390" s="6">
        <v>6</v>
      </c>
      <c r="O1390" s="8" t="s">
        <v>237</v>
      </c>
      <c r="P1390" s="8" t="s">
        <v>240</v>
      </c>
      <c r="Q1390" s="8" t="s">
        <v>240</v>
      </c>
      <c r="R1390" s="6">
        <v>6</v>
      </c>
      <c r="S1390" s="8" t="s">
        <v>75</v>
      </c>
      <c r="T1390" s="9"/>
      <c r="U1390" s="8" t="s">
        <v>240</v>
      </c>
      <c r="V1390" s="8" t="s">
        <v>240</v>
      </c>
      <c r="W1390" s="8" t="s">
        <v>240</v>
      </c>
      <c r="X1390" s="8" t="s">
        <v>240</v>
      </c>
      <c r="Y1390" s="8" t="s">
        <v>2328</v>
      </c>
      <c r="Z1390" s="6" t="b">
        <v>0</v>
      </c>
      <c r="AA1390" s="9"/>
      <c r="AB1390" s="9"/>
    </row>
    <row r="1391" spans="1:28" ht="16">
      <c r="A1391" s="6">
        <v>1533</v>
      </c>
      <c r="B1391" s="8" t="s">
        <v>2315</v>
      </c>
      <c r="C1391" s="8" t="s">
        <v>2326</v>
      </c>
      <c r="D1391" s="8" t="s">
        <v>2329</v>
      </c>
      <c r="E1391" s="8" t="s">
        <v>2327</v>
      </c>
      <c r="F1391" s="6">
        <v>1532</v>
      </c>
      <c r="G1391" s="6" t="b">
        <v>0</v>
      </c>
      <c r="H1391" s="8" t="s">
        <v>240</v>
      </c>
      <c r="I1391" s="6" t="b">
        <v>0</v>
      </c>
      <c r="J1391" s="6" t="b">
        <v>0</v>
      </c>
      <c r="K1391" s="6" t="b">
        <v>0</v>
      </c>
      <c r="L1391" s="6" t="b">
        <v>0</v>
      </c>
      <c r="M1391" s="6" t="b">
        <v>0</v>
      </c>
      <c r="N1391" s="6">
        <v>6</v>
      </c>
      <c r="O1391" s="8" t="s">
        <v>237</v>
      </c>
      <c r="P1391" s="8" t="s">
        <v>240</v>
      </c>
      <c r="Q1391" s="8" t="s">
        <v>240</v>
      </c>
      <c r="R1391" s="6">
        <v>6</v>
      </c>
      <c r="S1391" s="8" t="s">
        <v>75</v>
      </c>
      <c r="T1391" s="9"/>
      <c r="U1391" s="8" t="s">
        <v>240</v>
      </c>
      <c r="V1391" s="8" t="s">
        <v>240</v>
      </c>
      <c r="W1391" s="8" t="s">
        <v>240</v>
      </c>
      <c r="X1391" s="8" t="s">
        <v>240</v>
      </c>
      <c r="Y1391" s="8" t="s">
        <v>240</v>
      </c>
      <c r="Z1391" s="6" t="b">
        <v>0</v>
      </c>
      <c r="AA1391" s="9"/>
      <c r="AB1391" s="9"/>
    </row>
    <row r="1392" spans="1:28" ht="16">
      <c r="A1392" s="6">
        <v>1534</v>
      </c>
      <c r="B1392" s="8" t="s">
        <v>2315</v>
      </c>
      <c r="C1392" s="8" t="s">
        <v>121</v>
      </c>
      <c r="D1392" s="8" t="s">
        <v>2330</v>
      </c>
      <c r="E1392" s="8" t="s">
        <v>2330</v>
      </c>
      <c r="F1392" s="6">
        <v>1534</v>
      </c>
      <c r="G1392" s="6" t="b">
        <v>0</v>
      </c>
      <c r="H1392" s="8" t="s">
        <v>240</v>
      </c>
      <c r="I1392" s="6" t="b">
        <v>0</v>
      </c>
      <c r="J1392" s="6" t="b">
        <v>0</v>
      </c>
      <c r="K1392" s="6" t="b">
        <v>0</v>
      </c>
      <c r="L1392" s="6" t="b">
        <v>0</v>
      </c>
      <c r="M1392" s="6" t="b">
        <v>0</v>
      </c>
      <c r="N1392" s="6">
        <v>6</v>
      </c>
      <c r="O1392" s="8" t="s">
        <v>331</v>
      </c>
      <c r="P1392" s="8" t="s">
        <v>240</v>
      </c>
      <c r="Q1392" s="8" t="s">
        <v>240</v>
      </c>
      <c r="R1392" s="6">
        <v>6</v>
      </c>
      <c r="S1392" s="8" t="s">
        <v>75</v>
      </c>
      <c r="T1392" s="9"/>
      <c r="U1392" s="8" t="s">
        <v>240</v>
      </c>
      <c r="V1392" s="8" t="s">
        <v>240</v>
      </c>
      <c r="W1392" s="8" t="s">
        <v>240</v>
      </c>
      <c r="X1392" s="8" t="s">
        <v>240</v>
      </c>
      <c r="Y1392" s="8" t="s">
        <v>2331</v>
      </c>
      <c r="Z1392" s="6" t="b">
        <v>0</v>
      </c>
      <c r="AA1392" s="9"/>
      <c r="AB1392" s="9"/>
    </row>
    <row r="1393" spans="1:28" ht="16">
      <c r="A1393" s="6">
        <v>1535</v>
      </c>
      <c r="B1393" s="8" t="s">
        <v>2315</v>
      </c>
      <c r="C1393" s="8" t="s">
        <v>121</v>
      </c>
      <c r="D1393" s="8" t="s">
        <v>2332</v>
      </c>
      <c r="E1393" s="8" t="s">
        <v>2330</v>
      </c>
      <c r="F1393" s="6">
        <v>1534</v>
      </c>
      <c r="G1393" s="6" t="b">
        <v>0</v>
      </c>
      <c r="H1393" s="8" t="s">
        <v>240</v>
      </c>
      <c r="I1393" s="6" t="b">
        <v>0</v>
      </c>
      <c r="J1393" s="6" t="b">
        <v>0</v>
      </c>
      <c r="K1393" s="6" t="b">
        <v>0</v>
      </c>
      <c r="L1393" s="6" t="b">
        <v>0</v>
      </c>
      <c r="M1393" s="6" t="b">
        <v>0</v>
      </c>
      <c r="N1393" s="6">
        <v>6</v>
      </c>
      <c r="O1393" s="8" t="s">
        <v>331</v>
      </c>
      <c r="P1393" s="8" t="s">
        <v>240</v>
      </c>
      <c r="Q1393" s="8" t="s">
        <v>240</v>
      </c>
      <c r="R1393" s="6">
        <v>6</v>
      </c>
      <c r="S1393" s="8" t="s">
        <v>75</v>
      </c>
      <c r="T1393" s="9"/>
      <c r="U1393" s="8" t="s">
        <v>240</v>
      </c>
      <c r="V1393" s="8" t="s">
        <v>240</v>
      </c>
      <c r="W1393" s="8" t="s">
        <v>240</v>
      </c>
      <c r="X1393" s="8" t="s">
        <v>240</v>
      </c>
      <c r="Y1393" s="8" t="s">
        <v>240</v>
      </c>
      <c r="Z1393" s="6" t="b">
        <v>0</v>
      </c>
      <c r="AA1393" s="9"/>
      <c r="AB1393" s="9"/>
    </row>
    <row r="1394" spans="1:28" ht="16">
      <c r="A1394" s="6">
        <v>1536</v>
      </c>
      <c r="B1394" s="8" t="s">
        <v>2315</v>
      </c>
      <c r="C1394" s="8" t="s">
        <v>91</v>
      </c>
      <c r="D1394" s="8" t="s">
        <v>2333</v>
      </c>
      <c r="E1394" s="8" t="s">
        <v>2333</v>
      </c>
      <c r="F1394" s="6">
        <v>1536</v>
      </c>
      <c r="G1394" s="6" t="b">
        <v>0</v>
      </c>
      <c r="H1394" s="8" t="s">
        <v>240</v>
      </c>
      <c r="I1394" s="6" t="b">
        <v>0</v>
      </c>
      <c r="J1394" s="6" t="b">
        <v>0</v>
      </c>
      <c r="K1394" s="6" t="b">
        <v>0</v>
      </c>
      <c r="L1394" s="6" t="b">
        <v>0</v>
      </c>
      <c r="M1394" s="6" t="b">
        <v>0</v>
      </c>
      <c r="N1394" s="6">
        <v>6</v>
      </c>
      <c r="O1394" s="8" t="s">
        <v>237</v>
      </c>
      <c r="P1394" s="8" t="s">
        <v>516</v>
      </c>
      <c r="Q1394" s="8" t="s">
        <v>239</v>
      </c>
      <c r="R1394" s="6">
        <v>2</v>
      </c>
      <c r="S1394" s="8" t="s">
        <v>372</v>
      </c>
      <c r="T1394" s="9"/>
      <c r="U1394" s="8" t="s">
        <v>240</v>
      </c>
      <c r="V1394" s="8" t="s">
        <v>240</v>
      </c>
      <c r="W1394" s="8" t="s">
        <v>240</v>
      </c>
      <c r="X1394" s="8" t="s">
        <v>240</v>
      </c>
      <c r="Y1394" s="8" t="s">
        <v>240</v>
      </c>
      <c r="Z1394" s="6" t="b">
        <v>0</v>
      </c>
      <c r="AA1394" s="9"/>
      <c r="AB1394" s="9"/>
    </row>
    <row r="1395" spans="1:28" ht="16">
      <c r="A1395" s="6">
        <v>1537</v>
      </c>
      <c r="B1395" s="8" t="s">
        <v>2315</v>
      </c>
      <c r="C1395" s="8" t="s">
        <v>91</v>
      </c>
      <c r="D1395" s="8" t="s">
        <v>2334</v>
      </c>
      <c r="E1395" s="8" t="s">
        <v>2333</v>
      </c>
      <c r="F1395" s="6">
        <v>1536</v>
      </c>
      <c r="G1395" s="6" t="b">
        <v>0</v>
      </c>
      <c r="H1395" s="8" t="s">
        <v>240</v>
      </c>
      <c r="I1395" s="6" t="b">
        <v>0</v>
      </c>
      <c r="J1395" s="6" t="b">
        <v>0</v>
      </c>
      <c r="K1395" s="6" t="b">
        <v>0</v>
      </c>
      <c r="L1395" s="6" t="b">
        <v>0</v>
      </c>
      <c r="M1395" s="6" t="b">
        <v>0</v>
      </c>
      <c r="N1395" s="6">
        <v>6</v>
      </c>
      <c r="O1395" s="8" t="s">
        <v>237</v>
      </c>
      <c r="P1395" s="8" t="s">
        <v>516</v>
      </c>
      <c r="Q1395" s="8" t="s">
        <v>239</v>
      </c>
      <c r="R1395" s="6">
        <v>2.5</v>
      </c>
      <c r="S1395" s="8" t="s">
        <v>247</v>
      </c>
      <c r="T1395" s="6">
        <v>6</v>
      </c>
      <c r="U1395" s="8" t="s">
        <v>240</v>
      </c>
      <c r="V1395" s="8" t="s">
        <v>240</v>
      </c>
      <c r="W1395" s="8" t="s">
        <v>240</v>
      </c>
      <c r="X1395" s="8" t="s">
        <v>240</v>
      </c>
      <c r="Y1395" s="8" t="s">
        <v>2335</v>
      </c>
      <c r="Z1395" s="6" t="b">
        <v>0</v>
      </c>
      <c r="AA1395" s="9"/>
      <c r="AB1395" s="9"/>
    </row>
    <row r="1396" spans="1:28" ht="16">
      <c r="A1396" s="6">
        <v>1538</v>
      </c>
      <c r="B1396" s="8" t="s">
        <v>2315</v>
      </c>
      <c r="C1396" s="8" t="s">
        <v>166</v>
      </c>
      <c r="D1396" s="8" t="s">
        <v>2336</v>
      </c>
      <c r="E1396" s="8" t="s">
        <v>2336</v>
      </c>
      <c r="F1396" s="6">
        <v>1538</v>
      </c>
      <c r="G1396" s="6" t="b">
        <v>0</v>
      </c>
      <c r="H1396" s="8" t="s">
        <v>240</v>
      </c>
      <c r="I1396" s="6" t="b">
        <v>0</v>
      </c>
      <c r="J1396" s="6" t="b">
        <v>0</v>
      </c>
      <c r="K1396" s="6" t="b">
        <v>0</v>
      </c>
      <c r="L1396" s="6" t="b">
        <v>0</v>
      </c>
      <c r="M1396" s="6" t="b">
        <v>0</v>
      </c>
      <c r="N1396" s="6">
        <v>6</v>
      </c>
      <c r="O1396" s="8" t="s">
        <v>331</v>
      </c>
      <c r="P1396" s="8" t="s">
        <v>516</v>
      </c>
      <c r="Q1396" s="8" t="s">
        <v>898</v>
      </c>
      <c r="R1396" s="6">
        <v>7</v>
      </c>
      <c r="S1396" s="8" t="s">
        <v>341</v>
      </c>
      <c r="T1396" s="6">
        <v>6</v>
      </c>
      <c r="U1396" s="8" t="s">
        <v>240</v>
      </c>
      <c r="V1396" s="8" t="s">
        <v>240</v>
      </c>
      <c r="W1396" s="8" t="s">
        <v>240</v>
      </c>
      <c r="X1396" s="8" t="s">
        <v>240</v>
      </c>
      <c r="Y1396" s="8" t="s">
        <v>2337</v>
      </c>
      <c r="Z1396" s="6" t="b">
        <v>0</v>
      </c>
      <c r="AA1396" s="9"/>
      <c r="AB1396" s="9"/>
    </row>
    <row r="1397" spans="1:28" ht="16">
      <c r="A1397" s="6">
        <v>1539</v>
      </c>
      <c r="B1397" s="8" t="s">
        <v>2315</v>
      </c>
      <c r="C1397" s="8" t="s">
        <v>166</v>
      </c>
      <c r="D1397" s="8" t="s">
        <v>2338</v>
      </c>
      <c r="E1397" s="8" t="s">
        <v>2336</v>
      </c>
      <c r="F1397" s="6">
        <v>1538</v>
      </c>
      <c r="G1397" s="6" t="b">
        <v>0</v>
      </c>
      <c r="H1397" s="8" t="s">
        <v>240</v>
      </c>
      <c r="I1397" s="6" t="b">
        <v>0</v>
      </c>
      <c r="J1397" s="6" t="b">
        <v>0</v>
      </c>
      <c r="K1397" s="6" t="b">
        <v>0</v>
      </c>
      <c r="L1397" s="6" t="b">
        <v>0</v>
      </c>
      <c r="M1397" s="6" t="b">
        <v>0</v>
      </c>
      <c r="N1397" s="6">
        <v>6</v>
      </c>
      <c r="O1397" s="8" t="s">
        <v>331</v>
      </c>
      <c r="P1397" s="8" t="s">
        <v>516</v>
      </c>
      <c r="Q1397" s="8" t="s">
        <v>898</v>
      </c>
      <c r="R1397" s="6">
        <v>7</v>
      </c>
      <c r="S1397" s="8" t="s">
        <v>341</v>
      </c>
      <c r="T1397" s="6">
        <v>6</v>
      </c>
      <c r="U1397" s="8" t="s">
        <v>240</v>
      </c>
      <c r="V1397" s="8" t="s">
        <v>240</v>
      </c>
      <c r="W1397" s="8" t="s">
        <v>240</v>
      </c>
      <c r="X1397" s="8" t="s">
        <v>240</v>
      </c>
      <c r="Y1397" s="8" t="s">
        <v>2339</v>
      </c>
      <c r="Z1397" s="6" t="b">
        <v>0</v>
      </c>
      <c r="AA1397" s="9"/>
      <c r="AB1397" s="9"/>
    </row>
    <row r="1398" spans="1:28" ht="16">
      <c r="A1398" s="6">
        <v>1540</v>
      </c>
      <c r="B1398" s="8" t="s">
        <v>2315</v>
      </c>
      <c r="C1398" s="8" t="s">
        <v>166</v>
      </c>
      <c r="D1398" s="8" t="s">
        <v>2340</v>
      </c>
      <c r="E1398" s="8" t="s">
        <v>2336</v>
      </c>
      <c r="F1398" s="6">
        <v>1538</v>
      </c>
      <c r="G1398" s="6" t="b">
        <v>0</v>
      </c>
      <c r="H1398" s="8" t="s">
        <v>240</v>
      </c>
      <c r="I1398" s="6" t="b">
        <v>0</v>
      </c>
      <c r="J1398" s="6" t="b">
        <v>0</v>
      </c>
      <c r="K1398" s="6" t="b">
        <v>0</v>
      </c>
      <c r="L1398" s="6" t="b">
        <v>0</v>
      </c>
      <c r="M1398" s="6" t="b">
        <v>0</v>
      </c>
      <c r="N1398" s="6">
        <v>6</v>
      </c>
      <c r="O1398" s="8" t="s">
        <v>331</v>
      </c>
      <c r="P1398" s="8" t="s">
        <v>516</v>
      </c>
      <c r="Q1398" s="8" t="s">
        <v>335</v>
      </c>
      <c r="R1398" s="6">
        <v>6</v>
      </c>
      <c r="S1398" s="8" t="s">
        <v>335</v>
      </c>
      <c r="T1398" s="9"/>
      <c r="U1398" s="8" t="s">
        <v>240</v>
      </c>
      <c r="V1398" s="8" t="s">
        <v>240</v>
      </c>
      <c r="W1398" s="8" t="s">
        <v>240</v>
      </c>
      <c r="X1398" s="8" t="s">
        <v>240</v>
      </c>
      <c r="Y1398" s="8" t="s">
        <v>2341</v>
      </c>
      <c r="Z1398" s="6" t="b">
        <v>0</v>
      </c>
      <c r="AA1398" s="9"/>
      <c r="AB1398" s="9"/>
    </row>
    <row r="1399" spans="1:28" ht="16">
      <c r="A1399" s="6">
        <v>1541</v>
      </c>
      <c r="B1399" s="8" t="s">
        <v>2315</v>
      </c>
      <c r="C1399" s="8" t="s">
        <v>2342</v>
      </c>
      <c r="D1399" s="8" t="s">
        <v>2343</v>
      </c>
      <c r="E1399" s="8" t="s">
        <v>2343</v>
      </c>
      <c r="F1399" s="6">
        <v>1541</v>
      </c>
      <c r="G1399" s="6" t="b">
        <v>0</v>
      </c>
      <c r="H1399" s="8" t="s">
        <v>240</v>
      </c>
      <c r="I1399" s="6" t="b">
        <v>0</v>
      </c>
      <c r="J1399" s="6" t="b">
        <v>0</v>
      </c>
      <c r="K1399" s="6" t="b">
        <v>0</v>
      </c>
      <c r="L1399" s="6" t="b">
        <v>0</v>
      </c>
      <c r="M1399" s="6" t="b">
        <v>0</v>
      </c>
      <c r="N1399" s="6">
        <v>6</v>
      </c>
      <c r="O1399" s="8" t="s">
        <v>237</v>
      </c>
      <c r="P1399" s="8" t="s">
        <v>516</v>
      </c>
      <c r="Q1399" s="8" t="s">
        <v>388</v>
      </c>
      <c r="R1399" s="6">
        <v>6</v>
      </c>
      <c r="S1399" s="8" t="s">
        <v>75</v>
      </c>
      <c r="T1399" s="6">
        <v>6</v>
      </c>
      <c r="U1399" s="8" t="s">
        <v>240</v>
      </c>
      <c r="V1399" s="8" t="s">
        <v>240</v>
      </c>
      <c r="W1399" s="8" t="s">
        <v>240</v>
      </c>
      <c r="X1399" s="8" t="s">
        <v>240</v>
      </c>
      <c r="Y1399" s="8" t="s">
        <v>2344</v>
      </c>
      <c r="Z1399" s="6" t="b">
        <v>0</v>
      </c>
      <c r="AA1399" s="9"/>
      <c r="AB1399" s="9"/>
    </row>
    <row r="1400" spans="1:28" ht="16">
      <c r="A1400" s="6">
        <v>1542</v>
      </c>
      <c r="B1400" s="8" t="s">
        <v>2315</v>
      </c>
      <c r="C1400" s="8" t="s">
        <v>2342</v>
      </c>
      <c r="D1400" s="8" t="s">
        <v>2345</v>
      </c>
      <c r="E1400" s="8" t="s">
        <v>2343</v>
      </c>
      <c r="F1400" s="6">
        <v>1541</v>
      </c>
      <c r="G1400" s="6" t="b">
        <v>0</v>
      </c>
      <c r="H1400" s="8" t="s">
        <v>240</v>
      </c>
      <c r="I1400" s="6" t="b">
        <v>0</v>
      </c>
      <c r="J1400" s="6" t="b">
        <v>0</v>
      </c>
      <c r="K1400" s="6" t="b">
        <v>0</v>
      </c>
      <c r="L1400" s="6" t="b">
        <v>0</v>
      </c>
      <c r="M1400" s="6" t="b">
        <v>0</v>
      </c>
      <c r="N1400" s="6">
        <v>6</v>
      </c>
      <c r="O1400" s="8" t="s">
        <v>237</v>
      </c>
      <c r="P1400" s="8" t="s">
        <v>516</v>
      </c>
      <c r="Q1400" s="8" t="s">
        <v>388</v>
      </c>
      <c r="R1400" s="6">
        <v>6</v>
      </c>
      <c r="S1400" s="8" t="s">
        <v>75</v>
      </c>
      <c r="T1400" s="9"/>
      <c r="U1400" s="8" t="s">
        <v>240</v>
      </c>
      <c r="V1400" s="8" t="s">
        <v>240</v>
      </c>
      <c r="W1400" s="8" t="s">
        <v>240</v>
      </c>
      <c r="X1400" s="8" t="s">
        <v>240</v>
      </c>
      <c r="Y1400" s="8" t="s">
        <v>2346</v>
      </c>
      <c r="Z1400" s="6" t="b">
        <v>0</v>
      </c>
      <c r="AA1400" s="9"/>
      <c r="AB1400" s="9"/>
    </row>
    <row r="1401" spans="1:28" ht="16">
      <c r="A1401" s="6">
        <v>1543</v>
      </c>
      <c r="B1401" s="8" t="s">
        <v>2315</v>
      </c>
      <c r="C1401" s="8" t="s">
        <v>120</v>
      </c>
      <c r="D1401" s="8" t="s">
        <v>2347</v>
      </c>
      <c r="E1401" s="8" t="s">
        <v>2347</v>
      </c>
      <c r="F1401" s="6">
        <v>1543</v>
      </c>
      <c r="G1401" s="6" t="b">
        <v>0</v>
      </c>
      <c r="H1401" s="8" t="s">
        <v>240</v>
      </c>
      <c r="I1401" s="6" t="b">
        <v>0</v>
      </c>
      <c r="J1401" s="6" t="b">
        <v>0</v>
      </c>
      <c r="K1401" s="6" t="b">
        <v>0</v>
      </c>
      <c r="L1401" s="6" t="b">
        <v>0</v>
      </c>
      <c r="M1401" s="6" t="b">
        <v>0</v>
      </c>
      <c r="N1401" s="6">
        <v>8</v>
      </c>
      <c r="O1401" s="8" t="s">
        <v>335</v>
      </c>
      <c r="P1401" s="8" t="s">
        <v>240</v>
      </c>
      <c r="Q1401" s="8" t="s">
        <v>240</v>
      </c>
      <c r="R1401" s="6">
        <v>8</v>
      </c>
      <c r="S1401" s="8" t="s">
        <v>75</v>
      </c>
      <c r="T1401" s="9"/>
      <c r="U1401" s="8" t="s">
        <v>240</v>
      </c>
      <c r="V1401" s="8" t="s">
        <v>240</v>
      </c>
      <c r="W1401" s="8" t="s">
        <v>240</v>
      </c>
      <c r="X1401" s="8" t="s">
        <v>240</v>
      </c>
      <c r="Y1401" s="8" t="s">
        <v>240</v>
      </c>
      <c r="Z1401" s="6" t="b">
        <v>0</v>
      </c>
      <c r="AA1401" s="9"/>
      <c r="AB1401" s="9"/>
    </row>
    <row r="1402" spans="1:28" ht="16">
      <c r="A1402" s="6">
        <v>1544</v>
      </c>
      <c r="B1402" s="8" t="s">
        <v>2315</v>
      </c>
      <c r="C1402" s="8" t="s">
        <v>120</v>
      </c>
      <c r="D1402" s="8" t="s">
        <v>2348</v>
      </c>
      <c r="E1402" s="8" t="s">
        <v>2347</v>
      </c>
      <c r="F1402" s="6">
        <v>1543</v>
      </c>
      <c r="G1402" s="6" t="b">
        <v>0</v>
      </c>
      <c r="H1402" s="8" t="s">
        <v>240</v>
      </c>
      <c r="I1402" s="6" t="b">
        <v>0</v>
      </c>
      <c r="J1402" s="6" t="b">
        <v>0</v>
      </c>
      <c r="K1402" s="6" t="b">
        <v>0</v>
      </c>
      <c r="L1402" s="6" t="b">
        <v>0</v>
      </c>
      <c r="M1402" s="6" t="b">
        <v>0</v>
      </c>
      <c r="N1402" s="6">
        <v>8</v>
      </c>
      <c r="O1402" s="8" t="s">
        <v>335</v>
      </c>
      <c r="P1402" s="8" t="s">
        <v>516</v>
      </c>
      <c r="Q1402" s="8" t="s">
        <v>575</v>
      </c>
      <c r="R1402" s="6">
        <v>8</v>
      </c>
      <c r="S1402" s="8" t="s">
        <v>75</v>
      </c>
      <c r="T1402" s="9"/>
      <c r="U1402" s="8" t="s">
        <v>240</v>
      </c>
      <c r="V1402" s="8" t="s">
        <v>240</v>
      </c>
      <c r="W1402" s="8" t="s">
        <v>240</v>
      </c>
      <c r="X1402" s="8" t="s">
        <v>240</v>
      </c>
      <c r="Y1402" s="8" t="s">
        <v>2349</v>
      </c>
      <c r="Z1402" s="6" t="b">
        <v>0</v>
      </c>
      <c r="AA1402" s="9"/>
      <c r="AB1402" s="9"/>
    </row>
    <row r="1403" spans="1:28" ht="16">
      <c r="A1403" s="6">
        <v>1545</v>
      </c>
      <c r="B1403" s="8" t="s">
        <v>2315</v>
      </c>
      <c r="C1403" s="8" t="s">
        <v>121</v>
      </c>
      <c r="D1403" s="8" t="s">
        <v>2350</v>
      </c>
      <c r="E1403" s="8" t="s">
        <v>2350</v>
      </c>
      <c r="F1403" s="6">
        <v>1545</v>
      </c>
      <c r="G1403" s="6" t="b">
        <v>0</v>
      </c>
      <c r="H1403" s="8" t="s">
        <v>240</v>
      </c>
      <c r="I1403" s="6" t="b">
        <v>0</v>
      </c>
      <c r="J1403" s="6" t="b">
        <v>0</v>
      </c>
      <c r="K1403" s="6" t="b">
        <v>0</v>
      </c>
      <c r="L1403" s="6" t="b">
        <v>0</v>
      </c>
      <c r="M1403" s="6" t="b">
        <v>0</v>
      </c>
      <c r="N1403" s="6">
        <v>6</v>
      </c>
      <c r="O1403" s="8" t="s">
        <v>331</v>
      </c>
      <c r="P1403" s="8" t="s">
        <v>516</v>
      </c>
      <c r="Q1403" s="8" t="s">
        <v>239</v>
      </c>
      <c r="R1403" s="6">
        <v>6</v>
      </c>
      <c r="S1403" s="8" t="s">
        <v>341</v>
      </c>
      <c r="T1403" s="9"/>
      <c r="U1403" s="8" t="s">
        <v>240</v>
      </c>
      <c r="V1403" s="8" t="s">
        <v>240</v>
      </c>
      <c r="W1403" s="8" t="s">
        <v>240</v>
      </c>
      <c r="X1403" s="8" t="s">
        <v>240</v>
      </c>
      <c r="Y1403" s="8" t="s">
        <v>2351</v>
      </c>
      <c r="Z1403" s="6" t="b">
        <v>0</v>
      </c>
      <c r="AA1403" s="9"/>
      <c r="AB1403" s="9"/>
    </row>
    <row r="1404" spans="1:28" ht="32">
      <c r="A1404" s="6">
        <v>1546</v>
      </c>
      <c r="B1404" s="8" t="s">
        <v>2315</v>
      </c>
      <c r="C1404" s="8" t="s">
        <v>121</v>
      </c>
      <c r="D1404" s="8" t="s">
        <v>2352</v>
      </c>
      <c r="E1404" s="8" t="s">
        <v>2350</v>
      </c>
      <c r="F1404" s="6">
        <v>1545</v>
      </c>
      <c r="G1404" s="6" t="b">
        <v>0</v>
      </c>
      <c r="H1404" s="8" t="s">
        <v>240</v>
      </c>
      <c r="I1404" s="6" t="b">
        <v>0</v>
      </c>
      <c r="J1404" s="6" t="b">
        <v>0</v>
      </c>
      <c r="K1404" s="6" t="b">
        <v>0</v>
      </c>
      <c r="L1404" s="6" t="b">
        <v>0</v>
      </c>
      <c r="M1404" s="6" t="b">
        <v>0</v>
      </c>
      <c r="N1404" s="6">
        <v>6</v>
      </c>
      <c r="O1404" s="8" t="s">
        <v>331</v>
      </c>
      <c r="P1404" s="8" t="s">
        <v>516</v>
      </c>
      <c r="Q1404" s="8" t="s">
        <v>239</v>
      </c>
      <c r="R1404" s="6">
        <v>6</v>
      </c>
      <c r="S1404" s="8" t="s">
        <v>341</v>
      </c>
      <c r="T1404" s="6">
        <v>8</v>
      </c>
      <c r="U1404" s="8" t="s">
        <v>240</v>
      </c>
      <c r="V1404" s="8" t="s">
        <v>240</v>
      </c>
      <c r="W1404" s="8" t="s">
        <v>240</v>
      </c>
      <c r="X1404" s="8" t="s">
        <v>240</v>
      </c>
      <c r="Y1404" s="8" t="s">
        <v>2353</v>
      </c>
      <c r="Z1404" s="6" t="b">
        <v>0</v>
      </c>
      <c r="AA1404" s="9"/>
      <c r="AB1404" s="9"/>
    </row>
    <row r="1405" spans="1:28" ht="16">
      <c r="A1405" s="6">
        <v>1547</v>
      </c>
      <c r="B1405" s="8" t="s">
        <v>2315</v>
      </c>
      <c r="C1405" s="8" t="s">
        <v>121</v>
      </c>
      <c r="D1405" s="8" t="s">
        <v>2354</v>
      </c>
      <c r="E1405" s="8" t="s">
        <v>2350</v>
      </c>
      <c r="F1405" s="6">
        <v>1545</v>
      </c>
      <c r="G1405" s="6" t="b">
        <v>0</v>
      </c>
      <c r="H1405" s="8" t="s">
        <v>240</v>
      </c>
      <c r="I1405" s="6" t="b">
        <v>0</v>
      </c>
      <c r="J1405" s="6" t="b">
        <v>0</v>
      </c>
      <c r="K1405" s="6" t="b">
        <v>0</v>
      </c>
      <c r="L1405" s="6" t="b">
        <v>0</v>
      </c>
      <c r="M1405" s="6" t="b">
        <v>0</v>
      </c>
      <c r="N1405" s="6">
        <v>6</v>
      </c>
      <c r="O1405" s="8" t="s">
        <v>331</v>
      </c>
      <c r="P1405" s="8" t="s">
        <v>516</v>
      </c>
      <c r="Q1405" s="8" t="s">
        <v>239</v>
      </c>
      <c r="R1405" s="6">
        <v>6</v>
      </c>
      <c r="S1405" s="8" t="s">
        <v>341</v>
      </c>
      <c r="T1405" s="6">
        <v>8</v>
      </c>
      <c r="U1405" s="8" t="s">
        <v>240</v>
      </c>
      <c r="V1405" s="8" t="s">
        <v>240</v>
      </c>
      <c r="W1405" s="8" t="s">
        <v>240</v>
      </c>
      <c r="X1405" s="8" t="s">
        <v>240</v>
      </c>
      <c r="Y1405" s="8" t="s">
        <v>2355</v>
      </c>
      <c r="Z1405" s="6" t="b">
        <v>0</v>
      </c>
      <c r="AA1405" s="9"/>
      <c r="AB1405" s="9"/>
    </row>
    <row r="1406" spans="1:28" ht="16">
      <c r="A1406" s="6">
        <v>1548</v>
      </c>
      <c r="B1406" s="8" t="s">
        <v>2315</v>
      </c>
      <c r="C1406" s="8" t="s">
        <v>121</v>
      </c>
      <c r="D1406" s="8" t="s">
        <v>2356</v>
      </c>
      <c r="E1406" s="8" t="s">
        <v>2350</v>
      </c>
      <c r="F1406" s="6">
        <v>1545</v>
      </c>
      <c r="G1406" s="6" t="b">
        <v>0</v>
      </c>
      <c r="H1406" s="8" t="s">
        <v>240</v>
      </c>
      <c r="I1406" s="6" t="b">
        <v>0</v>
      </c>
      <c r="J1406" s="6" t="b">
        <v>0</v>
      </c>
      <c r="K1406" s="6" t="b">
        <v>0</v>
      </c>
      <c r="L1406" s="6" t="b">
        <v>0</v>
      </c>
      <c r="M1406" s="6" t="b">
        <v>0</v>
      </c>
      <c r="N1406" s="6">
        <v>6</v>
      </c>
      <c r="O1406" s="8" t="s">
        <v>331</v>
      </c>
      <c r="P1406" s="8" t="s">
        <v>516</v>
      </c>
      <c r="Q1406" s="8" t="s">
        <v>335</v>
      </c>
      <c r="R1406" s="6">
        <v>8</v>
      </c>
      <c r="S1406" s="8" t="s">
        <v>335</v>
      </c>
      <c r="T1406" s="6">
        <v>8</v>
      </c>
      <c r="U1406" s="8" t="s">
        <v>240</v>
      </c>
      <c r="V1406" s="8" t="s">
        <v>240</v>
      </c>
      <c r="W1406" s="8" t="s">
        <v>240</v>
      </c>
      <c r="X1406" s="8" t="s">
        <v>240</v>
      </c>
      <c r="Y1406" s="8" t="s">
        <v>2357</v>
      </c>
      <c r="Z1406" s="6" t="b">
        <v>0</v>
      </c>
      <c r="AA1406" s="9"/>
      <c r="AB1406" s="9"/>
    </row>
    <row r="1407" spans="1:28" ht="16">
      <c r="A1407" s="6">
        <v>1549</v>
      </c>
      <c r="B1407" s="8" t="s">
        <v>2315</v>
      </c>
      <c r="C1407" s="8" t="s">
        <v>121</v>
      </c>
      <c r="D1407" s="8" t="s">
        <v>2358</v>
      </c>
      <c r="E1407" s="8" t="s">
        <v>2358</v>
      </c>
      <c r="F1407" s="6">
        <v>1549</v>
      </c>
      <c r="G1407" s="6" t="b">
        <v>0</v>
      </c>
      <c r="H1407" s="8" t="s">
        <v>240</v>
      </c>
      <c r="I1407" s="6" t="b">
        <v>0</v>
      </c>
      <c r="J1407" s="6" t="b">
        <v>0</v>
      </c>
      <c r="K1407" s="6" t="b">
        <v>0</v>
      </c>
      <c r="L1407" s="6" t="b">
        <v>0</v>
      </c>
      <c r="M1407" s="6" t="b">
        <v>0</v>
      </c>
      <c r="N1407" s="6">
        <v>6</v>
      </c>
      <c r="O1407" s="8" t="s">
        <v>331</v>
      </c>
      <c r="P1407" s="8" t="s">
        <v>516</v>
      </c>
      <c r="Q1407" s="8" t="s">
        <v>239</v>
      </c>
      <c r="R1407" s="6">
        <v>7</v>
      </c>
      <c r="S1407" s="8" t="s">
        <v>341</v>
      </c>
      <c r="T1407" s="9"/>
      <c r="U1407" s="8" t="s">
        <v>240</v>
      </c>
      <c r="V1407" s="8" t="s">
        <v>240</v>
      </c>
      <c r="W1407" s="8" t="s">
        <v>240</v>
      </c>
      <c r="X1407" s="8" t="s">
        <v>240</v>
      </c>
      <c r="Y1407" s="8" t="s">
        <v>2359</v>
      </c>
      <c r="Z1407" s="6" t="b">
        <v>0</v>
      </c>
      <c r="AA1407" s="9"/>
      <c r="AB1407" s="9"/>
    </row>
    <row r="1408" spans="1:28" ht="16">
      <c r="A1408" s="6">
        <v>1550</v>
      </c>
      <c r="B1408" s="8" t="s">
        <v>2315</v>
      </c>
      <c r="C1408" s="8" t="s">
        <v>121</v>
      </c>
      <c r="D1408" s="8" t="s">
        <v>2360</v>
      </c>
      <c r="E1408" s="8" t="s">
        <v>2358</v>
      </c>
      <c r="F1408" s="6">
        <v>1549</v>
      </c>
      <c r="G1408" s="6" t="b">
        <v>0</v>
      </c>
      <c r="H1408" s="8" t="s">
        <v>240</v>
      </c>
      <c r="I1408" s="6" t="b">
        <v>0</v>
      </c>
      <c r="J1408" s="6" t="b">
        <v>0</v>
      </c>
      <c r="K1408" s="6" t="b">
        <v>0</v>
      </c>
      <c r="L1408" s="6" t="b">
        <v>0</v>
      </c>
      <c r="M1408" s="6" t="b">
        <v>0</v>
      </c>
      <c r="N1408" s="6">
        <v>6</v>
      </c>
      <c r="O1408" s="8" t="s">
        <v>331</v>
      </c>
      <c r="P1408" s="8" t="s">
        <v>516</v>
      </c>
      <c r="Q1408" s="8" t="s">
        <v>239</v>
      </c>
      <c r="R1408" s="6">
        <v>6.5</v>
      </c>
      <c r="S1408" s="8" t="s">
        <v>247</v>
      </c>
      <c r="T1408" s="6">
        <v>6</v>
      </c>
      <c r="U1408" s="8" t="s">
        <v>240</v>
      </c>
      <c r="V1408" s="8" t="s">
        <v>240</v>
      </c>
      <c r="W1408" s="8" t="s">
        <v>240</v>
      </c>
      <c r="X1408" s="8" t="s">
        <v>240</v>
      </c>
      <c r="Y1408" s="8" t="s">
        <v>2361</v>
      </c>
      <c r="Z1408" s="6" t="b">
        <v>0</v>
      </c>
      <c r="AA1408" s="9"/>
      <c r="AB1408" s="9"/>
    </row>
    <row r="1409" spans="1:28" ht="32">
      <c r="A1409" s="6">
        <v>1551</v>
      </c>
      <c r="B1409" s="8" t="s">
        <v>2315</v>
      </c>
      <c r="C1409" s="8" t="s">
        <v>121</v>
      </c>
      <c r="D1409" s="8" t="s">
        <v>2362</v>
      </c>
      <c r="E1409" s="8" t="s">
        <v>2358</v>
      </c>
      <c r="F1409" s="6">
        <v>1549</v>
      </c>
      <c r="G1409" s="6" t="b">
        <v>0</v>
      </c>
      <c r="H1409" s="8" t="s">
        <v>240</v>
      </c>
      <c r="I1409" s="6" t="b">
        <v>0</v>
      </c>
      <c r="J1409" s="6" t="b">
        <v>0</v>
      </c>
      <c r="K1409" s="6" t="b">
        <v>0</v>
      </c>
      <c r="L1409" s="6" t="b">
        <v>0</v>
      </c>
      <c r="M1409" s="6" t="b">
        <v>0</v>
      </c>
      <c r="N1409" s="6">
        <v>6</v>
      </c>
      <c r="O1409" s="8" t="s">
        <v>331</v>
      </c>
      <c r="P1409" s="8" t="s">
        <v>240</v>
      </c>
      <c r="Q1409" s="8" t="s">
        <v>240</v>
      </c>
      <c r="R1409" s="6">
        <v>6</v>
      </c>
      <c r="S1409" s="8" t="s">
        <v>75</v>
      </c>
      <c r="T1409" s="9"/>
      <c r="U1409" s="8" t="s">
        <v>240</v>
      </c>
      <c r="V1409" s="8" t="s">
        <v>240</v>
      </c>
      <c r="W1409" s="8" t="s">
        <v>240</v>
      </c>
      <c r="X1409" s="8" t="s">
        <v>240</v>
      </c>
      <c r="Y1409" s="8" t="s">
        <v>2363</v>
      </c>
      <c r="Z1409" s="6" t="b">
        <v>0</v>
      </c>
      <c r="AA1409" s="9"/>
      <c r="AB1409" s="9"/>
    </row>
    <row r="1410" spans="1:28" ht="16">
      <c r="A1410" s="6">
        <v>1552</v>
      </c>
      <c r="B1410" s="8" t="s">
        <v>2315</v>
      </c>
      <c r="C1410" s="8" t="s">
        <v>121</v>
      </c>
      <c r="D1410" s="8" t="s">
        <v>2364</v>
      </c>
      <c r="E1410" s="8" t="s">
        <v>2358</v>
      </c>
      <c r="F1410" s="6">
        <v>1549</v>
      </c>
      <c r="G1410" s="6" t="b">
        <v>0</v>
      </c>
      <c r="H1410" s="8" t="s">
        <v>240</v>
      </c>
      <c r="I1410" s="6" t="b">
        <v>0</v>
      </c>
      <c r="J1410" s="6" t="b">
        <v>0</v>
      </c>
      <c r="K1410" s="6" t="b">
        <v>0</v>
      </c>
      <c r="L1410" s="6" t="b">
        <v>0</v>
      </c>
      <c r="M1410" s="6" t="b">
        <v>0</v>
      </c>
      <c r="N1410" s="6">
        <v>6</v>
      </c>
      <c r="O1410" s="8" t="s">
        <v>331</v>
      </c>
      <c r="P1410" s="8" t="s">
        <v>516</v>
      </c>
      <c r="Q1410" s="8" t="s">
        <v>335</v>
      </c>
      <c r="R1410" s="6">
        <v>6</v>
      </c>
      <c r="S1410" s="8" t="s">
        <v>335</v>
      </c>
      <c r="T1410" s="6">
        <v>6</v>
      </c>
      <c r="U1410" s="8" t="s">
        <v>240</v>
      </c>
      <c r="V1410" s="8" t="s">
        <v>240</v>
      </c>
      <c r="W1410" s="8" t="s">
        <v>240</v>
      </c>
      <c r="X1410" s="8" t="s">
        <v>240</v>
      </c>
      <c r="Y1410" s="8" t="s">
        <v>240</v>
      </c>
      <c r="Z1410" s="6" t="b">
        <v>0</v>
      </c>
      <c r="AA1410" s="9"/>
      <c r="AB1410" s="9"/>
    </row>
    <row r="1411" spans="1:28" ht="32">
      <c r="A1411" s="6">
        <v>1553</v>
      </c>
      <c r="B1411" s="8" t="s">
        <v>2315</v>
      </c>
      <c r="C1411" s="8" t="s">
        <v>121</v>
      </c>
      <c r="D1411" s="8" t="s">
        <v>2365</v>
      </c>
      <c r="E1411" s="8" t="s">
        <v>2358</v>
      </c>
      <c r="F1411" s="6">
        <v>1549</v>
      </c>
      <c r="G1411" s="6" t="b">
        <v>0</v>
      </c>
      <c r="H1411" s="8" t="s">
        <v>240</v>
      </c>
      <c r="I1411" s="6" t="b">
        <v>0</v>
      </c>
      <c r="J1411" s="6" t="b">
        <v>0</v>
      </c>
      <c r="K1411" s="6" t="b">
        <v>0</v>
      </c>
      <c r="L1411" s="6" t="b">
        <v>0</v>
      </c>
      <c r="M1411" s="6" t="b">
        <v>0</v>
      </c>
      <c r="N1411" s="6">
        <v>6</v>
      </c>
      <c r="O1411" s="8" t="s">
        <v>331</v>
      </c>
      <c r="P1411" s="8" t="s">
        <v>516</v>
      </c>
      <c r="Q1411" s="8" t="s">
        <v>335</v>
      </c>
      <c r="R1411" s="6">
        <v>6</v>
      </c>
      <c r="S1411" s="8" t="s">
        <v>75</v>
      </c>
      <c r="T1411" s="9"/>
      <c r="U1411" s="8" t="s">
        <v>240</v>
      </c>
      <c r="V1411" s="8" t="s">
        <v>240</v>
      </c>
      <c r="W1411" s="8" t="s">
        <v>240</v>
      </c>
      <c r="X1411" s="8" t="s">
        <v>240</v>
      </c>
      <c r="Y1411" s="8" t="s">
        <v>240</v>
      </c>
      <c r="Z1411" s="6" t="b">
        <v>0</v>
      </c>
      <c r="AA1411" s="9"/>
      <c r="AB1411" s="9"/>
    </row>
    <row r="1412" spans="1:28" ht="16">
      <c r="A1412" s="6">
        <v>1554</v>
      </c>
      <c r="B1412" s="8" t="s">
        <v>2315</v>
      </c>
      <c r="C1412" s="8" t="s">
        <v>120</v>
      </c>
      <c r="D1412" s="8" t="s">
        <v>2366</v>
      </c>
      <c r="E1412" s="8" t="s">
        <v>2366</v>
      </c>
      <c r="F1412" s="6">
        <v>1554</v>
      </c>
      <c r="G1412" s="6" t="b">
        <v>0</v>
      </c>
      <c r="H1412" s="8" t="s">
        <v>240</v>
      </c>
      <c r="I1412" s="6" t="b">
        <v>0</v>
      </c>
      <c r="J1412" s="6" t="b">
        <v>0</v>
      </c>
      <c r="K1412" s="6" t="b">
        <v>0</v>
      </c>
      <c r="L1412" s="6" t="b">
        <v>0</v>
      </c>
      <c r="M1412" s="6" t="b">
        <v>0</v>
      </c>
      <c r="N1412" s="6">
        <v>8</v>
      </c>
      <c r="O1412" s="8" t="s">
        <v>237</v>
      </c>
      <c r="P1412" s="8" t="s">
        <v>516</v>
      </c>
      <c r="Q1412" s="8" t="s">
        <v>335</v>
      </c>
      <c r="R1412" s="6">
        <v>8</v>
      </c>
      <c r="S1412" s="8" t="s">
        <v>237</v>
      </c>
      <c r="T1412" s="9"/>
      <c r="U1412" s="8" t="s">
        <v>240</v>
      </c>
      <c r="V1412" s="8" t="s">
        <v>240</v>
      </c>
      <c r="W1412" s="8" t="s">
        <v>240</v>
      </c>
      <c r="X1412" s="8" t="s">
        <v>240</v>
      </c>
      <c r="Y1412" s="8" t="s">
        <v>240</v>
      </c>
      <c r="Z1412" s="6" t="b">
        <v>0</v>
      </c>
      <c r="AA1412" s="9"/>
      <c r="AB1412" s="9"/>
    </row>
    <row r="1413" spans="1:28" ht="16">
      <c r="A1413" s="6">
        <v>1555</v>
      </c>
      <c r="B1413" s="8" t="s">
        <v>2315</v>
      </c>
      <c r="C1413" s="8" t="s">
        <v>120</v>
      </c>
      <c r="D1413" s="8" t="s">
        <v>120</v>
      </c>
      <c r="E1413" s="8" t="s">
        <v>120</v>
      </c>
      <c r="F1413" s="6">
        <v>1555</v>
      </c>
      <c r="G1413" s="6" t="b">
        <v>0</v>
      </c>
      <c r="H1413" s="8" t="s">
        <v>240</v>
      </c>
      <c r="I1413" s="6" t="b">
        <v>0</v>
      </c>
      <c r="J1413" s="6" t="b">
        <v>0</v>
      </c>
      <c r="K1413" s="6" t="b">
        <v>0</v>
      </c>
      <c r="L1413" s="6" t="b">
        <v>0</v>
      </c>
      <c r="M1413" s="6" t="b">
        <v>0</v>
      </c>
      <c r="N1413" s="6">
        <v>8</v>
      </c>
      <c r="O1413" s="8" t="s">
        <v>237</v>
      </c>
      <c r="P1413" s="8" t="s">
        <v>516</v>
      </c>
      <c r="Q1413" s="8" t="s">
        <v>335</v>
      </c>
      <c r="R1413" s="6">
        <v>8</v>
      </c>
      <c r="S1413" s="8" t="s">
        <v>237</v>
      </c>
      <c r="T1413" s="6">
        <v>8</v>
      </c>
      <c r="U1413" s="8" t="s">
        <v>240</v>
      </c>
      <c r="V1413" s="8" t="s">
        <v>240</v>
      </c>
      <c r="W1413" s="8" t="s">
        <v>240</v>
      </c>
      <c r="X1413" s="8" t="s">
        <v>240</v>
      </c>
      <c r="Y1413" s="8" t="s">
        <v>240</v>
      </c>
      <c r="Z1413" s="6" t="b">
        <v>0</v>
      </c>
      <c r="AA1413" s="9"/>
      <c r="AB1413" s="9"/>
    </row>
    <row r="1414" spans="1:28" ht="16">
      <c r="A1414" s="6">
        <v>1556</v>
      </c>
      <c r="B1414" s="8" t="s">
        <v>2315</v>
      </c>
      <c r="C1414" s="8" t="s">
        <v>166</v>
      </c>
      <c r="D1414" s="8" t="s">
        <v>2367</v>
      </c>
      <c r="E1414" s="8" t="s">
        <v>2367</v>
      </c>
      <c r="F1414" s="6">
        <v>1556</v>
      </c>
      <c r="G1414" s="6" t="b">
        <v>0</v>
      </c>
      <c r="H1414" s="8" t="s">
        <v>240</v>
      </c>
      <c r="I1414" s="6" t="b">
        <v>0</v>
      </c>
      <c r="J1414" s="6" t="b">
        <v>0</v>
      </c>
      <c r="K1414" s="6" t="b">
        <v>0</v>
      </c>
      <c r="L1414" s="6" t="b">
        <v>0</v>
      </c>
      <c r="M1414" s="6" t="b">
        <v>0</v>
      </c>
      <c r="N1414" s="6">
        <v>6</v>
      </c>
      <c r="O1414" s="8" t="s">
        <v>331</v>
      </c>
      <c r="P1414" s="8" t="s">
        <v>516</v>
      </c>
      <c r="Q1414" s="8" t="s">
        <v>388</v>
      </c>
      <c r="R1414" s="6">
        <v>6</v>
      </c>
      <c r="S1414" s="8" t="s">
        <v>372</v>
      </c>
      <c r="T1414" s="9"/>
      <c r="U1414" s="8" t="s">
        <v>240</v>
      </c>
      <c r="V1414" s="8" t="s">
        <v>240</v>
      </c>
      <c r="W1414" s="8" t="s">
        <v>240</v>
      </c>
      <c r="X1414" s="8" t="s">
        <v>240</v>
      </c>
      <c r="Y1414" s="8" t="s">
        <v>240</v>
      </c>
      <c r="Z1414" s="6" t="b">
        <v>0</v>
      </c>
      <c r="AA1414" s="9"/>
      <c r="AB1414" s="9"/>
    </row>
    <row r="1415" spans="1:28" ht="16">
      <c r="A1415" s="6">
        <v>1557</v>
      </c>
      <c r="B1415" s="8" t="s">
        <v>2315</v>
      </c>
      <c r="C1415" s="8" t="s">
        <v>166</v>
      </c>
      <c r="D1415" s="8" t="s">
        <v>2368</v>
      </c>
      <c r="E1415" s="8" t="s">
        <v>2367</v>
      </c>
      <c r="F1415" s="6">
        <v>1556</v>
      </c>
      <c r="G1415" s="6" t="b">
        <v>0</v>
      </c>
      <c r="H1415" s="8" t="s">
        <v>240</v>
      </c>
      <c r="I1415" s="6" t="b">
        <v>0</v>
      </c>
      <c r="J1415" s="6" t="b">
        <v>0</v>
      </c>
      <c r="K1415" s="6" t="b">
        <v>0</v>
      </c>
      <c r="L1415" s="6" t="b">
        <v>0</v>
      </c>
      <c r="M1415" s="6" t="b">
        <v>0</v>
      </c>
      <c r="N1415" s="6">
        <v>6</v>
      </c>
      <c r="O1415" s="8" t="s">
        <v>331</v>
      </c>
      <c r="P1415" s="8" t="s">
        <v>516</v>
      </c>
      <c r="Q1415" s="8" t="s">
        <v>388</v>
      </c>
      <c r="R1415" s="6">
        <v>7.3</v>
      </c>
      <c r="S1415" s="8" t="s">
        <v>247</v>
      </c>
      <c r="T1415" s="9"/>
      <c r="U1415" s="8" t="s">
        <v>240</v>
      </c>
      <c r="V1415" s="8" t="s">
        <v>240</v>
      </c>
      <c r="W1415" s="8" t="s">
        <v>240</v>
      </c>
      <c r="X1415" s="8" t="s">
        <v>240</v>
      </c>
      <c r="Y1415" s="8" t="s">
        <v>240</v>
      </c>
      <c r="Z1415" s="6" t="b">
        <v>0</v>
      </c>
      <c r="AA1415" s="9"/>
      <c r="AB1415" s="9"/>
    </row>
    <row r="1416" spans="1:28" ht="16">
      <c r="A1416" s="6">
        <v>1558</v>
      </c>
      <c r="B1416" s="8" t="s">
        <v>2315</v>
      </c>
      <c r="C1416" s="8" t="s">
        <v>91</v>
      </c>
      <c r="D1416" s="8" t="s">
        <v>2369</v>
      </c>
      <c r="E1416" s="8" t="s">
        <v>2369</v>
      </c>
      <c r="F1416" s="6">
        <v>1558</v>
      </c>
      <c r="G1416" s="6" t="b">
        <v>0</v>
      </c>
      <c r="H1416" s="8" t="s">
        <v>240</v>
      </c>
      <c r="I1416" s="6" t="b">
        <v>0</v>
      </c>
      <c r="J1416" s="6" t="b">
        <v>0</v>
      </c>
      <c r="K1416" s="6" t="b">
        <v>0</v>
      </c>
      <c r="L1416" s="6" t="b">
        <v>0</v>
      </c>
      <c r="M1416" s="6" t="b">
        <v>0</v>
      </c>
      <c r="N1416" s="6">
        <v>6</v>
      </c>
      <c r="O1416" s="8" t="s">
        <v>237</v>
      </c>
      <c r="P1416" s="8" t="s">
        <v>255</v>
      </c>
      <c r="Q1416" s="8" t="s">
        <v>575</v>
      </c>
      <c r="R1416" s="6">
        <v>1.6</v>
      </c>
      <c r="S1416" s="8" t="s">
        <v>247</v>
      </c>
      <c r="T1416" s="9"/>
      <c r="U1416" s="8" t="s">
        <v>240</v>
      </c>
      <c r="V1416" s="8" t="s">
        <v>240</v>
      </c>
      <c r="W1416" s="8" t="s">
        <v>240</v>
      </c>
      <c r="X1416" s="8" t="s">
        <v>240</v>
      </c>
      <c r="Y1416" s="8" t="s">
        <v>240</v>
      </c>
      <c r="Z1416" s="6" t="b">
        <v>0</v>
      </c>
      <c r="AA1416" s="9"/>
      <c r="AB1416" s="9"/>
    </row>
    <row r="1417" spans="1:28" ht="16">
      <c r="A1417" s="6">
        <v>1559</v>
      </c>
      <c r="B1417" s="8" t="s">
        <v>2315</v>
      </c>
      <c r="C1417" s="8" t="s">
        <v>91</v>
      </c>
      <c r="D1417" s="8" t="s">
        <v>2370</v>
      </c>
      <c r="E1417" s="8" t="s">
        <v>2370</v>
      </c>
      <c r="F1417" s="6">
        <v>1559</v>
      </c>
      <c r="G1417" s="6" t="b">
        <v>0</v>
      </c>
      <c r="H1417" s="8" t="s">
        <v>240</v>
      </c>
      <c r="I1417" s="6" t="b">
        <v>0</v>
      </c>
      <c r="J1417" s="6" t="b">
        <v>0</v>
      </c>
      <c r="K1417" s="6" t="b">
        <v>0</v>
      </c>
      <c r="L1417" s="6" t="b">
        <v>0</v>
      </c>
      <c r="M1417" s="6" t="b">
        <v>0</v>
      </c>
      <c r="N1417" s="6">
        <v>6</v>
      </c>
      <c r="O1417" s="8" t="s">
        <v>237</v>
      </c>
      <c r="P1417" s="8" t="s">
        <v>240</v>
      </c>
      <c r="Q1417" s="8" t="s">
        <v>240</v>
      </c>
      <c r="R1417" s="6">
        <v>6</v>
      </c>
      <c r="S1417" s="8" t="s">
        <v>75</v>
      </c>
      <c r="T1417" s="9"/>
      <c r="U1417" s="8" t="s">
        <v>240</v>
      </c>
      <c r="V1417" s="8" t="s">
        <v>240</v>
      </c>
      <c r="W1417" s="8" t="s">
        <v>240</v>
      </c>
      <c r="X1417" s="8" t="s">
        <v>240</v>
      </c>
      <c r="Y1417" s="8" t="s">
        <v>240</v>
      </c>
      <c r="Z1417" s="6" t="b">
        <v>0</v>
      </c>
      <c r="AA1417" s="9"/>
      <c r="AB1417" s="9"/>
    </row>
    <row r="1418" spans="1:28" ht="16">
      <c r="A1418" s="6">
        <v>1560</v>
      </c>
      <c r="B1418" s="8" t="s">
        <v>2315</v>
      </c>
      <c r="C1418" s="8" t="s">
        <v>91</v>
      </c>
      <c r="D1418" s="8" t="s">
        <v>2371</v>
      </c>
      <c r="E1418" s="8" t="s">
        <v>2370</v>
      </c>
      <c r="F1418" s="6">
        <v>1560</v>
      </c>
      <c r="G1418" s="6" t="b">
        <v>0</v>
      </c>
      <c r="H1418" s="8" t="s">
        <v>240</v>
      </c>
      <c r="I1418" s="6" t="b">
        <v>0</v>
      </c>
      <c r="J1418" s="6" t="b">
        <v>0</v>
      </c>
      <c r="K1418" s="6" t="b">
        <v>0</v>
      </c>
      <c r="L1418" s="6" t="b">
        <v>0</v>
      </c>
      <c r="M1418" s="6" t="b">
        <v>0</v>
      </c>
      <c r="N1418" s="6">
        <v>6</v>
      </c>
      <c r="O1418" s="8" t="s">
        <v>237</v>
      </c>
      <c r="P1418" s="8" t="s">
        <v>240</v>
      </c>
      <c r="Q1418" s="8" t="s">
        <v>240</v>
      </c>
      <c r="R1418" s="6">
        <v>6</v>
      </c>
      <c r="S1418" s="8" t="s">
        <v>75</v>
      </c>
      <c r="T1418" s="9"/>
      <c r="U1418" s="8" t="s">
        <v>240</v>
      </c>
      <c r="V1418" s="8" t="s">
        <v>240</v>
      </c>
      <c r="W1418" s="8" t="s">
        <v>240</v>
      </c>
      <c r="X1418" s="8" t="s">
        <v>240</v>
      </c>
      <c r="Y1418" s="8" t="s">
        <v>240</v>
      </c>
      <c r="Z1418" s="6" t="b">
        <v>0</v>
      </c>
      <c r="AA1418" s="9"/>
      <c r="AB1418" s="9"/>
    </row>
    <row r="1419" spans="1:28" ht="16">
      <c r="A1419" s="6">
        <v>1561</v>
      </c>
      <c r="B1419" s="8" t="s">
        <v>2315</v>
      </c>
      <c r="C1419" s="8" t="s">
        <v>2342</v>
      </c>
      <c r="D1419" s="8" t="s">
        <v>2342</v>
      </c>
      <c r="E1419" s="8" t="s">
        <v>2342</v>
      </c>
      <c r="F1419" s="6">
        <v>1561</v>
      </c>
      <c r="G1419" s="6" t="b">
        <v>0</v>
      </c>
      <c r="H1419" s="8" t="s">
        <v>240</v>
      </c>
      <c r="I1419" s="6" t="b">
        <v>0</v>
      </c>
      <c r="J1419" s="6" t="b">
        <v>0</v>
      </c>
      <c r="K1419" s="6" t="b">
        <v>0</v>
      </c>
      <c r="L1419" s="6" t="b">
        <v>0</v>
      </c>
      <c r="M1419" s="6" t="b">
        <v>0</v>
      </c>
      <c r="N1419" s="6">
        <v>6</v>
      </c>
      <c r="O1419" s="8" t="s">
        <v>237</v>
      </c>
      <c r="P1419" s="8" t="s">
        <v>516</v>
      </c>
      <c r="Q1419" s="8" t="s">
        <v>381</v>
      </c>
      <c r="R1419" s="6">
        <v>6</v>
      </c>
      <c r="S1419" s="8" t="s">
        <v>75</v>
      </c>
      <c r="T1419" s="6">
        <v>6</v>
      </c>
      <c r="U1419" s="8" t="s">
        <v>240</v>
      </c>
      <c r="V1419" s="8" t="s">
        <v>240</v>
      </c>
      <c r="W1419" s="8" t="s">
        <v>240</v>
      </c>
      <c r="X1419" s="8" t="s">
        <v>240</v>
      </c>
      <c r="Y1419" s="8" t="s">
        <v>2372</v>
      </c>
      <c r="Z1419" s="6" t="b">
        <v>0</v>
      </c>
      <c r="AA1419" s="9"/>
      <c r="AB1419" s="9"/>
    </row>
    <row r="1420" spans="1:28" ht="16">
      <c r="A1420" s="6">
        <v>1562</v>
      </c>
      <c r="B1420" s="8" t="s">
        <v>2315</v>
      </c>
      <c r="C1420" s="8" t="s">
        <v>120</v>
      </c>
      <c r="D1420" s="8" t="s">
        <v>2373</v>
      </c>
      <c r="E1420" s="8" t="s">
        <v>2373</v>
      </c>
      <c r="F1420" s="6">
        <v>1562</v>
      </c>
      <c r="G1420" s="6" t="b">
        <v>0</v>
      </c>
      <c r="H1420" s="8" t="s">
        <v>240</v>
      </c>
      <c r="I1420" s="6" t="b">
        <v>0</v>
      </c>
      <c r="J1420" s="6" t="b">
        <v>0</v>
      </c>
      <c r="K1420" s="6" t="b">
        <v>0</v>
      </c>
      <c r="L1420" s="6" t="b">
        <v>0</v>
      </c>
      <c r="M1420" s="6" t="b">
        <v>0</v>
      </c>
      <c r="N1420" s="6">
        <v>8</v>
      </c>
      <c r="O1420" s="8" t="s">
        <v>335</v>
      </c>
      <c r="P1420" s="8" t="s">
        <v>240</v>
      </c>
      <c r="Q1420" s="8" t="s">
        <v>240</v>
      </c>
      <c r="R1420" s="6">
        <v>8</v>
      </c>
      <c r="S1420" s="8" t="s">
        <v>75</v>
      </c>
      <c r="T1420" s="9"/>
      <c r="U1420" s="8" t="s">
        <v>240</v>
      </c>
      <c r="V1420" s="8" t="s">
        <v>240</v>
      </c>
      <c r="W1420" s="8" t="s">
        <v>240</v>
      </c>
      <c r="X1420" s="8" t="s">
        <v>240</v>
      </c>
      <c r="Y1420" s="8" t="s">
        <v>240</v>
      </c>
      <c r="Z1420" s="6" t="b">
        <v>0</v>
      </c>
      <c r="AA1420" s="9"/>
      <c r="AB1420" s="9"/>
    </row>
    <row r="1421" spans="1:28" ht="16">
      <c r="A1421" s="6">
        <v>1563</v>
      </c>
      <c r="B1421" s="8" t="s">
        <v>2315</v>
      </c>
      <c r="C1421" s="8" t="s">
        <v>120</v>
      </c>
      <c r="D1421" s="8" t="s">
        <v>2374</v>
      </c>
      <c r="E1421" s="8" t="s">
        <v>2373</v>
      </c>
      <c r="F1421" s="6">
        <v>1562</v>
      </c>
      <c r="G1421" s="6" t="b">
        <v>0</v>
      </c>
      <c r="H1421" s="8" t="s">
        <v>240</v>
      </c>
      <c r="I1421" s="6" t="b">
        <v>0</v>
      </c>
      <c r="J1421" s="6" t="b">
        <v>0</v>
      </c>
      <c r="K1421" s="6" t="b">
        <v>0</v>
      </c>
      <c r="L1421" s="6" t="b">
        <v>0</v>
      </c>
      <c r="M1421" s="6" t="b">
        <v>0</v>
      </c>
      <c r="N1421" s="6">
        <v>8</v>
      </c>
      <c r="O1421" s="8" t="s">
        <v>335</v>
      </c>
      <c r="P1421" s="8" t="s">
        <v>240</v>
      </c>
      <c r="Q1421" s="8" t="s">
        <v>240</v>
      </c>
      <c r="R1421" s="6">
        <v>8</v>
      </c>
      <c r="S1421" s="8" t="s">
        <v>75</v>
      </c>
      <c r="T1421" s="9"/>
      <c r="U1421" s="8" t="s">
        <v>240</v>
      </c>
      <c r="V1421" s="8" t="s">
        <v>240</v>
      </c>
      <c r="W1421" s="8" t="s">
        <v>240</v>
      </c>
      <c r="X1421" s="8" t="s">
        <v>240</v>
      </c>
      <c r="Y1421" s="8" t="s">
        <v>240</v>
      </c>
      <c r="Z1421" s="6" t="b">
        <v>0</v>
      </c>
      <c r="AA1421" s="9"/>
      <c r="AB1421" s="9"/>
    </row>
    <row r="1422" spans="1:28" ht="16">
      <c r="A1422" s="6">
        <v>1564</v>
      </c>
      <c r="B1422" s="8" t="s">
        <v>2315</v>
      </c>
      <c r="C1422" s="8" t="s">
        <v>121</v>
      </c>
      <c r="D1422" s="8" t="s">
        <v>2375</v>
      </c>
      <c r="E1422" s="8" t="s">
        <v>2375</v>
      </c>
      <c r="F1422" s="6">
        <v>1564</v>
      </c>
      <c r="G1422" s="6" t="b">
        <v>0</v>
      </c>
      <c r="H1422" s="8" t="s">
        <v>240</v>
      </c>
      <c r="I1422" s="6" t="b">
        <v>0</v>
      </c>
      <c r="J1422" s="6" t="b">
        <v>0</v>
      </c>
      <c r="K1422" s="6" t="b">
        <v>0</v>
      </c>
      <c r="L1422" s="6" t="b">
        <v>0</v>
      </c>
      <c r="M1422" s="6" t="b">
        <v>0</v>
      </c>
      <c r="N1422" s="6">
        <v>6</v>
      </c>
      <c r="O1422" s="8" t="s">
        <v>331</v>
      </c>
      <c r="P1422" s="8" t="s">
        <v>516</v>
      </c>
      <c r="Q1422" s="8" t="s">
        <v>239</v>
      </c>
      <c r="R1422" s="6">
        <v>6</v>
      </c>
      <c r="S1422" s="8" t="s">
        <v>75</v>
      </c>
      <c r="T1422" s="9"/>
      <c r="U1422" s="8" t="s">
        <v>240</v>
      </c>
      <c r="V1422" s="8" t="s">
        <v>240</v>
      </c>
      <c r="W1422" s="8" t="s">
        <v>240</v>
      </c>
      <c r="X1422" s="8" t="s">
        <v>240</v>
      </c>
      <c r="Y1422" s="8" t="s">
        <v>2376</v>
      </c>
      <c r="Z1422" s="6" t="b">
        <v>0</v>
      </c>
      <c r="AA1422" s="9"/>
      <c r="AB1422" s="9"/>
    </row>
    <row r="1423" spans="1:28" ht="16">
      <c r="A1423" s="6">
        <v>1565</v>
      </c>
      <c r="B1423" s="8" t="s">
        <v>2315</v>
      </c>
      <c r="C1423" s="8" t="s">
        <v>121</v>
      </c>
      <c r="D1423" s="8" t="s">
        <v>2377</v>
      </c>
      <c r="E1423" s="8" t="s">
        <v>2375</v>
      </c>
      <c r="F1423" s="6">
        <v>1564</v>
      </c>
      <c r="G1423" s="6" t="b">
        <v>0</v>
      </c>
      <c r="H1423" s="8" t="s">
        <v>240</v>
      </c>
      <c r="I1423" s="6" t="b">
        <v>0</v>
      </c>
      <c r="J1423" s="6" t="b">
        <v>0</v>
      </c>
      <c r="K1423" s="6" t="b">
        <v>0</v>
      </c>
      <c r="L1423" s="6" t="b">
        <v>0</v>
      </c>
      <c r="M1423" s="6" t="b">
        <v>0</v>
      </c>
      <c r="N1423" s="6">
        <v>6</v>
      </c>
      <c r="O1423" s="8" t="s">
        <v>331</v>
      </c>
      <c r="P1423" s="8" t="s">
        <v>516</v>
      </c>
      <c r="Q1423" s="8" t="s">
        <v>239</v>
      </c>
      <c r="R1423" s="6">
        <v>8.4</v>
      </c>
      <c r="S1423" s="8" t="s">
        <v>247</v>
      </c>
      <c r="T1423" s="6">
        <v>6</v>
      </c>
      <c r="U1423" s="8" t="s">
        <v>240</v>
      </c>
      <c r="V1423" s="8" t="s">
        <v>240</v>
      </c>
      <c r="W1423" s="8" t="s">
        <v>240</v>
      </c>
      <c r="X1423" s="8" t="s">
        <v>240</v>
      </c>
      <c r="Y1423" s="8" t="s">
        <v>2378</v>
      </c>
      <c r="Z1423" s="6" t="b">
        <v>0</v>
      </c>
      <c r="AA1423" s="9"/>
      <c r="AB1423" s="9"/>
    </row>
    <row r="1424" spans="1:28" ht="16">
      <c r="A1424" s="6">
        <v>1566</v>
      </c>
      <c r="B1424" s="8" t="s">
        <v>2315</v>
      </c>
      <c r="C1424" s="8" t="s">
        <v>120</v>
      </c>
      <c r="D1424" s="8" t="s">
        <v>2379</v>
      </c>
      <c r="E1424" s="8" t="s">
        <v>2379</v>
      </c>
      <c r="F1424" s="6">
        <v>1566</v>
      </c>
      <c r="G1424" s="6" t="b">
        <v>0</v>
      </c>
      <c r="H1424" s="8" t="s">
        <v>240</v>
      </c>
      <c r="I1424" s="6" t="b">
        <v>0</v>
      </c>
      <c r="J1424" s="6" t="b">
        <v>0</v>
      </c>
      <c r="K1424" s="6" t="b">
        <v>0</v>
      </c>
      <c r="L1424" s="6" t="b">
        <v>0</v>
      </c>
      <c r="M1424" s="6" t="b">
        <v>0</v>
      </c>
      <c r="N1424" s="6">
        <v>8</v>
      </c>
      <c r="O1424" s="8" t="s">
        <v>335</v>
      </c>
      <c r="P1424" s="8" t="s">
        <v>240</v>
      </c>
      <c r="Q1424" s="8" t="s">
        <v>240</v>
      </c>
      <c r="R1424" s="6">
        <v>8</v>
      </c>
      <c r="S1424" s="8" t="s">
        <v>75</v>
      </c>
      <c r="T1424" s="9"/>
      <c r="U1424" s="8" t="s">
        <v>240</v>
      </c>
      <c r="V1424" s="8" t="s">
        <v>240</v>
      </c>
      <c r="W1424" s="8" t="s">
        <v>240</v>
      </c>
      <c r="X1424" s="8" t="s">
        <v>240</v>
      </c>
      <c r="Y1424" s="8" t="s">
        <v>2380</v>
      </c>
      <c r="Z1424" s="6" t="b">
        <v>0</v>
      </c>
      <c r="AA1424" s="9"/>
      <c r="AB1424" s="9"/>
    </row>
    <row r="1425" spans="1:28" ht="32">
      <c r="A1425" s="6">
        <v>1567</v>
      </c>
      <c r="B1425" s="8" t="s">
        <v>2315</v>
      </c>
      <c r="C1425" s="8" t="s">
        <v>120</v>
      </c>
      <c r="D1425" s="8" t="s">
        <v>2381</v>
      </c>
      <c r="E1425" s="8" t="s">
        <v>2379</v>
      </c>
      <c r="F1425" s="6">
        <v>1566</v>
      </c>
      <c r="G1425" s="6" t="b">
        <v>0</v>
      </c>
      <c r="H1425" s="8" t="s">
        <v>240</v>
      </c>
      <c r="I1425" s="6" t="b">
        <v>0</v>
      </c>
      <c r="J1425" s="6" t="b">
        <v>0</v>
      </c>
      <c r="K1425" s="6" t="b">
        <v>0</v>
      </c>
      <c r="L1425" s="6" t="b">
        <v>0</v>
      </c>
      <c r="M1425" s="6" t="b">
        <v>0</v>
      </c>
      <c r="N1425" s="6">
        <v>8</v>
      </c>
      <c r="O1425" s="8" t="s">
        <v>335</v>
      </c>
      <c r="P1425" s="8" t="s">
        <v>240</v>
      </c>
      <c r="Q1425" s="8" t="s">
        <v>240</v>
      </c>
      <c r="R1425" s="6">
        <v>8</v>
      </c>
      <c r="S1425" s="8" t="s">
        <v>75</v>
      </c>
      <c r="T1425" s="9"/>
      <c r="U1425" s="8" t="s">
        <v>240</v>
      </c>
      <c r="V1425" s="8" t="s">
        <v>240</v>
      </c>
      <c r="W1425" s="8" t="s">
        <v>240</v>
      </c>
      <c r="X1425" s="8" t="s">
        <v>240</v>
      </c>
      <c r="Y1425" s="8" t="s">
        <v>240</v>
      </c>
      <c r="Z1425" s="6" t="b">
        <v>0</v>
      </c>
      <c r="AA1425" s="9"/>
      <c r="AB1425" s="9"/>
    </row>
    <row r="1426" spans="1:28" ht="16">
      <c r="A1426" s="6">
        <v>1568</v>
      </c>
      <c r="B1426" s="8" t="s">
        <v>2315</v>
      </c>
      <c r="C1426" s="8" t="s">
        <v>102</v>
      </c>
      <c r="D1426" s="8" t="s">
        <v>2382</v>
      </c>
      <c r="E1426" s="8" t="s">
        <v>2382</v>
      </c>
      <c r="F1426" s="6">
        <v>1568</v>
      </c>
      <c r="G1426" s="6" t="b">
        <v>0</v>
      </c>
      <c r="H1426" s="8" t="s">
        <v>240</v>
      </c>
      <c r="I1426" s="6" t="b">
        <v>0</v>
      </c>
      <c r="J1426" s="6" t="b">
        <v>0</v>
      </c>
      <c r="K1426" s="6" t="b">
        <v>0</v>
      </c>
      <c r="L1426" s="6" t="b">
        <v>0</v>
      </c>
      <c r="M1426" s="6" t="b">
        <v>0</v>
      </c>
      <c r="N1426" s="6">
        <v>7</v>
      </c>
      <c r="O1426" s="8" t="s">
        <v>237</v>
      </c>
      <c r="P1426" s="8" t="s">
        <v>516</v>
      </c>
      <c r="Q1426" s="8" t="s">
        <v>388</v>
      </c>
      <c r="R1426" s="6">
        <v>9.1</v>
      </c>
      <c r="S1426" s="8" t="s">
        <v>247</v>
      </c>
      <c r="T1426" s="6">
        <v>8</v>
      </c>
      <c r="U1426" s="8" t="s">
        <v>240</v>
      </c>
      <c r="V1426" s="8" t="s">
        <v>240</v>
      </c>
      <c r="W1426" s="8" t="s">
        <v>240</v>
      </c>
      <c r="X1426" s="8" t="s">
        <v>240</v>
      </c>
      <c r="Y1426" s="8" t="s">
        <v>2383</v>
      </c>
      <c r="Z1426" s="6" t="b">
        <v>0</v>
      </c>
      <c r="AA1426" s="9"/>
      <c r="AB1426" s="9"/>
    </row>
    <row r="1427" spans="1:28" ht="16">
      <c r="A1427" s="6">
        <v>1569</v>
      </c>
      <c r="B1427" s="8" t="s">
        <v>2315</v>
      </c>
      <c r="C1427" s="8" t="s">
        <v>102</v>
      </c>
      <c r="D1427" s="8" t="s">
        <v>2384</v>
      </c>
      <c r="E1427" s="8" t="s">
        <v>2382</v>
      </c>
      <c r="F1427" s="6">
        <v>1568</v>
      </c>
      <c r="G1427" s="6" t="b">
        <v>0</v>
      </c>
      <c r="H1427" s="8" t="s">
        <v>240</v>
      </c>
      <c r="I1427" s="6" t="b">
        <v>0</v>
      </c>
      <c r="J1427" s="6" t="b">
        <v>0</v>
      </c>
      <c r="K1427" s="6" t="b">
        <v>0</v>
      </c>
      <c r="L1427" s="6" t="b">
        <v>0</v>
      </c>
      <c r="M1427" s="6" t="b">
        <v>0</v>
      </c>
      <c r="N1427" s="6">
        <v>7</v>
      </c>
      <c r="O1427" s="8" t="s">
        <v>237</v>
      </c>
      <c r="P1427" s="8" t="s">
        <v>516</v>
      </c>
      <c r="Q1427" s="8" t="s">
        <v>388</v>
      </c>
      <c r="R1427" s="6">
        <v>9.1</v>
      </c>
      <c r="S1427" s="8" t="s">
        <v>247</v>
      </c>
      <c r="T1427" s="6">
        <v>8</v>
      </c>
      <c r="U1427" s="8" t="s">
        <v>2385</v>
      </c>
      <c r="V1427" s="8" t="s">
        <v>240</v>
      </c>
      <c r="W1427" s="8" t="s">
        <v>240</v>
      </c>
      <c r="X1427" s="8" t="s">
        <v>240</v>
      </c>
      <c r="Y1427" s="8" t="s">
        <v>2386</v>
      </c>
      <c r="Z1427" s="6" t="b">
        <v>0</v>
      </c>
      <c r="AA1427" s="9"/>
      <c r="AB1427" s="9"/>
    </row>
    <row r="1428" spans="1:28" ht="32">
      <c r="A1428" s="6">
        <v>1572</v>
      </c>
      <c r="B1428" s="8" t="s">
        <v>2315</v>
      </c>
      <c r="C1428" s="8" t="s">
        <v>102</v>
      </c>
      <c r="D1428" s="8" t="s">
        <v>2387</v>
      </c>
      <c r="E1428" s="8" t="s">
        <v>2382</v>
      </c>
      <c r="F1428" s="6">
        <v>1568</v>
      </c>
      <c r="G1428" s="6" t="b">
        <v>0</v>
      </c>
      <c r="H1428" s="8" t="s">
        <v>240</v>
      </c>
      <c r="I1428" s="6" t="b">
        <v>0</v>
      </c>
      <c r="J1428" s="6" t="b">
        <v>0</v>
      </c>
      <c r="K1428" s="6" t="b">
        <v>0</v>
      </c>
      <c r="L1428" s="6" t="b">
        <v>0</v>
      </c>
      <c r="M1428" s="6" t="b">
        <v>0</v>
      </c>
      <c r="N1428" s="6">
        <v>7</v>
      </c>
      <c r="O1428" s="8" t="s">
        <v>237</v>
      </c>
      <c r="P1428" s="8" t="s">
        <v>516</v>
      </c>
      <c r="Q1428" s="8" t="s">
        <v>388</v>
      </c>
      <c r="R1428" s="6">
        <v>9.1</v>
      </c>
      <c r="S1428" s="8" t="s">
        <v>247</v>
      </c>
      <c r="T1428" s="6">
        <v>8</v>
      </c>
      <c r="U1428" s="8" t="s">
        <v>2388</v>
      </c>
      <c r="V1428" s="8" t="s">
        <v>240</v>
      </c>
      <c r="W1428" s="8" t="s">
        <v>240</v>
      </c>
      <c r="X1428" s="8" t="s">
        <v>240</v>
      </c>
      <c r="Y1428" s="8" t="s">
        <v>240</v>
      </c>
      <c r="Z1428" s="6" t="b">
        <v>0</v>
      </c>
      <c r="AA1428" s="9"/>
      <c r="AB1428" s="9"/>
    </row>
    <row r="1429" spans="1:28" ht="16">
      <c r="A1429" s="6">
        <v>1574</v>
      </c>
      <c r="B1429" s="8" t="s">
        <v>2315</v>
      </c>
      <c r="C1429" s="8" t="s">
        <v>102</v>
      </c>
      <c r="D1429" s="8" t="s">
        <v>2389</v>
      </c>
      <c r="E1429" s="8" t="s">
        <v>2382</v>
      </c>
      <c r="F1429" s="6">
        <v>1568</v>
      </c>
      <c r="G1429" s="6" t="b">
        <v>0</v>
      </c>
      <c r="H1429" s="8" t="s">
        <v>240</v>
      </c>
      <c r="I1429" s="6" t="b">
        <v>0</v>
      </c>
      <c r="J1429" s="6" t="b">
        <v>0</v>
      </c>
      <c r="K1429" s="6" t="b">
        <v>0</v>
      </c>
      <c r="L1429" s="6" t="b">
        <v>0</v>
      </c>
      <c r="M1429" s="6" t="b">
        <v>0</v>
      </c>
      <c r="N1429" s="6">
        <v>7</v>
      </c>
      <c r="O1429" s="8" t="s">
        <v>237</v>
      </c>
      <c r="P1429" s="8" t="s">
        <v>516</v>
      </c>
      <c r="Q1429" s="8" t="s">
        <v>388</v>
      </c>
      <c r="R1429" s="6">
        <v>9.1</v>
      </c>
      <c r="S1429" s="8" t="s">
        <v>247</v>
      </c>
      <c r="T1429" s="6">
        <v>8</v>
      </c>
      <c r="U1429" s="8" t="s">
        <v>2390</v>
      </c>
      <c r="V1429" s="8" t="s">
        <v>240</v>
      </c>
      <c r="W1429" s="8" t="s">
        <v>240</v>
      </c>
      <c r="X1429" s="8" t="s">
        <v>240</v>
      </c>
      <c r="Y1429" s="8" t="s">
        <v>2391</v>
      </c>
      <c r="Z1429" s="6" t="b">
        <v>0</v>
      </c>
      <c r="AA1429" s="9"/>
      <c r="AB1429" s="9"/>
    </row>
    <row r="1430" spans="1:28" ht="16">
      <c r="A1430" s="6">
        <v>1577</v>
      </c>
      <c r="B1430" s="8" t="s">
        <v>2315</v>
      </c>
      <c r="C1430" s="8" t="s">
        <v>102</v>
      </c>
      <c r="D1430" s="8" t="s">
        <v>2392</v>
      </c>
      <c r="E1430" s="8" t="s">
        <v>2382</v>
      </c>
      <c r="F1430" s="6">
        <v>1568</v>
      </c>
      <c r="G1430" s="6" t="b">
        <v>0</v>
      </c>
      <c r="H1430" s="8" t="s">
        <v>240</v>
      </c>
      <c r="I1430" s="6" t="b">
        <v>0</v>
      </c>
      <c r="J1430" s="6" t="b">
        <v>0</v>
      </c>
      <c r="K1430" s="6" t="b">
        <v>0</v>
      </c>
      <c r="L1430" s="6" t="b">
        <v>0</v>
      </c>
      <c r="M1430" s="6" t="b">
        <v>0</v>
      </c>
      <c r="N1430" s="6">
        <v>7</v>
      </c>
      <c r="O1430" s="8" t="s">
        <v>237</v>
      </c>
      <c r="P1430" s="8" t="s">
        <v>516</v>
      </c>
      <c r="Q1430" s="8" t="s">
        <v>388</v>
      </c>
      <c r="R1430" s="6">
        <v>9.1</v>
      </c>
      <c r="S1430" s="8" t="s">
        <v>247</v>
      </c>
      <c r="T1430" s="9"/>
      <c r="U1430" s="8" t="s">
        <v>240</v>
      </c>
      <c r="V1430" s="8" t="s">
        <v>240</v>
      </c>
      <c r="W1430" s="8" t="s">
        <v>240</v>
      </c>
      <c r="X1430" s="8" t="s">
        <v>240</v>
      </c>
      <c r="Y1430" s="8" t="s">
        <v>240</v>
      </c>
      <c r="Z1430" s="6" t="b">
        <v>0</v>
      </c>
      <c r="AA1430" s="9"/>
      <c r="AB1430" s="9"/>
    </row>
    <row r="1431" spans="1:28" ht="16">
      <c r="A1431" s="6">
        <v>1578</v>
      </c>
      <c r="B1431" s="8" t="s">
        <v>2315</v>
      </c>
      <c r="C1431" s="8" t="s">
        <v>102</v>
      </c>
      <c r="D1431" s="8" t="s">
        <v>102</v>
      </c>
      <c r="E1431" s="8" t="s">
        <v>102</v>
      </c>
      <c r="F1431" s="6">
        <v>1578</v>
      </c>
      <c r="G1431" s="6" t="b">
        <v>0</v>
      </c>
      <c r="H1431" s="8" t="s">
        <v>240</v>
      </c>
      <c r="I1431" s="6" t="b">
        <v>0</v>
      </c>
      <c r="J1431" s="6" t="b">
        <v>0</v>
      </c>
      <c r="K1431" s="6" t="b">
        <v>0</v>
      </c>
      <c r="L1431" s="6" t="b">
        <v>0</v>
      </c>
      <c r="M1431" s="6" t="b">
        <v>0</v>
      </c>
      <c r="N1431" s="6">
        <v>7</v>
      </c>
      <c r="O1431" s="8" t="s">
        <v>237</v>
      </c>
      <c r="P1431" s="8" t="s">
        <v>240</v>
      </c>
      <c r="Q1431" s="8" t="s">
        <v>240</v>
      </c>
      <c r="R1431" s="6">
        <v>7</v>
      </c>
      <c r="S1431" s="8" t="s">
        <v>237</v>
      </c>
      <c r="T1431" s="6">
        <v>8</v>
      </c>
      <c r="U1431" s="8" t="s">
        <v>240</v>
      </c>
      <c r="V1431" s="8" t="s">
        <v>240</v>
      </c>
      <c r="W1431" s="8" t="s">
        <v>240</v>
      </c>
      <c r="X1431" s="8" t="s">
        <v>240</v>
      </c>
      <c r="Y1431" s="8" t="s">
        <v>240</v>
      </c>
      <c r="Z1431" s="6" t="b">
        <v>0</v>
      </c>
      <c r="AA1431" s="9"/>
      <c r="AB1431" s="9"/>
    </row>
    <row r="1432" spans="1:28" ht="16">
      <c r="A1432" s="6">
        <v>1579</v>
      </c>
      <c r="B1432" s="8" t="s">
        <v>2315</v>
      </c>
      <c r="C1432" s="8" t="s">
        <v>121</v>
      </c>
      <c r="D1432" s="8" t="s">
        <v>2393</v>
      </c>
      <c r="E1432" s="8" t="s">
        <v>2393</v>
      </c>
      <c r="F1432" s="6">
        <v>1579</v>
      </c>
      <c r="G1432" s="6" t="b">
        <v>0</v>
      </c>
      <c r="H1432" s="8" t="s">
        <v>240</v>
      </c>
      <c r="I1432" s="6" t="b">
        <v>0</v>
      </c>
      <c r="J1432" s="6" t="b">
        <v>0</v>
      </c>
      <c r="K1432" s="6" t="b">
        <v>0</v>
      </c>
      <c r="L1432" s="6" t="b">
        <v>0</v>
      </c>
      <c r="M1432" s="6" t="b">
        <v>0</v>
      </c>
      <c r="N1432" s="6">
        <v>6</v>
      </c>
      <c r="O1432" s="8" t="s">
        <v>331</v>
      </c>
      <c r="P1432" s="8" t="s">
        <v>516</v>
      </c>
      <c r="Q1432" s="8" t="s">
        <v>388</v>
      </c>
      <c r="R1432" s="6">
        <v>6</v>
      </c>
      <c r="S1432" s="8" t="s">
        <v>75</v>
      </c>
      <c r="T1432" s="9"/>
      <c r="U1432" s="8" t="s">
        <v>240</v>
      </c>
      <c r="V1432" s="8" t="s">
        <v>240</v>
      </c>
      <c r="W1432" s="8" t="s">
        <v>240</v>
      </c>
      <c r="X1432" s="8" t="s">
        <v>240</v>
      </c>
      <c r="Y1432" s="8" t="s">
        <v>240</v>
      </c>
      <c r="Z1432" s="6" t="b">
        <v>0</v>
      </c>
      <c r="AA1432" s="9"/>
      <c r="AB1432" s="9"/>
    </row>
    <row r="1433" spans="1:28" ht="16">
      <c r="A1433" s="6">
        <v>1580</v>
      </c>
      <c r="B1433" s="8" t="s">
        <v>2315</v>
      </c>
      <c r="C1433" s="8" t="s">
        <v>121</v>
      </c>
      <c r="D1433" s="8" t="s">
        <v>2394</v>
      </c>
      <c r="E1433" s="8" t="s">
        <v>2393</v>
      </c>
      <c r="F1433" s="6">
        <v>1579</v>
      </c>
      <c r="G1433" s="6" t="b">
        <v>0</v>
      </c>
      <c r="H1433" s="8" t="s">
        <v>240</v>
      </c>
      <c r="I1433" s="6" t="b">
        <v>0</v>
      </c>
      <c r="J1433" s="6" t="b">
        <v>0</v>
      </c>
      <c r="K1433" s="6" t="b">
        <v>0</v>
      </c>
      <c r="L1433" s="6" t="b">
        <v>0</v>
      </c>
      <c r="M1433" s="6" t="b">
        <v>0</v>
      </c>
      <c r="N1433" s="6">
        <v>6</v>
      </c>
      <c r="O1433" s="8" t="s">
        <v>331</v>
      </c>
      <c r="P1433" s="8" t="s">
        <v>516</v>
      </c>
      <c r="Q1433" s="8" t="s">
        <v>388</v>
      </c>
      <c r="R1433" s="6">
        <v>6</v>
      </c>
      <c r="S1433" s="8" t="s">
        <v>75</v>
      </c>
      <c r="T1433" s="9"/>
      <c r="U1433" s="8" t="s">
        <v>240</v>
      </c>
      <c r="V1433" s="8" t="s">
        <v>240</v>
      </c>
      <c r="W1433" s="8" t="s">
        <v>240</v>
      </c>
      <c r="X1433" s="8" t="s">
        <v>240</v>
      </c>
      <c r="Y1433" s="8" t="s">
        <v>240</v>
      </c>
      <c r="Z1433" s="6" t="b">
        <v>0</v>
      </c>
      <c r="AA1433" s="9"/>
      <c r="AB1433" s="9"/>
    </row>
    <row r="1434" spans="1:28" ht="32">
      <c r="A1434" s="6">
        <v>1581</v>
      </c>
      <c r="B1434" s="8" t="s">
        <v>2315</v>
      </c>
      <c r="C1434" s="8" t="s">
        <v>121</v>
      </c>
      <c r="D1434" s="8" t="s">
        <v>2395</v>
      </c>
      <c r="E1434" s="8" t="s">
        <v>2393</v>
      </c>
      <c r="F1434" s="6">
        <v>1579</v>
      </c>
      <c r="G1434" s="6" t="b">
        <v>0</v>
      </c>
      <c r="H1434" s="8" t="s">
        <v>240</v>
      </c>
      <c r="I1434" s="6" t="b">
        <v>0</v>
      </c>
      <c r="J1434" s="6" t="b">
        <v>0</v>
      </c>
      <c r="K1434" s="6" t="b">
        <v>0</v>
      </c>
      <c r="L1434" s="6" t="b">
        <v>0</v>
      </c>
      <c r="M1434" s="6" t="b">
        <v>0</v>
      </c>
      <c r="N1434" s="6">
        <v>6</v>
      </c>
      <c r="O1434" s="8" t="s">
        <v>331</v>
      </c>
      <c r="P1434" s="8" t="s">
        <v>516</v>
      </c>
      <c r="Q1434" s="8" t="s">
        <v>388</v>
      </c>
      <c r="R1434" s="6">
        <v>6</v>
      </c>
      <c r="S1434" s="8" t="s">
        <v>75</v>
      </c>
      <c r="T1434" s="9"/>
      <c r="U1434" s="8" t="s">
        <v>240</v>
      </c>
      <c r="V1434" s="8" t="s">
        <v>240</v>
      </c>
      <c r="W1434" s="8" t="s">
        <v>240</v>
      </c>
      <c r="X1434" s="8" t="s">
        <v>240</v>
      </c>
      <c r="Y1434" s="8" t="s">
        <v>2396</v>
      </c>
      <c r="Z1434" s="6" t="b">
        <v>0</v>
      </c>
      <c r="AA1434" s="9"/>
      <c r="AB1434" s="9"/>
    </row>
    <row r="1435" spans="1:28" ht="16">
      <c r="A1435" s="6">
        <v>1582</v>
      </c>
      <c r="B1435" s="8" t="s">
        <v>2315</v>
      </c>
      <c r="C1435" s="8" t="s">
        <v>121</v>
      </c>
      <c r="D1435" s="8" t="s">
        <v>121</v>
      </c>
      <c r="E1435" s="8" t="s">
        <v>121</v>
      </c>
      <c r="F1435" s="6">
        <v>1582</v>
      </c>
      <c r="G1435" s="6" t="b">
        <v>0</v>
      </c>
      <c r="H1435" s="8" t="s">
        <v>240</v>
      </c>
      <c r="I1435" s="6" t="b">
        <v>0</v>
      </c>
      <c r="J1435" s="6" t="b">
        <v>0</v>
      </c>
      <c r="K1435" s="6" t="b">
        <v>0</v>
      </c>
      <c r="L1435" s="6" t="b">
        <v>0</v>
      </c>
      <c r="M1435" s="6" t="b">
        <v>0</v>
      </c>
      <c r="N1435" s="6">
        <v>6</v>
      </c>
      <c r="O1435" s="8" t="s">
        <v>331</v>
      </c>
      <c r="P1435" s="8" t="s">
        <v>516</v>
      </c>
      <c r="Q1435" s="8" t="s">
        <v>335</v>
      </c>
      <c r="R1435" s="6">
        <v>6</v>
      </c>
      <c r="S1435" s="8" t="s">
        <v>331</v>
      </c>
      <c r="T1435" s="6">
        <v>6</v>
      </c>
      <c r="U1435" s="8" t="s">
        <v>240</v>
      </c>
      <c r="V1435" s="8" t="s">
        <v>240</v>
      </c>
      <c r="W1435" s="8" t="s">
        <v>240</v>
      </c>
      <c r="X1435" s="8" t="s">
        <v>240</v>
      </c>
      <c r="Y1435" s="8" t="s">
        <v>2397</v>
      </c>
      <c r="Z1435" s="6" t="b">
        <v>0</v>
      </c>
      <c r="AA1435" s="9"/>
      <c r="AB1435" s="9"/>
    </row>
    <row r="1436" spans="1:28" ht="16">
      <c r="A1436" s="6">
        <v>1583</v>
      </c>
      <c r="B1436" s="8" t="s">
        <v>2315</v>
      </c>
      <c r="C1436" s="8" t="s">
        <v>121</v>
      </c>
      <c r="D1436" s="8" t="s">
        <v>2398</v>
      </c>
      <c r="E1436" s="8" t="s">
        <v>2398</v>
      </c>
      <c r="F1436" s="6">
        <v>1583</v>
      </c>
      <c r="G1436" s="6" t="b">
        <v>0</v>
      </c>
      <c r="H1436" s="8" t="s">
        <v>240</v>
      </c>
      <c r="I1436" s="6" t="b">
        <v>0</v>
      </c>
      <c r="J1436" s="6" t="b">
        <v>0</v>
      </c>
      <c r="K1436" s="6" t="b">
        <v>0</v>
      </c>
      <c r="L1436" s="6" t="b">
        <v>0</v>
      </c>
      <c r="M1436" s="6" t="b">
        <v>0</v>
      </c>
      <c r="N1436" s="6">
        <v>6</v>
      </c>
      <c r="O1436" s="8" t="s">
        <v>331</v>
      </c>
      <c r="P1436" s="8" t="s">
        <v>516</v>
      </c>
      <c r="Q1436" s="8" t="s">
        <v>239</v>
      </c>
      <c r="R1436" s="6">
        <v>7</v>
      </c>
      <c r="S1436" s="8" t="s">
        <v>341</v>
      </c>
      <c r="T1436" s="9"/>
      <c r="U1436" s="8" t="s">
        <v>240</v>
      </c>
      <c r="V1436" s="8" t="s">
        <v>240</v>
      </c>
      <c r="W1436" s="8" t="s">
        <v>240</v>
      </c>
      <c r="X1436" s="8" t="s">
        <v>240</v>
      </c>
      <c r="Y1436" s="8" t="s">
        <v>2399</v>
      </c>
      <c r="Z1436" s="6" t="b">
        <v>0</v>
      </c>
      <c r="AA1436" s="9"/>
      <c r="AB1436" s="9"/>
    </row>
    <row r="1437" spans="1:28" ht="16">
      <c r="A1437" s="6">
        <v>1584</v>
      </c>
      <c r="B1437" s="8" t="s">
        <v>2315</v>
      </c>
      <c r="C1437" s="8" t="s">
        <v>121</v>
      </c>
      <c r="D1437" s="8" t="s">
        <v>2400</v>
      </c>
      <c r="E1437" s="8" t="s">
        <v>2398</v>
      </c>
      <c r="F1437" s="6">
        <v>1583</v>
      </c>
      <c r="G1437" s="6" t="b">
        <v>0</v>
      </c>
      <c r="H1437" s="8" t="s">
        <v>240</v>
      </c>
      <c r="I1437" s="6" t="b">
        <v>0</v>
      </c>
      <c r="J1437" s="6" t="b">
        <v>0</v>
      </c>
      <c r="K1437" s="6" t="b">
        <v>0</v>
      </c>
      <c r="L1437" s="6" t="b">
        <v>0</v>
      </c>
      <c r="M1437" s="6" t="b">
        <v>0</v>
      </c>
      <c r="N1437" s="6">
        <v>6</v>
      </c>
      <c r="O1437" s="8" t="s">
        <v>331</v>
      </c>
      <c r="P1437" s="8" t="s">
        <v>516</v>
      </c>
      <c r="Q1437" s="8" t="s">
        <v>239</v>
      </c>
      <c r="R1437" s="6">
        <v>6</v>
      </c>
      <c r="S1437" s="8" t="s">
        <v>75</v>
      </c>
      <c r="T1437" s="9"/>
      <c r="U1437" s="8" t="s">
        <v>240</v>
      </c>
      <c r="V1437" s="8" t="s">
        <v>240</v>
      </c>
      <c r="W1437" s="8" t="s">
        <v>240</v>
      </c>
      <c r="X1437" s="8" t="s">
        <v>240</v>
      </c>
      <c r="Y1437" s="8" t="s">
        <v>240</v>
      </c>
      <c r="Z1437" s="6" t="b">
        <v>0</v>
      </c>
      <c r="AA1437" s="9"/>
      <c r="AB1437" s="9"/>
    </row>
    <row r="1438" spans="1:28" ht="16">
      <c r="A1438" s="6">
        <v>1585</v>
      </c>
      <c r="B1438" s="8" t="s">
        <v>2315</v>
      </c>
      <c r="C1438" s="8" t="s">
        <v>91</v>
      </c>
      <c r="D1438" s="8" t="s">
        <v>2401</v>
      </c>
      <c r="E1438" s="8" t="s">
        <v>2401</v>
      </c>
      <c r="F1438" s="6">
        <v>1585</v>
      </c>
      <c r="G1438" s="6" t="b">
        <v>0</v>
      </c>
      <c r="H1438" s="8" t="s">
        <v>240</v>
      </c>
      <c r="I1438" s="6" t="b">
        <v>0</v>
      </c>
      <c r="J1438" s="6" t="b">
        <v>0</v>
      </c>
      <c r="K1438" s="6" t="b">
        <v>0</v>
      </c>
      <c r="L1438" s="6" t="b">
        <v>0</v>
      </c>
      <c r="M1438" s="6" t="b">
        <v>0</v>
      </c>
      <c r="N1438" s="6">
        <v>6</v>
      </c>
      <c r="O1438" s="8" t="s">
        <v>237</v>
      </c>
      <c r="P1438" s="8" t="s">
        <v>516</v>
      </c>
      <c r="Q1438" s="8" t="s">
        <v>239</v>
      </c>
      <c r="R1438" s="6">
        <v>7</v>
      </c>
      <c r="S1438" s="8" t="s">
        <v>341</v>
      </c>
      <c r="T1438" s="9"/>
      <c r="U1438" s="8" t="s">
        <v>240</v>
      </c>
      <c r="V1438" s="8" t="s">
        <v>240</v>
      </c>
      <c r="W1438" s="8" t="s">
        <v>240</v>
      </c>
      <c r="X1438" s="8" t="s">
        <v>240</v>
      </c>
      <c r="Y1438" s="8" t="s">
        <v>2402</v>
      </c>
      <c r="Z1438" s="6" t="b">
        <v>0</v>
      </c>
      <c r="AA1438" s="9"/>
      <c r="AB1438" s="9"/>
    </row>
    <row r="1439" spans="1:28" ht="16">
      <c r="A1439" s="6">
        <v>1586</v>
      </c>
      <c r="B1439" s="8" t="s">
        <v>2315</v>
      </c>
      <c r="C1439" s="8" t="s">
        <v>91</v>
      </c>
      <c r="D1439" s="8" t="s">
        <v>2403</v>
      </c>
      <c r="E1439" s="8" t="s">
        <v>2401</v>
      </c>
      <c r="F1439" s="6">
        <v>1585</v>
      </c>
      <c r="G1439" s="6" t="b">
        <v>0</v>
      </c>
      <c r="H1439" s="8" t="s">
        <v>240</v>
      </c>
      <c r="I1439" s="6" t="b">
        <v>0</v>
      </c>
      <c r="J1439" s="6" t="b">
        <v>0</v>
      </c>
      <c r="K1439" s="6" t="b">
        <v>0</v>
      </c>
      <c r="L1439" s="6" t="b">
        <v>0</v>
      </c>
      <c r="M1439" s="6" t="b">
        <v>0</v>
      </c>
      <c r="N1439" s="6">
        <v>6</v>
      </c>
      <c r="O1439" s="8" t="s">
        <v>237</v>
      </c>
      <c r="P1439" s="8" t="s">
        <v>516</v>
      </c>
      <c r="Q1439" s="8" t="s">
        <v>335</v>
      </c>
      <c r="R1439" s="6">
        <v>6</v>
      </c>
      <c r="S1439" s="8" t="s">
        <v>335</v>
      </c>
      <c r="T1439" s="6">
        <v>6</v>
      </c>
      <c r="U1439" s="8" t="s">
        <v>240</v>
      </c>
      <c r="V1439" s="8" t="s">
        <v>240</v>
      </c>
      <c r="W1439" s="8" t="s">
        <v>240</v>
      </c>
      <c r="X1439" s="8" t="s">
        <v>240</v>
      </c>
      <c r="Y1439" s="8" t="s">
        <v>2404</v>
      </c>
      <c r="Z1439" s="6" t="b">
        <v>0</v>
      </c>
      <c r="AA1439" s="9"/>
      <c r="AB1439" s="9"/>
    </row>
    <row r="1440" spans="1:28" ht="16">
      <c r="A1440" s="6">
        <v>1587</v>
      </c>
      <c r="B1440" s="8" t="s">
        <v>2315</v>
      </c>
      <c r="C1440" s="8" t="s">
        <v>91</v>
      </c>
      <c r="D1440" s="8" t="s">
        <v>91</v>
      </c>
      <c r="E1440" s="8" t="s">
        <v>91</v>
      </c>
      <c r="F1440" s="6">
        <v>1587</v>
      </c>
      <c r="G1440" s="6" t="b">
        <v>0</v>
      </c>
      <c r="H1440" s="8" t="s">
        <v>240</v>
      </c>
      <c r="I1440" s="6" t="b">
        <v>0</v>
      </c>
      <c r="J1440" s="6" t="b">
        <v>0</v>
      </c>
      <c r="K1440" s="6" t="b">
        <v>0</v>
      </c>
      <c r="L1440" s="6" t="b">
        <v>0</v>
      </c>
      <c r="M1440" s="6" t="b">
        <v>0</v>
      </c>
      <c r="N1440" s="6">
        <v>6</v>
      </c>
      <c r="O1440" s="8" t="s">
        <v>237</v>
      </c>
      <c r="P1440" s="8" t="s">
        <v>240</v>
      </c>
      <c r="Q1440" s="8" t="s">
        <v>240</v>
      </c>
      <c r="R1440" s="6">
        <v>6</v>
      </c>
      <c r="S1440" s="8" t="s">
        <v>237</v>
      </c>
      <c r="T1440" s="6">
        <v>6</v>
      </c>
      <c r="U1440" s="8" t="s">
        <v>240</v>
      </c>
      <c r="V1440" s="8" t="s">
        <v>240</v>
      </c>
      <c r="W1440" s="8" t="s">
        <v>240</v>
      </c>
      <c r="X1440" s="8" t="s">
        <v>240</v>
      </c>
      <c r="Y1440" s="8" t="s">
        <v>240</v>
      </c>
      <c r="Z1440" s="6" t="b">
        <v>0</v>
      </c>
      <c r="AA1440" s="9"/>
      <c r="AB1440" s="9"/>
    </row>
    <row r="1441" spans="1:28" ht="16">
      <c r="A1441" s="6">
        <v>1588</v>
      </c>
      <c r="B1441" s="8" t="s">
        <v>2315</v>
      </c>
      <c r="C1441" s="8" t="s">
        <v>121</v>
      </c>
      <c r="D1441" s="8" t="s">
        <v>2405</v>
      </c>
      <c r="E1441" s="8" t="s">
        <v>2405</v>
      </c>
      <c r="F1441" s="6">
        <v>1588</v>
      </c>
      <c r="G1441" s="6" t="b">
        <v>0</v>
      </c>
      <c r="H1441" s="8" t="s">
        <v>240</v>
      </c>
      <c r="I1441" s="6" t="b">
        <v>0</v>
      </c>
      <c r="J1441" s="6" t="b">
        <v>0</v>
      </c>
      <c r="K1441" s="6" t="b">
        <v>0</v>
      </c>
      <c r="L1441" s="6" t="b">
        <v>0</v>
      </c>
      <c r="M1441" s="6" t="b">
        <v>0</v>
      </c>
      <c r="N1441" s="6">
        <v>6</v>
      </c>
      <c r="O1441" s="8" t="s">
        <v>331</v>
      </c>
      <c r="P1441" s="8" t="s">
        <v>516</v>
      </c>
      <c r="Q1441" s="8" t="s">
        <v>575</v>
      </c>
      <c r="R1441" s="6">
        <v>6</v>
      </c>
      <c r="S1441" s="8" t="s">
        <v>75</v>
      </c>
      <c r="T1441" s="9"/>
      <c r="U1441" s="8" t="s">
        <v>240</v>
      </c>
      <c r="V1441" s="8" t="s">
        <v>240</v>
      </c>
      <c r="W1441" s="8" t="s">
        <v>240</v>
      </c>
      <c r="X1441" s="8" t="s">
        <v>240</v>
      </c>
      <c r="Y1441" s="8" t="s">
        <v>240</v>
      </c>
      <c r="Z1441" s="6" t="b">
        <v>0</v>
      </c>
      <c r="AA1441" s="9"/>
      <c r="AB1441" s="9"/>
    </row>
    <row r="1442" spans="1:28" ht="32">
      <c r="A1442" s="6">
        <v>1589</v>
      </c>
      <c r="B1442" s="8" t="s">
        <v>2315</v>
      </c>
      <c r="C1442" s="8" t="s">
        <v>121</v>
      </c>
      <c r="D1442" s="8" t="s">
        <v>2406</v>
      </c>
      <c r="E1442" s="8" t="s">
        <v>2405</v>
      </c>
      <c r="F1442" s="6">
        <v>1588</v>
      </c>
      <c r="G1442" s="6" t="b">
        <v>0</v>
      </c>
      <c r="H1442" s="8" t="s">
        <v>240</v>
      </c>
      <c r="I1442" s="6" t="b">
        <v>0</v>
      </c>
      <c r="J1442" s="6" t="b">
        <v>0</v>
      </c>
      <c r="K1442" s="6" t="b">
        <v>0</v>
      </c>
      <c r="L1442" s="6" t="b">
        <v>0</v>
      </c>
      <c r="M1442" s="6" t="b">
        <v>0</v>
      </c>
      <c r="N1442" s="6">
        <v>6</v>
      </c>
      <c r="O1442" s="8" t="s">
        <v>331</v>
      </c>
      <c r="P1442" s="8" t="s">
        <v>240</v>
      </c>
      <c r="Q1442" s="8" t="s">
        <v>240</v>
      </c>
      <c r="R1442" s="6">
        <v>6</v>
      </c>
      <c r="S1442" s="8" t="s">
        <v>75</v>
      </c>
      <c r="T1442" s="9"/>
      <c r="U1442" s="8" t="s">
        <v>240</v>
      </c>
      <c r="V1442" s="8" t="s">
        <v>240</v>
      </c>
      <c r="W1442" s="8" t="s">
        <v>240</v>
      </c>
      <c r="X1442" s="8" t="s">
        <v>240</v>
      </c>
      <c r="Y1442" s="8" t="s">
        <v>2407</v>
      </c>
      <c r="Z1442" s="6" t="b">
        <v>0</v>
      </c>
      <c r="AA1442" s="9"/>
      <c r="AB1442" s="9"/>
    </row>
    <row r="1443" spans="1:28" ht="16">
      <c r="A1443" s="6">
        <v>1590</v>
      </c>
      <c r="B1443" s="8" t="s">
        <v>2315</v>
      </c>
      <c r="C1443" s="8" t="s">
        <v>2342</v>
      </c>
      <c r="D1443" s="8" t="s">
        <v>2408</v>
      </c>
      <c r="E1443" s="8" t="s">
        <v>2408</v>
      </c>
      <c r="F1443" s="6">
        <v>1590</v>
      </c>
      <c r="G1443" s="6" t="b">
        <v>0</v>
      </c>
      <c r="H1443" s="8" t="s">
        <v>240</v>
      </c>
      <c r="I1443" s="6" t="b">
        <v>0</v>
      </c>
      <c r="J1443" s="6" t="b">
        <v>0</v>
      </c>
      <c r="K1443" s="6" t="b">
        <v>0</v>
      </c>
      <c r="L1443" s="6" t="b">
        <v>0</v>
      </c>
      <c r="M1443" s="6" t="b">
        <v>0</v>
      </c>
      <c r="N1443" s="6">
        <v>6</v>
      </c>
      <c r="O1443" s="8" t="s">
        <v>237</v>
      </c>
      <c r="P1443" s="8" t="s">
        <v>516</v>
      </c>
      <c r="Q1443" s="8" t="s">
        <v>388</v>
      </c>
      <c r="R1443" s="6">
        <v>6</v>
      </c>
      <c r="S1443" s="8" t="s">
        <v>372</v>
      </c>
      <c r="T1443" s="9"/>
      <c r="U1443" s="8" t="s">
        <v>240</v>
      </c>
      <c r="V1443" s="8" t="s">
        <v>240</v>
      </c>
      <c r="W1443" s="8" t="s">
        <v>240</v>
      </c>
      <c r="X1443" s="8" t="s">
        <v>240</v>
      </c>
      <c r="Y1443" s="8" t="s">
        <v>240</v>
      </c>
      <c r="Z1443" s="6" t="b">
        <v>0</v>
      </c>
      <c r="AA1443" s="9"/>
      <c r="AB1443" s="9"/>
    </row>
    <row r="1444" spans="1:28" ht="32">
      <c r="A1444" s="6">
        <v>1591</v>
      </c>
      <c r="B1444" s="8" t="s">
        <v>2315</v>
      </c>
      <c r="C1444" s="8" t="s">
        <v>2342</v>
      </c>
      <c r="D1444" s="8" t="s">
        <v>2409</v>
      </c>
      <c r="E1444" s="8" t="s">
        <v>2408</v>
      </c>
      <c r="F1444" s="6">
        <v>1590</v>
      </c>
      <c r="G1444" s="6" t="b">
        <v>0</v>
      </c>
      <c r="H1444" s="8" t="s">
        <v>240</v>
      </c>
      <c r="I1444" s="6" t="b">
        <v>0</v>
      </c>
      <c r="J1444" s="6" t="b">
        <v>0</v>
      </c>
      <c r="K1444" s="6" t="b">
        <v>0</v>
      </c>
      <c r="L1444" s="6" t="b">
        <v>0</v>
      </c>
      <c r="M1444" s="6" t="b">
        <v>0</v>
      </c>
      <c r="N1444" s="6">
        <v>6</v>
      </c>
      <c r="O1444" s="8" t="s">
        <v>237</v>
      </c>
      <c r="P1444" s="8" t="s">
        <v>516</v>
      </c>
      <c r="Q1444" s="8" t="s">
        <v>388</v>
      </c>
      <c r="R1444" s="6">
        <v>6</v>
      </c>
      <c r="S1444" s="8" t="s">
        <v>341</v>
      </c>
      <c r="T1444" s="6">
        <v>6</v>
      </c>
      <c r="U1444" s="8" t="s">
        <v>240</v>
      </c>
      <c r="V1444" s="8" t="s">
        <v>240</v>
      </c>
      <c r="W1444" s="8" t="s">
        <v>240</v>
      </c>
      <c r="X1444" s="8" t="s">
        <v>240</v>
      </c>
      <c r="Y1444" s="8" t="s">
        <v>240</v>
      </c>
      <c r="Z1444" s="6" t="b">
        <v>0</v>
      </c>
      <c r="AA1444" s="9"/>
      <c r="AB1444" s="9"/>
    </row>
    <row r="1445" spans="1:28" ht="16">
      <c r="A1445" s="6">
        <v>1592</v>
      </c>
      <c r="B1445" s="8" t="s">
        <v>2315</v>
      </c>
      <c r="C1445" s="8" t="s">
        <v>120</v>
      </c>
      <c r="D1445" s="8" t="s">
        <v>2410</v>
      </c>
      <c r="E1445" s="8" t="s">
        <v>2410</v>
      </c>
      <c r="F1445" s="6">
        <v>1592</v>
      </c>
      <c r="G1445" s="6" t="b">
        <v>0</v>
      </c>
      <c r="H1445" s="8" t="s">
        <v>240</v>
      </c>
      <c r="I1445" s="6" t="b">
        <v>0</v>
      </c>
      <c r="J1445" s="6" t="b">
        <v>0</v>
      </c>
      <c r="K1445" s="6" t="b">
        <v>0</v>
      </c>
      <c r="L1445" s="6" t="b">
        <v>0</v>
      </c>
      <c r="M1445" s="6" t="b">
        <v>0</v>
      </c>
      <c r="N1445" s="6">
        <v>8</v>
      </c>
      <c r="O1445" s="8" t="s">
        <v>335</v>
      </c>
      <c r="P1445" s="8" t="s">
        <v>516</v>
      </c>
      <c r="Q1445" s="8" t="s">
        <v>388</v>
      </c>
      <c r="R1445" s="6">
        <v>6.5</v>
      </c>
      <c r="S1445" s="8" t="s">
        <v>247</v>
      </c>
      <c r="T1445" s="9"/>
      <c r="U1445" s="8" t="s">
        <v>240</v>
      </c>
      <c r="V1445" s="8" t="s">
        <v>240</v>
      </c>
      <c r="W1445" s="8" t="s">
        <v>240</v>
      </c>
      <c r="X1445" s="8" t="s">
        <v>240</v>
      </c>
      <c r="Y1445" s="8" t="s">
        <v>240</v>
      </c>
      <c r="Z1445" s="6" t="b">
        <v>0</v>
      </c>
      <c r="AA1445" s="9"/>
      <c r="AB1445" s="9"/>
    </row>
    <row r="1446" spans="1:28" ht="16">
      <c r="A1446" s="6">
        <v>1593</v>
      </c>
      <c r="B1446" s="8" t="s">
        <v>2315</v>
      </c>
      <c r="C1446" s="8" t="s">
        <v>2342</v>
      </c>
      <c r="D1446" s="8" t="s">
        <v>2411</v>
      </c>
      <c r="E1446" s="8" t="s">
        <v>2411</v>
      </c>
      <c r="F1446" s="6">
        <v>1593</v>
      </c>
      <c r="G1446" s="6" t="b">
        <v>0</v>
      </c>
      <c r="H1446" s="8" t="s">
        <v>240</v>
      </c>
      <c r="I1446" s="6" t="b">
        <v>0</v>
      </c>
      <c r="J1446" s="6" t="b">
        <v>0</v>
      </c>
      <c r="K1446" s="6" t="b">
        <v>0</v>
      </c>
      <c r="L1446" s="6" t="b">
        <v>0</v>
      </c>
      <c r="M1446" s="6" t="b">
        <v>0</v>
      </c>
      <c r="N1446" s="6">
        <v>6</v>
      </c>
      <c r="O1446" s="8" t="s">
        <v>237</v>
      </c>
      <c r="P1446" s="8" t="s">
        <v>516</v>
      </c>
      <c r="Q1446" s="8" t="s">
        <v>239</v>
      </c>
      <c r="R1446" s="6">
        <v>7</v>
      </c>
      <c r="S1446" s="8" t="s">
        <v>341</v>
      </c>
      <c r="T1446" s="9"/>
      <c r="U1446" s="8" t="s">
        <v>240</v>
      </c>
      <c r="V1446" s="8" t="s">
        <v>240</v>
      </c>
      <c r="W1446" s="8" t="s">
        <v>240</v>
      </c>
      <c r="X1446" s="8" t="s">
        <v>240</v>
      </c>
      <c r="Y1446" s="8" t="s">
        <v>240</v>
      </c>
      <c r="Z1446" s="6" t="b">
        <v>0</v>
      </c>
      <c r="AA1446" s="9"/>
      <c r="AB1446" s="9"/>
    </row>
    <row r="1447" spans="1:28" ht="16">
      <c r="A1447" s="6">
        <v>1594</v>
      </c>
      <c r="B1447" s="8" t="s">
        <v>2315</v>
      </c>
      <c r="C1447" s="8" t="s">
        <v>2342</v>
      </c>
      <c r="D1447" s="8" t="s">
        <v>2412</v>
      </c>
      <c r="E1447" s="8" t="s">
        <v>2411</v>
      </c>
      <c r="F1447" s="6">
        <v>1593</v>
      </c>
      <c r="G1447" s="6" t="b">
        <v>0</v>
      </c>
      <c r="H1447" s="8" t="s">
        <v>240</v>
      </c>
      <c r="I1447" s="6" t="b">
        <v>0</v>
      </c>
      <c r="J1447" s="6" t="b">
        <v>0</v>
      </c>
      <c r="K1447" s="6" t="b">
        <v>0</v>
      </c>
      <c r="L1447" s="6" t="b">
        <v>0</v>
      </c>
      <c r="M1447" s="6" t="b">
        <v>0</v>
      </c>
      <c r="N1447" s="6">
        <v>6</v>
      </c>
      <c r="O1447" s="8" t="s">
        <v>237</v>
      </c>
      <c r="P1447" s="8" t="s">
        <v>516</v>
      </c>
      <c r="Q1447" s="8" t="s">
        <v>239</v>
      </c>
      <c r="R1447" s="6">
        <v>7</v>
      </c>
      <c r="S1447" s="8" t="s">
        <v>341</v>
      </c>
      <c r="T1447" s="9"/>
      <c r="U1447" s="8" t="s">
        <v>240</v>
      </c>
      <c r="V1447" s="8" t="s">
        <v>240</v>
      </c>
      <c r="W1447" s="8" t="s">
        <v>240</v>
      </c>
      <c r="X1447" s="8" t="s">
        <v>240</v>
      </c>
      <c r="Y1447" s="8" t="s">
        <v>2413</v>
      </c>
      <c r="Z1447" s="6" t="b">
        <v>0</v>
      </c>
      <c r="AA1447" s="9"/>
      <c r="AB1447" s="9"/>
    </row>
    <row r="1448" spans="1:28" ht="32">
      <c r="A1448" s="6">
        <v>1595</v>
      </c>
      <c r="B1448" s="8" t="s">
        <v>2315</v>
      </c>
      <c r="C1448" s="8" t="s">
        <v>2342</v>
      </c>
      <c r="D1448" s="8" t="s">
        <v>2414</v>
      </c>
      <c r="E1448" s="8" t="s">
        <v>2411</v>
      </c>
      <c r="F1448" s="6">
        <v>1593</v>
      </c>
      <c r="G1448" s="6" t="b">
        <v>0</v>
      </c>
      <c r="H1448" s="8" t="s">
        <v>240</v>
      </c>
      <c r="I1448" s="6" t="b">
        <v>0</v>
      </c>
      <c r="J1448" s="6" t="b">
        <v>0</v>
      </c>
      <c r="K1448" s="6" t="b">
        <v>0</v>
      </c>
      <c r="L1448" s="6" t="b">
        <v>0</v>
      </c>
      <c r="M1448" s="6" t="b">
        <v>0</v>
      </c>
      <c r="N1448" s="6">
        <v>6</v>
      </c>
      <c r="O1448" s="8" t="s">
        <v>237</v>
      </c>
      <c r="P1448" s="8" t="s">
        <v>350</v>
      </c>
      <c r="Q1448" s="8" t="s">
        <v>335</v>
      </c>
      <c r="R1448" s="6">
        <v>6</v>
      </c>
      <c r="S1448" s="8" t="s">
        <v>335</v>
      </c>
      <c r="T1448" s="6">
        <v>6</v>
      </c>
      <c r="U1448" s="8" t="s">
        <v>240</v>
      </c>
      <c r="V1448" s="8" t="s">
        <v>240</v>
      </c>
      <c r="W1448" s="8" t="s">
        <v>240</v>
      </c>
      <c r="X1448" s="8" t="s">
        <v>240</v>
      </c>
      <c r="Y1448" s="8" t="s">
        <v>2415</v>
      </c>
      <c r="Z1448" s="6" t="b">
        <v>0</v>
      </c>
      <c r="AA1448" s="9"/>
      <c r="AB1448" s="9"/>
    </row>
    <row r="1449" spans="1:28" ht="16">
      <c r="A1449" s="6">
        <v>1596</v>
      </c>
      <c r="B1449" s="8" t="s">
        <v>2315</v>
      </c>
      <c r="C1449" s="8" t="s">
        <v>2416</v>
      </c>
      <c r="D1449" s="8" t="s">
        <v>2417</v>
      </c>
      <c r="E1449" s="8" t="s">
        <v>2417</v>
      </c>
      <c r="F1449" s="6">
        <v>1596</v>
      </c>
      <c r="G1449" s="6" t="b">
        <v>0</v>
      </c>
      <c r="H1449" s="8" t="s">
        <v>240</v>
      </c>
      <c r="I1449" s="6" t="b">
        <v>0</v>
      </c>
      <c r="J1449" s="6" t="b">
        <v>0</v>
      </c>
      <c r="K1449" s="6" t="b">
        <v>0</v>
      </c>
      <c r="L1449" s="6" t="b">
        <v>0</v>
      </c>
      <c r="M1449" s="6" t="b">
        <v>0</v>
      </c>
      <c r="N1449" s="6">
        <v>4</v>
      </c>
      <c r="O1449" s="8" t="s">
        <v>237</v>
      </c>
      <c r="P1449" s="8" t="s">
        <v>516</v>
      </c>
      <c r="Q1449" s="8" t="s">
        <v>239</v>
      </c>
      <c r="R1449" s="6">
        <v>2</v>
      </c>
      <c r="S1449" s="8" t="s">
        <v>341</v>
      </c>
      <c r="T1449" s="9"/>
      <c r="U1449" s="8" t="s">
        <v>240</v>
      </c>
      <c r="V1449" s="8" t="s">
        <v>240</v>
      </c>
      <c r="W1449" s="8" t="s">
        <v>240</v>
      </c>
      <c r="X1449" s="8" t="s">
        <v>240</v>
      </c>
      <c r="Y1449" s="8" t="s">
        <v>2418</v>
      </c>
      <c r="Z1449" s="6" t="b">
        <v>0</v>
      </c>
      <c r="AA1449" s="9"/>
      <c r="AB1449" s="9"/>
    </row>
    <row r="1450" spans="1:28" ht="16">
      <c r="A1450" s="6">
        <v>1597</v>
      </c>
      <c r="B1450" s="8" t="s">
        <v>2315</v>
      </c>
      <c r="C1450" s="8" t="s">
        <v>2416</v>
      </c>
      <c r="D1450" s="8" t="s">
        <v>2419</v>
      </c>
      <c r="E1450" s="8" t="s">
        <v>2417</v>
      </c>
      <c r="F1450" s="6">
        <v>1596</v>
      </c>
      <c r="G1450" s="6" t="b">
        <v>0</v>
      </c>
      <c r="H1450" s="8" t="s">
        <v>240</v>
      </c>
      <c r="I1450" s="6" t="b">
        <v>0</v>
      </c>
      <c r="J1450" s="6" t="b">
        <v>0</v>
      </c>
      <c r="K1450" s="6" t="b">
        <v>0</v>
      </c>
      <c r="L1450" s="6" t="b">
        <v>0</v>
      </c>
      <c r="M1450" s="6" t="b">
        <v>0</v>
      </c>
      <c r="N1450" s="6">
        <v>4</v>
      </c>
      <c r="O1450" s="8" t="s">
        <v>237</v>
      </c>
      <c r="P1450" s="8" t="s">
        <v>516</v>
      </c>
      <c r="Q1450" s="8" t="s">
        <v>239</v>
      </c>
      <c r="R1450" s="6">
        <v>2</v>
      </c>
      <c r="S1450" s="8" t="s">
        <v>341</v>
      </c>
      <c r="T1450" s="9"/>
      <c r="U1450" s="8" t="s">
        <v>2420</v>
      </c>
      <c r="V1450" s="8" t="s">
        <v>240</v>
      </c>
      <c r="W1450" s="8" t="s">
        <v>240</v>
      </c>
      <c r="X1450" s="8" t="s">
        <v>240</v>
      </c>
      <c r="Y1450" s="8" t="s">
        <v>240</v>
      </c>
      <c r="Z1450" s="6" t="b">
        <v>0</v>
      </c>
      <c r="AA1450" s="9"/>
      <c r="AB1450" s="9"/>
    </row>
    <row r="1451" spans="1:28" ht="32">
      <c r="A1451" s="6">
        <v>1599</v>
      </c>
      <c r="B1451" s="8" t="s">
        <v>2315</v>
      </c>
      <c r="C1451" s="8" t="s">
        <v>2416</v>
      </c>
      <c r="D1451" s="8" t="s">
        <v>2421</v>
      </c>
      <c r="E1451" s="8" t="s">
        <v>2417</v>
      </c>
      <c r="F1451" s="6">
        <v>1596</v>
      </c>
      <c r="G1451" s="6" t="b">
        <v>0</v>
      </c>
      <c r="H1451" s="8" t="s">
        <v>240</v>
      </c>
      <c r="I1451" s="6" t="b">
        <v>0</v>
      </c>
      <c r="J1451" s="6" t="b">
        <v>0</v>
      </c>
      <c r="K1451" s="6" t="b">
        <v>0</v>
      </c>
      <c r="L1451" s="6" t="b">
        <v>0</v>
      </c>
      <c r="M1451" s="6" t="b">
        <v>0</v>
      </c>
      <c r="N1451" s="6">
        <v>4</v>
      </c>
      <c r="O1451" s="8" t="s">
        <v>237</v>
      </c>
      <c r="P1451" s="8" t="s">
        <v>516</v>
      </c>
      <c r="Q1451" s="8" t="s">
        <v>239</v>
      </c>
      <c r="R1451" s="6">
        <v>2</v>
      </c>
      <c r="S1451" s="8" t="s">
        <v>341</v>
      </c>
      <c r="T1451" s="9"/>
      <c r="U1451" s="8" t="s">
        <v>2420</v>
      </c>
      <c r="V1451" s="8" t="s">
        <v>240</v>
      </c>
      <c r="W1451" s="8" t="s">
        <v>240</v>
      </c>
      <c r="X1451" s="8" t="s">
        <v>240</v>
      </c>
      <c r="Y1451" s="8" t="s">
        <v>240</v>
      </c>
      <c r="Z1451" s="6" t="b">
        <v>0</v>
      </c>
      <c r="AA1451" s="9"/>
      <c r="AB1451" s="9"/>
    </row>
    <row r="1452" spans="1:28" ht="16">
      <c r="A1452" s="6">
        <v>1600</v>
      </c>
      <c r="B1452" s="8" t="s">
        <v>2315</v>
      </c>
      <c r="C1452" s="8" t="s">
        <v>2416</v>
      </c>
      <c r="D1452" s="8" t="s">
        <v>2422</v>
      </c>
      <c r="E1452" s="8" t="s">
        <v>2417</v>
      </c>
      <c r="F1452" s="6">
        <v>1596</v>
      </c>
      <c r="G1452" s="6" t="b">
        <v>0</v>
      </c>
      <c r="H1452" s="8" t="s">
        <v>240</v>
      </c>
      <c r="I1452" s="6" t="b">
        <v>0</v>
      </c>
      <c r="J1452" s="6" t="b">
        <v>0</v>
      </c>
      <c r="K1452" s="6" t="b">
        <v>0</v>
      </c>
      <c r="L1452" s="6" t="b">
        <v>0</v>
      </c>
      <c r="M1452" s="6" t="b">
        <v>0</v>
      </c>
      <c r="N1452" s="6">
        <v>4</v>
      </c>
      <c r="O1452" s="8" t="s">
        <v>237</v>
      </c>
      <c r="P1452" s="8" t="s">
        <v>516</v>
      </c>
      <c r="Q1452" s="8" t="s">
        <v>335</v>
      </c>
      <c r="R1452" s="6">
        <v>8</v>
      </c>
      <c r="S1452" s="8" t="s">
        <v>335</v>
      </c>
      <c r="T1452" s="6">
        <v>8</v>
      </c>
      <c r="U1452" s="8" t="s">
        <v>240</v>
      </c>
      <c r="V1452" s="8" t="s">
        <v>240</v>
      </c>
      <c r="W1452" s="8" t="s">
        <v>240</v>
      </c>
      <c r="X1452" s="8" t="s">
        <v>240</v>
      </c>
      <c r="Y1452" s="8" t="s">
        <v>2423</v>
      </c>
      <c r="Z1452" s="6" t="b">
        <v>0</v>
      </c>
      <c r="AA1452" s="9"/>
      <c r="AB1452" s="9"/>
    </row>
    <row r="1453" spans="1:28" ht="16">
      <c r="A1453" s="6">
        <v>1601</v>
      </c>
      <c r="B1453" s="8" t="s">
        <v>2315</v>
      </c>
      <c r="C1453" s="8" t="s">
        <v>2416</v>
      </c>
      <c r="D1453" s="8" t="s">
        <v>2416</v>
      </c>
      <c r="E1453" s="8" t="s">
        <v>2416</v>
      </c>
      <c r="F1453" s="6">
        <v>1601</v>
      </c>
      <c r="G1453" s="6" t="b">
        <v>0</v>
      </c>
      <c r="H1453" s="8" t="s">
        <v>240</v>
      </c>
      <c r="I1453" s="6" t="b">
        <v>0</v>
      </c>
      <c r="J1453" s="6" t="b">
        <v>0</v>
      </c>
      <c r="K1453" s="6" t="b">
        <v>0</v>
      </c>
      <c r="L1453" s="6" t="b">
        <v>0</v>
      </c>
      <c r="M1453" s="6" t="b">
        <v>0</v>
      </c>
      <c r="N1453" s="6">
        <v>4</v>
      </c>
      <c r="O1453" s="8" t="s">
        <v>237</v>
      </c>
      <c r="P1453" s="8" t="s">
        <v>516</v>
      </c>
      <c r="Q1453" s="8" t="s">
        <v>388</v>
      </c>
      <c r="R1453" s="6">
        <v>4</v>
      </c>
      <c r="S1453" s="8" t="s">
        <v>237</v>
      </c>
      <c r="T1453" s="6">
        <v>8</v>
      </c>
      <c r="U1453" s="8" t="s">
        <v>240</v>
      </c>
      <c r="V1453" s="8" t="s">
        <v>240</v>
      </c>
      <c r="W1453" s="8" t="s">
        <v>240</v>
      </c>
      <c r="X1453" s="8" t="s">
        <v>240</v>
      </c>
      <c r="Y1453" s="8" t="s">
        <v>240</v>
      </c>
      <c r="Z1453" s="6" t="b">
        <v>0</v>
      </c>
      <c r="AA1453" s="9"/>
      <c r="AB1453" s="9"/>
    </row>
    <row r="1454" spans="1:28" ht="16">
      <c r="A1454" s="6">
        <v>1602</v>
      </c>
      <c r="B1454" s="8" t="s">
        <v>2315</v>
      </c>
      <c r="C1454" s="8" t="s">
        <v>135</v>
      </c>
      <c r="D1454" s="8" t="s">
        <v>135</v>
      </c>
      <c r="E1454" s="8" t="s">
        <v>135</v>
      </c>
      <c r="F1454" s="6">
        <v>1602</v>
      </c>
      <c r="G1454" s="6" t="b">
        <v>0</v>
      </c>
      <c r="H1454" s="8" t="s">
        <v>240</v>
      </c>
      <c r="I1454" s="6" t="b">
        <v>0</v>
      </c>
      <c r="J1454" s="6" t="b">
        <v>0</v>
      </c>
      <c r="K1454" s="6" t="b">
        <v>0</v>
      </c>
      <c r="L1454" s="6" t="b">
        <v>0</v>
      </c>
      <c r="M1454" s="6" t="b">
        <v>0</v>
      </c>
      <c r="N1454" s="6">
        <v>6</v>
      </c>
      <c r="O1454" s="8" t="s">
        <v>237</v>
      </c>
      <c r="P1454" s="8" t="s">
        <v>516</v>
      </c>
      <c r="Q1454" s="8" t="s">
        <v>388</v>
      </c>
      <c r="R1454" s="6">
        <v>6</v>
      </c>
      <c r="S1454" s="8" t="s">
        <v>237</v>
      </c>
      <c r="T1454" s="9"/>
      <c r="U1454" s="8" t="s">
        <v>240</v>
      </c>
      <c r="V1454" s="8" t="s">
        <v>240</v>
      </c>
      <c r="W1454" s="8" t="s">
        <v>240</v>
      </c>
      <c r="X1454" s="8" t="s">
        <v>240</v>
      </c>
      <c r="Y1454" s="8" t="s">
        <v>240</v>
      </c>
      <c r="Z1454" s="6" t="b">
        <v>0</v>
      </c>
      <c r="AA1454" s="9"/>
      <c r="AB1454" s="9"/>
    </row>
    <row r="1455" spans="1:28" ht="16">
      <c r="A1455" s="6">
        <v>1603</v>
      </c>
      <c r="B1455" s="8" t="s">
        <v>2315</v>
      </c>
      <c r="C1455" s="8" t="s">
        <v>135</v>
      </c>
      <c r="D1455" s="8" t="s">
        <v>2424</v>
      </c>
      <c r="E1455" s="8" t="s">
        <v>2424</v>
      </c>
      <c r="F1455" s="6">
        <v>1603</v>
      </c>
      <c r="G1455" s="6" t="b">
        <v>0</v>
      </c>
      <c r="H1455" s="8" t="s">
        <v>240</v>
      </c>
      <c r="I1455" s="6" t="b">
        <v>0</v>
      </c>
      <c r="J1455" s="6" t="b">
        <v>0</v>
      </c>
      <c r="K1455" s="6" t="b">
        <v>0</v>
      </c>
      <c r="L1455" s="6" t="b">
        <v>0</v>
      </c>
      <c r="M1455" s="6" t="b">
        <v>0</v>
      </c>
      <c r="N1455" s="6">
        <v>6</v>
      </c>
      <c r="O1455" s="8" t="s">
        <v>237</v>
      </c>
      <c r="P1455" s="8" t="s">
        <v>516</v>
      </c>
      <c r="Q1455" s="8" t="s">
        <v>239</v>
      </c>
      <c r="R1455" s="6">
        <v>1</v>
      </c>
      <c r="S1455" s="8" t="s">
        <v>341</v>
      </c>
      <c r="T1455" s="9"/>
      <c r="U1455" s="8" t="s">
        <v>240</v>
      </c>
      <c r="V1455" s="8" t="s">
        <v>240</v>
      </c>
      <c r="W1455" s="8" t="s">
        <v>240</v>
      </c>
      <c r="X1455" s="8" t="s">
        <v>240</v>
      </c>
      <c r="Y1455" s="8" t="s">
        <v>240</v>
      </c>
      <c r="Z1455" s="6" t="b">
        <v>0</v>
      </c>
      <c r="AA1455" s="9"/>
      <c r="AB1455" s="9"/>
    </row>
    <row r="1456" spans="1:28" ht="16">
      <c r="A1456" s="6">
        <v>1604</v>
      </c>
      <c r="B1456" s="8" t="s">
        <v>2315</v>
      </c>
      <c r="C1456" s="8" t="s">
        <v>135</v>
      </c>
      <c r="D1456" s="8" t="s">
        <v>2425</v>
      </c>
      <c r="E1456" s="8" t="s">
        <v>2424</v>
      </c>
      <c r="F1456" s="6">
        <v>1603</v>
      </c>
      <c r="G1456" s="6" t="b">
        <v>0</v>
      </c>
      <c r="H1456" s="8" t="s">
        <v>240</v>
      </c>
      <c r="I1456" s="6" t="b">
        <v>0</v>
      </c>
      <c r="J1456" s="6" t="b">
        <v>0</v>
      </c>
      <c r="K1456" s="6" t="b">
        <v>0</v>
      </c>
      <c r="L1456" s="6" t="b">
        <v>0</v>
      </c>
      <c r="M1456" s="6" t="b">
        <v>0</v>
      </c>
      <c r="N1456" s="6">
        <v>6</v>
      </c>
      <c r="O1456" s="8" t="s">
        <v>237</v>
      </c>
      <c r="P1456" s="8" t="s">
        <v>516</v>
      </c>
      <c r="Q1456" s="8" t="s">
        <v>335</v>
      </c>
      <c r="R1456" s="6">
        <v>6</v>
      </c>
      <c r="S1456" s="8" t="s">
        <v>335</v>
      </c>
      <c r="T1456" s="6">
        <v>6</v>
      </c>
      <c r="U1456" s="8" t="s">
        <v>240</v>
      </c>
      <c r="V1456" s="8" t="s">
        <v>240</v>
      </c>
      <c r="W1456" s="8" t="s">
        <v>240</v>
      </c>
      <c r="X1456" s="8" t="s">
        <v>240</v>
      </c>
      <c r="Y1456" s="8" t="s">
        <v>240</v>
      </c>
      <c r="Z1456" s="6" t="b">
        <v>0</v>
      </c>
      <c r="AA1456" s="9"/>
      <c r="AB1456" s="9"/>
    </row>
    <row r="1457" spans="1:28" ht="16">
      <c r="A1457" s="6">
        <v>1605</v>
      </c>
      <c r="B1457" s="8" t="s">
        <v>2315</v>
      </c>
      <c r="C1457" s="8" t="s">
        <v>2426</v>
      </c>
      <c r="D1457" s="8" t="s">
        <v>2427</v>
      </c>
      <c r="E1457" s="8" t="s">
        <v>2427</v>
      </c>
      <c r="F1457" s="6">
        <v>1605</v>
      </c>
      <c r="G1457" s="6" t="b">
        <v>0</v>
      </c>
      <c r="H1457" s="8" t="s">
        <v>240</v>
      </c>
      <c r="I1457" s="6" t="b">
        <v>0</v>
      </c>
      <c r="J1457" s="6" t="b">
        <v>0</v>
      </c>
      <c r="K1457" s="6" t="b">
        <v>0</v>
      </c>
      <c r="L1457" s="6" t="b">
        <v>0</v>
      </c>
      <c r="M1457" s="6" t="b">
        <v>0</v>
      </c>
      <c r="N1457" s="6">
        <v>6</v>
      </c>
      <c r="O1457" s="8" t="s">
        <v>237</v>
      </c>
      <c r="P1457" s="8" t="s">
        <v>240</v>
      </c>
      <c r="Q1457" s="8" t="s">
        <v>240</v>
      </c>
      <c r="R1457" s="6">
        <v>6</v>
      </c>
      <c r="S1457" s="8" t="s">
        <v>75</v>
      </c>
      <c r="T1457" s="9"/>
      <c r="U1457" s="8" t="s">
        <v>240</v>
      </c>
      <c r="V1457" s="8" t="s">
        <v>240</v>
      </c>
      <c r="W1457" s="8" t="s">
        <v>240</v>
      </c>
      <c r="X1457" s="8" t="s">
        <v>240</v>
      </c>
      <c r="Y1457" s="8" t="s">
        <v>240</v>
      </c>
      <c r="Z1457" s="6" t="b">
        <v>0</v>
      </c>
      <c r="AA1457" s="9"/>
      <c r="AB1457" s="9"/>
    </row>
    <row r="1458" spans="1:28" ht="16">
      <c r="A1458" s="6">
        <v>1606</v>
      </c>
      <c r="B1458" s="8" t="s">
        <v>2315</v>
      </c>
      <c r="C1458" s="8" t="s">
        <v>2426</v>
      </c>
      <c r="D1458" s="8" t="s">
        <v>2428</v>
      </c>
      <c r="E1458" s="8" t="s">
        <v>2427</v>
      </c>
      <c r="F1458" s="6">
        <v>1605</v>
      </c>
      <c r="G1458" s="6" t="b">
        <v>0</v>
      </c>
      <c r="H1458" s="8" t="s">
        <v>240</v>
      </c>
      <c r="I1458" s="6" t="b">
        <v>0</v>
      </c>
      <c r="J1458" s="6" t="b">
        <v>0</v>
      </c>
      <c r="K1458" s="6" t="b">
        <v>0</v>
      </c>
      <c r="L1458" s="6" t="b">
        <v>0</v>
      </c>
      <c r="M1458" s="6" t="b">
        <v>0</v>
      </c>
      <c r="N1458" s="6">
        <v>6</v>
      </c>
      <c r="O1458" s="8" t="s">
        <v>237</v>
      </c>
      <c r="P1458" s="8" t="s">
        <v>240</v>
      </c>
      <c r="Q1458" s="8" t="s">
        <v>240</v>
      </c>
      <c r="R1458" s="6">
        <v>6</v>
      </c>
      <c r="S1458" s="8" t="s">
        <v>75</v>
      </c>
      <c r="T1458" s="9"/>
      <c r="U1458" s="8" t="s">
        <v>240</v>
      </c>
      <c r="V1458" s="8" t="s">
        <v>240</v>
      </c>
      <c r="W1458" s="8" t="s">
        <v>240</v>
      </c>
      <c r="X1458" s="8" t="s">
        <v>240</v>
      </c>
      <c r="Y1458" s="8" t="s">
        <v>240</v>
      </c>
      <c r="Z1458" s="6" t="b">
        <v>0</v>
      </c>
      <c r="AA1458" s="9"/>
      <c r="AB1458" s="9"/>
    </row>
    <row r="1459" spans="1:28" ht="16">
      <c r="A1459" s="6">
        <v>1607</v>
      </c>
      <c r="B1459" s="8" t="s">
        <v>2429</v>
      </c>
      <c r="C1459" s="8" t="s">
        <v>136</v>
      </c>
      <c r="D1459" s="8" t="s">
        <v>2430</v>
      </c>
      <c r="E1459" s="8" t="s">
        <v>2430</v>
      </c>
      <c r="F1459" s="6">
        <v>1607</v>
      </c>
      <c r="G1459" s="6" t="b">
        <v>0</v>
      </c>
      <c r="H1459" s="8" t="s">
        <v>240</v>
      </c>
      <c r="I1459" s="6" t="b">
        <v>0</v>
      </c>
      <c r="J1459" s="6" t="b">
        <v>0</v>
      </c>
      <c r="K1459" s="6" t="b">
        <v>0</v>
      </c>
      <c r="L1459" s="6" t="b">
        <v>0</v>
      </c>
      <c r="M1459" s="6" t="b">
        <v>0</v>
      </c>
      <c r="N1459" s="6">
        <v>8</v>
      </c>
      <c r="O1459" s="8" t="s">
        <v>237</v>
      </c>
      <c r="P1459" s="8" t="s">
        <v>255</v>
      </c>
      <c r="Q1459" s="8" t="s">
        <v>239</v>
      </c>
      <c r="R1459" s="6">
        <v>8</v>
      </c>
      <c r="S1459" s="8" t="s">
        <v>75</v>
      </c>
      <c r="T1459" s="9"/>
      <c r="U1459" s="8" t="s">
        <v>240</v>
      </c>
      <c r="V1459" s="8" t="s">
        <v>240</v>
      </c>
      <c r="W1459" s="8" t="s">
        <v>240</v>
      </c>
      <c r="X1459" s="8" t="s">
        <v>240</v>
      </c>
      <c r="Y1459" s="8" t="s">
        <v>2431</v>
      </c>
      <c r="Z1459" s="6" t="b">
        <v>0</v>
      </c>
      <c r="AA1459" s="9"/>
      <c r="AB1459" s="9"/>
    </row>
    <row r="1460" spans="1:28" ht="32">
      <c r="A1460" s="6">
        <v>1608</v>
      </c>
      <c r="B1460" s="8" t="s">
        <v>2429</v>
      </c>
      <c r="C1460" s="8" t="s">
        <v>136</v>
      </c>
      <c r="D1460" s="8" t="s">
        <v>2432</v>
      </c>
      <c r="E1460" s="8" t="s">
        <v>2430</v>
      </c>
      <c r="F1460" s="6">
        <v>1607</v>
      </c>
      <c r="G1460" s="6" t="b">
        <v>0</v>
      </c>
      <c r="H1460" s="8" t="s">
        <v>240</v>
      </c>
      <c r="I1460" s="6" t="b">
        <v>0</v>
      </c>
      <c r="J1460" s="6" t="b">
        <v>0</v>
      </c>
      <c r="K1460" s="6" t="b">
        <v>0</v>
      </c>
      <c r="L1460" s="6" t="b">
        <v>0</v>
      </c>
      <c r="M1460" s="6" t="b">
        <v>0</v>
      </c>
      <c r="N1460" s="6">
        <v>8</v>
      </c>
      <c r="O1460" s="8" t="s">
        <v>237</v>
      </c>
      <c r="P1460" s="8" t="s">
        <v>255</v>
      </c>
      <c r="Q1460" s="8" t="s">
        <v>239</v>
      </c>
      <c r="R1460" s="6">
        <v>8</v>
      </c>
      <c r="S1460" s="8" t="s">
        <v>75</v>
      </c>
      <c r="T1460" s="9"/>
      <c r="U1460" s="8" t="s">
        <v>240</v>
      </c>
      <c r="V1460" s="8" t="s">
        <v>240</v>
      </c>
      <c r="W1460" s="8" t="s">
        <v>240</v>
      </c>
      <c r="X1460" s="8" t="s">
        <v>240</v>
      </c>
      <c r="Y1460" s="8" t="s">
        <v>240</v>
      </c>
      <c r="Z1460" s="6" t="b">
        <v>0</v>
      </c>
      <c r="AA1460" s="9"/>
      <c r="AB1460" s="9"/>
    </row>
    <row r="1461" spans="1:28" ht="16">
      <c r="A1461" s="6">
        <v>1609</v>
      </c>
      <c r="B1461" s="8" t="s">
        <v>2429</v>
      </c>
      <c r="C1461" s="8" t="s">
        <v>136</v>
      </c>
      <c r="D1461" s="8" t="s">
        <v>2433</v>
      </c>
      <c r="E1461" s="8" t="s">
        <v>2433</v>
      </c>
      <c r="F1461" s="6">
        <v>1609</v>
      </c>
      <c r="G1461" s="6" t="b">
        <v>0</v>
      </c>
      <c r="H1461" s="8" t="s">
        <v>240</v>
      </c>
      <c r="I1461" s="6" t="b">
        <v>0</v>
      </c>
      <c r="J1461" s="6" t="b">
        <v>0</v>
      </c>
      <c r="K1461" s="6" t="b">
        <v>0</v>
      </c>
      <c r="L1461" s="6" t="b">
        <v>0</v>
      </c>
      <c r="M1461" s="6" t="b">
        <v>0</v>
      </c>
      <c r="N1461" s="6">
        <v>8</v>
      </c>
      <c r="O1461" s="8" t="s">
        <v>237</v>
      </c>
      <c r="P1461" s="8" t="s">
        <v>255</v>
      </c>
      <c r="Q1461" s="8" t="s">
        <v>239</v>
      </c>
      <c r="R1461" s="6">
        <v>3</v>
      </c>
      <c r="S1461" s="8" t="s">
        <v>341</v>
      </c>
      <c r="T1461" s="9"/>
      <c r="U1461" s="8" t="s">
        <v>240</v>
      </c>
      <c r="V1461" s="8" t="s">
        <v>240</v>
      </c>
      <c r="W1461" s="8" t="s">
        <v>483</v>
      </c>
      <c r="X1461" s="8" t="s">
        <v>240</v>
      </c>
      <c r="Y1461" s="8" t="s">
        <v>240</v>
      </c>
      <c r="Z1461" s="6" t="b">
        <v>0</v>
      </c>
      <c r="AA1461" s="9"/>
      <c r="AB1461" s="9"/>
    </row>
    <row r="1462" spans="1:28" ht="16">
      <c r="A1462" s="6">
        <v>1610</v>
      </c>
      <c r="B1462" s="8" t="s">
        <v>2429</v>
      </c>
      <c r="C1462" s="8" t="s">
        <v>136</v>
      </c>
      <c r="D1462" s="8" t="s">
        <v>2434</v>
      </c>
      <c r="E1462" s="8" t="s">
        <v>2433</v>
      </c>
      <c r="F1462" s="6">
        <v>1609</v>
      </c>
      <c r="G1462" s="6" t="b">
        <v>0</v>
      </c>
      <c r="H1462" s="8" t="s">
        <v>240</v>
      </c>
      <c r="I1462" s="6" t="b">
        <v>0</v>
      </c>
      <c r="J1462" s="6" t="b">
        <v>0</v>
      </c>
      <c r="K1462" s="6" t="b">
        <v>0</v>
      </c>
      <c r="L1462" s="6" t="b">
        <v>0</v>
      </c>
      <c r="M1462" s="6" t="b">
        <v>0</v>
      </c>
      <c r="N1462" s="6">
        <v>8</v>
      </c>
      <c r="O1462" s="8" t="s">
        <v>237</v>
      </c>
      <c r="P1462" s="8" t="s">
        <v>255</v>
      </c>
      <c r="Q1462" s="8" t="s">
        <v>335</v>
      </c>
      <c r="R1462" s="6">
        <v>6</v>
      </c>
      <c r="S1462" s="8" t="s">
        <v>335</v>
      </c>
      <c r="T1462" s="6">
        <v>6</v>
      </c>
      <c r="U1462" s="8" t="s">
        <v>240</v>
      </c>
      <c r="V1462" s="8" t="s">
        <v>240</v>
      </c>
      <c r="W1462" s="8" t="s">
        <v>483</v>
      </c>
      <c r="X1462" s="8" t="s">
        <v>240</v>
      </c>
      <c r="Y1462" s="8" t="s">
        <v>240</v>
      </c>
      <c r="Z1462" s="6" t="b">
        <v>0</v>
      </c>
      <c r="AA1462" s="9"/>
      <c r="AB1462" s="9"/>
    </row>
    <row r="1463" spans="1:28" ht="16">
      <c r="A1463" s="6">
        <v>1611</v>
      </c>
      <c r="B1463" s="8" t="s">
        <v>2429</v>
      </c>
      <c r="C1463" s="8" t="s">
        <v>136</v>
      </c>
      <c r="D1463" s="8" t="s">
        <v>2435</v>
      </c>
      <c r="E1463" s="8" t="s">
        <v>2433</v>
      </c>
      <c r="F1463" s="6">
        <v>1609</v>
      </c>
      <c r="G1463" s="6" t="b">
        <v>0</v>
      </c>
      <c r="H1463" s="8" t="s">
        <v>240</v>
      </c>
      <c r="I1463" s="6" t="b">
        <v>0</v>
      </c>
      <c r="J1463" s="6" t="b">
        <v>0</v>
      </c>
      <c r="K1463" s="6" t="b">
        <v>0</v>
      </c>
      <c r="L1463" s="6" t="b">
        <v>0</v>
      </c>
      <c r="M1463" s="6" t="b">
        <v>0</v>
      </c>
      <c r="N1463" s="6">
        <v>8</v>
      </c>
      <c r="O1463" s="8" t="s">
        <v>237</v>
      </c>
      <c r="P1463" s="8" t="s">
        <v>255</v>
      </c>
      <c r="Q1463" s="8" t="s">
        <v>335</v>
      </c>
      <c r="R1463" s="6">
        <v>6</v>
      </c>
      <c r="S1463" s="8" t="s">
        <v>335</v>
      </c>
      <c r="T1463" s="6">
        <v>6</v>
      </c>
      <c r="U1463" s="8" t="s">
        <v>240</v>
      </c>
      <c r="V1463" s="8" t="s">
        <v>240</v>
      </c>
      <c r="W1463" s="8" t="s">
        <v>483</v>
      </c>
      <c r="X1463" s="8" t="s">
        <v>240</v>
      </c>
      <c r="Y1463" s="8" t="s">
        <v>240</v>
      </c>
      <c r="Z1463" s="6" t="b">
        <v>0</v>
      </c>
      <c r="AA1463" s="9"/>
      <c r="AB1463" s="9"/>
    </row>
    <row r="1464" spans="1:28" ht="16">
      <c r="A1464" s="6">
        <v>1612</v>
      </c>
      <c r="B1464" s="8" t="s">
        <v>2429</v>
      </c>
      <c r="C1464" s="8" t="s">
        <v>92</v>
      </c>
      <c r="D1464" s="8" t="s">
        <v>2436</v>
      </c>
      <c r="E1464" s="8" t="s">
        <v>2436</v>
      </c>
      <c r="F1464" s="6">
        <v>1612</v>
      </c>
      <c r="G1464" s="6" t="b">
        <v>0</v>
      </c>
      <c r="H1464" s="8" t="s">
        <v>240</v>
      </c>
      <c r="I1464" s="6" t="b">
        <v>0</v>
      </c>
      <c r="J1464" s="6" t="b">
        <v>0</v>
      </c>
      <c r="K1464" s="6" t="b">
        <v>0</v>
      </c>
      <c r="L1464" s="6" t="b">
        <v>0</v>
      </c>
      <c r="M1464" s="6" t="b">
        <v>0</v>
      </c>
      <c r="N1464" s="6">
        <v>8</v>
      </c>
      <c r="O1464" s="8" t="s">
        <v>237</v>
      </c>
      <c r="P1464" s="8" t="s">
        <v>255</v>
      </c>
      <c r="Q1464" s="8" t="s">
        <v>388</v>
      </c>
      <c r="R1464" s="6">
        <v>4</v>
      </c>
      <c r="S1464" s="8" t="s">
        <v>341</v>
      </c>
      <c r="T1464" s="9"/>
      <c r="U1464" s="8" t="s">
        <v>240</v>
      </c>
      <c r="V1464" s="8" t="s">
        <v>240</v>
      </c>
      <c r="W1464" s="8" t="s">
        <v>240</v>
      </c>
      <c r="X1464" s="8" t="s">
        <v>240</v>
      </c>
      <c r="Y1464" s="8" t="s">
        <v>2437</v>
      </c>
      <c r="Z1464" s="6" t="b">
        <v>0</v>
      </c>
      <c r="AA1464" s="9"/>
      <c r="AB1464" s="9"/>
    </row>
    <row r="1465" spans="1:28" ht="32">
      <c r="A1465" s="6">
        <v>1613</v>
      </c>
      <c r="B1465" s="8" t="s">
        <v>2429</v>
      </c>
      <c r="C1465" s="8" t="s">
        <v>92</v>
      </c>
      <c r="D1465" s="8" t="s">
        <v>2438</v>
      </c>
      <c r="E1465" s="8" t="s">
        <v>2436</v>
      </c>
      <c r="F1465" s="6">
        <v>1612</v>
      </c>
      <c r="G1465" s="6" t="b">
        <v>0</v>
      </c>
      <c r="H1465" s="8" t="s">
        <v>240</v>
      </c>
      <c r="I1465" s="6" t="b">
        <v>0</v>
      </c>
      <c r="J1465" s="6" t="b">
        <v>0</v>
      </c>
      <c r="K1465" s="6" t="b">
        <v>0</v>
      </c>
      <c r="L1465" s="6" t="b">
        <v>0</v>
      </c>
      <c r="M1465" s="6" t="b">
        <v>0</v>
      </c>
      <c r="N1465" s="6">
        <v>8</v>
      </c>
      <c r="O1465" s="8" t="s">
        <v>237</v>
      </c>
      <c r="P1465" s="8" t="s">
        <v>255</v>
      </c>
      <c r="Q1465" s="8" t="s">
        <v>388</v>
      </c>
      <c r="R1465" s="6">
        <v>4</v>
      </c>
      <c r="S1465" s="8" t="s">
        <v>341</v>
      </c>
      <c r="T1465" s="6">
        <v>6</v>
      </c>
      <c r="U1465" s="8" t="s">
        <v>240</v>
      </c>
      <c r="V1465" s="8" t="s">
        <v>240</v>
      </c>
      <c r="W1465" s="8" t="s">
        <v>240</v>
      </c>
      <c r="X1465" s="8" t="s">
        <v>240</v>
      </c>
      <c r="Y1465" s="8" t="s">
        <v>240</v>
      </c>
      <c r="Z1465" s="6" t="b">
        <v>0</v>
      </c>
      <c r="AA1465" s="9"/>
      <c r="AB1465" s="9"/>
    </row>
    <row r="1466" spans="1:28" ht="16">
      <c r="A1466" s="6">
        <v>1614</v>
      </c>
      <c r="B1466" s="8" t="s">
        <v>2429</v>
      </c>
      <c r="C1466" s="8" t="s">
        <v>92</v>
      </c>
      <c r="D1466" s="8" t="s">
        <v>92</v>
      </c>
      <c r="E1466" s="8" t="s">
        <v>92</v>
      </c>
      <c r="F1466" s="6">
        <v>1614</v>
      </c>
      <c r="G1466" s="6" t="b">
        <v>0</v>
      </c>
      <c r="H1466" s="8" t="s">
        <v>240</v>
      </c>
      <c r="I1466" s="6" t="b">
        <v>0</v>
      </c>
      <c r="J1466" s="6" t="b">
        <v>0</v>
      </c>
      <c r="K1466" s="6" t="b">
        <v>0</v>
      </c>
      <c r="L1466" s="6" t="b">
        <v>0</v>
      </c>
      <c r="M1466" s="6" t="b">
        <v>0</v>
      </c>
      <c r="N1466" s="6">
        <v>8</v>
      </c>
      <c r="O1466" s="8" t="s">
        <v>237</v>
      </c>
      <c r="P1466" s="8" t="s">
        <v>240</v>
      </c>
      <c r="Q1466" s="8" t="s">
        <v>240</v>
      </c>
      <c r="R1466" s="6">
        <v>8</v>
      </c>
      <c r="S1466" s="8" t="s">
        <v>75</v>
      </c>
      <c r="T1466" s="9"/>
      <c r="U1466" s="8" t="s">
        <v>240</v>
      </c>
      <c r="V1466" s="8" t="s">
        <v>240</v>
      </c>
      <c r="W1466" s="8" t="s">
        <v>240</v>
      </c>
      <c r="X1466" s="8" t="s">
        <v>240</v>
      </c>
      <c r="Y1466" s="8" t="s">
        <v>240</v>
      </c>
      <c r="Z1466" s="6" t="b">
        <v>0</v>
      </c>
      <c r="AA1466" s="9"/>
      <c r="AB1466" s="9"/>
    </row>
    <row r="1467" spans="1:28" ht="16">
      <c r="A1467" s="6">
        <v>1615</v>
      </c>
      <c r="B1467" s="8" t="s">
        <v>2429</v>
      </c>
      <c r="C1467" s="8" t="s">
        <v>136</v>
      </c>
      <c r="D1467" s="8" t="s">
        <v>2439</v>
      </c>
      <c r="E1467" s="8" t="s">
        <v>2439</v>
      </c>
      <c r="F1467" s="6">
        <v>1615</v>
      </c>
      <c r="G1467" s="6" t="b">
        <v>0</v>
      </c>
      <c r="H1467" s="8" t="s">
        <v>240</v>
      </c>
      <c r="I1467" s="6" t="b">
        <v>0</v>
      </c>
      <c r="J1467" s="6" t="b">
        <v>0</v>
      </c>
      <c r="K1467" s="6" t="b">
        <v>0</v>
      </c>
      <c r="L1467" s="6" t="b">
        <v>0</v>
      </c>
      <c r="M1467" s="6" t="b">
        <v>0</v>
      </c>
      <c r="N1467" s="6">
        <v>8</v>
      </c>
      <c r="O1467" s="8" t="s">
        <v>237</v>
      </c>
      <c r="P1467" s="8" t="s">
        <v>255</v>
      </c>
      <c r="Q1467" s="8" t="s">
        <v>239</v>
      </c>
      <c r="R1467" s="6">
        <v>2</v>
      </c>
      <c r="S1467" s="8" t="s">
        <v>341</v>
      </c>
      <c r="T1467" s="9"/>
      <c r="U1467" s="8" t="s">
        <v>240</v>
      </c>
      <c r="V1467" s="8" t="s">
        <v>240</v>
      </c>
      <c r="W1467" s="8" t="s">
        <v>240</v>
      </c>
      <c r="X1467" s="8" t="s">
        <v>240</v>
      </c>
      <c r="Y1467" s="8" t="s">
        <v>240</v>
      </c>
      <c r="Z1467" s="6" t="b">
        <v>0</v>
      </c>
      <c r="AA1467" s="9"/>
      <c r="AB1467" s="9"/>
    </row>
    <row r="1468" spans="1:28" ht="16">
      <c r="A1468" s="6">
        <v>1616</v>
      </c>
      <c r="B1468" s="8" t="s">
        <v>2429</v>
      </c>
      <c r="C1468" s="8" t="s">
        <v>136</v>
      </c>
      <c r="D1468" s="8" t="s">
        <v>2440</v>
      </c>
      <c r="E1468" s="8" t="s">
        <v>2439</v>
      </c>
      <c r="F1468" s="6">
        <v>1615</v>
      </c>
      <c r="G1468" s="6" t="b">
        <v>0</v>
      </c>
      <c r="H1468" s="8" t="s">
        <v>240</v>
      </c>
      <c r="I1468" s="6" t="b">
        <v>0</v>
      </c>
      <c r="J1468" s="6" t="b">
        <v>0</v>
      </c>
      <c r="K1468" s="6" t="b">
        <v>0</v>
      </c>
      <c r="L1468" s="6" t="b">
        <v>0</v>
      </c>
      <c r="M1468" s="6" t="b">
        <v>0</v>
      </c>
      <c r="N1468" s="6">
        <v>8</v>
      </c>
      <c r="O1468" s="8" t="s">
        <v>237</v>
      </c>
      <c r="P1468" s="8" t="s">
        <v>255</v>
      </c>
      <c r="Q1468" s="8" t="s">
        <v>335</v>
      </c>
      <c r="R1468" s="6">
        <v>5.4</v>
      </c>
      <c r="S1468" s="8" t="s">
        <v>247</v>
      </c>
      <c r="T1468" s="6">
        <v>8</v>
      </c>
      <c r="U1468" s="8" t="s">
        <v>240</v>
      </c>
      <c r="V1468" s="8" t="s">
        <v>240</v>
      </c>
      <c r="W1468" s="8" t="s">
        <v>240</v>
      </c>
      <c r="X1468" s="8" t="s">
        <v>240</v>
      </c>
      <c r="Y1468" s="8" t="s">
        <v>240</v>
      </c>
      <c r="Z1468" s="6" t="b">
        <v>0</v>
      </c>
      <c r="AA1468" s="9"/>
      <c r="AB1468" s="9"/>
    </row>
    <row r="1469" spans="1:28" ht="16">
      <c r="A1469" s="6">
        <v>1617</v>
      </c>
      <c r="B1469" s="8" t="s">
        <v>2429</v>
      </c>
      <c r="C1469" s="8" t="s">
        <v>93</v>
      </c>
      <c r="D1469" s="8" t="s">
        <v>2441</v>
      </c>
      <c r="E1469" s="8" t="s">
        <v>2441</v>
      </c>
      <c r="F1469" s="6">
        <v>1617</v>
      </c>
      <c r="G1469" s="6" t="b">
        <v>0</v>
      </c>
      <c r="H1469" s="8" t="s">
        <v>240</v>
      </c>
      <c r="I1469" s="6" t="b">
        <v>0</v>
      </c>
      <c r="J1469" s="6" t="b">
        <v>0</v>
      </c>
      <c r="K1469" s="6" t="b">
        <v>0</v>
      </c>
      <c r="L1469" s="6" t="b">
        <v>0</v>
      </c>
      <c r="M1469" s="6" t="b">
        <v>0</v>
      </c>
      <c r="N1469" s="6">
        <v>8</v>
      </c>
      <c r="O1469" s="8" t="s">
        <v>331</v>
      </c>
      <c r="P1469" s="8" t="s">
        <v>255</v>
      </c>
      <c r="Q1469" s="8" t="s">
        <v>239</v>
      </c>
      <c r="R1469" s="6">
        <v>5</v>
      </c>
      <c r="S1469" s="8" t="s">
        <v>341</v>
      </c>
      <c r="T1469" s="6">
        <v>6</v>
      </c>
      <c r="U1469" s="8" t="s">
        <v>240</v>
      </c>
      <c r="V1469" s="8" t="s">
        <v>240</v>
      </c>
      <c r="W1469" s="8" t="s">
        <v>240</v>
      </c>
      <c r="X1469" s="8" t="s">
        <v>240</v>
      </c>
      <c r="Y1469" s="8" t="s">
        <v>2442</v>
      </c>
      <c r="Z1469" s="6" t="b">
        <v>0</v>
      </c>
      <c r="AA1469" s="9"/>
      <c r="AB1469" s="9"/>
    </row>
    <row r="1470" spans="1:28" ht="32">
      <c r="A1470" s="6">
        <v>1618</v>
      </c>
      <c r="B1470" s="8" t="s">
        <v>2429</v>
      </c>
      <c r="C1470" s="8" t="s">
        <v>93</v>
      </c>
      <c r="D1470" s="8" t="s">
        <v>2443</v>
      </c>
      <c r="E1470" s="8" t="s">
        <v>2441</v>
      </c>
      <c r="F1470" s="6">
        <v>1617</v>
      </c>
      <c r="G1470" s="6" t="b">
        <v>0</v>
      </c>
      <c r="H1470" s="8" t="s">
        <v>240</v>
      </c>
      <c r="I1470" s="6" t="b">
        <v>0</v>
      </c>
      <c r="J1470" s="6" t="b">
        <v>0</v>
      </c>
      <c r="K1470" s="6" t="b">
        <v>0</v>
      </c>
      <c r="L1470" s="6" t="b">
        <v>0</v>
      </c>
      <c r="M1470" s="6" t="b">
        <v>0</v>
      </c>
      <c r="N1470" s="6">
        <v>8</v>
      </c>
      <c r="O1470" s="8" t="s">
        <v>331</v>
      </c>
      <c r="P1470" s="8" t="s">
        <v>255</v>
      </c>
      <c r="Q1470" s="8" t="s">
        <v>239</v>
      </c>
      <c r="R1470" s="6">
        <v>5</v>
      </c>
      <c r="S1470" s="8" t="s">
        <v>341</v>
      </c>
      <c r="T1470" s="6">
        <v>6</v>
      </c>
      <c r="U1470" s="8" t="s">
        <v>2444</v>
      </c>
      <c r="V1470" s="8" t="s">
        <v>240</v>
      </c>
      <c r="W1470" s="8" t="s">
        <v>240</v>
      </c>
      <c r="X1470" s="8" t="s">
        <v>240</v>
      </c>
      <c r="Y1470" s="8" t="s">
        <v>240</v>
      </c>
      <c r="Z1470" s="6" t="b">
        <v>0</v>
      </c>
      <c r="AA1470" s="9"/>
      <c r="AB1470" s="9"/>
    </row>
    <row r="1471" spans="1:28" ht="16">
      <c r="A1471" s="6">
        <v>1619</v>
      </c>
      <c r="B1471" s="8" t="s">
        <v>2429</v>
      </c>
      <c r="C1471" s="8" t="s">
        <v>93</v>
      </c>
      <c r="D1471" s="8" t="s">
        <v>2445</v>
      </c>
      <c r="E1471" s="8" t="s">
        <v>2441</v>
      </c>
      <c r="F1471" s="6">
        <v>1617</v>
      </c>
      <c r="G1471" s="6" t="b">
        <v>0</v>
      </c>
      <c r="H1471" s="8" t="s">
        <v>240</v>
      </c>
      <c r="I1471" s="6" t="b">
        <v>0</v>
      </c>
      <c r="J1471" s="6" t="b">
        <v>0</v>
      </c>
      <c r="K1471" s="6" t="b">
        <v>0</v>
      </c>
      <c r="L1471" s="6" t="b">
        <v>0</v>
      </c>
      <c r="M1471" s="6" t="b">
        <v>0</v>
      </c>
      <c r="N1471" s="6">
        <v>8</v>
      </c>
      <c r="O1471" s="8" t="s">
        <v>331</v>
      </c>
      <c r="P1471" s="8" t="s">
        <v>255</v>
      </c>
      <c r="Q1471" s="8" t="s">
        <v>239</v>
      </c>
      <c r="R1471" s="6">
        <v>5</v>
      </c>
      <c r="S1471" s="8" t="s">
        <v>341</v>
      </c>
      <c r="T1471" s="9"/>
      <c r="U1471" s="8" t="s">
        <v>2446</v>
      </c>
      <c r="V1471" s="8" t="s">
        <v>240</v>
      </c>
      <c r="W1471" s="8" t="s">
        <v>240</v>
      </c>
      <c r="X1471" s="8" t="s">
        <v>240</v>
      </c>
      <c r="Y1471" s="8" t="s">
        <v>240</v>
      </c>
      <c r="Z1471" s="6" t="b">
        <v>0</v>
      </c>
      <c r="AA1471" s="9"/>
      <c r="AB1471" s="9"/>
    </row>
    <row r="1472" spans="1:28" ht="32">
      <c r="A1472" s="6">
        <v>1620</v>
      </c>
      <c r="B1472" s="8" t="s">
        <v>2429</v>
      </c>
      <c r="C1472" s="8" t="s">
        <v>93</v>
      </c>
      <c r="D1472" s="8" t="s">
        <v>2447</v>
      </c>
      <c r="E1472" s="8" t="s">
        <v>2441</v>
      </c>
      <c r="F1472" s="6">
        <v>1617</v>
      </c>
      <c r="G1472" s="6" t="b">
        <v>0</v>
      </c>
      <c r="H1472" s="8" t="s">
        <v>240</v>
      </c>
      <c r="I1472" s="6" t="b">
        <v>0</v>
      </c>
      <c r="J1472" s="6" t="b">
        <v>0</v>
      </c>
      <c r="K1472" s="6" t="b">
        <v>0</v>
      </c>
      <c r="L1472" s="6" t="b">
        <v>0</v>
      </c>
      <c r="M1472" s="6" t="b">
        <v>0</v>
      </c>
      <c r="N1472" s="6">
        <v>8</v>
      </c>
      <c r="O1472" s="8" t="s">
        <v>331</v>
      </c>
      <c r="P1472" s="8" t="s">
        <v>255</v>
      </c>
      <c r="Q1472" s="8" t="s">
        <v>239</v>
      </c>
      <c r="R1472" s="6">
        <v>8</v>
      </c>
      <c r="S1472" s="8" t="s">
        <v>335</v>
      </c>
      <c r="T1472" s="6">
        <v>6</v>
      </c>
      <c r="U1472" s="8" t="s">
        <v>2448</v>
      </c>
      <c r="V1472" s="8" t="s">
        <v>240</v>
      </c>
      <c r="W1472" s="8" t="s">
        <v>240</v>
      </c>
      <c r="X1472" s="8" t="s">
        <v>240</v>
      </c>
      <c r="Y1472" s="8" t="s">
        <v>240</v>
      </c>
      <c r="Z1472" s="6" t="b">
        <v>0</v>
      </c>
      <c r="AA1472" s="9"/>
      <c r="AB1472" s="9"/>
    </row>
    <row r="1473" spans="1:28" ht="32">
      <c r="A1473" s="6">
        <v>1621</v>
      </c>
      <c r="B1473" s="8" t="s">
        <v>2429</v>
      </c>
      <c r="C1473" s="8" t="s">
        <v>93</v>
      </c>
      <c r="D1473" s="8" t="s">
        <v>2449</v>
      </c>
      <c r="E1473" s="8" t="s">
        <v>2449</v>
      </c>
      <c r="F1473" s="6">
        <v>1621</v>
      </c>
      <c r="G1473" s="6" t="b">
        <v>0</v>
      </c>
      <c r="H1473" s="8" t="s">
        <v>240</v>
      </c>
      <c r="I1473" s="6" t="b">
        <v>0</v>
      </c>
      <c r="J1473" s="6" t="b">
        <v>0</v>
      </c>
      <c r="K1473" s="6" t="b">
        <v>0</v>
      </c>
      <c r="L1473" s="6" t="b">
        <v>0</v>
      </c>
      <c r="M1473" s="6" t="b">
        <v>0</v>
      </c>
      <c r="N1473" s="6">
        <v>8</v>
      </c>
      <c r="O1473" s="8" t="s">
        <v>331</v>
      </c>
      <c r="P1473" s="8" t="s">
        <v>255</v>
      </c>
      <c r="Q1473" s="8" t="s">
        <v>481</v>
      </c>
      <c r="R1473" s="6">
        <v>6.8</v>
      </c>
      <c r="S1473" s="8" t="s">
        <v>247</v>
      </c>
      <c r="T1473" s="6">
        <v>6</v>
      </c>
      <c r="U1473" s="8" t="s">
        <v>240</v>
      </c>
      <c r="V1473" s="8" t="s">
        <v>240</v>
      </c>
      <c r="W1473" s="8" t="s">
        <v>240</v>
      </c>
      <c r="X1473" s="8" t="s">
        <v>240</v>
      </c>
      <c r="Y1473" s="8" t="s">
        <v>2450</v>
      </c>
      <c r="Z1473" s="6" t="b">
        <v>0</v>
      </c>
      <c r="AA1473" s="9"/>
      <c r="AB1473" s="9"/>
    </row>
    <row r="1474" spans="1:28" ht="32">
      <c r="A1474" s="6">
        <v>1622</v>
      </c>
      <c r="B1474" s="8" t="s">
        <v>2429</v>
      </c>
      <c r="C1474" s="8" t="s">
        <v>93</v>
      </c>
      <c r="D1474" s="8" t="s">
        <v>2451</v>
      </c>
      <c r="E1474" s="8" t="s">
        <v>2449</v>
      </c>
      <c r="F1474" s="6">
        <v>1621</v>
      </c>
      <c r="G1474" s="6" t="b">
        <v>0</v>
      </c>
      <c r="H1474" s="8" t="s">
        <v>240</v>
      </c>
      <c r="I1474" s="6" t="b">
        <v>0</v>
      </c>
      <c r="J1474" s="6" t="b">
        <v>0</v>
      </c>
      <c r="K1474" s="6" t="b">
        <v>0</v>
      </c>
      <c r="L1474" s="6" t="b">
        <v>0</v>
      </c>
      <c r="M1474" s="6" t="b">
        <v>0</v>
      </c>
      <c r="N1474" s="6">
        <v>8</v>
      </c>
      <c r="O1474" s="8" t="s">
        <v>331</v>
      </c>
      <c r="P1474" s="8" t="s">
        <v>255</v>
      </c>
      <c r="Q1474" s="8" t="s">
        <v>335</v>
      </c>
      <c r="R1474" s="6">
        <v>8</v>
      </c>
      <c r="S1474" s="8" t="s">
        <v>75</v>
      </c>
      <c r="T1474" s="6">
        <v>6</v>
      </c>
      <c r="U1474" s="8" t="s">
        <v>240</v>
      </c>
      <c r="V1474" s="8" t="s">
        <v>240</v>
      </c>
      <c r="W1474" s="8" t="s">
        <v>240</v>
      </c>
      <c r="X1474" s="8" t="s">
        <v>240</v>
      </c>
      <c r="Y1474" s="8" t="s">
        <v>240</v>
      </c>
      <c r="Z1474" s="6" t="b">
        <v>0</v>
      </c>
      <c r="AA1474" s="9"/>
      <c r="AB1474" s="9"/>
    </row>
    <row r="1475" spans="1:28" ht="32">
      <c r="A1475" s="6">
        <v>1623</v>
      </c>
      <c r="B1475" s="8" t="s">
        <v>2429</v>
      </c>
      <c r="C1475" s="8" t="s">
        <v>93</v>
      </c>
      <c r="D1475" s="8" t="s">
        <v>2452</v>
      </c>
      <c r="E1475" s="8" t="s">
        <v>2449</v>
      </c>
      <c r="F1475" s="6">
        <v>1621</v>
      </c>
      <c r="G1475" s="6" t="b">
        <v>0</v>
      </c>
      <c r="H1475" s="8" t="s">
        <v>240</v>
      </c>
      <c r="I1475" s="6" t="b">
        <v>0</v>
      </c>
      <c r="J1475" s="6" t="b">
        <v>0</v>
      </c>
      <c r="K1475" s="6" t="b">
        <v>0</v>
      </c>
      <c r="L1475" s="6" t="b">
        <v>0</v>
      </c>
      <c r="M1475" s="6" t="b">
        <v>0</v>
      </c>
      <c r="N1475" s="6">
        <v>8</v>
      </c>
      <c r="O1475" s="8" t="s">
        <v>331</v>
      </c>
      <c r="P1475" s="8" t="s">
        <v>255</v>
      </c>
      <c r="Q1475" s="8" t="s">
        <v>335</v>
      </c>
      <c r="R1475" s="6">
        <v>8</v>
      </c>
      <c r="S1475" s="8" t="s">
        <v>75</v>
      </c>
      <c r="T1475" s="6">
        <v>6</v>
      </c>
      <c r="U1475" s="8" t="s">
        <v>240</v>
      </c>
      <c r="V1475" s="8" t="s">
        <v>240</v>
      </c>
      <c r="W1475" s="8" t="s">
        <v>240</v>
      </c>
      <c r="X1475" s="8" t="s">
        <v>240</v>
      </c>
      <c r="Y1475" s="8" t="s">
        <v>240</v>
      </c>
      <c r="Z1475" s="6" t="b">
        <v>0</v>
      </c>
      <c r="AA1475" s="9"/>
      <c r="AB1475" s="9"/>
    </row>
    <row r="1476" spans="1:28" ht="32">
      <c r="A1476" s="6">
        <v>1624</v>
      </c>
      <c r="B1476" s="8" t="s">
        <v>2429</v>
      </c>
      <c r="C1476" s="8" t="s">
        <v>93</v>
      </c>
      <c r="D1476" s="8" t="s">
        <v>2453</v>
      </c>
      <c r="E1476" s="8" t="s">
        <v>2449</v>
      </c>
      <c r="F1476" s="6">
        <v>1621</v>
      </c>
      <c r="G1476" s="6" t="b">
        <v>0</v>
      </c>
      <c r="H1476" s="8" t="s">
        <v>240</v>
      </c>
      <c r="I1476" s="6" t="b">
        <v>0</v>
      </c>
      <c r="J1476" s="6" t="b">
        <v>0</v>
      </c>
      <c r="K1476" s="6" t="b">
        <v>0</v>
      </c>
      <c r="L1476" s="6" t="b">
        <v>0</v>
      </c>
      <c r="M1476" s="6" t="b">
        <v>0</v>
      </c>
      <c r="N1476" s="6">
        <v>8</v>
      </c>
      <c r="O1476" s="8" t="s">
        <v>331</v>
      </c>
      <c r="P1476" s="8" t="s">
        <v>255</v>
      </c>
      <c r="Q1476" s="8" t="s">
        <v>481</v>
      </c>
      <c r="R1476" s="6">
        <v>8</v>
      </c>
      <c r="S1476" s="8" t="s">
        <v>75</v>
      </c>
      <c r="T1476" s="9"/>
      <c r="U1476" s="8" t="s">
        <v>240</v>
      </c>
      <c r="V1476" s="8" t="s">
        <v>240</v>
      </c>
      <c r="W1476" s="8" t="s">
        <v>240</v>
      </c>
      <c r="X1476" s="8" t="s">
        <v>240</v>
      </c>
      <c r="Y1476" s="8" t="s">
        <v>240</v>
      </c>
      <c r="Z1476" s="6" t="b">
        <v>0</v>
      </c>
      <c r="AA1476" s="9"/>
      <c r="AB1476" s="9"/>
    </row>
    <row r="1477" spans="1:28" ht="32">
      <c r="A1477" s="6">
        <v>1625</v>
      </c>
      <c r="B1477" s="8" t="s">
        <v>2429</v>
      </c>
      <c r="C1477" s="8" t="s">
        <v>93</v>
      </c>
      <c r="D1477" s="8" t="s">
        <v>2454</v>
      </c>
      <c r="E1477" s="8" t="s">
        <v>2449</v>
      </c>
      <c r="F1477" s="6">
        <v>1621</v>
      </c>
      <c r="G1477" s="6" t="b">
        <v>0</v>
      </c>
      <c r="H1477" s="8" t="s">
        <v>240</v>
      </c>
      <c r="I1477" s="6" t="b">
        <v>0</v>
      </c>
      <c r="J1477" s="6" t="b">
        <v>0</v>
      </c>
      <c r="K1477" s="6" t="b">
        <v>0</v>
      </c>
      <c r="L1477" s="6" t="b">
        <v>0</v>
      </c>
      <c r="M1477" s="6" t="b">
        <v>0</v>
      </c>
      <c r="N1477" s="6">
        <v>8</v>
      </c>
      <c r="O1477" s="8" t="s">
        <v>331</v>
      </c>
      <c r="P1477" s="8" t="s">
        <v>255</v>
      </c>
      <c r="Q1477" s="8" t="s">
        <v>481</v>
      </c>
      <c r="R1477" s="6">
        <v>8</v>
      </c>
      <c r="S1477" s="8" t="s">
        <v>75</v>
      </c>
      <c r="T1477" s="9"/>
      <c r="U1477" s="8" t="s">
        <v>240</v>
      </c>
      <c r="V1477" s="8" t="s">
        <v>240</v>
      </c>
      <c r="W1477" s="8" t="s">
        <v>240</v>
      </c>
      <c r="X1477" s="8" t="s">
        <v>240</v>
      </c>
      <c r="Y1477" s="8" t="s">
        <v>240</v>
      </c>
      <c r="Z1477" s="6" t="b">
        <v>0</v>
      </c>
      <c r="AA1477" s="9"/>
      <c r="AB1477" s="9"/>
    </row>
    <row r="1478" spans="1:28" ht="16">
      <c r="A1478" s="6">
        <v>1626</v>
      </c>
      <c r="B1478" s="8" t="s">
        <v>2429</v>
      </c>
      <c r="C1478" s="8" t="s">
        <v>93</v>
      </c>
      <c r="D1478" s="8" t="s">
        <v>2455</v>
      </c>
      <c r="E1478" s="8" t="s">
        <v>2449</v>
      </c>
      <c r="F1478" s="6">
        <v>1621</v>
      </c>
      <c r="G1478" s="6" t="b">
        <v>0</v>
      </c>
      <c r="H1478" s="8" t="s">
        <v>240</v>
      </c>
      <c r="I1478" s="6" t="b">
        <v>0</v>
      </c>
      <c r="J1478" s="6" t="b">
        <v>0</v>
      </c>
      <c r="K1478" s="6" t="b">
        <v>0</v>
      </c>
      <c r="L1478" s="6" t="b">
        <v>0</v>
      </c>
      <c r="M1478" s="6" t="b">
        <v>0</v>
      </c>
      <c r="N1478" s="6">
        <v>8</v>
      </c>
      <c r="O1478" s="8" t="s">
        <v>331</v>
      </c>
      <c r="P1478" s="8" t="s">
        <v>255</v>
      </c>
      <c r="Q1478" s="8" t="s">
        <v>372</v>
      </c>
      <c r="R1478" s="6">
        <v>8</v>
      </c>
      <c r="S1478" s="8" t="s">
        <v>75</v>
      </c>
      <c r="T1478" s="9"/>
      <c r="U1478" s="8" t="s">
        <v>240</v>
      </c>
      <c r="V1478" s="8" t="s">
        <v>240</v>
      </c>
      <c r="W1478" s="8" t="s">
        <v>240</v>
      </c>
      <c r="X1478" s="8" t="s">
        <v>240</v>
      </c>
      <c r="Y1478" s="8" t="s">
        <v>240</v>
      </c>
      <c r="Z1478" s="6" t="b">
        <v>0</v>
      </c>
      <c r="AA1478" s="9"/>
      <c r="AB1478" s="9"/>
    </row>
    <row r="1479" spans="1:28" ht="16">
      <c r="A1479" s="6">
        <v>1627</v>
      </c>
      <c r="B1479" s="8" t="s">
        <v>2429</v>
      </c>
      <c r="C1479" s="8" t="s">
        <v>93</v>
      </c>
      <c r="D1479" s="8" t="s">
        <v>2456</v>
      </c>
      <c r="E1479" s="8" t="s">
        <v>2449</v>
      </c>
      <c r="F1479" s="6">
        <v>1621</v>
      </c>
      <c r="G1479" s="6" t="b">
        <v>0</v>
      </c>
      <c r="H1479" s="8" t="s">
        <v>240</v>
      </c>
      <c r="I1479" s="6" t="b">
        <v>0</v>
      </c>
      <c r="J1479" s="6" t="b">
        <v>0</v>
      </c>
      <c r="K1479" s="6" t="b">
        <v>0</v>
      </c>
      <c r="L1479" s="6" t="b">
        <v>0</v>
      </c>
      <c r="M1479" s="6" t="b">
        <v>0</v>
      </c>
      <c r="N1479" s="6">
        <v>8</v>
      </c>
      <c r="O1479" s="8" t="s">
        <v>331</v>
      </c>
      <c r="P1479" s="8" t="s">
        <v>255</v>
      </c>
      <c r="Q1479" s="8" t="s">
        <v>335</v>
      </c>
      <c r="R1479" s="6">
        <v>8</v>
      </c>
      <c r="S1479" s="8" t="s">
        <v>75</v>
      </c>
      <c r="T1479" s="6">
        <v>6</v>
      </c>
      <c r="U1479" s="8" t="s">
        <v>240</v>
      </c>
      <c r="V1479" s="8" t="s">
        <v>240</v>
      </c>
      <c r="W1479" s="8" t="s">
        <v>240</v>
      </c>
      <c r="X1479" s="8" t="s">
        <v>240</v>
      </c>
      <c r="Y1479" s="8" t="s">
        <v>240</v>
      </c>
      <c r="Z1479" s="6" t="b">
        <v>0</v>
      </c>
      <c r="AA1479" s="9"/>
      <c r="AB1479" s="9"/>
    </row>
    <row r="1480" spans="1:28" ht="32">
      <c r="A1480" s="6">
        <v>1628</v>
      </c>
      <c r="B1480" s="8" t="s">
        <v>2429</v>
      </c>
      <c r="C1480" s="8" t="s">
        <v>93</v>
      </c>
      <c r="D1480" s="8" t="s">
        <v>2457</v>
      </c>
      <c r="E1480" s="8" t="s">
        <v>2449</v>
      </c>
      <c r="F1480" s="6">
        <v>1621</v>
      </c>
      <c r="G1480" s="6" t="b">
        <v>0</v>
      </c>
      <c r="H1480" s="8" t="s">
        <v>240</v>
      </c>
      <c r="I1480" s="6" t="b">
        <v>0</v>
      </c>
      <c r="J1480" s="6" t="b">
        <v>0</v>
      </c>
      <c r="K1480" s="6" t="b">
        <v>0</v>
      </c>
      <c r="L1480" s="6" t="b">
        <v>0</v>
      </c>
      <c r="M1480" s="6" t="b">
        <v>0</v>
      </c>
      <c r="N1480" s="6">
        <v>8</v>
      </c>
      <c r="O1480" s="8" t="s">
        <v>331</v>
      </c>
      <c r="P1480" s="8" t="s">
        <v>255</v>
      </c>
      <c r="Q1480" s="8" t="s">
        <v>481</v>
      </c>
      <c r="R1480" s="6">
        <v>8</v>
      </c>
      <c r="S1480" s="8" t="s">
        <v>75</v>
      </c>
      <c r="T1480" s="9"/>
      <c r="U1480" s="8" t="s">
        <v>240</v>
      </c>
      <c r="V1480" s="8" t="s">
        <v>240</v>
      </c>
      <c r="W1480" s="8" t="s">
        <v>240</v>
      </c>
      <c r="X1480" s="8" t="s">
        <v>240</v>
      </c>
      <c r="Y1480" s="8" t="s">
        <v>240</v>
      </c>
      <c r="Z1480" s="6" t="b">
        <v>0</v>
      </c>
      <c r="AA1480" s="9"/>
      <c r="AB1480" s="9"/>
    </row>
    <row r="1481" spans="1:28" ht="16">
      <c r="A1481" s="6">
        <v>1629</v>
      </c>
      <c r="B1481" s="8" t="s">
        <v>2429</v>
      </c>
      <c r="C1481" s="8" t="s">
        <v>93</v>
      </c>
      <c r="D1481" s="8" t="s">
        <v>93</v>
      </c>
      <c r="E1481" s="8" t="s">
        <v>93</v>
      </c>
      <c r="F1481" s="6">
        <v>1629</v>
      </c>
      <c r="G1481" s="6" t="b">
        <v>0</v>
      </c>
      <c r="H1481" s="8" t="s">
        <v>240</v>
      </c>
      <c r="I1481" s="6" t="b">
        <v>0</v>
      </c>
      <c r="J1481" s="6" t="b">
        <v>0</v>
      </c>
      <c r="K1481" s="6" t="b">
        <v>0</v>
      </c>
      <c r="L1481" s="6" t="b">
        <v>0</v>
      </c>
      <c r="M1481" s="6" t="b">
        <v>0</v>
      </c>
      <c r="N1481" s="6">
        <v>8</v>
      </c>
      <c r="O1481" s="8" t="s">
        <v>331</v>
      </c>
      <c r="P1481" s="8" t="s">
        <v>255</v>
      </c>
      <c r="Q1481" s="8" t="s">
        <v>339</v>
      </c>
      <c r="R1481" s="6">
        <v>8</v>
      </c>
      <c r="S1481" s="8" t="s">
        <v>331</v>
      </c>
      <c r="T1481" s="6">
        <v>6</v>
      </c>
      <c r="U1481" s="8" t="s">
        <v>240</v>
      </c>
      <c r="V1481" s="8" t="s">
        <v>240</v>
      </c>
      <c r="W1481" s="8" t="s">
        <v>240</v>
      </c>
      <c r="X1481" s="8" t="s">
        <v>240</v>
      </c>
      <c r="Y1481" s="8" t="s">
        <v>2458</v>
      </c>
      <c r="Z1481" s="6" t="b">
        <v>0</v>
      </c>
      <c r="AA1481" s="9"/>
      <c r="AB1481" s="9"/>
    </row>
    <row r="1482" spans="1:28" ht="32">
      <c r="A1482" s="6">
        <v>1630</v>
      </c>
      <c r="B1482" s="8" t="s">
        <v>2429</v>
      </c>
      <c r="C1482" s="8" t="s">
        <v>93</v>
      </c>
      <c r="D1482" s="8" t="s">
        <v>2459</v>
      </c>
      <c r="E1482" s="8" t="s">
        <v>2459</v>
      </c>
      <c r="F1482" s="6">
        <v>1630</v>
      </c>
      <c r="G1482" s="6" t="b">
        <v>0</v>
      </c>
      <c r="H1482" s="8" t="s">
        <v>240</v>
      </c>
      <c r="I1482" s="6" t="b">
        <v>0</v>
      </c>
      <c r="J1482" s="6" t="b">
        <v>0</v>
      </c>
      <c r="K1482" s="6" t="b">
        <v>0</v>
      </c>
      <c r="L1482" s="6" t="b">
        <v>0</v>
      </c>
      <c r="M1482" s="6" t="b">
        <v>0</v>
      </c>
      <c r="N1482" s="6">
        <v>8</v>
      </c>
      <c r="O1482" s="8" t="s">
        <v>331</v>
      </c>
      <c r="P1482" s="8" t="s">
        <v>255</v>
      </c>
      <c r="Q1482" s="8" t="s">
        <v>481</v>
      </c>
      <c r="R1482" s="6">
        <v>8</v>
      </c>
      <c r="S1482" s="8" t="s">
        <v>372</v>
      </c>
      <c r="T1482" s="6">
        <v>6</v>
      </c>
      <c r="U1482" s="8" t="s">
        <v>240</v>
      </c>
      <c r="V1482" s="8" t="s">
        <v>240</v>
      </c>
      <c r="W1482" s="8" t="s">
        <v>240</v>
      </c>
      <c r="X1482" s="8" t="s">
        <v>240</v>
      </c>
      <c r="Y1482" s="8" t="s">
        <v>2458</v>
      </c>
      <c r="Z1482" s="6" t="b">
        <v>0</v>
      </c>
      <c r="AA1482" s="9"/>
      <c r="AB1482" s="9"/>
    </row>
    <row r="1483" spans="1:28" ht="16">
      <c r="A1483" s="6">
        <v>1631</v>
      </c>
      <c r="B1483" s="8" t="s">
        <v>2429</v>
      </c>
      <c r="C1483" s="8" t="s">
        <v>93</v>
      </c>
      <c r="D1483" s="8" t="s">
        <v>2460</v>
      </c>
      <c r="E1483" s="8" t="s">
        <v>2459</v>
      </c>
      <c r="F1483" s="6">
        <v>1630</v>
      </c>
      <c r="G1483" s="6" t="b">
        <v>0</v>
      </c>
      <c r="H1483" s="8" t="s">
        <v>240</v>
      </c>
      <c r="I1483" s="6" t="b">
        <v>0</v>
      </c>
      <c r="J1483" s="6" t="b">
        <v>0</v>
      </c>
      <c r="K1483" s="6" t="b">
        <v>0</v>
      </c>
      <c r="L1483" s="6" t="b">
        <v>0</v>
      </c>
      <c r="M1483" s="6" t="b">
        <v>0</v>
      </c>
      <c r="N1483" s="6">
        <v>8</v>
      </c>
      <c r="O1483" s="8" t="s">
        <v>331</v>
      </c>
      <c r="P1483" s="8" t="s">
        <v>255</v>
      </c>
      <c r="Q1483" s="8" t="s">
        <v>335</v>
      </c>
      <c r="R1483" s="6">
        <v>8</v>
      </c>
      <c r="S1483" s="8" t="s">
        <v>75</v>
      </c>
      <c r="T1483" s="9"/>
      <c r="U1483" s="8" t="s">
        <v>240</v>
      </c>
      <c r="V1483" s="8" t="s">
        <v>240</v>
      </c>
      <c r="W1483" s="8" t="s">
        <v>240</v>
      </c>
      <c r="X1483" s="8" t="s">
        <v>240</v>
      </c>
      <c r="Y1483" s="8" t="s">
        <v>240</v>
      </c>
      <c r="Z1483" s="6" t="b">
        <v>0</v>
      </c>
      <c r="AA1483" s="9"/>
      <c r="AB1483" s="9"/>
    </row>
    <row r="1484" spans="1:28" ht="32">
      <c r="A1484" s="6">
        <v>1632</v>
      </c>
      <c r="B1484" s="8" t="s">
        <v>2429</v>
      </c>
      <c r="C1484" s="8" t="s">
        <v>93</v>
      </c>
      <c r="D1484" s="8" t="s">
        <v>2461</v>
      </c>
      <c r="E1484" s="8" t="s">
        <v>2459</v>
      </c>
      <c r="F1484" s="6">
        <v>1630</v>
      </c>
      <c r="G1484" s="6" t="b">
        <v>0</v>
      </c>
      <c r="H1484" s="8" t="s">
        <v>240</v>
      </c>
      <c r="I1484" s="6" t="b">
        <v>0</v>
      </c>
      <c r="J1484" s="6" t="b">
        <v>0</v>
      </c>
      <c r="K1484" s="6" t="b">
        <v>0</v>
      </c>
      <c r="L1484" s="6" t="b">
        <v>0</v>
      </c>
      <c r="M1484" s="6" t="b">
        <v>0</v>
      </c>
      <c r="N1484" s="6">
        <v>8</v>
      </c>
      <c r="O1484" s="8" t="s">
        <v>331</v>
      </c>
      <c r="P1484" s="8" t="s">
        <v>255</v>
      </c>
      <c r="Q1484" s="8" t="s">
        <v>335</v>
      </c>
      <c r="R1484" s="6">
        <v>8</v>
      </c>
      <c r="S1484" s="8" t="s">
        <v>75</v>
      </c>
      <c r="T1484" s="9"/>
      <c r="U1484" s="8" t="s">
        <v>240</v>
      </c>
      <c r="V1484" s="8" t="s">
        <v>240</v>
      </c>
      <c r="W1484" s="8" t="s">
        <v>240</v>
      </c>
      <c r="X1484" s="8" t="s">
        <v>240</v>
      </c>
      <c r="Y1484" s="8" t="s">
        <v>240</v>
      </c>
      <c r="Z1484" s="6" t="b">
        <v>0</v>
      </c>
      <c r="AA1484" s="9"/>
      <c r="AB1484" s="9"/>
    </row>
    <row r="1485" spans="1:28" ht="32">
      <c r="A1485" s="6">
        <v>1633</v>
      </c>
      <c r="B1485" s="8" t="s">
        <v>2429</v>
      </c>
      <c r="C1485" s="8" t="s">
        <v>93</v>
      </c>
      <c r="D1485" s="8" t="s">
        <v>2462</v>
      </c>
      <c r="E1485" s="8" t="s">
        <v>2459</v>
      </c>
      <c r="F1485" s="6">
        <v>1630</v>
      </c>
      <c r="G1485" s="6" t="b">
        <v>0</v>
      </c>
      <c r="H1485" s="8" t="s">
        <v>240</v>
      </c>
      <c r="I1485" s="6" t="b">
        <v>0</v>
      </c>
      <c r="J1485" s="6" t="b">
        <v>0</v>
      </c>
      <c r="K1485" s="6" t="b">
        <v>0</v>
      </c>
      <c r="L1485" s="6" t="b">
        <v>0</v>
      </c>
      <c r="M1485" s="6" t="b">
        <v>0</v>
      </c>
      <c r="N1485" s="6">
        <v>8</v>
      </c>
      <c r="O1485" s="8" t="s">
        <v>331</v>
      </c>
      <c r="P1485" s="8" t="s">
        <v>255</v>
      </c>
      <c r="Q1485" s="8" t="s">
        <v>335</v>
      </c>
      <c r="R1485" s="6">
        <v>5</v>
      </c>
      <c r="S1485" s="8" t="s">
        <v>341</v>
      </c>
      <c r="T1485" s="6">
        <v>6</v>
      </c>
      <c r="U1485" s="8" t="s">
        <v>2444</v>
      </c>
      <c r="V1485" s="8" t="s">
        <v>240</v>
      </c>
      <c r="W1485" s="8" t="s">
        <v>240</v>
      </c>
      <c r="X1485" s="8" t="s">
        <v>240</v>
      </c>
      <c r="Y1485" s="8" t="s">
        <v>240</v>
      </c>
      <c r="Z1485" s="6" t="b">
        <v>0</v>
      </c>
      <c r="AA1485" s="9"/>
      <c r="AB1485" s="9"/>
    </row>
    <row r="1486" spans="1:28" ht="32">
      <c r="A1486" s="6">
        <v>1634</v>
      </c>
      <c r="B1486" s="8" t="s">
        <v>2429</v>
      </c>
      <c r="C1486" s="8" t="s">
        <v>93</v>
      </c>
      <c r="D1486" s="8" t="s">
        <v>2463</v>
      </c>
      <c r="E1486" s="8" t="s">
        <v>2459</v>
      </c>
      <c r="F1486" s="6">
        <v>1630</v>
      </c>
      <c r="G1486" s="6" t="b">
        <v>0</v>
      </c>
      <c r="H1486" s="8" t="s">
        <v>240</v>
      </c>
      <c r="I1486" s="6" t="b">
        <v>0</v>
      </c>
      <c r="J1486" s="6" t="b">
        <v>0</v>
      </c>
      <c r="K1486" s="6" t="b">
        <v>0</v>
      </c>
      <c r="L1486" s="6" t="b">
        <v>0</v>
      </c>
      <c r="M1486" s="6" t="b">
        <v>0</v>
      </c>
      <c r="N1486" s="6">
        <v>8</v>
      </c>
      <c r="O1486" s="8" t="s">
        <v>331</v>
      </c>
      <c r="P1486" s="8" t="s">
        <v>255</v>
      </c>
      <c r="Q1486" s="8" t="s">
        <v>335</v>
      </c>
      <c r="R1486" s="6">
        <v>8</v>
      </c>
      <c r="S1486" s="8" t="s">
        <v>75</v>
      </c>
      <c r="T1486" s="9"/>
      <c r="U1486" s="8" t="s">
        <v>240</v>
      </c>
      <c r="V1486" s="8" t="s">
        <v>240</v>
      </c>
      <c r="W1486" s="8" t="s">
        <v>240</v>
      </c>
      <c r="X1486" s="8" t="s">
        <v>240</v>
      </c>
      <c r="Y1486" s="8" t="s">
        <v>240</v>
      </c>
      <c r="Z1486" s="6" t="b">
        <v>0</v>
      </c>
      <c r="AA1486" s="9"/>
      <c r="AB1486" s="9"/>
    </row>
    <row r="1487" spans="1:28" ht="16">
      <c r="A1487" s="6">
        <v>1635</v>
      </c>
      <c r="B1487" s="8" t="s">
        <v>2429</v>
      </c>
      <c r="C1487" s="8" t="s">
        <v>93</v>
      </c>
      <c r="D1487" s="8" t="s">
        <v>2464</v>
      </c>
      <c r="E1487" s="8" t="s">
        <v>2459</v>
      </c>
      <c r="F1487" s="6">
        <v>1630</v>
      </c>
      <c r="G1487" s="6" t="b">
        <v>0</v>
      </c>
      <c r="H1487" s="8" t="s">
        <v>240</v>
      </c>
      <c r="I1487" s="6" t="b">
        <v>0</v>
      </c>
      <c r="J1487" s="6" t="b">
        <v>0</v>
      </c>
      <c r="K1487" s="6" t="b">
        <v>0</v>
      </c>
      <c r="L1487" s="6" t="b">
        <v>0</v>
      </c>
      <c r="M1487" s="6" t="b">
        <v>0</v>
      </c>
      <c r="N1487" s="6">
        <v>8</v>
      </c>
      <c r="O1487" s="8" t="s">
        <v>331</v>
      </c>
      <c r="P1487" s="8" t="s">
        <v>255</v>
      </c>
      <c r="Q1487" s="8" t="s">
        <v>335</v>
      </c>
      <c r="R1487" s="6">
        <v>5</v>
      </c>
      <c r="S1487" s="8" t="s">
        <v>341</v>
      </c>
      <c r="T1487" s="9"/>
      <c r="U1487" s="8" t="s">
        <v>2446</v>
      </c>
      <c r="V1487" s="8" t="s">
        <v>240</v>
      </c>
      <c r="W1487" s="8" t="s">
        <v>240</v>
      </c>
      <c r="X1487" s="8" t="s">
        <v>240</v>
      </c>
      <c r="Y1487" s="8" t="s">
        <v>240</v>
      </c>
      <c r="Z1487" s="6" t="b">
        <v>0</v>
      </c>
      <c r="AA1487" s="9"/>
      <c r="AB1487" s="9"/>
    </row>
    <row r="1488" spans="1:28" ht="16">
      <c r="A1488" s="6">
        <v>1636</v>
      </c>
      <c r="B1488" s="8" t="s">
        <v>2429</v>
      </c>
      <c r="C1488" s="8" t="s">
        <v>93</v>
      </c>
      <c r="D1488" s="8" t="s">
        <v>2465</v>
      </c>
      <c r="E1488" s="8" t="s">
        <v>2459</v>
      </c>
      <c r="F1488" s="6">
        <v>1630</v>
      </c>
      <c r="G1488" s="6" t="b">
        <v>0</v>
      </c>
      <c r="H1488" s="8" t="s">
        <v>240</v>
      </c>
      <c r="I1488" s="6" t="b">
        <v>0</v>
      </c>
      <c r="J1488" s="6" t="b">
        <v>0</v>
      </c>
      <c r="K1488" s="6" t="b">
        <v>0</v>
      </c>
      <c r="L1488" s="6" t="b">
        <v>0</v>
      </c>
      <c r="M1488" s="6" t="b">
        <v>0</v>
      </c>
      <c r="N1488" s="6">
        <v>8</v>
      </c>
      <c r="O1488" s="8" t="s">
        <v>331</v>
      </c>
      <c r="P1488" s="8" t="s">
        <v>255</v>
      </c>
      <c r="Q1488" s="8" t="s">
        <v>335</v>
      </c>
      <c r="R1488" s="6">
        <v>8</v>
      </c>
      <c r="S1488" s="8" t="s">
        <v>75</v>
      </c>
      <c r="T1488" s="9"/>
      <c r="U1488" s="8" t="s">
        <v>240</v>
      </c>
      <c r="V1488" s="8" t="s">
        <v>240</v>
      </c>
      <c r="W1488" s="8" t="s">
        <v>240</v>
      </c>
      <c r="X1488" s="8" t="s">
        <v>240</v>
      </c>
      <c r="Y1488" s="8" t="s">
        <v>240</v>
      </c>
      <c r="Z1488" s="6" t="b">
        <v>0</v>
      </c>
      <c r="AA1488" s="9"/>
      <c r="AB1488" s="9"/>
    </row>
    <row r="1489" spans="1:28" ht="32">
      <c r="A1489" s="6">
        <v>1637</v>
      </c>
      <c r="B1489" s="8" t="s">
        <v>2429</v>
      </c>
      <c r="C1489" s="8" t="s">
        <v>93</v>
      </c>
      <c r="D1489" s="8" t="s">
        <v>2466</v>
      </c>
      <c r="E1489" s="8" t="s">
        <v>2459</v>
      </c>
      <c r="F1489" s="6">
        <v>1630</v>
      </c>
      <c r="G1489" s="6" t="b">
        <v>0</v>
      </c>
      <c r="H1489" s="8" t="s">
        <v>240</v>
      </c>
      <c r="I1489" s="6" t="b">
        <v>0</v>
      </c>
      <c r="J1489" s="6" t="b">
        <v>0</v>
      </c>
      <c r="K1489" s="6" t="b">
        <v>0</v>
      </c>
      <c r="L1489" s="6" t="b">
        <v>0</v>
      </c>
      <c r="M1489" s="6" t="b">
        <v>0</v>
      </c>
      <c r="N1489" s="6">
        <v>8</v>
      </c>
      <c r="O1489" s="8" t="s">
        <v>331</v>
      </c>
      <c r="P1489" s="8" t="s">
        <v>255</v>
      </c>
      <c r="Q1489" s="8" t="s">
        <v>335</v>
      </c>
      <c r="R1489" s="6">
        <v>8</v>
      </c>
      <c r="S1489" s="8" t="s">
        <v>75</v>
      </c>
      <c r="T1489" s="6">
        <v>6</v>
      </c>
      <c r="U1489" s="8" t="s">
        <v>240</v>
      </c>
      <c r="V1489" s="8" t="s">
        <v>240</v>
      </c>
      <c r="W1489" s="8" t="s">
        <v>240</v>
      </c>
      <c r="X1489" s="8" t="s">
        <v>240</v>
      </c>
      <c r="Y1489" s="8" t="s">
        <v>240</v>
      </c>
      <c r="Z1489" s="6" t="b">
        <v>0</v>
      </c>
      <c r="AA1489" s="9"/>
      <c r="AB1489" s="9"/>
    </row>
    <row r="1490" spans="1:28" ht="32">
      <c r="A1490" s="6">
        <v>1638</v>
      </c>
      <c r="B1490" s="8" t="s">
        <v>2429</v>
      </c>
      <c r="C1490" s="8" t="s">
        <v>93</v>
      </c>
      <c r="D1490" s="8" t="s">
        <v>2467</v>
      </c>
      <c r="E1490" s="8" t="s">
        <v>2459</v>
      </c>
      <c r="F1490" s="6">
        <v>1630</v>
      </c>
      <c r="G1490" s="6" t="b">
        <v>0</v>
      </c>
      <c r="H1490" s="8" t="s">
        <v>240</v>
      </c>
      <c r="I1490" s="6" t="b">
        <v>0</v>
      </c>
      <c r="J1490" s="6" t="b">
        <v>0</v>
      </c>
      <c r="K1490" s="6" t="b">
        <v>0</v>
      </c>
      <c r="L1490" s="6" t="b">
        <v>0</v>
      </c>
      <c r="M1490" s="6" t="b">
        <v>0</v>
      </c>
      <c r="N1490" s="6">
        <v>8</v>
      </c>
      <c r="O1490" s="8" t="s">
        <v>331</v>
      </c>
      <c r="P1490" s="8" t="s">
        <v>255</v>
      </c>
      <c r="Q1490" s="8" t="s">
        <v>335</v>
      </c>
      <c r="R1490" s="6">
        <v>8</v>
      </c>
      <c r="S1490" s="8" t="s">
        <v>335</v>
      </c>
      <c r="T1490" s="6">
        <v>6</v>
      </c>
      <c r="U1490" s="8" t="s">
        <v>2448</v>
      </c>
      <c r="V1490" s="8" t="s">
        <v>240</v>
      </c>
      <c r="W1490" s="8" t="s">
        <v>240</v>
      </c>
      <c r="X1490" s="8" t="s">
        <v>240</v>
      </c>
      <c r="Y1490" s="8" t="s">
        <v>240</v>
      </c>
      <c r="Z1490" s="6" t="b">
        <v>0</v>
      </c>
      <c r="AA1490" s="9"/>
      <c r="AB1490" s="9"/>
    </row>
    <row r="1491" spans="1:28" ht="16">
      <c r="A1491" s="6">
        <v>1639</v>
      </c>
      <c r="B1491" s="8" t="s">
        <v>2429</v>
      </c>
      <c r="C1491" s="8" t="s">
        <v>136</v>
      </c>
      <c r="D1491" s="8" t="s">
        <v>2468</v>
      </c>
      <c r="E1491" s="8" t="s">
        <v>2468</v>
      </c>
      <c r="F1491" s="6">
        <v>1639</v>
      </c>
      <c r="G1491" s="6" t="b">
        <v>0</v>
      </c>
      <c r="H1491" s="8" t="s">
        <v>240</v>
      </c>
      <c r="I1491" s="6" t="b">
        <v>0</v>
      </c>
      <c r="J1491" s="6" t="b">
        <v>0</v>
      </c>
      <c r="K1491" s="6" t="b">
        <v>0</v>
      </c>
      <c r="L1491" s="6" t="b">
        <v>0</v>
      </c>
      <c r="M1491" s="6" t="b">
        <v>0</v>
      </c>
      <c r="N1491" s="6">
        <v>8</v>
      </c>
      <c r="O1491" s="8" t="s">
        <v>237</v>
      </c>
      <c r="P1491" s="8" t="s">
        <v>255</v>
      </c>
      <c r="Q1491" s="8" t="s">
        <v>239</v>
      </c>
      <c r="R1491" s="6">
        <v>4</v>
      </c>
      <c r="S1491" s="8" t="s">
        <v>341</v>
      </c>
      <c r="T1491" s="9"/>
      <c r="U1491" s="8" t="s">
        <v>240</v>
      </c>
      <c r="V1491" s="8" t="s">
        <v>240</v>
      </c>
      <c r="W1491" s="8" t="s">
        <v>240</v>
      </c>
      <c r="X1491" s="8" t="s">
        <v>240</v>
      </c>
      <c r="Y1491" s="8" t="s">
        <v>240</v>
      </c>
      <c r="Z1491" s="6" t="b">
        <v>0</v>
      </c>
      <c r="AA1491" s="9"/>
      <c r="AB1491" s="9"/>
    </row>
    <row r="1492" spans="1:28" ht="32">
      <c r="A1492" s="6">
        <v>1640</v>
      </c>
      <c r="B1492" s="8" t="s">
        <v>2429</v>
      </c>
      <c r="C1492" s="8" t="s">
        <v>136</v>
      </c>
      <c r="D1492" s="8" t="s">
        <v>2469</v>
      </c>
      <c r="E1492" s="8" t="s">
        <v>2468</v>
      </c>
      <c r="F1492" s="6">
        <v>1639</v>
      </c>
      <c r="G1492" s="6" t="b">
        <v>0</v>
      </c>
      <c r="H1492" s="8" t="s">
        <v>240</v>
      </c>
      <c r="I1492" s="6" t="b">
        <v>0</v>
      </c>
      <c r="J1492" s="6" t="b">
        <v>0</v>
      </c>
      <c r="K1492" s="6" t="b">
        <v>0</v>
      </c>
      <c r="L1492" s="6" t="b">
        <v>0</v>
      </c>
      <c r="M1492" s="6" t="b">
        <v>0</v>
      </c>
      <c r="N1492" s="6">
        <v>8</v>
      </c>
      <c r="O1492" s="8" t="s">
        <v>237</v>
      </c>
      <c r="P1492" s="8" t="s">
        <v>255</v>
      </c>
      <c r="Q1492" s="8" t="s">
        <v>239</v>
      </c>
      <c r="R1492" s="6">
        <v>4</v>
      </c>
      <c r="S1492" s="8" t="s">
        <v>341</v>
      </c>
      <c r="T1492" s="9"/>
      <c r="U1492" s="8" t="s">
        <v>240</v>
      </c>
      <c r="V1492" s="8" t="s">
        <v>240</v>
      </c>
      <c r="W1492" s="8" t="s">
        <v>240</v>
      </c>
      <c r="X1492" s="8" t="s">
        <v>240</v>
      </c>
      <c r="Y1492" s="8" t="s">
        <v>240</v>
      </c>
      <c r="Z1492" s="6" t="b">
        <v>0</v>
      </c>
      <c r="AA1492" s="9"/>
      <c r="AB1492" s="9"/>
    </row>
    <row r="1493" spans="1:28" ht="16">
      <c r="A1493" s="6">
        <v>1641</v>
      </c>
      <c r="B1493" s="8" t="s">
        <v>2429</v>
      </c>
      <c r="C1493" s="8" t="s">
        <v>136</v>
      </c>
      <c r="D1493" s="8" t="s">
        <v>136</v>
      </c>
      <c r="E1493" s="8" t="s">
        <v>136</v>
      </c>
      <c r="F1493" s="6">
        <v>1641</v>
      </c>
      <c r="G1493" s="6" t="b">
        <v>0</v>
      </c>
      <c r="H1493" s="8" t="s">
        <v>240</v>
      </c>
      <c r="I1493" s="6" t="b">
        <v>0</v>
      </c>
      <c r="J1493" s="6" t="b">
        <v>0</v>
      </c>
      <c r="K1493" s="6" t="b">
        <v>0</v>
      </c>
      <c r="L1493" s="6" t="b">
        <v>0</v>
      </c>
      <c r="M1493" s="6" t="b">
        <v>0</v>
      </c>
      <c r="N1493" s="6">
        <v>8</v>
      </c>
      <c r="O1493" s="8" t="s">
        <v>237</v>
      </c>
      <c r="P1493" s="8" t="s">
        <v>255</v>
      </c>
      <c r="Q1493" s="8" t="s">
        <v>239</v>
      </c>
      <c r="R1493" s="6">
        <v>8</v>
      </c>
      <c r="S1493" s="8" t="s">
        <v>237</v>
      </c>
      <c r="T1493" s="6">
        <v>6</v>
      </c>
      <c r="U1493" s="8" t="s">
        <v>240</v>
      </c>
      <c r="V1493" s="8" t="s">
        <v>240</v>
      </c>
      <c r="W1493" s="8" t="s">
        <v>240</v>
      </c>
      <c r="X1493" s="8" t="s">
        <v>240</v>
      </c>
      <c r="Y1493" s="8" t="s">
        <v>240</v>
      </c>
      <c r="Z1493" s="6" t="b">
        <v>0</v>
      </c>
      <c r="AA1493" s="9"/>
      <c r="AB1493" s="9"/>
    </row>
    <row r="1494" spans="1:28" ht="16">
      <c r="A1494" s="6">
        <v>1642</v>
      </c>
      <c r="B1494" s="8" t="s">
        <v>194</v>
      </c>
      <c r="C1494" s="8" t="s">
        <v>2470</v>
      </c>
      <c r="D1494" s="8" t="s">
        <v>2471</v>
      </c>
      <c r="E1494" s="8" t="s">
        <v>2471</v>
      </c>
      <c r="F1494" s="6">
        <v>1642</v>
      </c>
      <c r="G1494" s="6" t="b">
        <v>0</v>
      </c>
      <c r="H1494" s="8" t="s">
        <v>240</v>
      </c>
      <c r="I1494" s="6" t="b">
        <v>0</v>
      </c>
      <c r="J1494" s="6" t="b">
        <v>0</v>
      </c>
      <c r="K1494" s="6" t="b">
        <v>0</v>
      </c>
      <c r="L1494" s="6" t="b">
        <v>1</v>
      </c>
      <c r="M1494" s="6" t="b">
        <v>0</v>
      </c>
      <c r="N1494" s="6">
        <v>7</v>
      </c>
      <c r="O1494" s="8" t="s">
        <v>237</v>
      </c>
      <c r="P1494" s="8" t="s">
        <v>240</v>
      </c>
      <c r="Q1494" s="8" t="s">
        <v>240</v>
      </c>
      <c r="R1494" s="6">
        <v>7</v>
      </c>
      <c r="S1494" s="8" t="s">
        <v>75</v>
      </c>
      <c r="T1494" s="9"/>
      <c r="U1494" s="8" t="s">
        <v>240</v>
      </c>
      <c r="V1494" s="8" t="s">
        <v>240</v>
      </c>
      <c r="W1494" s="8" t="s">
        <v>240</v>
      </c>
      <c r="X1494" s="8" t="s">
        <v>240</v>
      </c>
      <c r="Y1494" s="8" t="s">
        <v>240</v>
      </c>
      <c r="Z1494" s="6" t="b">
        <v>0</v>
      </c>
      <c r="AA1494" s="9"/>
      <c r="AB1494" s="9"/>
    </row>
    <row r="1495" spans="1:28" ht="16">
      <c r="A1495" s="6">
        <v>1643</v>
      </c>
      <c r="B1495" s="8" t="s">
        <v>195</v>
      </c>
      <c r="C1495" s="8" t="s">
        <v>113</v>
      </c>
      <c r="D1495" s="8" t="s">
        <v>2472</v>
      </c>
      <c r="E1495" s="8" t="s">
        <v>2472</v>
      </c>
      <c r="F1495" s="6">
        <v>1643</v>
      </c>
      <c r="G1495" s="6" t="b">
        <v>0</v>
      </c>
      <c r="H1495" s="8" t="s">
        <v>240</v>
      </c>
      <c r="I1495" s="6" t="b">
        <v>0</v>
      </c>
      <c r="J1495" s="6" t="b">
        <v>0</v>
      </c>
      <c r="K1495" s="6" t="b">
        <v>0</v>
      </c>
      <c r="L1495" s="6" t="b">
        <v>1</v>
      </c>
      <c r="M1495" s="6" t="b">
        <v>0</v>
      </c>
      <c r="N1495" s="6">
        <v>1</v>
      </c>
      <c r="O1495" s="8" t="s">
        <v>331</v>
      </c>
      <c r="P1495" s="8" t="s">
        <v>238</v>
      </c>
      <c r="Q1495" s="8" t="s">
        <v>240</v>
      </c>
      <c r="R1495" s="6">
        <v>1</v>
      </c>
      <c r="S1495" s="8" t="s">
        <v>1619</v>
      </c>
      <c r="T1495" s="6">
        <v>1</v>
      </c>
      <c r="U1495" s="8" t="s">
        <v>240</v>
      </c>
      <c r="V1495" s="8" t="s">
        <v>240</v>
      </c>
      <c r="W1495" s="8" t="s">
        <v>240</v>
      </c>
      <c r="X1495" s="8" t="s">
        <v>1066</v>
      </c>
      <c r="Y1495" s="8" t="s">
        <v>2473</v>
      </c>
      <c r="Z1495" s="6" t="b">
        <v>0</v>
      </c>
      <c r="AA1495" s="9"/>
      <c r="AB1495" s="9"/>
    </row>
    <row r="1496" spans="1:28" ht="16">
      <c r="A1496" s="6">
        <v>1644</v>
      </c>
      <c r="B1496" s="8" t="s">
        <v>194</v>
      </c>
      <c r="C1496" s="8" t="s">
        <v>90</v>
      </c>
      <c r="D1496" s="8" t="s">
        <v>220</v>
      </c>
      <c r="E1496" s="8" t="s">
        <v>220</v>
      </c>
      <c r="F1496" s="6">
        <v>1644</v>
      </c>
      <c r="G1496" s="6" t="b">
        <v>0</v>
      </c>
      <c r="H1496" s="8" t="s">
        <v>240</v>
      </c>
      <c r="I1496" s="6" t="b">
        <v>0</v>
      </c>
      <c r="J1496" s="6" t="b">
        <v>0</v>
      </c>
      <c r="K1496" s="6" t="b">
        <v>0</v>
      </c>
      <c r="L1496" s="6" t="b">
        <v>1</v>
      </c>
      <c r="M1496" s="6" t="b">
        <v>0</v>
      </c>
      <c r="N1496" s="6">
        <v>6</v>
      </c>
      <c r="O1496" s="8" t="s">
        <v>331</v>
      </c>
      <c r="P1496" s="8" t="s">
        <v>240</v>
      </c>
      <c r="Q1496" s="8" t="s">
        <v>240</v>
      </c>
      <c r="R1496" s="6">
        <v>7</v>
      </c>
      <c r="S1496" s="8" t="s">
        <v>1619</v>
      </c>
      <c r="T1496" s="6">
        <v>7</v>
      </c>
      <c r="U1496" s="8" t="s">
        <v>240</v>
      </c>
      <c r="V1496" s="8" t="s">
        <v>240</v>
      </c>
      <c r="W1496" s="8" t="s">
        <v>240</v>
      </c>
      <c r="X1496" s="8" t="s">
        <v>240</v>
      </c>
      <c r="Y1496" s="8" t="s">
        <v>2474</v>
      </c>
      <c r="Z1496" s="6" t="b">
        <v>0</v>
      </c>
      <c r="AA1496" s="9"/>
      <c r="AB1496" s="9"/>
    </row>
    <row r="1497" spans="1:28" ht="16">
      <c r="A1497" s="6">
        <v>1645</v>
      </c>
      <c r="B1497" s="8" t="s">
        <v>194</v>
      </c>
      <c r="C1497" s="8" t="s">
        <v>90</v>
      </c>
      <c r="D1497" s="8" t="s">
        <v>2475</v>
      </c>
      <c r="E1497" s="8" t="s">
        <v>2475</v>
      </c>
      <c r="F1497" s="6">
        <v>1645</v>
      </c>
      <c r="G1497" s="6" t="b">
        <v>0</v>
      </c>
      <c r="H1497" s="8" t="s">
        <v>240</v>
      </c>
      <c r="I1497" s="6" t="b">
        <v>0</v>
      </c>
      <c r="J1497" s="6" t="b">
        <v>0</v>
      </c>
      <c r="K1497" s="6" t="b">
        <v>0</v>
      </c>
      <c r="L1497" s="6" t="b">
        <v>1</v>
      </c>
      <c r="M1497" s="6" t="b">
        <v>0</v>
      </c>
      <c r="N1497" s="6">
        <v>6</v>
      </c>
      <c r="O1497" s="8" t="s">
        <v>331</v>
      </c>
      <c r="P1497" s="8" t="s">
        <v>240</v>
      </c>
      <c r="Q1497" s="8" t="s">
        <v>240</v>
      </c>
      <c r="R1497" s="6">
        <v>2</v>
      </c>
      <c r="S1497" s="8" t="s">
        <v>1619</v>
      </c>
      <c r="T1497" s="6">
        <v>2</v>
      </c>
      <c r="U1497" s="8" t="s">
        <v>240</v>
      </c>
      <c r="V1497" s="8" t="s">
        <v>240</v>
      </c>
      <c r="W1497" s="8" t="s">
        <v>386</v>
      </c>
      <c r="X1497" s="8" t="s">
        <v>240</v>
      </c>
      <c r="Y1497" s="8" t="s">
        <v>240</v>
      </c>
      <c r="Z1497" s="6" t="b">
        <v>0</v>
      </c>
      <c r="AA1497" s="9"/>
      <c r="AB1497" s="9"/>
    </row>
    <row r="1498" spans="1:28" ht="16">
      <c r="A1498" s="6">
        <v>1646</v>
      </c>
      <c r="B1498" s="8" t="s">
        <v>194</v>
      </c>
      <c r="C1498" s="8" t="s">
        <v>90</v>
      </c>
      <c r="D1498" s="8" t="s">
        <v>219</v>
      </c>
      <c r="E1498" s="8" t="s">
        <v>219</v>
      </c>
      <c r="F1498" s="6">
        <v>1646</v>
      </c>
      <c r="G1498" s="6" t="b">
        <v>0</v>
      </c>
      <c r="H1498" s="8" t="s">
        <v>240</v>
      </c>
      <c r="I1498" s="6" t="b">
        <v>0</v>
      </c>
      <c r="J1498" s="6" t="b">
        <v>1</v>
      </c>
      <c r="K1498" s="6" t="b">
        <v>0</v>
      </c>
      <c r="L1498" s="6" t="b">
        <v>1</v>
      </c>
      <c r="M1498" s="6" t="b">
        <v>0</v>
      </c>
      <c r="N1498" s="6">
        <v>6</v>
      </c>
      <c r="O1498" s="8" t="s">
        <v>331</v>
      </c>
      <c r="P1498" s="8" t="s">
        <v>240</v>
      </c>
      <c r="Q1498" s="8" t="s">
        <v>240</v>
      </c>
      <c r="R1498" s="6">
        <v>5</v>
      </c>
      <c r="S1498" s="8" t="s">
        <v>1619</v>
      </c>
      <c r="T1498" s="6">
        <v>5</v>
      </c>
      <c r="U1498" s="8" t="s">
        <v>240</v>
      </c>
      <c r="V1498" s="8" t="s">
        <v>240</v>
      </c>
      <c r="W1498" s="8" t="s">
        <v>240</v>
      </c>
      <c r="X1498" s="8" t="s">
        <v>240</v>
      </c>
      <c r="Y1498" s="8" t="s">
        <v>2476</v>
      </c>
      <c r="Z1498" s="6" t="b">
        <v>0</v>
      </c>
      <c r="AA1498" s="9"/>
      <c r="AB1498" s="9"/>
    </row>
    <row r="1499" spans="1:28" ht="16">
      <c r="A1499" s="6">
        <v>1647</v>
      </c>
      <c r="B1499" s="8" t="s">
        <v>194</v>
      </c>
      <c r="C1499" s="8" t="s">
        <v>90</v>
      </c>
      <c r="D1499" s="8" t="s">
        <v>2477</v>
      </c>
      <c r="E1499" s="8" t="s">
        <v>2477</v>
      </c>
      <c r="F1499" s="6">
        <v>1647</v>
      </c>
      <c r="G1499" s="6" t="b">
        <v>0</v>
      </c>
      <c r="H1499" s="8" t="s">
        <v>240</v>
      </c>
      <c r="I1499" s="6" t="b">
        <v>0</v>
      </c>
      <c r="J1499" s="6" t="b">
        <v>0</v>
      </c>
      <c r="K1499" s="6" t="b">
        <v>0</v>
      </c>
      <c r="L1499" s="6" t="b">
        <v>1</v>
      </c>
      <c r="M1499" s="6" t="b">
        <v>0</v>
      </c>
      <c r="N1499" s="6">
        <v>6</v>
      </c>
      <c r="O1499" s="8" t="s">
        <v>331</v>
      </c>
      <c r="P1499" s="8" t="s">
        <v>240</v>
      </c>
      <c r="Q1499" s="8" t="s">
        <v>240</v>
      </c>
      <c r="R1499" s="6">
        <v>7</v>
      </c>
      <c r="S1499" s="8" t="s">
        <v>1619</v>
      </c>
      <c r="T1499" s="6">
        <v>7</v>
      </c>
      <c r="U1499" s="8" t="s">
        <v>240</v>
      </c>
      <c r="V1499" s="8" t="s">
        <v>240</v>
      </c>
      <c r="W1499" s="8" t="s">
        <v>240</v>
      </c>
      <c r="X1499" s="8" t="s">
        <v>240</v>
      </c>
      <c r="Y1499" s="8" t="s">
        <v>240</v>
      </c>
      <c r="Z1499" s="6" t="b">
        <v>0</v>
      </c>
      <c r="AA1499" s="9"/>
      <c r="AB1499" s="9"/>
    </row>
    <row r="1500" spans="1:28" ht="16">
      <c r="A1500" s="6">
        <v>1648</v>
      </c>
      <c r="B1500" s="8" t="s">
        <v>194</v>
      </c>
      <c r="C1500" s="8" t="s">
        <v>90</v>
      </c>
      <c r="D1500" s="8" t="s">
        <v>2478</v>
      </c>
      <c r="E1500" s="8" t="s">
        <v>2478</v>
      </c>
      <c r="F1500" s="6">
        <v>1648</v>
      </c>
      <c r="G1500" s="6" t="b">
        <v>0</v>
      </c>
      <c r="H1500" s="8" t="s">
        <v>240</v>
      </c>
      <c r="I1500" s="6" t="b">
        <v>0</v>
      </c>
      <c r="J1500" s="6" t="b">
        <v>0</v>
      </c>
      <c r="K1500" s="6" t="b">
        <v>0</v>
      </c>
      <c r="L1500" s="6" t="b">
        <v>1</v>
      </c>
      <c r="M1500" s="6" t="b">
        <v>0</v>
      </c>
      <c r="N1500" s="6">
        <v>6</v>
      </c>
      <c r="O1500" s="8" t="s">
        <v>75</v>
      </c>
      <c r="P1500" s="8" t="s">
        <v>240</v>
      </c>
      <c r="Q1500" s="8" t="s">
        <v>240</v>
      </c>
      <c r="R1500" s="6">
        <v>6</v>
      </c>
      <c r="S1500" s="8" t="s">
        <v>388</v>
      </c>
      <c r="T1500" s="6">
        <v>6</v>
      </c>
      <c r="U1500" s="8" t="s">
        <v>240</v>
      </c>
      <c r="V1500" s="8" t="s">
        <v>240</v>
      </c>
      <c r="W1500" s="8" t="s">
        <v>240</v>
      </c>
      <c r="X1500" s="8" t="s">
        <v>240</v>
      </c>
      <c r="Y1500" s="8" t="s">
        <v>240</v>
      </c>
      <c r="Z1500" s="6" t="b">
        <v>0</v>
      </c>
      <c r="AA1500" s="9"/>
      <c r="AB1500" s="9"/>
    </row>
    <row r="1501" spans="1:28" ht="16">
      <c r="A1501" s="6">
        <v>1649</v>
      </c>
      <c r="B1501" s="8" t="s">
        <v>194</v>
      </c>
      <c r="C1501" s="8" t="s">
        <v>90</v>
      </c>
      <c r="D1501" s="8" t="s">
        <v>2479</v>
      </c>
      <c r="E1501" s="8" t="s">
        <v>2479</v>
      </c>
      <c r="F1501" s="6">
        <v>1649</v>
      </c>
      <c r="G1501" s="6" t="b">
        <v>0</v>
      </c>
      <c r="H1501" s="8" t="s">
        <v>240</v>
      </c>
      <c r="I1501" s="6" t="b">
        <v>0</v>
      </c>
      <c r="J1501" s="6" t="b">
        <v>0</v>
      </c>
      <c r="K1501" s="6" t="b">
        <v>0</v>
      </c>
      <c r="L1501" s="6" t="b">
        <v>1</v>
      </c>
      <c r="M1501" s="6" t="b">
        <v>0</v>
      </c>
      <c r="N1501" s="6">
        <v>6</v>
      </c>
      <c r="O1501" s="8" t="s">
        <v>75</v>
      </c>
      <c r="P1501" s="8" t="s">
        <v>240</v>
      </c>
      <c r="Q1501" s="8" t="s">
        <v>240</v>
      </c>
      <c r="R1501" s="6">
        <v>6</v>
      </c>
      <c r="S1501" s="8" t="s">
        <v>1619</v>
      </c>
      <c r="T1501" s="6">
        <v>6</v>
      </c>
      <c r="U1501" s="8" t="s">
        <v>240</v>
      </c>
      <c r="V1501" s="8" t="s">
        <v>240</v>
      </c>
      <c r="W1501" s="8" t="s">
        <v>240</v>
      </c>
      <c r="X1501" s="8" t="s">
        <v>240</v>
      </c>
      <c r="Y1501" s="8" t="s">
        <v>1751</v>
      </c>
      <c r="Z1501" s="6" t="b">
        <v>0</v>
      </c>
      <c r="AA1501" s="9"/>
      <c r="AB1501" s="9"/>
    </row>
    <row r="1502" spans="1:28" ht="16">
      <c r="A1502" s="6">
        <v>1650</v>
      </c>
      <c r="B1502" s="8" t="s">
        <v>194</v>
      </c>
      <c r="C1502" s="8" t="s">
        <v>90</v>
      </c>
      <c r="D1502" s="8" t="s">
        <v>218</v>
      </c>
      <c r="E1502" s="8" t="s">
        <v>218</v>
      </c>
      <c r="F1502" s="6">
        <v>1650</v>
      </c>
      <c r="G1502" s="6" t="b">
        <v>0</v>
      </c>
      <c r="H1502" s="8" t="s">
        <v>240</v>
      </c>
      <c r="I1502" s="6" t="b">
        <v>1</v>
      </c>
      <c r="J1502" s="6" t="b">
        <v>0</v>
      </c>
      <c r="K1502" s="6" t="b">
        <v>0</v>
      </c>
      <c r="L1502" s="6" t="b">
        <v>1</v>
      </c>
      <c r="M1502" s="6" t="b">
        <v>0</v>
      </c>
      <c r="N1502" s="6">
        <v>6</v>
      </c>
      <c r="O1502" s="8" t="s">
        <v>75</v>
      </c>
      <c r="P1502" s="8" t="s">
        <v>240</v>
      </c>
      <c r="Q1502" s="8" t="s">
        <v>240</v>
      </c>
      <c r="R1502" s="6">
        <v>6</v>
      </c>
      <c r="S1502" s="8" t="s">
        <v>1619</v>
      </c>
      <c r="T1502" s="6">
        <v>6</v>
      </c>
      <c r="U1502" s="8" t="s">
        <v>240</v>
      </c>
      <c r="V1502" s="8" t="s">
        <v>240</v>
      </c>
      <c r="W1502" s="8" t="s">
        <v>240</v>
      </c>
      <c r="X1502" s="8" t="s">
        <v>240</v>
      </c>
      <c r="Y1502" s="8" t="s">
        <v>2480</v>
      </c>
      <c r="Z1502" s="6" t="b">
        <v>0</v>
      </c>
      <c r="AA1502" s="9"/>
      <c r="AB1502" s="9"/>
    </row>
    <row r="1503" spans="1:28" ht="16">
      <c r="A1503" s="6">
        <v>1651</v>
      </c>
      <c r="B1503" s="8" t="s">
        <v>438</v>
      </c>
      <c r="C1503" s="8" t="s">
        <v>438</v>
      </c>
      <c r="D1503" s="8" t="s">
        <v>2481</v>
      </c>
      <c r="E1503" s="8" t="s">
        <v>2481</v>
      </c>
      <c r="F1503" s="6">
        <v>1651</v>
      </c>
      <c r="G1503" s="6" t="b">
        <v>0</v>
      </c>
      <c r="H1503" s="8" t="s">
        <v>240</v>
      </c>
      <c r="I1503" s="6" t="b">
        <v>0</v>
      </c>
      <c r="J1503" s="6" t="b">
        <v>0</v>
      </c>
      <c r="K1503" s="6" t="b">
        <v>0</v>
      </c>
      <c r="L1503" s="6" t="b">
        <v>0</v>
      </c>
      <c r="M1503" s="6" t="b">
        <v>0</v>
      </c>
      <c r="N1503" s="6">
        <v>5</v>
      </c>
      <c r="O1503" s="8" t="s">
        <v>237</v>
      </c>
      <c r="P1503" s="8" t="s">
        <v>240</v>
      </c>
      <c r="Q1503" s="8" t="s">
        <v>240</v>
      </c>
      <c r="R1503" s="6">
        <v>5</v>
      </c>
      <c r="S1503" s="8" t="s">
        <v>75</v>
      </c>
      <c r="T1503" s="9"/>
      <c r="U1503" s="8" t="s">
        <v>240</v>
      </c>
      <c r="V1503" s="8" t="s">
        <v>240</v>
      </c>
      <c r="W1503" s="8" t="s">
        <v>240</v>
      </c>
      <c r="X1503" s="8" t="s">
        <v>240</v>
      </c>
      <c r="Y1503" s="8" t="s">
        <v>240</v>
      </c>
      <c r="Z1503" s="6" t="b">
        <v>0</v>
      </c>
      <c r="AA1503" s="9"/>
      <c r="AB1503" s="9"/>
    </row>
    <row r="1504" spans="1:28" ht="16">
      <c r="A1504" s="6">
        <v>1652</v>
      </c>
      <c r="B1504" s="8" t="s">
        <v>197</v>
      </c>
      <c r="C1504" s="8" t="s">
        <v>802</v>
      </c>
      <c r="D1504" s="8" t="s">
        <v>802</v>
      </c>
      <c r="E1504" s="8" t="s">
        <v>802</v>
      </c>
      <c r="F1504" s="6">
        <v>1652</v>
      </c>
      <c r="G1504" s="6" t="b">
        <v>0</v>
      </c>
      <c r="H1504" s="8" t="s">
        <v>480</v>
      </c>
      <c r="I1504" s="6" t="b">
        <v>0</v>
      </c>
      <c r="J1504" s="6" t="b">
        <v>0</v>
      </c>
      <c r="K1504" s="6" t="b">
        <v>0</v>
      </c>
      <c r="L1504" s="6" t="b">
        <v>1</v>
      </c>
      <c r="M1504" s="6" t="b">
        <v>0</v>
      </c>
      <c r="N1504" s="6">
        <v>0</v>
      </c>
      <c r="O1504" s="8" t="s">
        <v>347</v>
      </c>
      <c r="P1504" s="8" t="s">
        <v>380</v>
      </c>
      <c r="Q1504" s="8" t="s">
        <v>381</v>
      </c>
      <c r="R1504" s="6">
        <v>0</v>
      </c>
      <c r="S1504" s="8" t="s">
        <v>347</v>
      </c>
      <c r="T1504" s="9"/>
      <c r="U1504" s="8" t="s">
        <v>240</v>
      </c>
      <c r="V1504" s="8" t="s">
        <v>524</v>
      </c>
      <c r="W1504" s="8" t="s">
        <v>240</v>
      </c>
      <c r="X1504" s="8" t="s">
        <v>240</v>
      </c>
      <c r="Y1504" s="8" t="s">
        <v>240</v>
      </c>
      <c r="Z1504" s="6" t="b">
        <v>0</v>
      </c>
      <c r="AA1504" s="9"/>
      <c r="AB1504" s="9"/>
    </row>
    <row r="1505" spans="1:28" ht="32">
      <c r="A1505" s="6">
        <v>1653</v>
      </c>
      <c r="B1505" s="8" t="s">
        <v>199</v>
      </c>
      <c r="C1505" s="8" t="s">
        <v>111</v>
      </c>
      <c r="D1505" s="8" t="s">
        <v>998</v>
      </c>
      <c r="E1505" s="8" t="s">
        <v>998</v>
      </c>
      <c r="F1505" s="6">
        <v>1653</v>
      </c>
      <c r="G1505" s="6" t="b">
        <v>0</v>
      </c>
      <c r="H1505" s="8" t="s">
        <v>480</v>
      </c>
      <c r="I1505" s="6" t="b">
        <v>0</v>
      </c>
      <c r="J1505" s="6" t="b">
        <v>0</v>
      </c>
      <c r="K1505" s="6" t="b">
        <v>0</v>
      </c>
      <c r="L1505" s="6" t="b">
        <v>1</v>
      </c>
      <c r="M1505" s="6" t="b">
        <v>0</v>
      </c>
      <c r="N1505" s="6">
        <v>7</v>
      </c>
      <c r="O1505" s="8" t="s">
        <v>331</v>
      </c>
      <c r="P1505" s="8" t="s">
        <v>516</v>
      </c>
      <c r="Q1505" s="8" t="s">
        <v>481</v>
      </c>
      <c r="R1505" s="6">
        <v>3</v>
      </c>
      <c r="S1505" s="8" t="s">
        <v>335</v>
      </c>
      <c r="T1505" s="9"/>
      <c r="U1505" s="8" t="s">
        <v>240</v>
      </c>
      <c r="V1505" s="8" t="s">
        <v>482</v>
      </c>
      <c r="W1505" s="8" t="s">
        <v>483</v>
      </c>
      <c r="X1505" s="8" t="s">
        <v>240</v>
      </c>
      <c r="Y1505" s="8" t="s">
        <v>2482</v>
      </c>
      <c r="Z1505" s="6" t="b">
        <v>0</v>
      </c>
      <c r="AA1505" s="9"/>
      <c r="AB1505" s="9"/>
    </row>
    <row r="1506" spans="1:28" ht="16">
      <c r="A1506" s="6">
        <v>1654</v>
      </c>
      <c r="B1506" s="8" t="s">
        <v>1479</v>
      </c>
      <c r="C1506" s="8" t="s">
        <v>1479</v>
      </c>
      <c r="D1506" s="8" t="s">
        <v>1479</v>
      </c>
      <c r="E1506" s="8" t="s">
        <v>1479</v>
      </c>
      <c r="F1506" s="6">
        <v>1654</v>
      </c>
      <c r="G1506" s="6" t="b">
        <v>0</v>
      </c>
      <c r="H1506" s="8" t="s">
        <v>240</v>
      </c>
      <c r="I1506" s="6" t="b">
        <v>0</v>
      </c>
      <c r="J1506" s="6" t="b">
        <v>0</v>
      </c>
      <c r="K1506" s="6" t="b">
        <v>0</v>
      </c>
      <c r="L1506" s="6" t="b">
        <v>0</v>
      </c>
      <c r="M1506" s="6" t="b">
        <v>0</v>
      </c>
      <c r="N1506" s="6">
        <v>6</v>
      </c>
      <c r="O1506" s="8" t="s">
        <v>237</v>
      </c>
      <c r="P1506" s="8" t="s">
        <v>238</v>
      </c>
      <c r="Q1506" s="8" t="s">
        <v>237</v>
      </c>
      <c r="R1506" s="6">
        <v>6</v>
      </c>
      <c r="S1506" s="8" t="s">
        <v>75</v>
      </c>
      <c r="T1506" s="9"/>
      <c r="U1506" s="8" t="s">
        <v>240</v>
      </c>
      <c r="V1506" s="8" t="s">
        <v>240</v>
      </c>
      <c r="W1506" s="8" t="s">
        <v>240</v>
      </c>
      <c r="X1506" s="8" t="s">
        <v>240</v>
      </c>
      <c r="Y1506" s="8" t="s">
        <v>240</v>
      </c>
      <c r="Z1506" s="6" t="b">
        <v>0</v>
      </c>
      <c r="AA1506" s="9"/>
      <c r="AB1506" s="9"/>
    </row>
    <row r="1507" spans="1:28" ht="16">
      <c r="A1507" s="6">
        <v>1655</v>
      </c>
      <c r="B1507" s="8" t="s">
        <v>194</v>
      </c>
      <c r="C1507" s="8" t="s">
        <v>90</v>
      </c>
      <c r="D1507" s="8" t="s">
        <v>2160</v>
      </c>
      <c r="E1507" s="8" t="s">
        <v>2160</v>
      </c>
      <c r="F1507" s="6">
        <v>1655</v>
      </c>
      <c r="G1507" s="6" t="b">
        <v>0</v>
      </c>
      <c r="H1507" s="8" t="s">
        <v>240</v>
      </c>
      <c r="I1507" s="6" t="b">
        <v>0</v>
      </c>
      <c r="J1507" s="6" t="b">
        <v>0</v>
      </c>
      <c r="K1507" s="6" t="b">
        <v>1</v>
      </c>
      <c r="L1507" s="6" t="b">
        <v>1</v>
      </c>
      <c r="M1507" s="6" t="b">
        <v>0</v>
      </c>
      <c r="N1507" s="6">
        <v>6</v>
      </c>
      <c r="O1507" s="8" t="s">
        <v>446</v>
      </c>
      <c r="P1507" s="8" t="s">
        <v>238</v>
      </c>
      <c r="Q1507" s="8" t="s">
        <v>446</v>
      </c>
      <c r="R1507" s="6">
        <v>5</v>
      </c>
      <c r="S1507" s="8" t="s">
        <v>2483</v>
      </c>
      <c r="T1507" s="9"/>
      <c r="U1507" s="8" t="s">
        <v>240</v>
      </c>
      <c r="V1507" s="8" t="s">
        <v>1559</v>
      </c>
      <c r="W1507" s="8" t="s">
        <v>483</v>
      </c>
      <c r="X1507" s="8" t="s">
        <v>240</v>
      </c>
      <c r="Y1507" s="8" t="s">
        <v>2484</v>
      </c>
      <c r="Z1507" s="6" t="b">
        <v>0</v>
      </c>
      <c r="AA1507" s="9"/>
      <c r="AB1507" s="9"/>
    </row>
    <row r="1508" spans="1:28" ht="16">
      <c r="A1508" s="6">
        <v>1656</v>
      </c>
      <c r="B1508" s="8" t="s">
        <v>194</v>
      </c>
      <c r="C1508" s="8" t="s">
        <v>108</v>
      </c>
      <c r="D1508" s="8" t="s">
        <v>2485</v>
      </c>
      <c r="E1508" s="8" t="s">
        <v>2485</v>
      </c>
      <c r="F1508" s="6">
        <v>1656</v>
      </c>
      <c r="G1508" s="6" t="b">
        <v>0</v>
      </c>
      <c r="H1508" s="8" t="s">
        <v>240</v>
      </c>
      <c r="I1508" s="6" t="b">
        <v>0</v>
      </c>
      <c r="J1508" s="6" t="b">
        <v>0</v>
      </c>
      <c r="K1508" s="6" t="b">
        <v>0</v>
      </c>
      <c r="L1508" s="6" t="b">
        <v>1</v>
      </c>
      <c r="M1508" s="6" t="b">
        <v>0</v>
      </c>
      <c r="N1508" s="6">
        <v>3</v>
      </c>
      <c r="O1508" s="8" t="s">
        <v>347</v>
      </c>
      <c r="P1508" s="8" t="s">
        <v>380</v>
      </c>
      <c r="Q1508" s="8" t="s">
        <v>446</v>
      </c>
      <c r="R1508" s="6">
        <v>3</v>
      </c>
      <c r="S1508" s="8" t="s">
        <v>237</v>
      </c>
      <c r="T1508" s="9"/>
      <c r="U1508" s="8" t="s">
        <v>240</v>
      </c>
      <c r="V1508" s="8" t="s">
        <v>1559</v>
      </c>
      <c r="W1508" s="8" t="s">
        <v>240</v>
      </c>
      <c r="X1508" s="8" t="s">
        <v>240</v>
      </c>
      <c r="Y1508" s="8" t="s">
        <v>240</v>
      </c>
      <c r="Z1508" s="6" t="b">
        <v>0</v>
      </c>
      <c r="AA1508" s="9"/>
      <c r="AB1508" s="9"/>
    </row>
    <row r="1509" spans="1:28" ht="16">
      <c r="A1509" s="6">
        <v>1657</v>
      </c>
      <c r="B1509" s="8" t="s">
        <v>212</v>
      </c>
      <c r="C1509" s="8" t="s">
        <v>2486</v>
      </c>
      <c r="D1509" s="8" t="s">
        <v>2487</v>
      </c>
      <c r="E1509" s="8" t="s">
        <v>2487</v>
      </c>
      <c r="F1509" s="6">
        <v>1657</v>
      </c>
      <c r="G1509" s="6" t="b">
        <v>0</v>
      </c>
      <c r="H1509" s="8" t="s">
        <v>240</v>
      </c>
      <c r="I1509" s="6" t="b">
        <v>0</v>
      </c>
      <c r="J1509" s="6" t="b">
        <v>0</v>
      </c>
      <c r="K1509" s="6" t="b">
        <v>0</v>
      </c>
      <c r="L1509" s="6" t="b">
        <v>1</v>
      </c>
      <c r="M1509" s="6" t="b">
        <v>0</v>
      </c>
      <c r="N1509" s="6">
        <v>8</v>
      </c>
      <c r="O1509" s="8" t="s">
        <v>237</v>
      </c>
      <c r="P1509" s="8" t="s">
        <v>238</v>
      </c>
      <c r="Q1509" s="8" t="s">
        <v>446</v>
      </c>
      <c r="R1509" s="6">
        <v>8</v>
      </c>
      <c r="S1509" s="8" t="s">
        <v>237</v>
      </c>
      <c r="T1509" s="9"/>
      <c r="U1509" s="8" t="s">
        <v>240</v>
      </c>
      <c r="V1509" s="8" t="s">
        <v>1120</v>
      </c>
      <c r="W1509" s="8" t="s">
        <v>240</v>
      </c>
      <c r="X1509" s="8" t="s">
        <v>240</v>
      </c>
      <c r="Y1509" s="8" t="s">
        <v>240</v>
      </c>
      <c r="Z1509" s="6" t="b">
        <v>0</v>
      </c>
      <c r="AA1509" s="9"/>
      <c r="AB1509" s="9"/>
    </row>
    <row r="1510" spans="1:28" ht="32">
      <c r="A1510" s="6">
        <v>1658</v>
      </c>
      <c r="B1510" s="8" t="s">
        <v>198</v>
      </c>
      <c r="C1510" s="8" t="s">
        <v>163</v>
      </c>
      <c r="D1510" s="8" t="s">
        <v>2488</v>
      </c>
      <c r="E1510" s="8" t="s">
        <v>2488</v>
      </c>
      <c r="F1510" s="6">
        <v>1658</v>
      </c>
      <c r="G1510" s="6" t="b">
        <v>0</v>
      </c>
      <c r="H1510" s="8" t="s">
        <v>480</v>
      </c>
      <c r="I1510" s="6" t="b">
        <v>0</v>
      </c>
      <c r="J1510" s="6" t="b">
        <v>0</v>
      </c>
      <c r="K1510" s="6" t="b">
        <v>0</v>
      </c>
      <c r="L1510" s="6" t="b">
        <v>1</v>
      </c>
      <c r="M1510" s="6" t="b">
        <v>0</v>
      </c>
      <c r="N1510" s="6">
        <v>6</v>
      </c>
      <c r="O1510" s="8" t="s">
        <v>2489</v>
      </c>
      <c r="P1510" s="8" t="s">
        <v>238</v>
      </c>
      <c r="Q1510" s="8" t="s">
        <v>446</v>
      </c>
      <c r="R1510" s="6">
        <v>6</v>
      </c>
      <c r="S1510" s="8" t="s">
        <v>237</v>
      </c>
      <c r="T1510" s="9"/>
      <c r="U1510" s="8" t="s">
        <v>240</v>
      </c>
      <c r="V1510" s="8" t="s">
        <v>482</v>
      </c>
      <c r="W1510" s="8" t="s">
        <v>240</v>
      </c>
      <c r="X1510" s="8" t="s">
        <v>240</v>
      </c>
      <c r="Y1510" s="8" t="s">
        <v>240</v>
      </c>
      <c r="Z1510" s="6" t="b">
        <v>0</v>
      </c>
      <c r="AA1510" s="9"/>
      <c r="AB1510" s="9"/>
    </row>
    <row r="1511" spans="1:28" ht="16">
      <c r="A1511" s="6">
        <v>1659</v>
      </c>
      <c r="B1511" s="8" t="s">
        <v>197</v>
      </c>
      <c r="C1511" s="8" t="s">
        <v>153</v>
      </c>
      <c r="D1511" s="8" t="s">
        <v>2490</v>
      </c>
      <c r="E1511" s="8" t="s">
        <v>2490</v>
      </c>
      <c r="F1511" s="6">
        <v>1659</v>
      </c>
      <c r="G1511" s="6" t="b">
        <v>0</v>
      </c>
      <c r="H1511" s="8" t="s">
        <v>480</v>
      </c>
      <c r="I1511" s="6" t="b">
        <v>0</v>
      </c>
      <c r="J1511" s="6" t="b">
        <v>0</v>
      </c>
      <c r="K1511" s="6" t="b">
        <v>0</v>
      </c>
      <c r="L1511" s="6" t="b">
        <v>1</v>
      </c>
      <c r="M1511" s="6" t="b">
        <v>0</v>
      </c>
      <c r="N1511" s="6">
        <v>2</v>
      </c>
      <c r="O1511" s="8" t="s">
        <v>331</v>
      </c>
      <c r="P1511" s="8" t="s">
        <v>238</v>
      </c>
      <c r="Q1511" s="8" t="s">
        <v>446</v>
      </c>
      <c r="R1511" s="6">
        <v>2</v>
      </c>
      <c r="S1511" s="8" t="s">
        <v>237</v>
      </c>
      <c r="T1511" s="9"/>
      <c r="U1511" s="8" t="s">
        <v>240</v>
      </c>
      <c r="V1511" s="8" t="s">
        <v>482</v>
      </c>
      <c r="W1511" s="8" t="s">
        <v>386</v>
      </c>
      <c r="X1511" s="8" t="s">
        <v>240</v>
      </c>
      <c r="Y1511" s="8" t="s">
        <v>240</v>
      </c>
      <c r="Z1511" s="6" t="b">
        <v>0</v>
      </c>
      <c r="AA1511" s="9"/>
      <c r="AB1511" s="9"/>
    </row>
    <row r="1512" spans="1:28" ht="16">
      <c r="A1512" s="6">
        <v>1660</v>
      </c>
      <c r="B1512" s="8" t="s">
        <v>194</v>
      </c>
      <c r="C1512" s="8" t="s">
        <v>90</v>
      </c>
      <c r="D1512" s="8" t="s">
        <v>2491</v>
      </c>
      <c r="E1512" s="8" t="s">
        <v>2491</v>
      </c>
      <c r="F1512" s="6">
        <v>1660</v>
      </c>
      <c r="G1512" s="6" t="b">
        <v>0</v>
      </c>
      <c r="H1512" s="8" t="s">
        <v>240</v>
      </c>
      <c r="I1512" s="6" t="b">
        <v>1</v>
      </c>
      <c r="J1512" s="6" t="b">
        <v>0</v>
      </c>
      <c r="K1512" s="6" t="b">
        <v>0</v>
      </c>
      <c r="L1512" s="6" t="b">
        <v>1</v>
      </c>
      <c r="M1512" s="6" t="b">
        <v>0</v>
      </c>
      <c r="N1512" s="6">
        <v>6</v>
      </c>
      <c r="O1512" s="8" t="s">
        <v>331</v>
      </c>
      <c r="P1512" s="8" t="s">
        <v>350</v>
      </c>
      <c r="Q1512" s="8" t="s">
        <v>446</v>
      </c>
      <c r="R1512" s="6">
        <v>6</v>
      </c>
      <c r="S1512" s="8" t="s">
        <v>331</v>
      </c>
      <c r="T1512" s="9"/>
      <c r="U1512" s="8" t="s">
        <v>240</v>
      </c>
      <c r="V1512" s="8" t="s">
        <v>450</v>
      </c>
      <c r="W1512" s="8" t="s">
        <v>483</v>
      </c>
      <c r="X1512" s="8" t="s">
        <v>240</v>
      </c>
      <c r="Y1512" s="8" t="s">
        <v>2492</v>
      </c>
      <c r="Z1512" s="6" t="b">
        <v>0</v>
      </c>
      <c r="AA1512" s="9"/>
      <c r="AB1512" s="9"/>
    </row>
    <row r="1513" spans="1:28" ht="16">
      <c r="A1513" s="6">
        <v>1661</v>
      </c>
      <c r="B1513" s="8" t="s">
        <v>438</v>
      </c>
      <c r="C1513" s="8" t="s">
        <v>438</v>
      </c>
      <c r="D1513" s="8" t="s">
        <v>438</v>
      </c>
      <c r="E1513" s="8" t="s">
        <v>438</v>
      </c>
      <c r="F1513" s="6">
        <v>1661</v>
      </c>
      <c r="G1513" s="6" t="b">
        <v>0</v>
      </c>
      <c r="H1513" s="8" t="s">
        <v>240</v>
      </c>
      <c r="I1513" s="6" t="b">
        <v>0</v>
      </c>
      <c r="J1513" s="6" t="b">
        <v>0</v>
      </c>
      <c r="K1513" s="6" t="b">
        <v>0</v>
      </c>
      <c r="L1513" s="6" t="b">
        <v>0</v>
      </c>
      <c r="M1513" s="6" t="b">
        <v>0</v>
      </c>
      <c r="N1513" s="6">
        <v>5</v>
      </c>
      <c r="O1513" s="8" t="s">
        <v>237</v>
      </c>
      <c r="P1513" s="8" t="s">
        <v>238</v>
      </c>
      <c r="Q1513" s="8" t="s">
        <v>237</v>
      </c>
      <c r="R1513" s="6">
        <v>5</v>
      </c>
      <c r="S1513" s="8" t="s">
        <v>237</v>
      </c>
      <c r="T1513" s="9"/>
      <c r="U1513" s="8" t="s">
        <v>240</v>
      </c>
      <c r="V1513" s="8" t="s">
        <v>240</v>
      </c>
      <c r="W1513" s="8" t="s">
        <v>240</v>
      </c>
      <c r="X1513" s="8" t="s">
        <v>240</v>
      </c>
      <c r="Y1513" s="8" t="s">
        <v>240</v>
      </c>
      <c r="Z1513" s="6" t="b">
        <v>0</v>
      </c>
      <c r="AA1513" s="9"/>
      <c r="AB1513" s="9"/>
    </row>
    <row r="1514" spans="1:28" ht="16">
      <c r="A1514" s="6">
        <v>1664</v>
      </c>
      <c r="B1514" s="8" t="s">
        <v>94</v>
      </c>
      <c r="C1514" s="8" t="s">
        <v>633</v>
      </c>
      <c r="D1514" s="8" t="s">
        <v>2493</v>
      </c>
      <c r="E1514" s="8" t="s">
        <v>2493</v>
      </c>
      <c r="F1514" s="6">
        <v>1664</v>
      </c>
      <c r="G1514" s="6" t="b">
        <v>0</v>
      </c>
      <c r="H1514" s="8"/>
      <c r="I1514" s="6" t="b">
        <v>0</v>
      </c>
      <c r="J1514" s="6" t="b">
        <v>0</v>
      </c>
      <c r="K1514" s="6" t="b">
        <v>0</v>
      </c>
      <c r="L1514" s="6" t="b">
        <v>0</v>
      </c>
      <c r="M1514" s="6" t="b">
        <v>0</v>
      </c>
      <c r="N1514" s="6">
        <v>8</v>
      </c>
      <c r="O1514" s="8" t="s">
        <v>237</v>
      </c>
      <c r="P1514" s="8" t="s">
        <v>350</v>
      </c>
      <c r="Q1514" s="8" t="s">
        <v>335</v>
      </c>
      <c r="R1514" s="6">
        <v>10</v>
      </c>
      <c r="S1514" s="8" t="s">
        <v>335</v>
      </c>
      <c r="T1514" s="9"/>
      <c r="U1514" s="8" t="s">
        <v>240</v>
      </c>
      <c r="V1514" s="8" t="s">
        <v>2494</v>
      </c>
      <c r="W1514" s="8" t="s">
        <v>240</v>
      </c>
      <c r="X1514" s="8" t="s">
        <v>240</v>
      </c>
      <c r="Y1514" s="8" t="s">
        <v>2495</v>
      </c>
      <c r="Z1514" s="6" t="b">
        <v>0</v>
      </c>
      <c r="AA1514" s="9"/>
      <c r="AB1514" s="9"/>
    </row>
    <row r="1515" spans="1:28" ht="16">
      <c r="A1515" s="6">
        <v>1665</v>
      </c>
      <c r="B1515" s="8" t="s">
        <v>195</v>
      </c>
      <c r="C1515" s="8" t="s">
        <v>113</v>
      </c>
      <c r="D1515" s="8" t="s">
        <v>2496</v>
      </c>
      <c r="E1515" s="8" t="s">
        <v>2496</v>
      </c>
      <c r="F1515" s="6">
        <v>1665</v>
      </c>
      <c r="G1515" s="6" t="b">
        <v>0</v>
      </c>
      <c r="H1515" s="8" t="s">
        <v>240</v>
      </c>
      <c r="I1515" s="6" t="b">
        <v>0</v>
      </c>
      <c r="J1515" s="6" t="b">
        <v>0</v>
      </c>
      <c r="K1515" s="6" t="b">
        <v>0</v>
      </c>
      <c r="L1515" s="6" t="b">
        <v>1</v>
      </c>
      <c r="M1515" s="6" t="b">
        <v>0</v>
      </c>
      <c r="N1515" s="6">
        <v>1</v>
      </c>
      <c r="O1515" s="8" t="s">
        <v>446</v>
      </c>
      <c r="P1515" s="8" t="s">
        <v>238</v>
      </c>
      <c r="Q1515" s="8" t="s">
        <v>446</v>
      </c>
      <c r="R1515" s="6">
        <v>1</v>
      </c>
      <c r="S1515" s="8" t="s">
        <v>446</v>
      </c>
      <c r="T1515" s="9"/>
      <c r="U1515" s="8" t="s">
        <v>240</v>
      </c>
      <c r="V1515" s="8" t="s">
        <v>496</v>
      </c>
      <c r="W1515" s="8" t="s">
        <v>483</v>
      </c>
      <c r="X1515" s="8" t="s">
        <v>1066</v>
      </c>
      <c r="Y1515" s="8" t="s">
        <v>2497</v>
      </c>
      <c r="Z1515" s="6" t="b">
        <v>0</v>
      </c>
      <c r="AA1515" s="9"/>
      <c r="AB1515" s="9"/>
    </row>
    <row r="1516" spans="1:28" ht="16">
      <c r="A1516" s="6">
        <v>1666</v>
      </c>
      <c r="B1516" s="8" t="s">
        <v>199</v>
      </c>
      <c r="C1516" s="8" t="s">
        <v>96</v>
      </c>
      <c r="D1516" s="8" t="s">
        <v>2498</v>
      </c>
      <c r="E1516" s="8" t="s">
        <v>2498</v>
      </c>
      <c r="F1516" s="6">
        <v>1666</v>
      </c>
      <c r="G1516" s="6" t="b">
        <v>0</v>
      </c>
      <c r="H1516" s="8" t="s">
        <v>480</v>
      </c>
      <c r="I1516" s="6" t="b">
        <v>0</v>
      </c>
      <c r="J1516" s="6" t="b">
        <v>0</v>
      </c>
      <c r="K1516" s="6" t="b">
        <v>0</v>
      </c>
      <c r="L1516" s="6" t="b">
        <v>1</v>
      </c>
      <c r="M1516" s="6" t="b">
        <v>0</v>
      </c>
      <c r="N1516" s="6">
        <v>4</v>
      </c>
      <c r="O1516" s="8" t="s">
        <v>446</v>
      </c>
      <c r="P1516" s="8" t="s">
        <v>350</v>
      </c>
      <c r="Q1516" s="8" t="s">
        <v>446</v>
      </c>
      <c r="R1516" s="6">
        <v>4</v>
      </c>
      <c r="S1516" s="8" t="s">
        <v>347</v>
      </c>
      <c r="T1516" s="9"/>
      <c r="U1516" s="8" t="s">
        <v>240</v>
      </c>
      <c r="V1516" s="8" t="s">
        <v>2499</v>
      </c>
      <c r="W1516" s="8" t="s">
        <v>240</v>
      </c>
      <c r="X1516" s="8" t="s">
        <v>240</v>
      </c>
      <c r="Y1516" s="8" t="s">
        <v>2500</v>
      </c>
      <c r="Z1516" s="6" t="b">
        <v>0</v>
      </c>
      <c r="AA1516" s="9"/>
      <c r="AB1516" s="9"/>
    </row>
    <row r="1517" spans="1:28" ht="16">
      <c r="A1517" s="6">
        <v>1667</v>
      </c>
      <c r="B1517" s="8" t="s">
        <v>199</v>
      </c>
      <c r="C1517" s="8" t="s">
        <v>96</v>
      </c>
      <c r="D1517" s="8" t="s">
        <v>2501</v>
      </c>
      <c r="E1517" s="8" t="s">
        <v>2501</v>
      </c>
      <c r="F1517" s="6">
        <v>1667</v>
      </c>
      <c r="G1517" s="6" t="b">
        <v>0</v>
      </c>
      <c r="H1517" s="8" t="s">
        <v>480</v>
      </c>
      <c r="I1517" s="6" t="b">
        <v>0</v>
      </c>
      <c r="J1517" s="6" t="b">
        <v>0</v>
      </c>
      <c r="K1517" s="6" t="b">
        <v>0</v>
      </c>
      <c r="L1517" s="6" t="b">
        <v>1</v>
      </c>
      <c r="M1517" s="6" t="b">
        <v>0</v>
      </c>
      <c r="N1517" s="6">
        <v>4</v>
      </c>
      <c r="O1517" s="8" t="s">
        <v>331</v>
      </c>
      <c r="P1517" s="8" t="s">
        <v>350</v>
      </c>
      <c r="Q1517" s="8" t="s">
        <v>446</v>
      </c>
      <c r="R1517" s="6">
        <v>4</v>
      </c>
      <c r="S1517" s="8" t="s">
        <v>75</v>
      </c>
      <c r="T1517" s="9"/>
      <c r="U1517" s="8" t="s">
        <v>240</v>
      </c>
      <c r="V1517" s="8" t="s">
        <v>2499</v>
      </c>
      <c r="W1517" s="8" t="s">
        <v>386</v>
      </c>
      <c r="X1517" s="8" t="s">
        <v>240</v>
      </c>
      <c r="Y1517" s="8" t="s">
        <v>2502</v>
      </c>
      <c r="Z1517" s="6" t="b">
        <v>0</v>
      </c>
      <c r="AA1517" s="9"/>
      <c r="AB1517" s="9"/>
    </row>
    <row r="1518" spans="1:28" ht="16">
      <c r="A1518" s="6">
        <v>1668</v>
      </c>
      <c r="B1518" s="8" t="s">
        <v>199</v>
      </c>
      <c r="C1518" s="8" t="s">
        <v>151</v>
      </c>
      <c r="D1518" s="8" t="s">
        <v>2503</v>
      </c>
      <c r="E1518" s="8" t="s">
        <v>928</v>
      </c>
      <c r="F1518" s="6">
        <v>503</v>
      </c>
      <c r="G1518" s="6" t="b">
        <v>0</v>
      </c>
      <c r="H1518" s="8" t="s">
        <v>480</v>
      </c>
      <c r="I1518" s="6" t="b">
        <v>0</v>
      </c>
      <c r="J1518" s="6" t="b">
        <v>0</v>
      </c>
      <c r="K1518" s="6" t="b">
        <v>0</v>
      </c>
      <c r="L1518" s="6" t="b">
        <v>1</v>
      </c>
      <c r="M1518" s="6" t="b">
        <v>0</v>
      </c>
      <c r="N1518" s="6">
        <v>1</v>
      </c>
      <c r="O1518" s="8" t="s">
        <v>331</v>
      </c>
      <c r="P1518" s="8" t="s">
        <v>350</v>
      </c>
      <c r="Q1518" s="8" t="s">
        <v>446</v>
      </c>
      <c r="R1518" s="6">
        <v>2</v>
      </c>
      <c r="S1518" s="8" t="s">
        <v>2504</v>
      </c>
      <c r="T1518" s="9"/>
      <c r="U1518" s="8" t="s">
        <v>240</v>
      </c>
      <c r="V1518" s="8" t="s">
        <v>524</v>
      </c>
      <c r="W1518" s="8" t="s">
        <v>483</v>
      </c>
      <c r="X1518" s="8" t="s">
        <v>240</v>
      </c>
      <c r="Y1518" s="8" t="s">
        <v>240</v>
      </c>
      <c r="Z1518" s="6" t="b">
        <v>0</v>
      </c>
      <c r="AA1518" s="9"/>
      <c r="AB1518" s="9"/>
    </row>
    <row r="1519" spans="1:28" ht="16">
      <c r="A1519" s="6">
        <v>1669</v>
      </c>
      <c r="B1519" s="8" t="s">
        <v>199</v>
      </c>
      <c r="C1519" s="8" t="s">
        <v>96</v>
      </c>
      <c r="D1519" s="8" t="s">
        <v>2505</v>
      </c>
      <c r="E1519" s="8" t="s">
        <v>2505</v>
      </c>
      <c r="F1519" s="6">
        <v>1669</v>
      </c>
      <c r="G1519" s="6" t="b">
        <v>0</v>
      </c>
      <c r="H1519" s="8" t="s">
        <v>480</v>
      </c>
      <c r="I1519" s="6" t="b">
        <v>0</v>
      </c>
      <c r="J1519" s="6" t="b">
        <v>0</v>
      </c>
      <c r="K1519" s="6" t="b">
        <v>0</v>
      </c>
      <c r="L1519" s="6" t="b">
        <v>1</v>
      </c>
      <c r="M1519" s="6" t="b">
        <v>0</v>
      </c>
      <c r="N1519" s="6">
        <v>4</v>
      </c>
      <c r="O1519" s="8" t="s">
        <v>331</v>
      </c>
      <c r="P1519" s="8" t="s">
        <v>350</v>
      </c>
      <c r="Q1519" s="8" t="s">
        <v>446</v>
      </c>
      <c r="R1519" s="6">
        <v>6</v>
      </c>
      <c r="S1519" s="8" t="s">
        <v>2504</v>
      </c>
      <c r="T1519" s="9"/>
      <c r="U1519" s="8" t="s">
        <v>240</v>
      </c>
      <c r="V1519" s="8" t="s">
        <v>2499</v>
      </c>
      <c r="W1519" s="8" t="s">
        <v>240</v>
      </c>
      <c r="X1519" s="8" t="s">
        <v>240</v>
      </c>
      <c r="Y1519" s="8" t="s">
        <v>240</v>
      </c>
      <c r="Z1519" s="6" t="b">
        <v>0</v>
      </c>
      <c r="AA1519" s="9"/>
      <c r="AB1519" s="9"/>
    </row>
    <row r="1520" spans="1:28" ht="16">
      <c r="A1520" s="6">
        <v>1670</v>
      </c>
      <c r="B1520" s="8" t="s">
        <v>194</v>
      </c>
      <c r="C1520" s="8" t="s">
        <v>90</v>
      </c>
      <c r="D1520" s="8" t="s">
        <v>2506</v>
      </c>
      <c r="E1520" s="8" t="s">
        <v>2506</v>
      </c>
      <c r="F1520" s="6">
        <v>1670</v>
      </c>
      <c r="G1520" s="6" t="b">
        <v>0</v>
      </c>
      <c r="H1520" s="8" t="s">
        <v>240</v>
      </c>
      <c r="I1520" s="6" t="b">
        <v>0</v>
      </c>
      <c r="J1520" s="6" t="b">
        <v>0</v>
      </c>
      <c r="K1520" s="6" t="b">
        <v>1</v>
      </c>
      <c r="L1520" s="6" t="b">
        <v>1</v>
      </c>
      <c r="M1520" s="6" t="b">
        <v>0</v>
      </c>
      <c r="N1520" s="6">
        <v>6</v>
      </c>
      <c r="O1520" s="8" t="s">
        <v>446</v>
      </c>
      <c r="P1520" s="8" t="s">
        <v>238</v>
      </c>
      <c r="Q1520" s="8" t="s">
        <v>381</v>
      </c>
      <c r="R1520" s="6">
        <v>6</v>
      </c>
      <c r="S1520" s="8" t="s">
        <v>335</v>
      </c>
      <c r="T1520" s="9"/>
      <c r="U1520" s="8" t="s">
        <v>240</v>
      </c>
      <c r="V1520" s="8" t="s">
        <v>450</v>
      </c>
      <c r="W1520" s="8" t="s">
        <v>240</v>
      </c>
      <c r="X1520" s="8" t="s">
        <v>240</v>
      </c>
      <c r="Y1520" s="8" t="s">
        <v>240</v>
      </c>
      <c r="Z1520" s="6" t="b">
        <v>0</v>
      </c>
      <c r="AA1520" s="9"/>
      <c r="AB1520" s="9"/>
    </row>
    <row r="1521" spans="1:28" ht="16">
      <c r="A1521" s="6">
        <v>1671</v>
      </c>
      <c r="B1521" s="8" t="s">
        <v>194</v>
      </c>
      <c r="C1521" s="8" t="s">
        <v>90</v>
      </c>
      <c r="D1521" s="8" t="s">
        <v>2507</v>
      </c>
      <c r="E1521" s="8" t="s">
        <v>2507</v>
      </c>
      <c r="F1521" s="6">
        <v>1671</v>
      </c>
      <c r="G1521" s="6" t="b">
        <v>0</v>
      </c>
      <c r="H1521" s="8" t="s">
        <v>240</v>
      </c>
      <c r="I1521" s="6" t="b">
        <v>0</v>
      </c>
      <c r="J1521" s="6" t="b">
        <v>0</v>
      </c>
      <c r="K1521" s="6" t="b">
        <v>1</v>
      </c>
      <c r="L1521" s="6" t="b">
        <v>1</v>
      </c>
      <c r="M1521" s="6" t="b">
        <v>0</v>
      </c>
      <c r="N1521" s="6">
        <v>6</v>
      </c>
      <c r="O1521" s="8" t="s">
        <v>331</v>
      </c>
      <c r="P1521" s="8" t="s">
        <v>238</v>
      </c>
      <c r="Q1521" s="8" t="s">
        <v>446</v>
      </c>
      <c r="R1521" s="6">
        <v>8</v>
      </c>
      <c r="S1521" s="8" t="s">
        <v>335</v>
      </c>
      <c r="T1521" s="9"/>
      <c r="U1521" s="8" t="s">
        <v>240</v>
      </c>
      <c r="V1521" s="8" t="s">
        <v>450</v>
      </c>
      <c r="W1521" s="8" t="s">
        <v>240</v>
      </c>
      <c r="X1521" s="8" t="s">
        <v>240</v>
      </c>
      <c r="Y1521" s="8" t="s">
        <v>240</v>
      </c>
      <c r="Z1521" s="6" t="b">
        <v>0</v>
      </c>
      <c r="AA1521" s="9"/>
      <c r="AB1521" s="9"/>
    </row>
    <row r="1522" spans="1:28" ht="16">
      <c r="A1522" s="6">
        <v>1672</v>
      </c>
      <c r="B1522" s="8" t="s">
        <v>194</v>
      </c>
      <c r="C1522" s="8" t="s">
        <v>124</v>
      </c>
      <c r="D1522" s="8" t="s">
        <v>2508</v>
      </c>
      <c r="E1522" s="8" t="s">
        <v>2055</v>
      </c>
      <c r="F1522" s="6">
        <v>1323</v>
      </c>
      <c r="G1522" s="6" t="b">
        <v>0</v>
      </c>
      <c r="H1522" s="8" t="s">
        <v>240</v>
      </c>
      <c r="I1522" s="6" t="b">
        <v>0</v>
      </c>
      <c r="J1522" s="6" t="b">
        <v>0</v>
      </c>
      <c r="K1522" s="6" t="b">
        <v>0</v>
      </c>
      <c r="L1522" s="6" t="b">
        <v>1</v>
      </c>
      <c r="M1522" s="6" t="b">
        <v>0</v>
      </c>
      <c r="N1522" s="6">
        <v>6</v>
      </c>
      <c r="O1522" s="8" t="s">
        <v>331</v>
      </c>
      <c r="P1522" s="8" t="s">
        <v>238</v>
      </c>
      <c r="Q1522" s="8" t="s">
        <v>446</v>
      </c>
      <c r="R1522" s="6">
        <v>6</v>
      </c>
      <c r="S1522" s="8" t="s">
        <v>335</v>
      </c>
      <c r="T1522" s="9"/>
      <c r="U1522" s="8" t="s">
        <v>240</v>
      </c>
      <c r="V1522" s="8" t="s">
        <v>2509</v>
      </c>
      <c r="W1522" s="8" t="s">
        <v>240</v>
      </c>
      <c r="X1522" s="8" t="s">
        <v>240</v>
      </c>
      <c r="Y1522" s="8" t="s">
        <v>240</v>
      </c>
      <c r="Z1522" s="6" t="b">
        <v>0</v>
      </c>
      <c r="AA1522" s="9"/>
      <c r="AB1522" s="9"/>
    </row>
    <row r="1523" spans="1:28" ht="16">
      <c r="A1523" s="6">
        <v>1673</v>
      </c>
      <c r="B1523" s="8" t="s">
        <v>198</v>
      </c>
      <c r="C1523" s="8" t="s">
        <v>146</v>
      </c>
      <c r="D1523" s="8" t="s">
        <v>2510</v>
      </c>
      <c r="E1523" s="8" t="s">
        <v>1472</v>
      </c>
      <c r="F1523" s="6">
        <v>877</v>
      </c>
      <c r="G1523" s="6" t="b">
        <v>0</v>
      </c>
      <c r="H1523" s="8" t="s">
        <v>480</v>
      </c>
      <c r="I1523" s="6" t="b">
        <v>0</v>
      </c>
      <c r="J1523" s="6" t="b">
        <v>0</v>
      </c>
      <c r="K1523" s="6" t="b">
        <v>0</v>
      </c>
      <c r="L1523" s="6" t="b">
        <v>1</v>
      </c>
      <c r="M1523" s="6" t="b">
        <v>0</v>
      </c>
      <c r="N1523" s="6">
        <v>4</v>
      </c>
      <c r="O1523" s="8" t="s">
        <v>331</v>
      </c>
      <c r="P1523" s="8" t="s">
        <v>380</v>
      </c>
      <c r="Q1523" s="8" t="s">
        <v>446</v>
      </c>
      <c r="R1523" s="6">
        <v>6</v>
      </c>
      <c r="S1523" s="8" t="s">
        <v>335</v>
      </c>
      <c r="T1523" s="9"/>
      <c r="U1523" s="8" t="s">
        <v>240</v>
      </c>
      <c r="V1523" s="8" t="s">
        <v>2511</v>
      </c>
      <c r="W1523" s="8" t="s">
        <v>240</v>
      </c>
      <c r="X1523" s="8" t="s">
        <v>240</v>
      </c>
      <c r="Y1523" s="8" t="s">
        <v>2512</v>
      </c>
      <c r="Z1523" s="6" t="b">
        <v>0</v>
      </c>
      <c r="AA1523" s="9"/>
      <c r="AB1523" s="9"/>
    </row>
    <row r="1524" spans="1:28" ht="16">
      <c r="A1524" s="6">
        <v>1674</v>
      </c>
      <c r="B1524" s="8" t="s">
        <v>2315</v>
      </c>
      <c r="C1524" s="8" t="s">
        <v>102</v>
      </c>
      <c r="D1524" s="8" t="s">
        <v>2513</v>
      </c>
      <c r="E1524" s="8" t="s">
        <v>2513</v>
      </c>
      <c r="F1524" s="6">
        <v>1674</v>
      </c>
      <c r="G1524" s="6" t="b">
        <v>0</v>
      </c>
      <c r="H1524" s="8" t="s">
        <v>240</v>
      </c>
      <c r="I1524" s="6" t="b">
        <v>0</v>
      </c>
      <c r="J1524" s="6" t="b">
        <v>0</v>
      </c>
      <c r="K1524" s="6" t="b">
        <v>0</v>
      </c>
      <c r="L1524" s="6" t="b">
        <v>0</v>
      </c>
      <c r="M1524" s="6" t="b">
        <v>0</v>
      </c>
      <c r="N1524" s="6">
        <v>7</v>
      </c>
      <c r="O1524" s="8" t="s">
        <v>331</v>
      </c>
      <c r="P1524" s="8" t="s">
        <v>516</v>
      </c>
      <c r="Q1524" s="8" t="s">
        <v>331</v>
      </c>
      <c r="R1524" s="6">
        <v>8</v>
      </c>
      <c r="S1524" s="8" t="s">
        <v>335</v>
      </c>
      <c r="T1524" s="9"/>
      <c r="U1524" s="8" t="s">
        <v>240</v>
      </c>
      <c r="V1524" s="8" t="s">
        <v>2494</v>
      </c>
      <c r="W1524" s="8" t="s">
        <v>240</v>
      </c>
      <c r="X1524" s="8" t="s">
        <v>240</v>
      </c>
      <c r="Y1524" s="8" t="s">
        <v>2514</v>
      </c>
      <c r="Z1524" s="6" t="b">
        <v>0</v>
      </c>
      <c r="AA1524" s="9"/>
      <c r="AB1524" s="9"/>
    </row>
    <row r="1525" spans="1:28" ht="16">
      <c r="A1525" s="6">
        <v>1675</v>
      </c>
      <c r="B1525" s="8" t="s">
        <v>2315</v>
      </c>
      <c r="C1525" s="8" t="s">
        <v>2342</v>
      </c>
      <c r="D1525" s="8" t="s">
        <v>2515</v>
      </c>
      <c r="E1525" s="8" t="s">
        <v>2515</v>
      </c>
      <c r="F1525" s="6">
        <v>1675</v>
      </c>
      <c r="G1525" s="6" t="b">
        <v>0</v>
      </c>
      <c r="H1525" s="8" t="s">
        <v>240</v>
      </c>
      <c r="I1525" s="6" t="b">
        <v>0</v>
      </c>
      <c r="J1525" s="6" t="b">
        <v>0</v>
      </c>
      <c r="K1525" s="6" t="b">
        <v>0</v>
      </c>
      <c r="L1525" s="6" t="b">
        <v>0</v>
      </c>
      <c r="M1525" s="6" t="b">
        <v>0</v>
      </c>
      <c r="N1525" s="6">
        <v>6</v>
      </c>
      <c r="O1525" s="8" t="s">
        <v>237</v>
      </c>
      <c r="P1525" s="8" t="s">
        <v>516</v>
      </c>
      <c r="Q1525" s="8" t="s">
        <v>237</v>
      </c>
      <c r="R1525" s="6">
        <v>7</v>
      </c>
      <c r="S1525" s="8" t="s">
        <v>335</v>
      </c>
      <c r="T1525" s="9"/>
      <c r="U1525" s="8" t="s">
        <v>240</v>
      </c>
      <c r="V1525" s="8" t="s">
        <v>2494</v>
      </c>
      <c r="W1525" s="8" t="s">
        <v>240</v>
      </c>
      <c r="X1525" s="8" t="s">
        <v>240</v>
      </c>
      <c r="Y1525" s="8" t="s">
        <v>2516</v>
      </c>
      <c r="Z1525" s="6" t="b">
        <v>0</v>
      </c>
      <c r="AA1525" s="9"/>
      <c r="AB1525" s="9"/>
    </row>
    <row r="1526" spans="1:28" ht="16">
      <c r="A1526" s="6">
        <v>1676</v>
      </c>
      <c r="B1526" s="8" t="s">
        <v>2315</v>
      </c>
      <c r="C1526" s="8" t="s">
        <v>2315</v>
      </c>
      <c r="D1526" s="8" t="s">
        <v>2315</v>
      </c>
      <c r="E1526" s="8" t="s">
        <v>2315</v>
      </c>
      <c r="F1526" s="6">
        <v>1676</v>
      </c>
      <c r="G1526" s="6" t="b">
        <v>0</v>
      </c>
      <c r="H1526" s="8" t="s">
        <v>240</v>
      </c>
      <c r="I1526" s="6" t="b">
        <v>0</v>
      </c>
      <c r="J1526" s="6" t="b">
        <v>0</v>
      </c>
      <c r="K1526" s="6" t="b">
        <v>0</v>
      </c>
      <c r="L1526" s="6" t="b">
        <v>0</v>
      </c>
      <c r="M1526" s="6" t="b">
        <v>0</v>
      </c>
      <c r="N1526" s="6">
        <v>7</v>
      </c>
      <c r="O1526" s="8" t="s">
        <v>335</v>
      </c>
      <c r="P1526" s="8" t="s">
        <v>516</v>
      </c>
      <c r="Q1526" s="8" t="s">
        <v>237</v>
      </c>
      <c r="R1526" s="6">
        <v>7</v>
      </c>
      <c r="S1526" s="8" t="s">
        <v>335</v>
      </c>
      <c r="T1526" s="9"/>
      <c r="U1526" s="8" t="s">
        <v>240</v>
      </c>
      <c r="V1526" s="8" t="s">
        <v>2494</v>
      </c>
      <c r="W1526" s="8" t="s">
        <v>240</v>
      </c>
      <c r="X1526" s="8" t="s">
        <v>240</v>
      </c>
      <c r="Y1526" s="8" t="s">
        <v>240</v>
      </c>
      <c r="Z1526" s="6" t="b">
        <v>0</v>
      </c>
      <c r="AA1526" s="9"/>
      <c r="AB1526" s="9"/>
    </row>
    <row r="1527" spans="1:28" ht="16">
      <c r="A1527" s="6">
        <v>1677</v>
      </c>
      <c r="B1527" s="8" t="s">
        <v>1225</v>
      </c>
      <c r="C1527" s="8" t="s">
        <v>1226</v>
      </c>
      <c r="D1527" s="8" t="s">
        <v>2517</v>
      </c>
      <c r="E1527" s="8" t="s">
        <v>1236</v>
      </c>
      <c r="F1527" s="6">
        <v>723</v>
      </c>
      <c r="G1527" s="6" t="b">
        <v>0</v>
      </c>
      <c r="H1527" s="8" t="s">
        <v>240</v>
      </c>
      <c r="I1527" s="6" t="b">
        <v>0</v>
      </c>
      <c r="J1527" s="6" t="b">
        <v>0</v>
      </c>
      <c r="K1527" s="6" t="b">
        <v>0</v>
      </c>
      <c r="L1527" s="6" t="b">
        <v>1</v>
      </c>
      <c r="M1527" s="6" t="b">
        <v>0</v>
      </c>
      <c r="N1527" s="6">
        <v>0</v>
      </c>
      <c r="O1527" s="8" t="s">
        <v>331</v>
      </c>
      <c r="P1527" s="8" t="s">
        <v>238</v>
      </c>
      <c r="Q1527" s="8" t="s">
        <v>446</v>
      </c>
      <c r="R1527" s="6">
        <v>0</v>
      </c>
      <c r="S1527" s="8" t="s">
        <v>335</v>
      </c>
      <c r="T1527" s="9"/>
      <c r="U1527" s="8" t="s">
        <v>240</v>
      </c>
      <c r="V1527" s="8" t="s">
        <v>2518</v>
      </c>
      <c r="W1527" s="8" t="s">
        <v>483</v>
      </c>
      <c r="X1527" s="8" t="s">
        <v>240</v>
      </c>
      <c r="Y1527" s="8" t="s">
        <v>240</v>
      </c>
      <c r="Z1527" s="6" t="b">
        <v>0</v>
      </c>
      <c r="AA1527" s="9"/>
      <c r="AB1527" s="9"/>
    </row>
    <row r="1528" spans="1:28" ht="16">
      <c r="A1528" s="6">
        <v>1678</v>
      </c>
      <c r="B1528" s="8" t="s">
        <v>2315</v>
      </c>
      <c r="C1528" s="8" t="s">
        <v>166</v>
      </c>
      <c r="D1528" s="8" t="s">
        <v>166</v>
      </c>
      <c r="E1528" s="8" t="s">
        <v>166</v>
      </c>
      <c r="F1528" s="6">
        <v>1678</v>
      </c>
      <c r="G1528" s="6" t="b">
        <v>0</v>
      </c>
      <c r="H1528" s="8" t="s">
        <v>240</v>
      </c>
      <c r="I1528" s="6" t="b">
        <v>0</v>
      </c>
      <c r="J1528" s="6" t="b">
        <v>0</v>
      </c>
      <c r="K1528" s="6" t="b">
        <v>0</v>
      </c>
      <c r="L1528" s="6" t="b">
        <v>0</v>
      </c>
      <c r="M1528" s="6" t="b">
        <v>0</v>
      </c>
      <c r="N1528" s="6">
        <v>6</v>
      </c>
      <c r="O1528" s="8" t="s">
        <v>331</v>
      </c>
      <c r="P1528" s="8" t="s">
        <v>516</v>
      </c>
      <c r="Q1528" s="8" t="s">
        <v>335</v>
      </c>
      <c r="R1528" s="6">
        <v>6</v>
      </c>
      <c r="S1528" s="8" t="s">
        <v>75</v>
      </c>
      <c r="T1528" s="9"/>
      <c r="U1528" s="8" t="s">
        <v>240</v>
      </c>
      <c r="V1528" s="8" t="s">
        <v>240</v>
      </c>
      <c r="W1528" s="8" t="s">
        <v>240</v>
      </c>
      <c r="X1528" s="8" t="s">
        <v>240</v>
      </c>
      <c r="Y1528" s="8" t="s">
        <v>240</v>
      </c>
      <c r="Z1528" s="6" t="b">
        <v>0</v>
      </c>
      <c r="AA1528" s="9"/>
      <c r="AB1528" s="9"/>
    </row>
    <row r="1529" spans="1:28" ht="16">
      <c r="A1529" s="6">
        <v>1679</v>
      </c>
      <c r="B1529" s="8" t="s">
        <v>212</v>
      </c>
      <c r="C1529" s="8" t="s">
        <v>1179</v>
      </c>
      <c r="D1529" s="8" t="s">
        <v>2519</v>
      </c>
      <c r="E1529" s="8" t="s">
        <v>2519</v>
      </c>
      <c r="F1529" s="6">
        <v>1679</v>
      </c>
      <c r="G1529" s="6" t="b">
        <v>0</v>
      </c>
      <c r="H1529" s="8" t="s">
        <v>240</v>
      </c>
      <c r="I1529" s="6" t="b">
        <v>0</v>
      </c>
      <c r="J1529" s="6" t="b">
        <v>0</v>
      </c>
      <c r="K1529" s="6" t="b">
        <v>0</v>
      </c>
      <c r="L1529" s="6" t="b">
        <v>1</v>
      </c>
      <c r="M1529" s="6" t="b">
        <v>0</v>
      </c>
      <c r="N1529" s="6">
        <v>8</v>
      </c>
      <c r="O1529" s="8" t="s">
        <v>237</v>
      </c>
      <c r="P1529" s="8" t="s">
        <v>1176</v>
      </c>
      <c r="Q1529" s="8" t="s">
        <v>446</v>
      </c>
      <c r="R1529" s="6">
        <v>8</v>
      </c>
      <c r="S1529" s="8" t="s">
        <v>75</v>
      </c>
      <c r="T1529" s="9"/>
      <c r="U1529" s="8" t="s">
        <v>240</v>
      </c>
      <c r="V1529" s="8" t="s">
        <v>240</v>
      </c>
      <c r="W1529" s="8" t="s">
        <v>240</v>
      </c>
      <c r="X1529" s="8" t="s">
        <v>240</v>
      </c>
      <c r="Y1529" s="8" t="s">
        <v>240</v>
      </c>
      <c r="Z1529" s="6" t="b">
        <v>0</v>
      </c>
      <c r="AA1529" s="9"/>
      <c r="AB1529" s="9"/>
    </row>
    <row r="1530" spans="1:28" ht="32">
      <c r="A1530" s="6">
        <v>1680</v>
      </c>
      <c r="B1530" s="8" t="s">
        <v>195</v>
      </c>
      <c r="C1530" s="8" t="s">
        <v>113</v>
      </c>
      <c r="D1530" s="8" t="s">
        <v>2520</v>
      </c>
      <c r="E1530" s="8" t="s">
        <v>2472</v>
      </c>
      <c r="F1530" s="6">
        <v>1643</v>
      </c>
      <c r="G1530" s="6" t="b">
        <v>0</v>
      </c>
      <c r="H1530" s="8" t="s">
        <v>240</v>
      </c>
      <c r="I1530" s="6" t="b">
        <v>0</v>
      </c>
      <c r="J1530" s="6" t="b">
        <v>0</v>
      </c>
      <c r="K1530" s="6" t="b">
        <v>0</v>
      </c>
      <c r="L1530" s="6" t="b">
        <v>1</v>
      </c>
      <c r="M1530" s="6" t="b">
        <v>0</v>
      </c>
      <c r="N1530" s="6">
        <v>1</v>
      </c>
      <c r="O1530" s="8" t="s">
        <v>331</v>
      </c>
      <c r="P1530" s="8" t="s">
        <v>238</v>
      </c>
      <c r="Q1530" s="8" t="s">
        <v>446</v>
      </c>
      <c r="R1530" s="6">
        <v>1</v>
      </c>
      <c r="S1530" s="8" t="s">
        <v>75</v>
      </c>
      <c r="T1530" s="9"/>
      <c r="U1530" s="8" t="s">
        <v>240</v>
      </c>
      <c r="V1530" s="8" t="s">
        <v>240</v>
      </c>
      <c r="W1530" s="8" t="s">
        <v>240</v>
      </c>
      <c r="X1530" s="8" t="s">
        <v>2521</v>
      </c>
      <c r="Y1530" s="8" t="s">
        <v>2522</v>
      </c>
      <c r="Z1530" s="6" t="b">
        <v>0</v>
      </c>
      <c r="AA1530" s="9"/>
      <c r="AB1530" s="9"/>
    </row>
    <row r="1531" spans="1:28" ht="16">
      <c r="A1531" s="6">
        <v>1681</v>
      </c>
      <c r="B1531" s="8" t="s">
        <v>443</v>
      </c>
      <c r="C1531" s="8" t="s">
        <v>443</v>
      </c>
      <c r="D1531" s="8" t="s">
        <v>443</v>
      </c>
      <c r="E1531" s="8" t="s">
        <v>443</v>
      </c>
      <c r="F1531" s="6">
        <v>1681</v>
      </c>
      <c r="G1531" s="6" t="b">
        <v>0</v>
      </c>
      <c r="H1531" s="8" t="s">
        <v>240</v>
      </c>
      <c r="I1531" s="6" t="b">
        <v>0</v>
      </c>
      <c r="J1531" s="6" t="b">
        <v>0</v>
      </c>
      <c r="K1531" s="6" t="b">
        <v>0</v>
      </c>
      <c r="L1531" s="6" t="b">
        <v>0</v>
      </c>
      <c r="M1531" s="6" t="b">
        <v>0</v>
      </c>
      <c r="N1531" s="6">
        <v>10</v>
      </c>
      <c r="O1531" s="8" t="s">
        <v>331</v>
      </c>
      <c r="P1531" s="8" t="s">
        <v>350</v>
      </c>
      <c r="Q1531" s="8" t="s">
        <v>331</v>
      </c>
      <c r="R1531" s="6">
        <v>10</v>
      </c>
      <c r="S1531" s="8" t="s">
        <v>331</v>
      </c>
      <c r="T1531" s="9"/>
      <c r="U1531" s="8" t="s">
        <v>240</v>
      </c>
      <c r="V1531" s="8" t="s">
        <v>240</v>
      </c>
      <c r="W1531" s="8" t="s">
        <v>240</v>
      </c>
      <c r="X1531" s="8" t="s">
        <v>240</v>
      </c>
      <c r="Y1531" s="8" t="s">
        <v>2523</v>
      </c>
      <c r="Z1531" s="6" t="b">
        <v>0</v>
      </c>
      <c r="AA1531" s="9"/>
      <c r="AB1531" s="9"/>
    </row>
    <row r="1532" spans="1:28" ht="16">
      <c r="A1532" s="6">
        <v>1682</v>
      </c>
      <c r="B1532" s="8" t="s">
        <v>198</v>
      </c>
      <c r="C1532" s="8" t="s">
        <v>89</v>
      </c>
      <c r="D1532" s="8" t="s">
        <v>2524</v>
      </c>
      <c r="E1532" s="8" t="s">
        <v>1289</v>
      </c>
      <c r="F1532" s="6">
        <v>753</v>
      </c>
      <c r="G1532" s="6" t="b">
        <v>0</v>
      </c>
      <c r="H1532" s="8" t="s">
        <v>480</v>
      </c>
      <c r="I1532" s="6" t="b">
        <v>0</v>
      </c>
      <c r="J1532" s="6" t="b">
        <v>0</v>
      </c>
      <c r="K1532" s="6" t="b">
        <v>0</v>
      </c>
      <c r="L1532" s="6" t="b">
        <v>1</v>
      </c>
      <c r="M1532" s="6" t="b">
        <v>0</v>
      </c>
      <c r="N1532" s="6">
        <v>4</v>
      </c>
      <c r="O1532" s="8" t="s">
        <v>331</v>
      </c>
      <c r="P1532" s="8" t="s">
        <v>255</v>
      </c>
      <c r="Q1532" s="8" t="s">
        <v>446</v>
      </c>
      <c r="R1532" s="6">
        <v>6</v>
      </c>
      <c r="S1532" s="8" t="s">
        <v>347</v>
      </c>
      <c r="T1532" s="9"/>
      <c r="U1532" s="8" t="s">
        <v>240</v>
      </c>
      <c r="V1532" s="8" t="s">
        <v>240</v>
      </c>
      <c r="W1532" s="8" t="s">
        <v>240</v>
      </c>
      <c r="X1532" s="8" t="s">
        <v>240</v>
      </c>
      <c r="Y1532" s="8" t="s">
        <v>2525</v>
      </c>
      <c r="Z1532" s="6" t="b">
        <v>0</v>
      </c>
      <c r="AA1532" s="9"/>
      <c r="AB1532" s="9"/>
    </row>
    <row r="1533" spans="1:28" ht="32">
      <c r="A1533" s="6">
        <v>1683</v>
      </c>
      <c r="B1533" s="8" t="s">
        <v>199</v>
      </c>
      <c r="C1533" s="8" t="s">
        <v>96</v>
      </c>
      <c r="D1533" s="8" t="s">
        <v>2526</v>
      </c>
      <c r="E1533" s="8" t="s">
        <v>2527</v>
      </c>
      <c r="F1533" s="6">
        <v>2772</v>
      </c>
      <c r="G1533" s="6" t="b">
        <v>0</v>
      </c>
      <c r="H1533" s="8" t="s">
        <v>480</v>
      </c>
      <c r="I1533" s="6" t="b">
        <v>0</v>
      </c>
      <c r="J1533" s="6" t="b">
        <v>0</v>
      </c>
      <c r="K1533" s="6" t="b">
        <v>0</v>
      </c>
      <c r="L1533" s="6" t="b">
        <v>1</v>
      </c>
      <c r="M1533" s="6" t="b">
        <v>0</v>
      </c>
      <c r="N1533" s="6">
        <v>4</v>
      </c>
      <c r="O1533" s="8" t="s">
        <v>331</v>
      </c>
      <c r="P1533" s="8" t="s">
        <v>350</v>
      </c>
      <c r="Q1533" s="8" t="s">
        <v>446</v>
      </c>
      <c r="R1533" s="6">
        <v>4</v>
      </c>
      <c r="S1533" s="8" t="s">
        <v>75</v>
      </c>
      <c r="T1533" s="9"/>
      <c r="U1533" s="8" t="s">
        <v>240</v>
      </c>
      <c r="V1533" s="8" t="s">
        <v>240</v>
      </c>
      <c r="W1533" s="8" t="s">
        <v>240</v>
      </c>
      <c r="X1533" s="8" t="s">
        <v>240</v>
      </c>
      <c r="Y1533" s="8" t="s">
        <v>2528</v>
      </c>
      <c r="Z1533" s="6" t="b">
        <v>0</v>
      </c>
      <c r="AA1533" s="9"/>
      <c r="AB1533" s="9"/>
    </row>
    <row r="1534" spans="1:28" ht="16">
      <c r="A1534" s="6">
        <v>1684</v>
      </c>
      <c r="B1534" s="8" t="s">
        <v>199</v>
      </c>
      <c r="C1534" s="8" t="s">
        <v>896</v>
      </c>
      <c r="D1534" s="8" t="s">
        <v>2529</v>
      </c>
      <c r="E1534" s="8" t="s">
        <v>2529</v>
      </c>
      <c r="F1534" s="6">
        <v>1684</v>
      </c>
      <c r="G1534" s="6" t="b">
        <v>0</v>
      </c>
      <c r="H1534" s="8" t="s">
        <v>480</v>
      </c>
      <c r="I1534" s="6" t="b">
        <v>0</v>
      </c>
      <c r="J1534" s="6" t="b">
        <v>0</v>
      </c>
      <c r="K1534" s="6" t="b">
        <v>0</v>
      </c>
      <c r="L1534" s="6" t="b">
        <v>1</v>
      </c>
      <c r="M1534" s="6" t="b">
        <v>0</v>
      </c>
      <c r="N1534" s="6">
        <v>4</v>
      </c>
      <c r="O1534" s="8" t="s">
        <v>446</v>
      </c>
      <c r="P1534" s="8" t="s">
        <v>350</v>
      </c>
      <c r="Q1534" s="8" t="s">
        <v>446</v>
      </c>
      <c r="R1534" s="6">
        <v>0</v>
      </c>
      <c r="S1534" s="8" t="s">
        <v>331</v>
      </c>
      <c r="T1534" s="9"/>
      <c r="U1534" s="8" t="s">
        <v>240</v>
      </c>
      <c r="V1534" s="8" t="s">
        <v>240</v>
      </c>
      <c r="W1534" s="8" t="s">
        <v>240</v>
      </c>
      <c r="X1534" s="8" t="s">
        <v>240</v>
      </c>
      <c r="Y1534" s="8" t="s">
        <v>240</v>
      </c>
      <c r="Z1534" s="6" t="b">
        <v>0</v>
      </c>
      <c r="AA1534" s="9"/>
      <c r="AB1534" s="9"/>
    </row>
    <row r="1535" spans="1:28" ht="16">
      <c r="A1535" s="6">
        <v>1685</v>
      </c>
      <c r="B1535" s="8" t="s">
        <v>199</v>
      </c>
      <c r="C1535" s="8" t="s">
        <v>111</v>
      </c>
      <c r="D1535" s="8" t="s">
        <v>2530</v>
      </c>
      <c r="E1535" s="8" t="s">
        <v>2530</v>
      </c>
      <c r="F1535" s="6">
        <v>1685</v>
      </c>
      <c r="G1535" s="6" t="b">
        <v>0</v>
      </c>
      <c r="H1535" s="8" t="s">
        <v>480</v>
      </c>
      <c r="I1535" s="6" t="b">
        <v>0</v>
      </c>
      <c r="J1535" s="6" t="b">
        <v>0</v>
      </c>
      <c r="K1535" s="6" t="b">
        <v>0</v>
      </c>
      <c r="L1535" s="6" t="b">
        <v>1</v>
      </c>
      <c r="M1535" s="6" t="b">
        <v>0</v>
      </c>
      <c r="N1535" s="6">
        <v>4</v>
      </c>
      <c r="O1535" s="8" t="s">
        <v>331</v>
      </c>
      <c r="P1535" s="8" t="s">
        <v>516</v>
      </c>
      <c r="Q1535" s="8" t="s">
        <v>446</v>
      </c>
      <c r="R1535" s="6">
        <v>1</v>
      </c>
      <c r="S1535" s="8" t="s">
        <v>1619</v>
      </c>
      <c r="T1535" s="9"/>
      <c r="U1535" s="8" t="s">
        <v>240</v>
      </c>
      <c r="V1535" s="8" t="s">
        <v>240</v>
      </c>
      <c r="W1535" s="8" t="s">
        <v>240</v>
      </c>
      <c r="X1535" s="8" t="s">
        <v>240</v>
      </c>
      <c r="Y1535" s="8" t="s">
        <v>2531</v>
      </c>
      <c r="Z1535" s="6" t="b">
        <v>0</v>
      </c>
      <c r="AA1535" s="9"/>
      <c r="AB1535" s="9"/>
    </row>
    <row r="1536" spans="1:28" ht="16">
      <c r="A1536" s="6">
        <v>1686</v>
      </c>
      <c r="B1536" s="8" t="s">
        <v>194</v>
      </c>
      <c r="C1536" s="8" t="s">
        <v>90</v>
      </c>
      <c r="D1536" s="8" t="s">
        <v>2532</v>
      </c>
      <c r="E1536" s="8" t="s">
        <v>2532</v>
      </c>
      <c r="F1536" s="6">
        <v>1686</v>
      </c>
      <c r="G1536" s="6" t="b">
        <v>0</v>
      </c>
      <c r="H1536" s="8" t="s">
        <v>240</v>
      </c>
      <c r="I1536" s="6" t="b">
        <v>0</v>
      </c>
      <c r="J1536" s="6" t="b">
        <v>1</v>
      </c>
      <c r="K1536" s="6" t="b">
        <v>0</v>
      </c>
      <c r="L1536" s="6" t="b">
        <v>1</v>
      </c>
      <c r="M1536" s="6" t="b">
        <v>0</v>
      </c>
      <c r="N1536" s="6">
        <v>6</v>
      </c>
      <c r="O1536" s="8" t="s">
        <v>331</v>
      </c>
      <c r="P1536" s="8" t="s">
        <v>350</v>
      </c>
      <c r="Q1536" s="8" t="s">
        <v>1619</v>
      </c>
      <c r="R1536" s="6">
        <v>3</v>
      </c>
      <c r="S1536" s="8" t="s">
        <v>1619</v>
      </c>
      <c r="T1536" s="9"/>
      <c r="U1536" s="8" t="s">
        <v>240</v>
      </c>
      <c r="V1536" s="8" t="s">
        <v>240</v>
      </c>
      <c r="W1536" s="8" t="s">
        <v>240</v>
      </c>
      <c r="X1536" s="8" t="s">
        <v>240</v>
      </c>
      <c r="Y1536" s="8" t="s">
        <v>240</v>
      </c>
      <c r="Z1536" s="6" t="b">
        <v>0</v>
      </c>
      <c r="AA1536" s="9"/>
      <c r="AB1536" s="9"/>
    </row>
    <row r="1537" spans="1:28" ht="16">
      <c r="A1537" s="6">
        <v>1687</v>
      </c>
      <c r="B1537" s="8" t="s">
        <v>197</v>
      </c>
      <c r="C1537" s="8" t="s">
        <v>153</v>
      </c>
      <c r="D1537" s="8" t="s">
        <v>2533</v>
      </c>
      <c r="E1537" s="8" t="s">
        <v>2533</v>
      </c>
      <c r="F1537" s="6">
        <v>1687</v>
      </c>
      <c r="G1537" s="6" t="b">
        <v>0</v>
      </c>
      <c r="H1537" s="8" t="s">
        <v>480</v>
      </c>
      <c r="I1537" s="6" t="b">
        <v>0</v>
      </c>
      <c r="J1537" s="6" t="b">
        <v>0</v>
      </c>
      <c r="K1537" s="6" t="b">
        <v>0</v>
      </c>
      <c r="L1537" s="6" t="b">
        <v>1</v>
      </c>
      <c r="M1537" s="6" t="b">
        <v>0</v>
      </c>
      <c r="N1537" s="6">
        <v>2</v>
      </c>
      <c r="O1537" s="8" t="s">
        <v>331</v>
      </c>
      <c r="P1537" s="8" t="s">
        <v>238</v>
      </c>
      <c r="Q1537" s="8" t="s">
        <v>335</v>
      </c>
      <c r="R1537" s="6">
        <v>2</v>
      </c>
      <c r="S1537" s="8" t="s">
        <v>75</v>
      </c>
      <c r="T1537" s="9"/>
      <c r="U1537" s="8" t="s">
        <v>240</v>
      </c>
      <c r="V1537" s="8" t="s">
        <v>482</v>
      </c>
      <c r="W1537" s="8" t="s">
        <v>386</v>
      </c>
      <c r="X1537" s="8" t="s">
        <v>240</v>
      </c>
      <c r="Y1537" s="8" t="s">
        <v>240</v>
      </c>
      <c r="Z1537" s="6" t="b">
        <v>0</v>
      </c>
      <c r="AA1537" s="9"/>
      <c r="AB1537" s="9"/>
    </row>
    <row r="1538" spans="1:28" ht="16">
      <c r="A1538" s="6">
        <v>1688</v>
      </c>
      <c r="B1538" s="8" t="s">
        <v>194</v>
      </c>
      <c r="C1538" s="8" t="s">
        <v>90</v>
      </c>
      <c r="D1538" s="8" t="s">
        <v>2534</v>
      </c>
      <c r="E1538" s="8" t="s">
        <v>2108</v>
      </c>
      <c r="F1538" s="6">
        <v>1362</v>
      </c>
      <c r="G1538" s="6" t="b">
        <v>0</v>
      </c>
      <c r="H1538" s="8" t="s">
        <v>240</v>
      </c>
      <c r="I1538" s="6" t="b">
        <v>0</v>
      </c>
      <c r="J1538" s="6" t="b">
        <v>0</v>
      </c>
      <c r="K1538" s="6" t="b">
        <v>0</v>
      </c>
      <c r="L1538" s="6" t="b">
        <v>1</v>
      </c>
      <c r="M1538" s="6" t="b">
        <v>0</v>
      </c>
      <c r="N1538" s="6">
        <v>6</v>
      </c>
      <c r="O1538" s="8" t="s">
        <v>331</v>
      </c>
      <c r="P1538" s="8" t="s">
        <v>380</v>
      </c>
      <c r="Q1538" s="8" t="s">
        <v>335</v>
      </c>
      <c r="R1538" s="6">
        <v>6</v>
      </c>
      <c r="S1538" s="8" t="s">
        <v>335</v>
      </c>
      <c r="T1538" s="9"/>
      <c r="U1538" s="8" t="s">
        <v>240</v>
      </c>
      <c r="V1538" s="8" t="s">
        <v>240</v>
      </c>
      <c r="W1538" s="8" t="s">
        <v>240</v>
      </c>
      <c r="X1538" s="8" t="s">
        <v>240</v>
      </c>
      <c r="Y1538" s="8" t="s">
        <v>240</v>
      </c>
      <c r="Z1538" s="6" t="b">
        <v>0</v>
      </c>
      <c r="AA1538" s="9"/>
      <c r="AB1538" s="9"/>
    </row>
    <row r="1539" spans="1:28" ht="16">
      <c r="A1539" s="6">
        <v>1690</v>
      </c>
      <c r="B1539" s="8" t="s">
        <v>194</v>
      </c>
      <c r="C1539" s="8" t="s">
        <v>90</v>
      </c>
      <c r="D1539" s="8" t="s">
        <v>2535</v>
      </c>
      <c r="E1539" s="8" t="s">
        <v>2535</v>
      </c>
      <c r="F1539" s="6">
        <v>1690</v>
      </c>
      <c r="G1539" s="6" t="b">
        <v>0</v>
      </c>
      <c r="H1539" s="8" t="s">
        <v>240</v>
      </c>
      <c r="I1539" s="6" t="b">
        <v>0</v>
      </c>
      <c r="J1539" s="6" t="b">
        <v>0</v>
      </c>
      <c r="K1539" s="6" t="b">
        <v>1</v>
      </c>
      <c r="L1539" s="6" t="b">
        <v>1</v>
      </c>
      <c r="M1539" s="6" t="b">
        <v>0</v>
      </c>
      <c r="N1539" s="6">
        <v>6</v>
      </c>
      <c r="O1539" s="8" t="s">
        <v>331</v>
      </c>
      <c r="P1539" s="8" t="s">
        <v>238</v>
      </c>
      <c r="Q1539" s="8" t="s">
        <v>446</v>
      </c>
      <c r="R1539" s="6">
        <v>6</v>
      </c>
      <c r="S1539" s="8" t="s">
        <v>75</v>
      </c>
      <c r="T1539" s="9"/>
      <c r="U1539" s="8" t="s">
        <v>240</v>
      </c>
      <c r="V1539" s="8" t="s">
        <v>240</v>
      </c>
      <c r="W1539" s="8" t="s">
        <v>240</v>
      </c>
      <c r="X1539" s="8" t="s">
        <v>240</v>
      </c>
      <c r="Y1539" s="8" t="s">
        <v>240</v>
      </c>
      <c r="Z1539" s="6" t="b">
        <v>0</v>
      </c>
      <c r="AA1539" s="9"/>
      <c r="AB1539" s="9"/>
    </row>
    <row r="1540" spans="1:28" ht="16">
      <c r="A1540" s="6">
        <v>1691</v>
      </c>
      <c r="B1540" s="8" t="s">
        <v>194</v>
      </c>
      <c r="C1540" s="8" t="s">
        <v>90</v>
      </c>
      <c r="D1540" s="8" t="s">
        <v>2536</v>
      </c>
      <c r="E1540" s="8" t="s">
        <v>2536</v>
      </c>
      <c r="F1540" s="6">
        <v>1691</v>
      </c>
      <c r="G1540" s="6" t="b">
        <v>0</v>
      </c>
      <c r="H1540" s="8" t="s">
        <v>240</v>
      </c>
      <c r="I1540" s="6" t="b">
        <v>0</v>
      </c>
      <c r="J1540" s="6" t="b">
        <v>0</v>
      </c>
      <c r="K1540" s="6" t="b">
        <v>1</v>
      </c>
      <c r="L1540" s="6" t="b">
        <v>1</v>
      </c>
      <c r="M1540" s="6" t="b">
        <v>0</v>
      </c>
      <c r="N1540" s="6">
        <v>6</v>
      </c>
      <c r="O1540" s="8" t="s">
        <v>331</v>
      </c>
      <c r="P1540" s="8" t="s">
        <v>238</v>
      </c>
      <c r="Q1540" s="8" t="s">
        <v>446</v>
      </c>
      <c r="R1540" s="6">
        <v>5</v>
      </c>
      <c r="S1540" s="8" t="s">
        <v>1619</v>
      </c>
      <c r="T1540" s="9"/>
      <c r="U1540" s="8" t="s">
        <v>240</v>
      </c>
      <c r="V1540" s="8" t="s">
        <v>240</v>
      </c>
      <c r="W1540" s="8" t="s">
        <v>240</v>
      </c>
      <c r="X1540" s="8" t="s">
        <v>240</v>
      </c>
      <c r="Y1540" s="8" t="s">
        <v>240</v>
      </c>
      <c r="Z1540" s="6" t="b">
        <v>0</v>
      </c>
      <c r="AA1540" s="9"/>
      <c r="AB1540" s="9"/>
    </row>
    <row r="1541" spans="1:28" ht="16">
      <c r="A1541" s="6">
        <v>1692</v>
      </c>
      <c r="B1541" s="8" t="s">
        <v>200</v>
      </c>
      <c r="C1541" s="8" t="s">
        <v>1503</v>
      </c>
      <c r="D1541" s="8" t="s">
        <v>2537</v>
      </c>
      <c r="E1541" s="8" t="s">
        <v>2537</v>
      </c>
      <c r="F1541" s="6">
        <v>1692</v>
      </c>
      <c r="G1541" s="6" t="b">
        <v>0</v>
      </c>
      <c r="H1541" s="8" t="s">
        <v>240</v>
      </c>
      <c r="I1541" s="6" t="b">
        <v>0</v>
      </c>
      <c r="J1541" s="6" t="b">
        <v>0</v>
      </c>
      <c r="K1541" s="6" t="b">
        <v>0</v>
      </c>
      <c r="L1541" s="6" t="b">
        <v>1</v>
      </c>
      <c r="M1541" s="6" t="b">
        <v>0</v>
      </c>
      <c r="N1541" s="6">
        <v>5</v>
      </c>
      <c r="O1541" s="8" t="s">
        <v>331</v>
      </c>
      <c r="P1541" s="8" t="s">
        <v>238</v>
      </c>
      <c r="Q1541" s="8" t="s">
        <v>446</v>
      </c>
      <c r="R1541" s="6">
        <v>5</v>
      </c>
      <c r="S1541" s="8" t="s">
        <v>331</v>
      </c>
      <c r="T1541" s="9"/>
      <c r="U1541" s="8" t="s">
        <v>240</v>
      </c>
      <c r="V1541" s="8" t="s">
        <v>240</v>
      </c>
      <c r="W1541" s="8" t="s">
        <v>240</v>
      </c>
      <c r="X1541" s="8" t="s">
        <v>240</v>
      </c>
      <c r="Y1541" s="8" t="s">
        <v>240</v>
      </c>
      <c r="Z1541" s="6" t="b">
        <v>0</v>
      </c>
      <c r="AA1541" s="9"/>
      <c r="AB1541" s="9"/>
    </row>
    <row r="1542" spans="1:28" ht="16">
      <c r="A1542" s="6">
        <v>1693</v>
      </c>
      <c r="B1542" s="8" t="s">
        <v>212</v>
      </c>
      <c r="C1542" s="8" t="s">
        <v>1202</v>
      </c>
      <c r="D1542" s="8" t="s">
        <v>2538</v>
      </c>
      <c r="E1542" s="8" t="s">
        <v>2538</v>
      </c>
      <c r="F1542" s="6">
        <v>1693</v>
      </c>
      <c r="G1542" s="6" t="b">
        <v>0</v>
      </c>
      <c r="H1542" s="8" t="s">
        <v>240</v>
      </c>
      <c r="I1542" s="6" t="b">
        <v>0</v>
      </c>
      <c r="J1542" s="6" t="b">
        <v>0</v>
      </c>
      <c r="K1542" s="6" t="b">
        <v>0</v>
      </c>
      <c r="L1542" s="6" t="b">
        <v>1</v>
      </c>
      <c r="M1542" s="6" t="b">
        <v>0</v>
      </c>
      <c r="N1542" s="6">
        <v>9</v>
      </c>
      <c r="O1542" s="8" t="s">
        <v>237</v>
      </c>
      <c r="P1542" s="8" t="s">
        <v>238</v>
      </c>
      <c r="Q1542" s="8" t="s">
        <v>446</v>
      </c>
      <c r="R1542" s="6">
        <v>9</v>
      </c>
      <c r="S1542" s="8" t="s">
        <v>75</v>
      </c>
      <c r="T1542" s="9"/>
      <c r="U1542" s="8" t="s">
        <v>240</v>
      </c>
      <c r="V1542" s="8" t="s">
        <v>240</v>
      </c>
      <c r="W1542" s="8" t="s">
        <v>240</v>
      </c>
      <c r="X1542" s="8" t="s">
        <v>240</v>
      </c>
      <c r="Y1542" s="8" t="s">
        <v>240</v>
      </c>
      <c r="Z1542" s="6" t="b">
        <v>0</v>
      </c>
      <c r="AA1542" s="9"/>
      <c r="AB1542" s="9"/>
    </row>
    <row r="1543" spans="1:28" ht="16">
      <c r="A1543" s="6">
        <v>1694</v>
      </c>
      <c r="B1543" s="8" t="s">
        <v>194</v>
      </c>
      <c r="C1543" s="8" t="s">
        <v>90</v>
      </c>
      <c r="D1543" s="8" t="s">
        <v>2539</v>
      </c>
      <c r="E1543" s="8" t="s">
        <v>2539</v>
      </c>
      <c r="F1543" s="6">
        <v>1694</v>
      </c>
      <c r="G1543" s="6" t="b">
        <v>0</v>
      </c>
      <c r="H1543" s="8" t="s">
        <v>240</v>
      </c>
      <c r="I1543" s="6" t="b">
        <v>0</v>
      </c>
      <c r="J1543" s="6" t="b">
        <v>1</v>
      </c>
      <c r="K1543" s="6" t="b">
        <v>0</v>
      </c>
      <c r="L1543" s="6" t="b">
        <v>1</v>
      </c>
      <c r="M1543" s="6" t="b">
        <v>0</v>
      </c>
      <c r="N1543" s="6">
        <v>6</v>
      </c>
      <c r="O1543" s="8" t="s">
        <v>331</v>
      </c>
      <c r="P1543" s="8" t="s">
        <v>350</v>
      </c>
      <c r="Q1543" s="8" t="s">
        <v>446</v>
      </c>
      <c r="R1543" s="6">
        <v>6</v>
      </c>
      <c r="S1543" s="8" t="s">
        <v>75</v>
      </c>
      <c r="T1543" s="9"/>
      <c r="U1543" s="8" t="s">
        <v>240</v>
      </c>
      <c r="V1543" s="8" t="s">
        <v>240</v>
      </c>
      <c r="W1543" s="8" t="s">
        <v>240</v>
      </c>
      <c r="X1543" s="8" t="s">
        <v>240</v>
      </c>
      <c r="Y1543" s="8" t="s">
        <v>2540</v>
      </c>
      <c r="Z1543" s="6" t="b">
        <v>0</v>
      </c>
      <c r="AA1543" s="9"/>
      <c r="AB1543" s="9"/>
    </row>
    <row r="1544" spans="1:28" ht="16">
      <c r="A1544" s="6">
        <v>1695</v>
      </c>
      <c r="B1544" s="8" t="s">
        <v>194</v>
      </c>
      <c r="C1544" s="8" t="s">
        <v>90</v>
      </c>
      <c r="D1544" s="8" t="s">
        <v>2541</v>
      </c>
      <c r="E1544" s="8" t="s">
        <v>2541</v>
      </c>
      <c r="F1544" s="6">
        <v>1695</v>
      </c>
      <c r="G1544" s="6" t="b">
        <v>0</v>
      </c>
      <c r="H1544" s="8" t="s">
        <v>240</v>
      </c>
      <c r="I1544" s="6" t="b">
        <v>0</v>
      </c>
      <c r="J1544" s="6" t="b">
        <v>1</v>
      </c>
      <c r="K1544" s="6" t="b">
        <v>0</v>
      </c>
      <c r="L1544" s="6" t="b">
        <v>1</v>
      </c>
      <c r="M1544" s="6" t="b">
        <v>0</v>
      </c>
      <c r="N1544" s="6">
        <v>6</v>
      </c>
      <c r="O1544" s="8" t="s">
        <v>331</v>
      </c>
      <c r="P1544" s="8" t="s">
        <v>350</v>
      </c>
      <c r="Q1544" s="8" t="s">
        <v>1619</v>
      </c>
      <c r="R1544" s="6">
        <v>6</v>
      </c>
      <c r="S1544" s="8" t="s">
        <v>1619</v>
      </c>
      <c r="T1544" s="9"/>
      <c r="U1544" s="8" t="s">
        <v>240</v>
      </c>
      <c r="V1544" s="8" t="s">
        <v>240</v>
      </c>
      <c r="W1544" s="8" t="s">
        <v>240</v>
      </c>
      <c r="X1544" s="8" t="s">
        <v>240</v>
      </c>
      <c r="Y1544" s="8" t="s">
        <v>240</v>
      </c>
      <c r="Z1544" s="6" t="b">
        <v>0</v>
      </c>
      <c r="AA1544" s="9"/>
      <c r="AB1544" s="9"/>
    </row>
    <row r="1545" spans="1:28" ht="16">
      <c r="A1545" s="6">
        <v>1696</v>
      </c>
      <c r="B1545" s="8" t="s">
        <v>94</v>
      </c>
      <c r="C1545" s="8" t="s">
        <v>94</v>
      </c>
      <c r="D1545" s="8" t="s">
        <v>94</v>
      </c>
      <c r="E1545" s="8" t="s">
        <v>94</v>
      </c>
      <c r="F1545" s="6">
        <v>1696</v>
      </c>
      <c r="G1545" s="6" t="b">
        <v>0</v>
      </c>
      <c r="H1545" s="8" t="s">
        <v>240</v>
      </c>
      <c r="I1545" s="6" t="b">
        <v>0</v>
      </c>
      <c r="J1545" s="6" t="b">
        <v>0</v>
      </c>
      <c r="K1545" s="6" t="b">
        <v>0</v>
      </c>
      <c r="L1545" s="6" t="b">
        <v>0</v>
      </c>
      <c r="M1545" s="6" t="b">
        <v>0</v>
      </c>
      <c r="N1545" s="6">
        <v>8</v>
      </c>
      <c r="O1545" s="8" t="s">
        <v>237</v>
      </c>
      <c r="P1545" s="8" t="s">
        <v>350</v>
      </c>
      <c r="Q1545" s="8" t="s">
        <v>237</v>
      </c>
      <c r="R1545" s="6">
        <v>8</v>
      </c>
      <c r="S1545" s="8" t="s">
        <v>237</v>
      </c>
      <c r="T1545" s="9"/>
      <c r="U1545" s="8" t="s">
        <v>240</v>
      </c>
      <c r="V1545" s="8" t="s">
        <v>240</v>
      </c>
      <c r="W1545" s="8" t="s">
        <v>240</v>
      </c>
      <c r="X1545" s="8" t="s">
        <v>240</v>
      </c>
      <c r="Y1545" s="8" t="s">
        <v>240</v>
      </c>
      <c r="Z1545" s="6" t="b">
        <v>0</v>
      </c>
      <c r="AA1545" s="6">
        <v>4</v>
      </c>
      <c r="AB1545" s="9"/>
    </row>
    <row r="1546" spans="1:28" ht="16">
      <c r="A1546" s="6">
        <v>1697</v>
      </c>
      <c r="B1546" s="8" t="s">
        <v>194</v>
      </c>
      <c r="C1546" s="8" t="s">
        <v>90</v>
      </c>
      <c r="D1546" s="8" t="s">
        <v>2542</v>
      </c>
      <c r="E1546" s="8" t="s">
        <v>2108</v>
      </c>
      <c r="F1546" s="6">
        <v>1362</v>
      </c>
      <c r="G1546" s="6" t="b">
        <v>0</v>
      </c>
      <c r="H1546" s="8" t="s">
        <v>240</v>
      </c>
      <c r="I1546" s="6" t="b">
        <v>0</v>
      </c>
      <c r="J1546" s="6" t="b">
        <v>0</v>
      </c>
      <c r="K1546" s="6" t="b">
        <v>0</v>
      </c>
      <c r="L1546" s="6" t="b">
        <v>1</v>
      </c>
      <c r="M1546" s="6" t="b">
        <v>0</v>
      </c>
      <c r="N1546" s="6">
        <v>6</v>
      </c>
      <c r="O1546" s="8" t="s">
        <v>331</v>
      </c>
      <c r="P1546" s="8" t="s">
        <v>380</v>
      </c>
      <c r="Q1546" s="8" t="s">
        <v>1619</v>
      </c>
      <c r="R1546" s="6">
        <v>4</v>
      </c>
      <c r="S1546" s="8" t="s">
        <v>1619</v>
      </c>
      <c r="T1546" s="9"/>
      <c r="U1546" s="8" t="s">
        <v>240</v>
      </c>
      <c r="V1546" s="8" t="s">
        <v>240</v>
      </c>
      <c r="W1546" s="8" t="s">
        <v>240</v>
      </c>
      <c r="X1546" s="8" t="s">
        <v>240</v>
      </c>
      <c r="Y1546" s="8" t="s">
        <v>2543</v>
      </c>
      <c r="Z1546" s="6" t="b">
        <v>0</v>
      </c>
      <c r="AA1546" s="9"/>
      <c r="AB1546" s="9"/>
    </row>
    <row r="1547" spans="1:28" ht="16">
      <c r="A1547" s="6">
        <v>1698</v>
      </c>
      <c r="B1547" s="8" t="s">
        <v>197</v>
      </c>
      <c r="C1547" s="8" t="s">
        <v>170</v>
      </c>
      <c r="D1547" s="8" t="s">
        <v>2544</v>
      </c>
      <c r="E1547" s="8" t="s">
        <v>2544</v>
      </c>
      <c r="F1547" s="6">
        <v>1698</v>
      </c>
      <c r="G1547" s="6" t="b">
        <v>0</v>
      </c>
      <c r="H1547" s="8" t="s">
        <v>480</v>
      </c>
      <c r="I1547" s="6" t="b">
        <v>0</v>
      </c>
      <c r="J1547" s="6" t="b">
        <v>0</v>
      </c>
      <c r="K1547" s="6" t="b">
        <v>0</v>
      </c>
      <c r="L1547" s="6" t="b">
        <v>1</v>
      </c>
      <c r="M1547" s="6" t="b">
        <v>0</v>
      </c>
      <c r="N1547" s="6">
        <v>1</v>
      </c>
      <c r="O1547" s="8" t="s">
        <v>331</v>
      </c>
      <c r="P1547" s="8" t="s">
        <v>238</v>
      </c>
      <c r="Q1547" s="8" t="s">
        <v>1619</v>
      </c>
      <c r="R1547" s="6">
        <v>0</v>
      </c>
      <c r="S1547" s="8" t="s">
        <v>1619</v>
      </c>
      <c r="T1547" s="9"/>
      <c r="U1547" s="8" t="s">
        <v>240</v>
      </c>
      <c r="V1547" s="8" t="s">
        <v>240</v>
      </c>
      <c r="W1547" s="8" t="s">
        <v>240</v>
      </c>
      <c r="X1547" s="8" t="s">
        <v>240</v>
      </c>
      <c r="Y1547" s="8" t="s">
        <v>2545</v>
      </c>
      <c r="Z1547" s="6" t="b">
        <v>0</v>
      </c>
      <c r="AA1547" s="9"/>
      <c r="AB1547" s="9"/>
    </row>
    <row r="1548" spans="1:28" ht="16">
      <c r="A1548" s="6">
        <v>1699</v>
      </c>
      <c r="B1548" s="8" t="s">
        <v>194</v>
      </c>
      <c r="C1548" s="8" t="s">
        <v>90</v>
      </c>
      <c r="D1548" s="8" t="s">
        <v>2546</v>
      </c>
      <c r="E1548" s="8" t="s">
        <v>2108</v>
      </c>
      <c r="F1548" s="6">
        <v>1362</v>
      </c>
      <c r="G1548" s="6" t="b">
        <v>0</v>
      </c>
      <c r="H1548" s="8" t="s">
        <v>240</v>
      </c>
      <c r="I1548" s="6" t="b">
        <v>0</v>
      </c>
      <c r="J1548" s="6" t="b">
        <v>0</v>
      </c>
      <c r="K1548" s="6" t="b">
        <v>0</v>
      </c>
      <c r="L1548" s="6" t="b">
        <v>1</v>
      </c>
      <c r="M1548" s="6" t="b">
        <v>0</v>
      </c>
      <c r="N1548" s="6">
        <v>6</v>
      </c>
      <c r="O1548" s="8" t="s">
        <v>331</v>
      </c>
      <c r="P1548" s="8" t="s">
        <v>380</v>
      </c>
      <c r="Q1548" s="8" t="s">
        <v>1619</v>
      </c>
      <c r="R1548" s="6">
        <v>6</v>
      </c>
      <c r="S1548" s="8" t="s">
        <v>1619</v>
      </c>
      <c r="T1548" s="9"/>
      <c r="U1548" s="8" t="s">
        <v>240</v>
      </c>
      <c r="V1548" s="8" t="s">
        <v>240</v>
      </c>
      <c r="W1548" s="8" t="s">
        <v>240</v>
      </c>
      <c r="X1548" s="8" t="s">
        <v>240</v>
      </c>
      <c r="Y1548" s="8" t="s">
        <v>2547</v>
      </c>
      <c r="Z1548" s="6" t="b">
        <v>0</v>
      </c>
      <c r="AA1548" s="9"/>
      <c r="AB1548" s="9"/>
    </row>
    <row r="1549" spans="1:28" ht="32">
      <c r="A1549" s="6">
        <v>1700</v>
      </c>
      <c r="B1549" s="8" t="s">
        <v>202</v>
      </c>
      <c r="C1549" s="8" t="s">
        <v>169</v>
      </c>
      <c r="D1549" s="8" t="s">
        <v>2548</v>
      </c>
      <c r="E1549" s="8" t="s">
        <v>394</v>
      </c>
      <c r="F1549" s="6">
        <v>103</v>
      </c>
      <c r="G1549" s="6" t="b">
        <v>0</v>
      </c>
      <c r="H1549" s="8" t="s">
        <v>240</v>
      </c>
      <c r="I1549" s="6" t="b">
        <v>0</v>
      </c>
      <c r="J1549" s="6" t="b">
        <v>0</v>
      </c>
      <c r="K1549" s="6" t="b">
        <v>0</v>
      </c>
      <c r="L1549" s="6" t="b">
        <v>0</v>
      </c>
      <c r="M1549" s="6" t="b">
        <v>0</v>
      </c>
      <c r="N1549" s="6">
        <v>5</v>
      </c>
      <c r="O1549" s="8" t="s">
        <v>341</v>
      </c>
      <c r="P1549" s="8" t="s">
        <v>350</v>
      </c>
      <c r="Q1549" s="8" t="s">
        <v>1619</v>
      </c>
      <c r="R1549" s="6">
        <v>6</v>
      </c>
      <c r="S1549" s="8" t="s">
        <v>1619</v>
      </c>
      <c r="T1549" s="9"/>
      <c r="U1549" s="8" t="s">
        <v>240</v>
      </c>
      <c r="V1549" s="8" t="s">
        <v>240</v>
      </c>
      <c r="W1549" s="8" t="s">
        <v>240</v>
      </c>
      <c r="X1549" s="8" t="s">
        <v>240</v>
      </c>
      <c r="Y1549" s="8" t="s">
        <v>2549</v>
      </c>
      <c r="Z1549" s="6" t="b">
        <v>0</v>
      </c>
      <c r="AA1549" s="9"/>
      <c r="AB1549" s="9"/>
    </row>
    <row r="1550" spans="1:28" ht="16">
      <c r="A1550" s="6">
        <v>1701</v>
      </c>
      <c r="B1550" s="8" t="s">
        <v>202</v>
      </c>
      <c r="C1550" s="8" t="s">
        <v>169</v>
      </c>
      <c r="D1550" s="8" t="s">
        <v>2550</v>
      </c>
      <c r="E1550" s="8" t="s">
        <v>394</v>
      </c>
      <c r="F1550" s="6">
        <v>103</v>
      </c>
      <c r="G1550" s="6" t="b">
        <v>0</v>
      </c>
      <c r="H1550" s="8" t="s">
        <v>240</v>
      </c>
      <c r="I1550" s="6" t="b">
        <v>0</v>
      </c>
      <c r="J1550" s="6" t="b">
        <v>0</v>
      </c>
      <c r="K1550" s="6" t="b">
        <v>0</v>
      </c>
      <c r="L1550" s="6" t="b">
        <v>0</v>
      </c>
      <c r="M1550" s="6" t="b">
        <v>0</v>
      </c>
      <c r="N1550" s="6">
        <v>5</v>
      </c>
      <c r="O1550" s="8" t="s">
        <v>341</v>
      </c>
      <c r="P1550" s="8" t="s">
        <v>350</v>
      </c>
      <c r="Q1550" s="8" t="s">
        <v>1619</v>
      </c>
      <c r="R1550" s="6">
        <v>6</v>
      </c>
      <c r="S1550" s="8" t="s">
        <v>1619</v>
      </c>
      <c r="T1550" s="9"/>
      <c r="U1550" s="8" t="s">
        <v>240</v>
      </c>
      <c r="V1550" s="8" t="s">
        <v>240</v>
      </c>
      <c r="W1550" s="8" t="s">
        <v>240</v>
      </c>
      <c r="X1550" s="8" t="s">
        <v>240</v>
      </c>
      <c r="Y1550" s="8" t="s">
        <v>240</v>
      </c>
      <c r="Z1550" s="6" t="b">
        <v>0</v>
      </c>
      <c r="AA1550" s="9"/>
      <c r="AB1550" s="9"/>
    </row>
    <row r="1551" spans="1:28" ht="16">
      <c r="A1551" s="6">
        <v>1702</v>
      </c>
      <c r="B1551" s="8" t="s">
        <v>197</v>
      </c>
      <c r="C1551" s="8" t="s">
        <v>104</v>
      </c>
      <c r="D1551" s="8" t="s">
        <v>2551</v>
      </c>
      <c r="E1551" s="8" t="s">
        <v>504</v>
      </c>
      <c r="F1551" s="6">
        <v>181</v>
      </c>
      <c r="G1551" s="6" t="b">
        <v>0</v>
      </c>
      <c r="H1551" s="8" t="s">
        <v>480</v>
      </c>
      <c r="I1551" s="6" t="b">
        <v>0</v>
      </c>
      <c r="J1551" s="6" t="b">
        <v>0</v>
      </c>
      <c r="K1551" s="6" t="b">
        <v>0</v>
      </c>
      <c r="L1551" s="6" t="b">
        <v>1</v>
      </c>
      <c r="M1551" s="6" t="b">
        <v>0</v>
      </c>
      <c r="N1551" s="6">
        <v>2</v>
      </c>
      <c r="O1551" s="8" t="s">
        <v>75</v>
      </c>
      <c r="P1551" s="8" t="s">
        <v>240</v>
      </c>
      <c r="Q1551" s="8" t="s">
        <v>240</v>
      </c>
      <c r="R1551" s="6">
        <v>3</v>
      </c>
      <c r="S1551" s="8" t="s">
        <v>1619</v>
      </c>
      <c r="T1551" s="9"/>
      <c r="U1551" s="8" t="s">
        <v>240</v>
      </c>
      <c r="V1551" s="8" t="s">
        <v>240</v>
      </c>
      <c r="W1551" s="8" t="s">
        <v>240</v>
      </c>
      <c r="X1551" s="8" t="s">
        <v>240</v>
      </c>
      <c r="Y1551" s="8" t="s">
        <v>2552</v>
      </c>
      <c r="Z1551" s="6" t="b">
        <v>0</v>
      </c>
      <c r="AA1551" s="9"/>
      <c r="AB1551" s="9"/>
    </row>
    <row r="1552" spans="1:28" ht="16">
      <c r="A1552" s="6">
        <v>1703</v>
      </c>
      <c r="B1552" s="8" t="s">
        <v>202</v>
      </c>
      <c r="C1552" s="8" t="s">
        <v>169</v>
      </c>
      <c r="D1552" s="8" t="s">
        <v>2553</v>
      </c>
      <c r="E1552" s="8" t="s">
        <v>394</v>
      </c>
      <c r="F1552" s="6">
        <v>103</v>
      </c>
      <c r="G1552" s="6" t="b">
        <v>0</v>
      </c>
      <c r="H1552" s="8" t="s">
        <v>240</v>
      </c>
      <c r="I1552" s="6" t="b">
        <v>0</v>
      </c>
      <c r="J1552" s="6" t="b">
        <v>0</v>
      </c>
      <c r="K1552" s="6" t="b">
        <v>0</v>
      </c>
      <c r="L1552" s="6" t="b">
        <v>0</v>
      </c>
      <c r="M1552" s="6" t="b">
        <v>0</v>
      </c>
      <c r="N1552" s="6">
        <v>5</v>
      </c>
      <c r="O1552" s="8" t="s">
        <v>75</v>
      </c>
      <c r="P1552" s="8" t="s">
        <v>240</v>
      </c>
      <c r="Q1552" s="8" t="s">
        <v>240</v>
      </c>
      <c r="R1552" s="6">
        <v>6</v>
      </c>
      <c r="S1552" s="8" t="s">
        <v>1619</v>
      </c>
      <c r="T1552" s="9"/>
      <c r="U1552" s="8" t="s">
        <v>240</v>
      </c>
      <c r="V1552" s="8" t="s">
        <v>240</v>
      </c>
      <c r="W1552" s="8" t="s">
        <v>240</v>
      </c>
      <c r="X1552" s="8" t="s">
        <v>240</v>
      </c>
      <c r="Y1552" s="8" t="s">
        <v>240</v>
      </c>
      <c r="Z1552" s="6" t="b">
        <v>0</v>
      </c>
      <c r="AA1552" s="9"/>
      <c r="AB1552" s="9"/>
    </row>
    <row r="1553" spans="1:28" ht="32">
      <c r="A1553" s="6">
        <v>1704</v>
      </c>
      <c r="B1553" s="8" t="s">
        <v>194</v>
      </c>
      <c r="C1553" s="8" t="s">
        <v>90</v>
      </c>
      <c r="D1553" s="8" t="s">
        <v>2554</v>
      </c>
      <c r="E1553" s="8" t="s">
        <v>2008</v>
      </c>
      <c r="F1553" s="6">
        <v>1284</v>
      </c>
      <c r="G1553" s="6" t="b">
        <v>0</v>
      </c>
      <c r="H1553" s="8" t="s">
        <v>240</v>
      </c>
      <c r="I1553" s="6" t="b">
        <v>0</v>
      </c>
      <c r="J1553" s="6" t="b">
        <v>0</v>
      </c>
      <c r="K1553" s="6" t="b">
        <v>0</v>
      </c>
      <c r="L1553" s="6" t="b">
        <v>1</v>
      </c>
      <c r="M1553" s="6" t="b">
        <v>0</v>
      </c>
      <c r="N1553" s="6">
        <v>6</v>
      </c>
      <c r="O1553" s="8" t="s">
        <v>331</v>
      </c>
      <c r="P1553" s="8" t="s">
        <v>255</v>
      </c>
      <c r="Q1553" s="8" t="s">
        <v>335</v>
      </c>
      <c r="R1553" s="6">
        <v>7</v>
      </c>
      <c r="S1553" s="8" t="s">
        <v>347</v>
      </c>
      <c r="T1553" s="9"/>
      <c r="U1553" s="8" t="s">
        <v>240</v>
      </c>
      <c r="V1553" s="8" t="s">
        <v>240</v>
      </c>
      <c r="W1553" s="8" t="s">
        <v>240</v>
      </c>
      <c r="X1553" s="8" t="s">
        <v>240</v>
      </c>
      <c r="Y1553" s="8" t="s">
        <v>240</v>
      </c>
      <c r="Z1553" s="6" t="b">
        <v>0</v>
      </c>
      <c r="AA1553" s="9"/>
      <c r="AB1553" s="9"/>
    </row>
    <row r="1554" spans="1:28" ht="32">
      <c r="A1554" s="6">
        <v>1705</v>
      </c>
      <c r="B1554" s="8" t="s">
        <v>194</v>
      </c>
      <c r="C1554" s="8" t="s">
        <v>90</v>
      </c>
      <c r="D1554" s="8" t="s">
        <v>2555</v>
      </c>
      <c r="E1554" s="8" t="s">
        <v>2191</v>
      </c>
      <c r="F1554" s="6">
        <v>1427</v>
      </c>
      <c r="G1554" s="6" t="b">
        <v>0</v>
      </c>
      <c r="H1554" s="8" t="s">
        <v>240</v>
      </c>
      <c r="I1554" s="6" t="b">
        <v>1</v>
      </c>
      <c r="J1554" s="6" t="b">
        <v>0</v>
      </c>
      <c r="K1554" s="6" t="b">
        <v>0</v>
      </c>
      <c r="L1554" s="6" t="b">
        <v>1</v>
      </c>
      <c r="M1554" s="6" t="b">
        <v>0</v>
      </c>
      <c r="N1554" s="6">
        <v>6</v>
      </c>
      <c r="O1554" s="8" t="s">
        <v>331</v>
      </c>
      <c r="P1554" s="8" t="s">
        <v>255</v>
      </c>
      <c r="Q1554" s="8" t="s">
        <v>335</v>
      </c>
      <c r="R1554" s="6">
        <v>6</v>
      </c>
      <c r="S1554" s="8" t="s">
        <v>347</v>
      </c>
      <c r="T1554" s="9"/>
      <c r="U1554" s="8" t="s">
        <v>240</v>
      </c>
      <c r="V1554" s="8" t="s">
        <v>240</v>
      </c>
      <c r="W1554" s="8" t="s">
        <v>240</v>
      </c>
      <c r="X1554" s="8" t="s">
        <v>240</v>
      </c>
      <c r="Y1554" s="8" t="s">
        <v>240</v>
      </c>
      <c r="Z1554" s="6" t="b">
        <v>0</v>
      </c>
      <c r="AA1554" s="9"/>
      <c r="AB1554" s="9"/>
    </row>
    <row r="1555" spans="1:28" ht="16">
      <c r="A1555" s="6">
        <v>1706</v>
      </c>
      <c r="B1555" s="8" t="s">
        <v>94</v>
      </c>
      <c r="C1555" s="8" t="s">
        <v>600</v>
      </c>
      <c r="D1555" s="8" t="s">
        <v>2556</v>
      </c>
      <c r="E1555" s="8" t="s">
        <v>660</v>
      </c>
      <c r="F1555" s="6">
        <v>315</v>
      </c>
      <c r="G1555" s="6" t="b">
        <v>0</v>
      </c>
      <c r="H1555" s="8" t="s">
        <v>240</v>
      </c>
      <c r="I1555" s="6" t="b">
        <v>0</v>
      </c>
      <c r="J1555" s="6" t="b">
        <v>0</v>
      </c>
      <c r="K1555" s="6" t="b">
        <v>0</v>
      </c>
      <c r="L1555" s="6" t="b">
        <v>0</v>
      </c>
      <c r="M1555" s="6" t="b">
        <v>0</v>
      </c>
      <c r="N1555" s="6">
        <v>7</v>
      </c>
      <c r="O1555" s="8" t="s">
        <v>237</v>
      </c>
      <c r="P1555" s="8" t="s">
        <v>350</v>
      </c>
      <c r="Q1555" s="8" t="s">
        <v>1619</v>
      </c>
      <c r="R1555" s="6">
        <v>8</v>
      </c>
      <c r="S1555" s="8" t="s">
        <v>1619</v>
      </c>
      <c r="T1555" s="9"/>
      <c r="U1555" s="8" t="s">
        <v>240</v>
      </c>
      <c r="V1555" s="8" t="s">
        <v>240</v>
      </c>
      <c r="W1555" s="8" t="s">
        <v>240</v>
      </c>
      <c r="X1555" s="8" t="s">
        <v>240</v>
      </c>
      <c r="Y1555" s="8" t="s">
        <v>240</v>
      </c>
      <c r="Z1555" s="6" t="b">
        <v>0</v>
      </c>
      <c r="AA1555" s="9"/>
      <c r="AB1555" s="9"/>
    </row>
    <row r="1556" spans="1:28" ht="32">
      <c r="A1556" s="6">
        <v>1707</v>
      </c>
      <c r="B1556" s="8" t="s">
        <v>199</v>
      </c>
      <c r="C1556" s="8" t="s">
        <v>96</v>
      </c>
      <c r="D1556" s="8" t="s">
        <v>2557</v>
      </c>
      <c r="E1556" s="8" t="s">
        <v>973</v>
      </c>
      <c r="F1556" s="6">
        <v>533</v>
      </c>
      <c r="G1556" s="6" t="b">
        <v>0</v>
      </c>
      <c r="H1556" s="8" t="s">
        <v>480</v>
      </c>
      <c r="I1556" s="6" t="b">
        <v>0</v>
      </c>
      <c r="J1556" s="6" t="b">
        <v>0</v>
      </c>
      <c r="K1556" s="6" t="b">
        <v>0</v>
      </c>
      <c r="L1556" s="6" t="b">
        <v>1</v>
      </c>
      <c r="M1556" s="6" t="b">
        <v>0</v>
      </c>
      <c r="N1556" s="6">
        <v>4</v>
      </c>
      <c r="O1556" s="8" t="s">
        <v>331</v>
      </c>
      <c r="P1556" s="8" t="s">
        <v>350</v>
      </c>
      <c r="Q1556" s="8" t="s">
        <v>1619</v>
      </c>
      <c r="R1556" s="6">
        <v>6</v>
      </c>
      <c r="S1556" s="8" t="s">
        <v>1619</v>
      </c>
      <c r="T1556" s="9"/>
      <c r="U1556" s="8" t="s">
        <v>240</v>
      </c>
      <c r="V1556" s="8" t="s">
        <v>240</v>
      </c>
      <c r="W1556" s="8" t="s">
        <v>386</v>
      </c>
      <c r="X1556" s="8" t="s">
        <v>240</v>
      </c>
      <c r="Y1556" s="8" t="s">
        <v>240</v>
      </c>
      <c r="Z1556" s="6" t="b">
        <v>0</v>
      </c>
      <c r="AA1556" s="9"/>
      <c r="AB1556" s="9"/>
    </row>
    <row r="1557" spans="1:28" ht="16">
      <c r="A1557" s="6">
        <v>1708</v>
      </c>
      <c r="B1557" s="8" t="s">
        <v>197</v>
      </c>
      <c r="C1557" s="8" t="s">
        <v>153</v>
      </c>
      <c r="D1557" s="8" t="s">
        <v>2558</v>
      </c>
      <c r="E1557" s="8" t="s">
        <v>2558</v>
      </c>
      <c r="F1557" s="6">
        <v>1708</v>
      </c>
      <c r="G1557" s="6" t="b">
        <v>0</v>
      </c>
      <c r="H1557" s="8" t="s">
        <v>480</v>
      </c>
      <c r="I1557" s="6" t="b">
        <v>0</v>
      </c>
      <c r="J1557" s="6" t="b">
        <v>0</v>
      </c>
      <c r="K1557" s="6" t="b">
        <v>0</v>
      </c>
      <c r="L1557" s="6" t="b">
        <v>1</v>
      </c>
      <c r="M1557" s="6" t="b">
        <v>0</v>
      </c>
      <c r="N1557" s="6">
        <v>2</v>
      </c>
      <c r="O1557" s="8" t="s">
        <v>331</v>
      </c>
      <c r="P1557" s="8" t="s">
        <v>238</v>
      </c>
      <c r="Q1557" s="8" t="s">
        <v>381</v>
      </c>
      <c r="R1557" s="6">
        <v>2</v>
      </c>
      <c r="S1557" s="8" t="s">
        <v>75</v>
      </c>
      <c r="T1557" s="9"/>
      <c r="U1557" s="8" t="s">
        <v>240</v>
      </c>
      <c r="V1557" s="8" t="s">
        <v>240</v>
      </c>
      <c r="W1557" s="8" t="s">
        <v>240</v>
      </c>
      <c r="X1557" s="8" t="s">
        <v>240</v>
      </c>
      <c r="Y1557" s="8" t="s">
        <v>240</v>
      </c>
      <c r="Z1557" s="6" t="b">
        <v>0</v>
      </c>
      <c r="AA1557" s="9"/>
      <c r="AB1557" s="9"/>
    </row>
    <row r="1558" spans="1:28" ht="16">
      <c r="A1558" s="6">
        <v>1709</v>
      </c>
      <c r="B1558" s="8" t="s">
        <v>198</v>
      </c>
      <c r="C1558" s="8" t="s">
        <v>179</v>
      </c>
      <c r="D1558" s="8" t="s">
        <v>2559</v>
      </c>
      <c r="E1558" s="8" t="s">
        <v>2559</v>
      </c>
      <c r="F1558" s="6">
        <v>1709</v>
      </c>
      <c r="G1558" s="6" t="b">
        <v>0</v>
      </c>
      <c r="H1558" s="8" t="s">
        <v>480</v>
      </c>
      <c r="I1558" s="6" t="b">
        <v>0</v>
      </c>
      <c r="J1558" s="6" t="b">
        <v>0</v>
      </c>
      <c r="K1558" s="6" t="b">
        <v>0</v>
      </c>
      <c r="L1558" s="6" t="b">
        <v>1</v>
      </c>
      <c r="M1558" s="6" t="b">
        <v>0</v>
      </c>
      <c r="N1558" s="6">
        <v>1</v>
      </c>
      <c r="O1558" s="8" t="s">
        <v>331</v>
      </c>
      <c r="P1558" s="8" t="s">
        <v>380</v>
      </c>
      <c r="Q1558" s="8" t="s">
        <v>1619</v>
      </c>
      <c r="R1558" s="6">
        <v>2</v>
      </c>
      <c r="S1558" s="8" t="s">
        <v>1619</v>
      </c>
      <c r="T1558" s="9"/>
      <c r="U1558" s="8" t="s">
        <v>240</v>
      </c>
      <c r="V1558" s="8" t="s">
        <v>240</v>
      </c>
      <c r="W1558" s="8" t="s">
        <v>240</v>
      </c>
      <c r="X1558" s="8" t="s">
        <v>240</v>
      </c>
      <c r="Y1558" s="8" t="s">
        <v>240</v>
      </c>
      <c r="Z1558" s="6" t="b">
        <v>0</v>
      </c>
      <c r="AA1558" s="9"/>
      <c r="AB1558" s="9"/>
    </row>
    <row r="1559" spans="1:28" ht="32">
      <c r="A1559" s="6">
        <v>1710</v>
      </c>
      <c r="B1559" s="8" t="s">
        <v>198</v>
      </c>
      <c r="C1559" s="8" t="s">
        <v>156</v>
      </c>
      <c r="D1559" s="8" t="s">
        <v>2560</v>
      </c>
      <c r="E1559" s="8" t="s">
        <v>1444</v>
      </c>
      <c r="F1559" s="6">
        <v>854</v>
      </c>
      <c r="G1559" s="6" t="b">
        <v>0</v>
      </c>
      <c r="H1559" s="8" t="s">
        <v>480</v>
      </c>
      <c r="I1559" s="6" t="b">
        <v>0</v>
      </c>
      <c r="J1559" s="6" t="b">
        <v>0</v>
      </c>
      <c r="K1559" s="6" t="b">
        <v>0</v>
      </c>
      <c r="L1559" s="6" t="b">
        <v>1</v>
      </c>
      <c r="M1559" s="6" t="b">
        <v>0</v>
      </c>
      <c r="N1559" s="6">
        <v>0</v>
      </c>
      <c r="O1559" s="8" t="s">
        <v>331</v>
      </c>
      <c r="P1559" s="8" t="s">
        <v>238</v>
      </c>
      <c r="Q1559" s="8" t="s">
        <v>1619</v>
      </c>
      <c r="R1559" s="6">
        <v>1</v>
      </c>
      <c r="S1559" s="8" t="s">
        <v>1619</v>
      </c>
      <c r="T1559" s="9"/>
      <c r="U1559" s="8" t="s">
        <v>240</v>
      </c>
      <c r="V1559" s="8" t="s">
        <v>240</v>
      </c>
      <c r="W1559" s="8" t="s">
        <v>386</v>
      </c>
      <c r="X1559" s="8" t="s">
        <v>240</v>
      </c>
      <c r="Y1559" s="8" t="s">
        <v>240</v>
      </c>
      <c r="Z1559" s="6" t="b">
        <v>0</v>
      </c>
      <c r="AA1559" s="9"/>
      <c r="AB1559" s="9"/>
    </row>
    <row r="1560" spans="1:28" ht="16">
      <c r="A1560" s="6">
        <v>1711</v>
      </c>
      <c r="B1560" s="8" t="s">
        <v>197</v>
      </c>
      <c r="C1560" s="8" t="s">
        <v>105</v>
      </c>
      <c r="D1560" s="8" t="s">
        <v>2561</v>
      </c>
      <c r="E1560" s="8" t="s">
        <v>493</v>
      </c>
      <c r="F1560" s="6">
        <v>177</v>
      </c>
      <c r="G1560" s="6" t="b">
        <v>0</v>
      </c>
      <c r="H1560" s="8" t="s">
        <v>480</v>
      </c>
      <c r="I1560" s="6" t="b">
        <v>0</v>
      </c>
      <c r="J1560" s="6" t="b">
        <v>0</v>
      </c>
      <c r="K1560" s="6" t="b">
        <v>0</v>
      </c>
      <c r="L1560" s="6" t="b">
        <v>1</v>
      </c>
      <c r="M1560" s="6" t="b">
        <v>0</v>
      </c>
      <c r="N1560" s="6">
        <v>1</v>
      </c>
      <c r="O1560" s="8" t="s">
        <v>331</v>
      </c>
      <c r="P1560" s="8" t="s">
        <v>238</v>
      </c>
      <c r="Q1560" s="8" t="s">
        <v>1619</v>
      </c>
      <c r="R1560" s="6">
        <v>2</v>
      </c>
      <c r="S1560" s="8" t="s">
        <v>1619</v>
      </c>
      <c r="T1560" s="9"/>
      <c r="U1560" s="8" t="s">
        <v>240</v>
      </c>
      <c r="V1560" s="8" t="s">
        <v>240</v>
      </c>
      <c r="W1560" s="8" t="s">
        <v>386</v>
      </c>
      <c r="X1560" s="8" t="s">
        <v>240</v>
      </c>
      <c r="Y1560" s="8" t="s">
        <v>240</v>
      </c>
      <c r="Z1560" s="6" t="b">
        <v>0</v>
      </c>
      <c r="AA1560" s="9"/>
      <c r="AB1560" s="9"/>
    </row>
    <row r="1561" spans="1:28" ht="16">
      <c r="A1561" s="6">
        <v>1712</v>
      </c>
      <c r="B1561" s="8" t="s">
        <v>2429</v>
      </c>
      <c r="C1561" s="8" t="s">
        <v>92</v>
      </c>
      <c r="D1561" s="8" t="s">
        <v>2562</v>
      </c>
      <c r="E1561" s="8" t="s">
        <v>2436</v>
      </c>
      <c r="F1561" s="6">
        <v>1612</v>
      </c>
      <c r="G1561" s="6" t="b">
        <v>0</v>
      </c>
      <c r="H1561" s="8" t="s">
        <v>240</v>
      </c>
      <c r="I1561" s="6" t="b">
        <v>0</v>
      </c>
      <c r="J1561" s="6" t="b">
        <v>0</v>
      </c>
      <c r="K1561" s="6" t="b">
        <v>0</v>
      </c>
      <c r="L1561" s="6" t="b">
        <v>0</v>
      </c>
      <c r="M1561" s="6" t="b">
        <v>0</v>
      </c>
      <c r="N1561" s="6">
        <v>8</v>
      </c>
      <c r="O1561" s="8" t="s">
        <v>237</v>
      </c>
      <c r="P1561" s="8" t="s">
        <v>255</v>
      </c>
      <c r="Q1561" s="8" t="s">
        <v>388</v>
      </c>
      <c r="R1561" s="6">
        <v>4</v>
      </c>
      <c r="S1561" s="8" t="s">
        <v>341</v>
      </c>
      <c r="T1561" s="9"/>
      <c r="U1561" s="8" t="s">
        <v>240</v>
      </c>
      <c r="V1561" s="8" t="s">
        <v>240</v>
      </c>
      <c r="W1561" s="8" t="s">
        <v>240</v>
      </c>
      <c r="X1561" s="8" t="s">
        <v>240</v>
      </c>
      <c r="Y1561" s="8" t="s">
        <v>240</v>
      </c>
      <c r="Z1561" s="6" t="b">
        <v>0</v>
      </c>
      <c r="AA1561" s="9"/>
      <c r="AB1561" s="9"/>
    </row>
    <row r="1562" spans="1:28" ht="16">
      <c r="A1562" s="6">
        <v>1713</v>
      </c>
      <c r="B1562" s="8" t="s">
        <v>194</v>
      </c>
      <c r="C1562" s="8" t="s">
        <v>90</v>
      </c>
      <c r="D1562" s="8" t="s">
        <v>2563</v>
      </c>
      <c r="E1562" s="8" t="s">
        <v>2563</v>
      </c>
      <c r="F1562" s="6">
        <v>1713</v>
      </c>
      <c r="G1562" s="6" t="b">
        <v>0</v>
      </c>
      <c r="H1562" s="8" t="s">
        <v>240</v>
      </c>
      <c r="I1562" s="6" t="b">
        <v>0</v>
      </c>
      <c r="J1562" s="6" t="b">
        <v>0</v>
      </c>
      <c r="K1562" s="6" t="b">
        <v>0</v>
      </c>
      <c r="L1562" s="6" t="b">
        <v>1</v>
      </c>
      <c r="M1562" s="6" t="b">
        <v>0</v>
      </c>
      <c r="N1562" s="6">
        <v>6</v>
      </c>
      <c r="O1562" s="8" t="s">
        <v>331</v>
      </c>
      <c r="P1562" s="8" t="s">
        <v>350</v>
      </c>
      <c r="Q1562" s="8" t="s">
        <v>1619</v>
      </c>
      <c r="R1562" s="6">
        <v>8</v>
      </c>
      <c r="S1562" s="8" t="s">
        <v>1619</v>
      </c>
      <c r="T1562" s="9"/>
      <c r="U1562" s="8" t="s">
        <v>240</v>
      </c>
      <c r="V1562" s="8" t="s">
        <v>240</v>
      </c>
      <c r="W1562" s="8" t="s">
        <v>240</v>
      </c>
      <c r="X1562" s="8" t="s">
        <v>240</v>
      </c>
      <c r="Y1562" s="8" t="s">
        <v>240</v>
      </c>
      <c r="Z1562" s="6" t="b">
        <v>0</v>
      </c>
      <c r="AA1562" s="9"/>
      <c r="AB1562" s="9"/>
    </row>
    <row r="1563" spans="1:28" ht="16">
      <c r="A1563" s="6">
        <v>1714</v>
      </c>
      <c r="B1563" s="8" t="s">
        <v>405</v>
      </c>
      <c r="C1563" s="8" t="s">
        <v>405</v>
      </c>
      <c r="D1563" s="8" t="s">
        <v>405</v>
      </c>
      <c r="E1563" s="8" t="s">
        <v>405</v>
      </c>
      <c r="F1563" s="6">
        <v>1714</v>
      </c>
      <c r="G1563" s="6" t="b">
        <v>0</v>
      </c>
      <c r="H1563" s="8" t="s">
        <v>240</v>
      </c>
      <c r="I1563" s="6" t="b">
        <v>0</v>
      </c>
      <c r="J1563" s="6" t="b">
        <v>0</v>
      </c>
      <c r="K1563" s="6" t="b">
        <v>0</v>
      </c>
      <c r="L1563" s="6" t="b">
        <v>0</v>
      </c>
      <c r="M1563" s="6" t="b">
        <v>0</v>
      </c>
      <c r="N1563" s="6">
        <v>6</v>
      </c>
      <c r="O1563" s="8" t="s">
        <v>1619</v>
      </c>
      <c r="P1563" s="8" t="s">
        <v>238</v>
      </c>
      <c r="Q1563" s="8" t="s">
        <v>1619</v>
      </c>
      <c r="R1563" s="6">
        <v>6</v>
      </c>
      <c r="S1563" s="8" t="s">
        <v>1619</v>
      </c>
      <c r="T1563" s="9"/>
      <c r="U1563" s="8" t="s">
        <v>240</v>
      </c>
      <c r="V1563" s="8" t="s">
        <v>240</v>
      </c>
      <c r="W1563" s="8" t="s">
        <v>240</v>
      </c>
      <c r="X1563" s="8" t="s">
        <v>240</v>
      </c>
      <c r="Y1563" s="8" t="s">
        <v>240</v>
      </c>
      <c r="Z1563" s="6" t="b">
        <v>0</v>
      </c>
      <c r="AA1563" s="9"/>
      <c r="AB1563" s="9"/>
    </row>
    <row r="1564" spans="1:28" ht="16">
      <c r="A1564" s="6">
        <v>1715</v>
      </c>
      <c r="B1564" s="8" t="s">
        <v>94</v>
      </c>
      <c r="C1564" s="8" t="s">
        <v>600</v>
      </c>
      <c r="D1564" s="8" t="s">
        <v>2564</v>
      </c>
      <c r="E1564" s="8" t="s">
        <v>2565</v>
      </c>
      <c r="F1564" s="6">
        <v>1716</v>
      </c>
      <c r="G1564" s="6" t="b">
        <v>0</v>
      </c>
      <c r="H1564" s="8" t="s">
        <v>240</v>
      </c>
      <c r="I1564" s="6" t="b">
        <v>0</v>
      </c>
      <c r="J1564" s="6" t="b">
        <v>0</v>
      </c>
      <c r="K1564" s="6" t="b">
        <v>0</v>
      </c>
      <c r="L1564" s="6" t="b">
        <v>0</v>
      </c>
      <c r="M1564" s="6" t="b">
        <v>0</v>
      </c>
      <c r="N1564" s="6">
        <v>7</v>
      </c>
      <c r="O1564" s="8" t="s">
        <v>237</v>
      </c>
      <c r="P1564" s="8" t="s">
        <v>350</v>
      </c>
      <c r="Q1564" s="8" t="s">
        <v>1619</v>
      </c>
      <c r="R1564" s="6">
        <v>10</v>
      </c>
      <c r="S1564" s="8" t="s">
        <v>1619</v>
      </c>
      <c r="T1564" s="9"/>
      <c r="U1564" s="8" t="s">
        <v>240</v>
      </c>
      <c r="V1564" s="8" t="s">
        <v>240</v>
      </c>
      <c r="W1564" s="8" t="s">
        <v>240</v>
      </c>
      <c r="X1564" s="8" t="s">
        <v>240</v>
      </c>
      <c r="Y1564" s="8" t="s">
        <v>240</v>
      </c>
      <c r="Z1564" s="6" t="b">
        <v>0</v>
      </c>
      <c r="AA1564" s="9"/>
      <c r="AB1564" s="9"/>
    </row>
    <row r="1565" spans="1:28" ht="16">
      <c r="A1565" s="6">
        <v>1716</v>
      </c>
      <c r="B1565" s="8" t="s">
        <v>94</v>
      </c>
      <c r="C1565" s="8" t="s">
        <v>600</v>
      </c>
      <c r="D1565" s="8" t="s">
        <v>2565</v>
      </c>
      <c r="E1565" s="8" t="s">
        <v>2565</v>
      </c>
      <c r="F1565" s="6">
        <v>1716</v>
      </c>
      <c r="G1565" s="6" t="b">
        <v>0</v>
      </c>
      <c r="H1565" s="8" t="s">
        <v>240</v>
      </c>
      <c r="I1565" s="6" t="b">
        <v>0</v>
      </c>
      <c r="J1565" s="6" t="b">
        <v>0</v>
      </c>
      <c r="K1565" s="6" t="b">
        <v>0</v>
      </c>
      <c r="L1565" s="6" t="b">
        <v>0</v>
      </c>
      <c r="M1565" s="6" t="b">
        <v>0</v>
      </c>
      <c r="N1565" s="6">
        <v>7</v>
      </c>
      <c r="O1565" s="8" t="s">
        <v>237</v>
      </c>
      <c r="P1565" s="8" t="s">
        <v>350</v>
      </c>
      <c r="Q1565" s="8" t="s">
        <v>1619</v>
      </c>
      <c r="R1565" s="6">
        <v>10</v>
      </c>
      <c r="S1565" s="8" t="s">
        <v>1619</v>
      </c>
      <c r="T1565" s="9"/>
      <c r="U1565" s="8" t="s">
        <v>240</v>
      </c>
      <c r="V1565" s="8" t="s">
        <v>240</v>
      </c>
      <c r="W1565" s="8" t="s">
        <v>240</v>
      </c>
      <c r="X1565" s="8" t="s">
        <v>240</v>
      </c>
      <c r="Y1565" s="8" t="s">
        <v>240</v>
      </c>
      <c r="Z1565" s="6" t="b">
        <v>0</v>
      </c>
      <c r="AA1565" s="9"/>
      <c r="AB1565" s="9"/>
    </row>
    <row r="1566" spans="1:28" ht="32">
      <c r="A1566" s="6">
        <v>1717</v>
      </c>
      <c r="B1566" s="8" t="s">
        <v>194</v>
      </c>
      <c r="C1566" s="8" t="s">
        <v>90</v>
      </c>
      <c r="D1566" s="8" t="s">
        <v>2566</v>
      </c>
      <c r="E1566" s="8" t="s">
        <v>2477</v>
      </c>
      <c r="F1566" s="6">
        <v>1647</v>
      </c>
      <c r="G1566" s="6" t="b">
        <v>0</v>
      </c>
      <c r="H1566" s="8" t="s">
        <v>240</v>
      </c>
      <c r="I1566" s="6" t="b">
        <v>0</v>
      </c>
      <c r="J1566" s="6" t="b">
        <v>0</v>
      </c>
      <c r="K1566" s="6" t="b">
        <v>0</v>
      </c>
      <c r="L1566" s="6" t="b">
        <v>1</v>
      </c>
      <c r="M1566" s="6" t="b">
        <v>0</v>
      </c>
      <c r="N1566" s="6">
        <v>6</v>
      </c>
      <c r="O1566" s="8" t="s">
        <v>331</v>
      </c>
      <c r="P1566" s="8" t="s">
        <v>350</v>
      </c>
      <c r="Q1566" s="8" t="s">
        <v>1619</v>
      </c>
      <c r="R1566" s="6">
        <v>7</v>
      </c>
      <c r="S1566" s="8" t="s">
        <v>1619</v>
      </c>
      <c r="T1566" s="9"/>
      <c r="U1566" s="8" t="s">
        <v>240</v>
      </c>
      <c r="V1566" s="8" t="s">
        <v>240</v>
      </c>
      <c r="W1566" s="8" t="s">
        <v>240</v>
      </c>
      <c r="X1566" s="8" t="s">
        <v>240</v>
      </c>
      <c r="Y1566" s="8" t="s">
        <v>240</v>
      </c>
      <c r="Z1566" s="6" t="b">
        <v>0</v>
      </c>
      <c r="AA1566" s="9"/>
      <c r="AB1566" s="9"/>
    </row>
    <row r="1567" spans="1:28" ht="16">
      <c r="A1567" s="6">
        <v>1718</v>
      </c>
      <c r="B1567" s="8" t="s">
        <v>198</v>
      </c>
      <c r="C1567" s="8" t="s">
        <v>146</v>
      </c>
      <c r="D1567" s="8" t="s">
        <v>2567</v>
      </c>
      <c r="E1567" s="8" t="s">
        <v>2567</v>
      </c>
      <c r="F1567" s="6">
        <v>1718</v>
      </c>
      <c r="G1567" s="6" t="b">
        <v>0</v>
      </c>
      <c r="H1567" s="8" t="s">
        <v>480</v>
      </c>
      <c r="I1567" s="6" t="b">
        <v>0</v>
      </c>
      <c r="J1567" s="6" t="b">
        <v>0</v>
      </c>
      <c r="K1567" s="6" t="b">
        <v>0</v>
      </c>
      <c r="L1567" s="6" t="b">
        <v>1</v>
      </c>
      <c r="M1567" s="6" t="b">
        <v>0</v>
      </c>
      <c r="N1567" s="6">
        <v>4</v>
      </c>
      <c r="O1567" s="8" t="s">
        <v>331</v>
      </c>
      <c r="P1567" s="8" t="s">
        <v>350</v>
      </c>
      <c r="Q1567" s="8" t="s">
        <v>1619</v>
      </c>
      <c r="R1567" s="6">
        <v>2</v>
      </c>
      <c r="S1567" s="8" t="s">
        <v>1619</v>
      </c>
      <c r="T1567" s="9"/>
      <c r="U1567" s="8" t="s">
        <v>240</v>
      </c>
      <c r="V1567" s="8" t="s">
        <v>240</v>
      </c>
      <c r="W1567" s="8" t="s">
        <v>240</v>
      </c>
      <c r="X1567" s="8" t="s">
        <v>240</v>
      </c>
      <c r="Y1567" s="8" t="s">
        <v>240</v>
      </c>
      <c r="Z1567" s="6" t="b">
        <v>0</v>
      </c>
      <c r="AA1567" s="9"/>
      <c r="AB1567" s="9"/>
    </row>
    <row r="1568" spans="1:28" ht="32">
      <c r="A1568" s="6">
        <v>1719</v>
      </c>
      <c r="B1568" s="8" t="s">
        <v>194</v>
      </c>
      <c r="C1568" s="8" t="s">
        <v>90</v>
      </c>
      <c r="D1568" s="8" t="s">
        <v>2568</v>
      </c>
      <c r="E1568" s="8" t="s">
        <v>2278</v>
      </c>
      <c r="F1568" s="6">
        <v>1491</v>
      </c>
      <c r="G1568" s="6" t="b">
        <v>0</v>
      </c>
      <c r="H1568" s="8" t="s">
        <v>240</v>
      </c>
      <c r="I1568" s="6" t="b">
        <v>0</v>
      </c>
      <c r="J1568" s="6" t="b">
        <v>0</v>
      </c>
      <c r="K1568" s="6" t="b">
        <v>1</v>
      </c>
      <c r="L1568" s="6" t="b">
        <v>1</v>
      </c>
      <c r="M1568" s="6" t="b">
        <v>0</v>
      </c>
      <c r="N1568" s="6">
        <v>6</v>
      </c>
      <c r="O1568" s="8" t="s">
        <v>331</v>
      </c>
      <c r="P1568" s="8" t="s">
        <v>238</v>
      </c>
      <c r="Q1568" s="8" t="s">
        <v>1619</v>
      </c>
      <c r="R1568" s="6">
        <v>6</v>
      </c>
      <c r="S1568" s="8" t="s">
        <v>1619</v>
      </c>
      <c r="T1568" s="9"/>
      <c r="U1568" s="8" t="s">
        <v>240</v>
      </c>
      <c r="V1568" s="8" t="s">
        <v>240</v>
      </c>
      <c r="W1568" s="8" t="s">
        <v>240</v>
      </c>
      <c r="X1568" s="8" t="s">
        <v>240</v>
      </c>
      <c r="Y1568" s="8" t="s">
        <v>240</v>
      </c>
      <c r="Z1568" s="6" t="b">
        <v>0</v>
      </c>
      <c r="AA1568" s="9"/>
      <c r="AB1568" s="9"/>
    </row>
    <row r="1569" spans="1:28" ht="32">
      <c r="A1569" s="6">
        <v>1721</v>
      </c>
      <c r="B1569" s="8" t="s">
        <v>94</v>
      </c>
      <c r="C1569" s="8" t="s">
        <v>633</v>
      </c>
      <c r="D1569" s="8" t="s">
        <v>2569</v>
      </c>
      <c r="E1569" s="8" t="s">
        <v>2493</v>
      </c>
      <c r="F1569" s="6">
        <v>1664</v>
      </c>
      <c r="G1569" s="6" t="b">
        <v>0</v>
      </c>
      <c r="H1569" s="8" t="s">
        <v>240</v>
      </c>
      <c r="I1569" s="6" t="b">
        <v>0</v>
      </c>
      <c r="J1569" s="6" t="b">
        <v>0</v>
      </c>
      <c r="K1569" s="6" t="b">
        <v>0</v>
      </c>
      <c r="L1569" s="6" t="b">
        <v>0</v>
      </c>
      <c r="M1569" s="6" t="b">
        <v>0</v>
      </c>
      <c r="N1569" s="6">
        <v>8</v>
      </c>
      <c r="O1569" s="8" t="s">
        <v>237</v>
      </c>
      <c r="P1569" s="8" t="s">
        <v>350</v>
      </c>
      <c r="Q1569" s="8" t="s">
        <v>1619</v>
      </c>
      <c r="R1569" s="6">
        <v>5</v>
      </c>
      <c r="S1569" s="8" t="s">
        <v>1619</v>
      </c>
      <c r="T1569" s="9"/>
      <c r="U1569" s="8" t="s">
        <v>240</v>
      </c>
      <c r="V1569" s="8" t="s">
        <v>240</v>
      </c>
      <c r="W1569" s="8" t="s">
        <v>240</v>
      </c>
      <c r="X1569" s="8" t="s">
        <v>240</v>
      </c>
      <c r="Y1569" s="8" t="s">
        <v>240</v>
      </c>
      <c r="Z1569" s="6" t="b">
        <v>0</v>
      </c>
      <c r="AA1569" s="9"/>
      <c r="AB1569" s="9"/>
    </row>
    <row r="1570" spans="1:28" ht="16">
      <c r="A1570" s="6">
        <v>1722</v>
      </c>
      <c r="B1570" s="8" t="s">
        <v>94</v>
      </c>
      <c r="C1570" s="8" t="s">
        <v>600</v>
      </c>
      <c r="D1570" s="8" t="s">
        <v>2570</v>
      </c>
      <c r="E1570" s="8" t="s">
        <v>2565</v>
      </c>
      <c r="F1570" s="6">
        <v>1716</v>
      </c>
      <c r="G1570" s="6" t="b">
        <v>0</v>
      </c>
      <c r="H1570" s="8" t="s">
        <v>240</v>
      </c>
      <c r="I1570" s="6" t="b">
        <v>0</v>
      </c>
      <c r="J1570" s="6" t="b">
        <v>0</v>
      </c>
      <c r="K1570" s="6" t="b">
        <v>0</v>
      </c>
      <c r="L1570" s="6" t="b">
        <v>0</v>
      </c>
      <c r="M1570" s="6" t="b">
        <v>0</v>
      </c>
      <c r="N1570" s="6">
        <v>7</v>
      </c>
      <c r="O1570" s="8" t="s">
        <v>237</v>
      </c>
      <c r="P1570" s="8" t="s">
        <v>350</v>
      </c>
      <c r="Q1570" s="8" t="s">
        <v>1619</v>
      </c>
      <c r="R1570" s="6">
        <v>8</v>
      </c>
      <c r="S1570" s="8" t="s">
        <v>1619</v>
      </c>
      <c r="T1570" s="9"/>
      <c r="U1570" s="8" t="s">
        <v>240</v>
      </c>
      <c r="V1570" s="8" t="s">
        <v>240</v>
      </c>
      <c r="W1570" s="8" t="s">
        <v>240</v>
      </c>
      <c r="X1570" s="8" t="s">
        <v>240</v>
      </c>
      <c r="Y1570" s="8" t="s">
        <v>2571</v>
      </c>
      <c r="Z1570" s="6" t="b">
        <v>0</v>
      </c>
      <c r="AA1570" s="9"/>
      <c r="AB1570" s="9"/>
    </row>
    <row r="1571" spans="1:28" ht="16">
      <c r="A1571" s="6">
        <v>1723</v>
      </c>
      <c r="B1571" s="8" t="s">
        <v>94</v>
      </c>
      <c r="C1571" s="8" t="s">
        <v>603</v>
      </c>
      <c r="D1571" s="8" t="s">
        <v>2572</v>
      </c>
      <c r="E1571" s="8" t="s">
        <v>603</v>
      </c>
      <c r="F1571" s="6">
        <v>354</v>
      </c>
      <c r="G1571" s="6" t="b">
        <v>0</v>
      </c>
      <c r="H1571" s="8" t="s">
        <v>240</v>
      </c>
      <c r="I1571" s="6" t="b">
        <v>0</v>
      </c>
      <c r="J1571" s="6" t="b">
        <v>0</v>
      </c>
      <c r="K1571" s="6" t="b">
        <v>0</v>
      </c>
      <c r="L1571" s="6" t="b">
        <v>0</v>
      </c>
      <c r="M1571" s="6" t="b">
        <v>0</v>
      </c>
      <c r="N1571" s="6">
        <v>10</v>
      </c>
      <c r="O1571" s="8" t="s">
        <v>1619</v>
      </c>
      <c r="P1571" s="8" t="s">
        <v>350</v>
      </c>
      <c r="Q1571" s="8" t="s">
        <v>1619</v>
      </c>
      <c r="R1571" s="6">
        <v>10</v>
      </c>
      <c r="S1571" s="8" t="s">
        <v>1619</v>
      </c>
      <c r="T1571" s="9"/>
      <c r="U1571" s="8" t="s">
        <v>240</v>
      </c>
      <c r="V1571" s="8" t="s">
        <v>240</v>
      </c>
      <c r="W1571" s="8" t="s">
        <v>240</v>
      </c>
      <c r="X1571" s="8" t="s">
        <v>240</v>
      </c>
      <c r="Y1571" s="8" t="s">
        <v>240</v>
      </c>
      <c r="Z1571" s="6" t="b">
        <v>0</v>
      </c>
      <c r="AA1571" s="9"/>
      <c r="AB1571" s="9"/>
    </row>
    <row r="1572" spans="1:28" ht="32">
      <c r="A1572" s="6">
        <v>1724</v>
      </c>
      <c r="B1572" s="8" t="s">
        <v>194</v>
      </c>
      <c r="C1572" s="8" t="s">
        <v>90</v>
      </c>
      <c r="D1572" s="8" t="s">
        <v>2573</v>
      </c>
      <c r="E1572" s="8" t="s">
        <v>2008</v>
      </c>
      <c r="F1572" s="6">
        <v>1284</v>
      </c>
      <c r="G1572" s="6" t="b">
        <v>0</v>
      </c>
      <c r="H1572" s="8" t="s">
        <v>240</v>
      </c>
      <c r="I1572" s="6" t="b">
        <v>0</v>
      </c>
      <c r="J1572" s="6" t="b">
        <v>0</v>
      </c>
      <c r="K1572" s="6" t="b">
        <v>0</v>
      </c>
      <c r="L1572" s="6" t="b">
        <v>1</v>
      </c>
      <c r="M1572" s="6" t="b">
        <v>0</v>
      </c>
      <c r="N1572" s="6">
        <v>6</v>
      </c>
      <c r="O1572" s="8" t="s">
        <v>331</v>
      </c>
      <c r="P1572" s="8" t="s">
        <v>255</v>
      </c>
      <c r="Q1572" s="8" t="s">
        <v>1619</v>
      </c>
      <c r="R1572" s="6">
        <v>4</v>
      </c>
      <c r="S1572" s="8" t="s">
        <v>1619</v>
      </c>
      <c r="T1572" s="9"/>
      <c r="U1572" s="8" t="s">
        <v>240</v>
      </c>
      <c r="V1572" s="8" t="s">
        <v>240</v>
      </c>
      <c r="W1572" s="8" t="s">
        <v>240</v>
      </c>
      <c r="X1572" s="8" t="s">
        <v>240</v>
      </c>
      <c r="Y1572" s="8" t="s">
        <v>240</v>
      </c>
      <c r="Z1572" s="6" t="b">
        <v>0</v>
      </c>
      <c r="AA1572" s="9"/>
      <c r="AB1572" s="9"/>
    </row>
    <row r="1573" spans="1:28" ht="16">
      <c r="A1573" s="6">
        <v>1725</v>
      </c>
      <c r="B1573" s="8" t="s">
        <v>194</v>
      </c>
      <c r="C1573" s="8" t="s">
        <v>90</v>
      </c>
      <c r="D1573" s="8" t="s">
        <v>2574</v>
      </c>
      <c r="E1573" s="8" t="s">
        <v>2574</v>
      </c>
      <c r="F1573" s="6">
        <v>1725</v>
      </c>
      <c r="G1573" s="6" t="b">
        <v>0</v>
      </c>
      <c r="H1573" s="8" t="s">
        <v>240</v>
      </c>
      <c r="I1573" s="6" t="b">
        <v>0</v>
      </c>
      <c r="J1573" s="6" t="b">
        <v>0</v>
      </c>
      <c r="K1573" s="6" t="b">
        <v>0</v>
      </c>
      <c r="L1573" s="6" t="b">
        <v>1</v>
      </c>
      <c r="M1573" s="6" t="b">
        <v>0</v>
      </c>
      <c r="N1573" s="6">
        <v>6</v>
      </c>
      <c r="O1573" s="8" t="s">
        <v>331</v>
      </c>
      <c r="P1573" s="8" t="s">
        <v>350</v>
      </c>
      <c r="Q1573" s="8" t="s">
        <v>1619</v>
      </c>
      <c r="R1573" s="6">
        <v>4</v>
      </c>
      <c r="S1573" s="8" t="s">
        <v>381</v>
      </c>
      <c r="T1573" s="9"/>
      <c r="U1573" s="8" t="s">
        <v>240</v>
      </c>
      <c r="V1573" s="8" t="s">
        <v>240</v>
      </c>
      <c r="W1573" s="8" t="s">
        <v>240</v>
      </c>
      <c r="X1573" s="8" t="s">
        <v>240</v>
      </c>
      <c r="Y1573" s="8" t="s">
        <v>240</v>
      </c>
      <c r="Z1573" s="6" t="b">
        <v>0</v>
      </c>
      <c r="AA1573" s="9"/>
      <c r="AB1573" s="9"/>
    </row>
    <row r="1574" spans="1:28" ht="32">
      <c r="A1574" s="6">
        <v>1726</v>
      </c>
      <c r="B1574" s="8" t="s">
        <v>194</v>
      </c>
      <c r="C1574" s="8" t="s">
        <v>90</v>
      </c>
      <c r="D1574" s="8" t="s">
        <v>2575</v>
      </c>
      <c r="E1574" s="8" t="s">
        <v>2108</v>
      </c>
      <c r="F1574" s="6">
        <v>1362</v>
      </c>
      <c r="G1574" s="6" t="b">
        <v>0</v>
      </c>
      <c r="H1574" s="8" t="s">
        <v>240</v>
      </c>
      <c r="I1574" s="6" t="b">
        <v>0</v>
      </c>
      <c r="J1574" s="6" t="b">
        <v>0</v>
      </c>
      <c r="K1574" s="6" t="b">
        <v>0</v>
      </c>
      <c r="L1574" s="6" t="b">
        <v>1</v>
      </c>
      <c r="M1574" s="6" t="b">
        <v>0</v>
      </c>
      <c r="N1574" s="6">
        <v>6</v>
      </c>
      <c r="O1574" s="8" t="s">
        <v>237</v>
      </c>
      <c r="P1574" s="8" t="s">
        <v>380</v>
      </c>
      <c r="Q1574" s="8" t="s">
        <v>1619</v>
      </c>
      <c r="R1574" s="6">
        <v>6</v>
      </c>
      <c r="S1574" s="8" t="s">
        <v>1619</v>
      </c>
      <c r="T1574" s="9"/>
      <c r="U1574" s="8" t="s">
        <v>240</v>
      </c>
      <c r="V1574" s="8" t="s">
        <v>240</v>
      </c>
      <c r="W1574" s="8" t="s">
        <v>240</v>
      </c>
      <c r="X1574" s="8" t="s">
        <v>240</v>
      </c>
      <c r="Y1574" s="8" t="s">
        <v>240</v>
      </c>
      <c r="Z1574" s="6" t="b">
        <v>0</v>
      </c>
      <c r="AA1574" s="9"/>
      <c r="AB1574" s="9"/>
    </row>
    <row r="1575" spans="1:28" ht="16">
      <c r="A1575" s="6">
        <v>1727</v>
      </c>
      <c r="B1575" s="8" t="s">
        <v>194</v>
      </c>
      <c r="C1575" s="8" t="s">
        <v>90</v>
      </c>
      <c r="D1575" s="8" t="s">
        <v>2576</v>
      </c>
      <c r="E1575" s="8" t="s">
        <v>2293</v>
      </c>
      <c r="F1575" s="6">
        <v>1508</v>
      </c>
      <c r="G1575" s="6" t="b">
        <v>0</v>
      </c>
      <c r="H1575" s="8" t="s">
        <v>240</v>
      </c>
      <c r="I1575" s="6" t="b">
        <v>0</v>
      </c>
      <c r="J1575" s="6" t="b">
        <v>1</v>
      </c>
      <c r="K1575" s="6" t="b">
        <v>0</v>
      </c>
      <c r="L1575" s="6" t="b">
        <v>1</v>
      </c>
      <c r="M1575" s="6" t="b">
        <v>0</v>
      </c>
      <c r="N1575" s="6">
        <v>6</v>
      </c>
      <c r="O1575" s="8" t="s">
        <v>331</v>
      </c>
      <c r="P1575" s="8" t="s">
        <v>350</v>
      </c>
      <c r="Q1575" s="8" t="s">
        <v>1619</v>
      </c>
      <c r="R1575" s="6">
        <v>4</v>
      </c>
      <c r="S1575" s="8" t="s">
        <v>1619</v>
      </c>
      <c r="T1575" s="9"/>
      <c r="U1575" s="8" t="s">
        <v>240</v>
      </c>
      <c r="V1575" s="8" t="s">
        <v>240</v>
      </c>
      <c r="W1575" s="8" t="s">
        <v>240</v>
      </c>
      <c r="X1575" s="8" t="s">
        <v>240</v>
      </c>
      <c r="Y1575" s="8" t="s">
        <v>240</v>
      </c>
      <c r="Z1575" s="6" t="b">
        <v>0</v>
      </c>
      <c r="AA1575" s="9"/>
      <c r="AB1575" s="9"/>
    </row>
    <row r="1576" spans="1:28" ht="32">
      <c r="A1576" s="6">
        <v>1728</v>
      </c>
      <c r="B1576" s="8" t="s">
        <v>194</v>
      </c>
      <c r="C1576" s="8" t="s">
        <v>90</v>
      </c>
      <c r="D1576" s="8" t="s">
        <v>2577</v>
      </c>
      <c r="E1576" s="8" t="s">
        <v>2191</v>
      </c>
      <c r="F1576" s="6">
        <v>1427</v>
      </c>
      <c r="G1576" s="6" t="b">
        <v>0</v>
      </c>
      <c r="H1576" s="8" t="s">
        <v>240</v>
      </c>
      <c r="I1576" s="6" t="b">
        <v>1</v>
      </c>
      <c r="J1576" s="6" t="b">
        <v>0</v>
      </c>
      <c r="K1576" s="6" t="b">
        <v>0</v>
      </c>
      <c r="L1576" s="6" t="b">
        <v>1</v>
      </c>
      <c r="M1576" s="6" t="b">
        <v>0</v>
      </c>
      <c r="N1576" s="6">
        <v>6</v>
      </c>
      <c r="O1576" s="8" t="s">
        <v>331</v>
      </c>
      <c r="P1576" s="8" t="s">
        <v>255</v>
      </c>
      <c r="Q1576" s="8" t="s">
        <v>1619</v>
      </c>
      <c r="R1576" s="6">
        <v>4</v>
      </c>
      <c r="S1576" s="8" t="s">
        <v>1619</v>
      </c>
      <c r="T1576" s="9"/>
      <c r="U1576" s="8" t="s">
        <v>240</v>
      </c>
      <c r="V1576" s="8" t="s">
        <v>240</v>
      </c>
      <c r="W1576" s="8" t="s">
        <v>240</v>
      </c>
      <c r="X1576" s="8" t="s">
        <v>240</v>
      </c>
      <c r="Y1576" s="8" t="s">
        <v>240</v>
      </c>
      <c r="Z1576" s="6" t="b">
        <v>0</v>
      </c>
      <c r="AA1576" s="9"/>
      <c r="AB1576" s="9"/>
    </row>
    <row r="1577" spans="1:28" ht="16">
      <c r="A1577" s="6">
        <v>1729</v>
      </c>
      <c r="B1577" s="8" t="s">
        <v>94</v>
      </c>
      <c r="C1577" s="8" t="s">
        <v>648</v>
      </c>
      <c r="D1577" s="8" t="s">
        <v>2578</v>
      </c>
      <c r="E1577" s="8" t="s">
        <v>2578</v>
      </c>
      <c r="F1577" s="6">
        <v>1729</v>
      </c>
      <c r="G1577" s="6" t="b">
        <v>0</v>
      </c>
      <c r="H1577" s="8" t="s">
        <v>240</v>
      </c>
      <c r="I1577" s="6" t="b">
        <v>0</v>
      </c>
      <c r="J1577" s="6" t="b">
        <v>0</v>
      </c>
      <c r="K1577" s="6" t="b">
        <v>0</v>
      </c>
      <c r="L1577" s="6" t="b">
        <v>0</v>
      </c>
      <c r="M1577" s="6" t="b">
        <v>0</v>
      </c>
      <c r="N1577" s="6">
        <v>10</v>
      </c>
      <c r="O1577" s="8" t="s">
        <v>237</v>
      </c>
      <c r="P1577" s="8" t="s">
        <v>350</v>
      </c>
      <c r="Q1577" s="8" t="s">
        <v>1619</v>
      </c>
      <c r="R1577" s="6">
        <v>6</v>
      </c>
      <c r="S1577" s="8" t="s">
        <v>1619</v>
      </c>
      <c r="T1577" s="9"/>
      <c r="U1577" s="8" t="s">
        <v>240</v>
      </c>
      <c r="V1577" s="8" t="s">
        <v>240</v>
      </c>
      <c r="W1577" s="8" t="s">
        <v>240</v>
      </c>
      <c r="X1577" s="8" t="s">
        <v>240</v>
      </c>
      <c r="Y1577" s="8" t="s">
        <v>240</v>
      </c>
      <c r="Z1577" s="6" t="b">
        <v>0</v>
      </c>
      <c r="AA1577" s="9"/>
      <c r="AB1577" s="9"/>
    </row>
    <row r="1578" spans="1:28" ht="32">
      <c r="A1578" s="6">
        <v>1730</v>
      </c>
      <c r="B1578" s="8" t="s">
        <v>194</v>
      </c>
      <c r="C1578" s="8" t="s">
        <v>90</v>
      </c>
      <c r="D1578" s="8" t="s">
        <v>2579</v>
      </c>
      <c r="E1578" s="8" t="s">
        <v>2108</v>
      </c>
      <c r="F1578" s="6">
        <v>1362</v>
      </c>
      <c r="G1578" s="6" t="b">
        <v>0</v>
      </c>
      <c r="H1578" s="8" t="s">
        <v>240</v>
      </c>
      <c r="I1578" s="6" t="b">
        <v>0</v>
      </c>
      <c r="J1578" s="6" t="b">
        <v>0</v>
      </c>
      <c r="K1578" s="6" t="b">
        <v>0</v>
      </c>
      <c r="L1578" s="6" t="b">
        <v>1</v>
      </c>
      <c r="M1578" s="6" t="b">
        <v>0</v>
      </c>
      <c r="N1578" s="6">
        <v>6</v>
      </c>
      <c r="O1578" s="8" t="s">
        <v>331</v>
      </c>
      <c r="P1578" s="8" t="s">
        <v>380</v>
      </c>
      <c r="Q1578" s="8" t="s">
        <v>1619</v>
      </c>
      <c r="R1578" s="6">
        <v>6</v>
      </c>
      <c r="S1578" s="8" t="s">
        <v>1619</v>
      </c>
      <c r="T1578" s="9"/>
      <c r="U1578" s="8" t="s">
        <v>240</v>
      </c>
      <c r="V1578" s="8" t="s">
        <v>240</v>
      </c>
      <c r="W1578" s="8" t="s">
        <v>240</v>
      </c>
      <c r="X1578" s="8" t="s">
        <v>240</v>
      </c>
      <c r="Y1578" s="8" t="s">
        <v>240</v>
      </c>
      <c r="Z1578" s="6" t="b">
        <v>0</v>
      </c>
      <c r="AA1578" s="9"/>
      <c r="AB1578" s="9"/>
    </row>
    <row r="1579" spans="1:28" ht="32">
      <c r="A1579" s="6">
        <v>1731</v>
      </c>
      <c r="B1579" s="8" t="s">
        <v>194</v>
      </c>
      <c r="C1579" s="8" t="s">
        <v>90</v>
      </c>
      <c r="D1579" s="8" t="s">
        <v>2580</v>
      </c>
      <c r="E1579" s="8" t="s">
        <v>2108</v>
      </c>
      <c r="F1579" s="6">
        <v>1362</v>
      </c>
      <c r="G1579" s="6" t="b">
        <v>0</v>
      </c>
      <c r="H1579" s="8" t="s">
        <v>240</v>
      </c>
      <c r="I1579" s="6" t="b">
        <v>0</v>
      </c>
      <c r="J1579" s="6" t="b">
        <v>0</v>
      </c>
      <c r="K1579" s="6" t="b">
        <v>0</v>
      </c>
      <c r="L1579" s="6" t="b">
        <v>1</v>
      </c>
      <c r="M1579" s="6" t="b">
        <v>0</v>
      </c>
      <c r="N1579" s="6">
        <v>6</v>
      </c>
      <c r="O1579" s="8" t="s">
        <v>331</v>
      </c>
      <c r="P1579" s="8" t="s">
        <v>380</v>
      </c>
      <c r="Q1579" s="8" t="s">
        <v>1619</v>
      </c>
      <c r="R1579" s="6">
        <v>7</v>
      </c>
      <c r="S1579" s="8" t="s">
        <v>1619</v>
      </c>
      <c r="T1579" s="9"/>
      <c r="U1579" s="8" t="s">
        <v>240</v>
      </c>
      <c r="V1579" s="8" t="s">
        <v>240</v>
      </c>
      <c r="W1579" s="8" t="s">
        <v>240</v>
      </c>
      <c r="X1579" s="8" t="s">
        <v>240</v>
      </c>
      <c r="Y1579" s="8" t="s">
        <v>240</v>
      </c>
      <c r="Z1579" s="6" t="b">
        <v>0</v>
      </c>
      <c r="AA1579" s="9"/>
      <c r="AB1579" s="9"/>
    </row>
    <row r="1580" spans="1:28" ht="32">
      <c r="A1580" s="6">
        <v>1732</v>
      </c>
      <c r="B1580" s="8" t="s">
        <v>194</v>
      </c>
      <c r="C1580" s="8" t="s">
        <v>90</v>
      </c>
      <c r="D1580" s="8" t="s">
        <v>2581</v>
      </c>
      <c r="E1580" s="8" t="s">
        <v>2108</v>
      </c>
      <c r="F1580" s="6">
        <v>1362</v>
      </c>
      <c r="G1580" s="6" t="b">
        <v>0</v>
      </c>
      <c r="H1580" s="8" t="s">
        <v>240</v>
      </c>
      <c r="I1580" s="6" t="b">
        <v>0</v>
      </c>
      <c r="J1580" s="6" t="b">
        <v>0</v>
      </c>
      <c r="K1580" s="6" t="b">
        <v>0</v>
      </c>
      <c r="L1580" s="6" t="b">
        <v>1</v>
      </c>
      <c r="M1580" s="6" t="b">
        <v>0</v>
      </c>
      <c r="N1580" s="6">
        <v>6</v>
      </c>
      <c r="O1580" s="8" t="s">
        <v>331</v>
      </c>
      <c r="P1580" s="8" t="s">
        <v>380</v>
      </c>
      <c r="Q1580" s="8" t="s">
        <v>1619</v>
      </c>
      <c r="R1580" s="6">
        <v>6</v>
      </c>
      <c r="S1580" s="8" t="s">
        <v>1619</v>
      </c>
      <c r="T1580" s="9"/>
      <c r="U1580" s="8" t="s">
        <v>240</v>
      </c>
      <c r="V1580" s="8" t="s">
        <v>240</v>
      </c>
      <c r="W1580" s="8" t="s">
        <v>240</v>
      </c>
      <c r="X1580" s="8" t="s">
        <v>240</v>
      </c>
      <c r="Y1580" s="8" t="s">
        <v>240</v>
      </c>
      <c r="Z1580" s="6" t="b">
        <v>0</v>
      </c>
      <c r="AA1580" s="9"/>
      <c r="AB1580" s="9"/>
    </row>
    <row r="1581" spans="1:28" ht="32">
      <c r="A1581" s="6">
        <v>1733</v>
      </c>
      <c r="B1581" s="8" t="s">
        <v>194</v>
      </c>
      <c r="C1581" s="8" t="s">
        <v>90</v>
      </c>
      <c r="D1581" s="8" t="s">
        <v>2582</v>
      </c>
      <c r="E1581" s="8" t="s">
        <v>1815</v>
      </c>
      <c r="F1581" s="6">
        <v>1132</v>
      </c>
      <c r="G1581" s="6" t="b">
        <v>0</v>
      </c>
      <c r="H1581" s="8" t="s">
        <v>240</v>
      </c>
      <c r="I1581" s="6" t="b">
        <v>0</v>
      </c>
      <c r="J1581" s="6" t="b">
        <v>1</v>
      </c>
      <c r="K1581" s="6" t="b">
        <v>0</v>
      </c>
      <c r="L1581" s="6" t="b">
        <v>1</v>
      </c>
      <c r="M1581" s="6" t="b">
        <v>0</v>
      </c>
      <c r="N1581" s="6">
        <v>6</v>
      </c>
      <c r="O1581" s="8" t="s">
        <v>331</v>
      </c>
      <c r="P1581" s="8" t="s">
        <v>516</v>
      </c>
      <c r="Q1581" s="8" t="s">
        <v>1619</v>
      </c>
      <c r="R1581" s="6">
        <v>7</v>
      </c>
      <c r="S1581" s="8" t="s">
        <v>1619</v>
      </c>
      <c r="T1581" s="9"/>
      <c r="U1581" s="8" t="s">
        <v>240</v>
      </c>
      <c r="V1581" s="8" t="s">
        <v>240</v>
      </c>
      <c r="W1581" s="8" t="s">
        <v>240</v>
      </c>
      <c r="X1581" s="8" t="s">
        <v>240</v>
      </c>
      <c r="Y1581" s="8" t="s">
        <v>240</v>
      </c>
      <c r="Z1581" s="6" t="b">
        <v>0</v>
      </c>
      <c r="AA1581" s="9"/>
      <c r="AB1581" s="9"/>
    </row>
    <row r="1582" spans="1:28" ht="32">
      <c r="A1582" s="6">
        <v>1734</v>
      </c>
      <c r="B1582" s="8" t="s">
        <v>194</v>
      </c>
      <c r="C1582" s="8" t="s">
        <v>90</v>
      </c>
      <c r="D1582" s="8" t="s">
        <v>2583</v>
      </c>
      <c r="E1582" s="8" t="s">
        <v>1815</v>
      </c>
      <c r="F1582" s="6">
        <v>1132</v>
      </c>
      <c r="G1582" s="6" t="b">
        <v>0</v>
      </c>
      <c r="H1582" s="8" t="s">
        <v>240</v>
      </c>
      <c r="I1582" s="6" t="b">
        <v>0</v>
      </c>
      <c r="J1582" s="6" t="b">
        <v>1</v>
      </c>
      <c r="K1582" s="6" t="b">
        <v>0</v>
      </c>
      <c r="L1582" s="6" t="b">
        <v>1</v>
      </c>
      <c r="M1582" s="6" t="b">
        <v>0</v>
      </c>
      <c r="N1582" s="6">
        <v>6</v>
      </c>
      <c r="O1582" s="8" t="s">
        <v>1619</v>
      </c>
      <c r="P1582" s="8" t="s">
        <v>380</v>
      </c>
      <c r="Q1582" s="8" t="s">
        <v>1619</v>
      </c>
      <c r="R1582" s="6">
        <v>6</v>
      </c>
      <c r="S1582" s="8" t="s">
        <v>1619</v>
      </c>
      <c r="T1582" s="9"/>
      <c r="U1582" s="8" t="s">
        <v>240</v>
      </c>
      <c r="V1582" s="8" t="s">
        <v>240</v>
      </c>
      <c r="W1582" s="8" t="s">
        <v>240</v>
      </c>
      <c r="X1582" s="8" t="s">
        <v>240</v>
      </c>
      <c r="Y1582" s="8" t="s">
        <v>240</v>
      </c>
      <c r="Z1582" s="6" t="b">
        <v>0</v>
      </c>
      <c r="AA1582" s="9"/>
      <c r="AB1582" s="9"/>
    </row>
    <row r="1583" spans="1:28" ht="32">
      <c r="A1583" s="6">
        <v>1735</v>
      </c>
      <c r="B1583" s="8" t="s">
        <v>194</v>
      </c>
      <c r="C1583" s="8" t="s">
        <v>90</v>
      </c>
      <c r="D1583" s="8" t="s">
        <v>2584</v>
      </c>
      <c r="E1583" s="8" t="s">
        <v>1910</v>
      </c>
      <c r="F1583" s="6">
        <v>1208</v>
      </c>
      <c r="G1583" s="6" t="b">
        <v>0</v>
      </c>
      <c r="H1583" s="8" t="s">
        <v>240</v>
      </c>
      <c r="I1583" s="6" t="b">
        <v>0</v>
      </c>
      <c r="J1583" s="6" t="b">
        <v>1</v>
      </c>
      <c r="K1583" s="6" t="b">
        <v>0</v>
      </c>
      <c r="L1583" s="6" t="b">
        <v>1</v>
      </c>
      <c r="M1583" s="6" t="b">
        <v>0</v>
      </c>
      <c r="N1583" s="6">
        <v>6</v>
      </c>
      <c r="O1583" s="8" t="s">
        <v>331</v>
      </c>
      <c r="P1583" s="8" t="s">
        <v>350</v>
      </c>
      <c r="Q1583" s="8" t="s">
        <v>1619</v>
      </c>
      <c r="R1583" s="6">
        <v>8</v>
      </c>
      <c r="S1583" s="8" t="s">
        <v>1619</v>
      </c>
      <c r="T1583" s="9"/>
      <c r="U1583" s="8" t="s">
        <v>240</v>
      </c>
      <c r="V1583" s="8" t="s">
        <v>240</v>
      </c>
      <c r="W1583" s="8" t="s">
        <v>240</v>
      </c>
      <c r="X1583" s="8" t="s">
        <v>240</v>
      </c>
      <c r="Y1583" s="8" t="s">
        <v>240</v>
      </c>
      <c r="Z1583" s="6" t="b">
        <v>0</v>
      </c>
      <c r="AA1583" s="9"/>
      <c r="AB1583" s="9"/>
    </row>
    <row r="1584" spans="1:28" ht="32">
      <c r="A1584" s="6">
        <v>1736</v>
      </c>
      <c r="B1584" s="8" t="s">
        <v>194</v>
      </c>
      <c r="C1584" s="8" t="s">
        <v>90</v>
      </c>
      <c r="D1584" s="8" t="s">
        <v>2585</v>
      </c>
      <c r="E1584" s="8" t="s">
        <v>1910</v>
      </c>
      <c r="F1584" s="6">
        <v>1208</v>
      </c>
      <c r="G1584" s="6" t="b">
        <v>0</v>
      </c>
      <c r="H1584" s="8" t="s">
        <v>240</v>
      </c>
      <c r="I1584" s="6" t="b">
        <v>0</v>
      </c>
      <c r="J1584" s="6" t="b">
        <v>1</v>
      </c>
      <c r="K1584" s="6" t="b">
        <v>0</v>
      </c>
      <c r="L1584" s="6" t="b">
        <v>1</v>
      </c>
      <c r="M1584" s="6" t="b">
        <v>0</v>
      </c>
      <c r="N1584" s="6">
        <v>6</v>
      </c>
      <c r="O1584" s="8" t="s">
        <v>331</v>
      </c>
      <c r="P1584" s="8" t="s">
        <v>350</v>
      </c>
      <c r="Q1584" s="8" t="s">
        <v>1619</v>
      </c>
      <c r="R1584" s="6">
        <v>4</v>
      </c>
      <c r="S1584" s="8" t="s">
        <v>1619</v>
      </c>
      <c r="T1584" s="9"/>
      <c r="U1584" s="8" t="s">
        <v>240</v>
      </c>
      <c r="V1584" s="8" t="s">
        <v>240</v>
      </c>
      <c r="W1584" s="8" t="s">
        <v>240</v>
      </c>
      <c r="X1584" s="8" t="s">
        <v>240</v>
      </c>
      <c r="Y1584" s="8" t="s">
        <v>240</v>
      </c>
      <c r="Z1584" s="6" t="b">
        <v>0</v>
      </c>
      <c r="AA1584" s="9"/>
      <c r="AB1584" s="9"/>
    </row>
    <row r="1585" spans="1:28" ht="32">
      <c r="A1585" s="6">
        <v>1737</v>
      </c>
      <c r="B1585" s="8" t="s">
        <v>194</v>
      </c>
      <c r="C1585" s="8" t="s">
        <v>90</v>
      </c>
      <c r="D1585" s="8" t="s">
        <v>2586</v>
      </c>
      <c r="E1585" s="8" t="s">
        <v>1910</v>
      </c>
      <c r="F1585" s="6">
        <v>1208</v>
      </c>
      <c r="G1585" s="6" t="b">
        <v>0</v>
      </c>
      <c r="H1585" s="8" t="s">
        <v>240</v>
      </c>
      <c r="I1585" s="6" t="b">
        <v>0</v>
      </c>
      <c r="J1585" s="6" t="b">
        <v>1</v>
      </c>
      <c r="K1585" s="6" t="b">
        <v>0</v>
      </c>
      <c r="L1585" s="6" t="b">
        <v>1</v>
      </c>
      <c r="M1585" s="6" t="b">
        <v>0</v>
      </c>
      <c r="N1585" s="6">
        <v>6</v>
      </c>
      <c r="O1585" s="8" t="s">
        <v>331</v>
      </c>
      <c r="P1585" s="8" t="s">
        <v>350</v>
      </c>
      <c r="Q1585" s="8" t="s">
        <v>1619</v>
      </c>
      <c r="R1585" s="6">
        <v>4</v>
      </c>
      <c r="S1585" s="8" t="s">
        <v>1619</v>
      </c>
      <c r="T1585" s="9"/>
      <c r="U1585" s="8" t="s">
        <v>240</v>
      </c>
      <c r="V1585" s="8" t="s">
        <v>240</v>
      </c>
      <c r="W1585" s="8" t="s">
        <v>240</v>
      </c>
      <c r="X1585" s="8" t="s">
        <v>240</v>
      </c>
      <c r="Y1585" s="8" t="s">
        <v>240</v>
      </c>
      <c r="Z1585" s="6" t="b">
        <v>0</v>
      </c>
      <c r="AA1585" s="9"/>
      <c r="AB1585" s="9"/>
    </row>
    <row r="1586" spans="1:28" ht="32">
      <c r="A1586" s="6">
        <v>1738</v>
      </c>
      <c r="B1586" s="8" t="s">
        <v>194</v>
      </c>
      <c r="C1586" s="8" t="s">
        <v>90</v>
      </c>
      <c r="D1586" s="8" t="s">
        <v>2587</v>
      </c>
      <c r="E1586" s="8" t="s">
        <v>2037</v>
      </c>
      <c r="F1586" s="6">
        <v>1311</v>
      </c>
      <c r="G1586" s="6" t="b">
        <v>0</v>
      </c>
      <c r="H1586" s="8" t="s">
        <v>240</v>
      </c>
      <c r="I1586" s="6" t="b">
        <v>0</v>
      </c>
      <c r="J1586" s="6" t="b">
        <v>1</v>
      </c>
      <c r="K1586" s="6" t="b">
        <v>0</v>
      </c>
      <c r="L1586" s="6" t="b">
        <v>1</v>
      </c>
      <c r="M1586" s="6" t="b">
        <v>0</v>
      </c>
      <c r="N1586" s="6">
        <v>6</v>
      </c>
      <c r="O1586" s="8" t="s">
        <v>331</v>
      </c>
      <c r="P1586" s="8" t="s">
        <v>350</v>
      </c>
      <c r="Q1586" s="8" t="s">
        <v>237</v>
      </c>
      <c r="R1586" s="6">
        <v>6</v>
      </c>
      <c r="S1586" s="8" t="s">
        <v>75</v>
      </c>
      <c r="T1586" s="9"/>
      <c r="U1586" s="8" t="s">
        <v>240</v>
      </c>
      <c r="V1586" s="8" t="s">
        <v>240</v>
      </c>
      <c r="W1586" s="8" t="s">
        <v>240</v>
      </c>
      <c r="X1586" s="8" t="s">
        <v>240</v>
      </c>
      <c r="Y1586" s="8" t="s">
        <v>240</v>
      </c>
      <c r="Z1586" s="6" t="b">
        <v>0</v>
      </c>
      <c r="AA1586" s="9"/>
      <c r="AB1586" s="9"/>
    </row>
    <row r="1587" spans="1:28" ht="16">
      <c r="A1587" s="6">
        <v>1748</v>
      </c>
      <c r="B1587" s="8" t="s">
        <v>194</v>
      </c>
      <c r="C1587" s="8" t="s">
        <v>90</v>
      </c>
      <c r="D1587" s="8" t="s">
        <v>2588</v>
      </c>
      <c r="E1587" s="8" t="s">
        <v>2588</v>
      </c>
      <c r="F1587" s="6">
        <v>1748</v>
      </c>
      <c r="G1587" s="6" t="b">
        <v>0</v>
      </c>
      <c r="H1587" s="8" t="s">
        <v>240</v>
      </c>
      <c r="I1587" s="6" t="b">
        <v>0</v>
      </c>
      <c r="J1587" s="6" t="b">
        <v>0</v>
      </c>
      <c r="K1587" s="6" t="b">
        <v>0</v>
      </c>
      <c r="L1587" s="6" t="b">
        <v>1</v>
      </c>
      <c r="M1587" s="6" t="b">
        <v>0</v>
      </c>
      <c r="N1587" s="6">
        <v>6</v>
      </c>
      <c r="O1587" s="8" t="s">
        <v>331</v>
      </c>
      <c r="P1587" s="8" t="s">
        <v>350</v>
      </c>
      <c r="Q1587" s="8" t="s">
        <v>1619</v>
      </c>
      <c r="R1587" s="6">
        <v>7</v>
      </c>
      <c r="S1587" s="8" t="s">
        <v>1619</v>
      </c>
      <c r="T1587" s="9"/>
      <c r="U1587" s="8" t="s">
        <v>240</v>
      </c>
      <c r="V1587" s="8" t="s">
        <v>240</v>
      </c>
      <c r="W1587" s="8" t="s">
        <v>240</v>
      </c>
      <c r="X1587" s="8" t="s">
        <v>240</v>
      </c>
      <c r="Y1587" s="8" t="s">
        <v>240</v>
      </c>
      <c r="Z1587" s="6" t="b">
        <v>0</v>
      </c>
      <c r="AA1587" s="9"/>
      <c r="AB1587" s="9"/>
    </row>
    <row r="1588" spans="1:28" ht="16">
      <c r="A1588" s="6">
        <v>1749</v>
      </c>
      <c r="B1588" s="8" t="s">
        <v>212</v>
      </c>
      <c r="C1588" s="8" t="s">
        <v>2486</v>
      </c>
      <c r="D1588" s="8" t="s">
        <v>2486</v>
      </c>
      <c r="E1588" s="8" t="s">
        <v>2486</v>
      </c>
      <c r="F1588" s="6">
        <v>1749</v>
      </c>
      <c r="G1588" s="6" t="b">
        <v>0</v>
      </c>
      <c r="H1588" s="8" t="s">
        <v>240</v>
      </c>
      <c r="I1588" s="6" t="b">
        <v>0</v>
      </c>
      <c r="J1588" s="6" t="b">
        <v>0</v>
      </c>
      <c r="K1588" s="6" t="b">
        <v>0</v>
      </c>
      <c r="L1588" s="6" t="b">
        <v>0</v>
      </c>
      <c r="M1588" s="6" t="b">
        <v>0</v>
      </c>
      <c r="N1588" s="6">
        <v>8</v>
      </c>
      <c r="O1588" s="8" t="s">
        <v>237</v>
      </c>
      <c r="P1588" s="8" t="s">
        <v>240</v>
      </c>
      <c r="Q1588" s="8" t="s">
        <v>240</v>
      </c>
      <c r="R1588" s="6">
        <v>5</v>
      </c>
      <c r="S1588" s="8" t="s">
        <v>388</v>
      </c>
      <c r="T1588" s="9"/>
      <c r="U1588" s="8" t="s">
        <v>240</v>
      </c>
      <c r="V1588" s="8" t="s">
        <v>240</v>
      </c>
      <c r="W1588" s="8" t="s">
        <v>240</v>
      </c>
      <c r="X1588" s="8" t="s">
        <v>240</v>
      </c>
      <c r="Y1588" s="8" t="s">
        <v>240</v>
      </c>
      <c r="Z1588" s="6" t="b">
        <v>0</v>
      </c>
      <c r="AA1588" s="9"/>
      <c r="AB1588" s="9"/>
    </row>
    <row r="1589" spans="1:28" ht="16">
      <c r="A1589" s="6">
        <v>1750</v>
      </c>
      <c r="B1589" s="8" t="s">
        <v>2315</v>
      </c>
      <c r="C1589" s="8" t="s">
        <v>102</v>
      </c>
      <c r="D1589" s="8" t="s">
        <v>2589</v>
      </c>
      <c r="E1589" s="8" t="s">
        <v>2382</v>
      </c>
      <c r="F1589" s="6">
        <v>1568</v>
      </c>
      <c r="G1589" s="6" t="b">
        <v>0</v>
      </c>
      <c r="H1589" s="8" t="s">
        <v>240</v>
      </c>
      <c r="I1589" s="6" t="b">
        <v>0</v>
      </c>
      <c r="J1589" s="6" t="b">
        <v>0</v>
      </c>
      <c r="K1589" s="6" t="b">
        <v>0</v>
      </c>
      <c r="L1589" s="6" t="b">
        <v>0</v>
      </c>
      <c r="M1589" s="6" t="b">
        <v>0</v>
      </c>
      <c r="N1589" s="6">
        <v>7</v>
      </c>
      <c r="O1589" s="8" t="s">
        <v>237</v>
      </c>
      <c r="P1589" s="8" t="s">
        <v>516</v>
      </c>
      <c r="Q1589" s="8" t="s">
        <v>388</v>
      </c>
      <c r="R1589" s="6">
        <v>8</v>
      </c>
      <c r="S1589" s="8" t="s">
        <v>1619</v>
      </c>
      <c r="T1589" s="6">
        <v>8</v>
      </c>
      <c r="U1589" s="8" t="s">
        <v>240</v>
      </c>
      <c r="V1589" s="8" t="s">
        <v>240</v>
      </c>
      <c r="W1589" s="8" t="s">
        <v>240</v>
      </c>
      <c r="X1589" s="8" t="s">
        <v>240</v>
      </c>
      <c r="Y1589" s="8" t="s">
        <v>240</v>
      </c>
      <c r="Z1589" s="6" t="b">
        <v>0</v>
      </c>
      <c r="AA1589" s="9"/>
      <c r="AB1589" s="9"/>
    </row>
    <row r="1590" spans="1:28" ht="16">
      <c r="A1590" s="6">
        <v>1751</v>
      </c>
      <c r="B1590" s="8" t="s">
        <v>200</v>
      </c>
      <c r="C1590" s="8" t="s">
        <v>1503</v>
      </c>
      <c r="D1590" s="8" t="s">
        <v>2590</v>
      </c>
      <c r="E1590" s="8" t="s">
        <v>2590</v>
      </c>
      <c r="F1590" s="6">
        <v>1751</v>
      </c>
      <c r="G1590" s="6" t="b">
        <v>0</v>
      </c>
      <c r="H1590" s="8" t="s">
        <v>240</v>
      </c>
      <c r="I1590" s="6" t="b">
        <v>0</v>
      </c>
      <c r="J1590" s="6" t="b">
        <v>0</v>
      </c>
      <c r="K1590" s="6" t="b">
        <v>0</v>
      </c>
      <c r="L1590" s="6" t="b">
        <v>1</v>
      </c>
      <c r="M1590" s="6" t="b">
        <v>0</v>
      </c>
      <c r="N1590" s="6">
        <v>5</v>
      </c>
      <c r="O1590" s="8" t="s">
        <v>335</v>
      </c>
      <c r="P1590" s="8" t="s">
        <v>238</v>
      </c>
      <c r="Q1590" s="8" t="s">
        <v>2591</v>
      </c>
      <c r="R1590" s="6">
        <v>5</v>
      </c>
      <c r="S1590" s="8" t="s">
        <v>75</v>
      </c>
      <c r="T1590" s="9"/>
      <c r="U1590" s="8" t="s">
        <v>240</v>
      </c>
      <c r="V1590" s="8" t="s">
        <v>824</v>
      </c>
      <c r="W1590" s="8" t="s">
        <v>240</v>
      </c>
      <c r="X1590" s="8" t="s">
        <v>240</v>
      </c>
      <c r="Y1590" s="8" t="s">
        <v>240</v>
      </c>
      <c r="Z1590" s="6" t="b">
        <v>0</v>
      </c>
      <c r="AA1590" s="9"/>
      <c r="AB1590" s="9"/>
    </row>
    <row r="1591" spans="1:28" ht="32">
      <c r="A1591" s="6">
        <v>1752</v>
      </c>
      <c r="B1591" s="8" t="s">
        <v>94</v>
      </c>
      <c r="C1591" s="8" t="s">
        <v>600</v>
      </c>
      <c r="D1591" s="8" t="s">
        <v>2592</v>
      </c>
      <c r="E1591" s="8" t="s">
        <v>2593</v>
      </c>
      <c r="F1591" s="6">
        <v>2773</v>
      </c>
      <c r="G1591" s="6" t="b">
        <v>0</v>
      </c>
      <c r="H1591" s="8" t="s">
        <v>240</v>
      </c>
      <c r="I1591" s="6" t="b">
        <v>0</v>
      </c>
      <c r="J1591" s="6" t="b">
        <v>0</v>
      </c>
      <c r="K1591" s="6" t="b">
        <v>0</v>
      </c>
      <c r="L1591" s="6" t="b">
        <v>0</v>
      </c>
      <c r="M1591" s="6" t="b">
        <v>0</v>
      </c>
      <c r="N1591" s="6">
        <v>7</v>
      </c>
      <c r="O1591" s="8" t="s">
        <v>237</v>
      </c>
      <c r="P1591" s="8" t="s">
        <v>350</v>
      </c>
      <c r="Q1591" s="8" t="s">
        <v>1619</v>
      </c>
      <c r="R1591" s="6">
        <v>8</v>
      </c>
      <c r="S1591" s="8" t="s">
        <v>1619</v>
      </c>
      <c r="T1591" s="9"/>
      <c r="U1591" s="8" t="s">
        <v>240</v>
      </c>
      <c r="V1591" s="8" t="s">
        <v>240</v>
      </c>
      <c r="W1591" s="8" t="s">
        <v>240</v>
      </c>
      <c r="X1591" s="8" t="s">
        <v>240</v>
      </c>
      <c r="Y1591" s="8" t="s">
        <v>240</v>
      </c>
      <c r="Z1591" s="6" t="b">
        <v>0</v>
      </c>
      <c r="AA1591" s="9"/>
      <c r="AB1591" s="9"/>
    </row>
    <row r="1592" spans="1:28" ht="16">
      <c r="A1592" s="6">
        <v>2769</v>
      </c>
      <c r="B1592" s="8" t="s">
        <v>194</v>
      </c>
      <c r="C1592" s="8" t="s">
        <v>90</v>
      </c>
      <c r="D1592" s="8" t="s">
        <v>2594</v>
      </c>
      <c r="E1592" s="8" t="s">
        <v>1815</v>
      </c>
      <c r="F1592" s="6">
        <v>1132</v>
      </c>
      <c r="G1592" s="6" t="b">
        <v>0</v>
      </c>
      <c r="H1592" s="8" t="s">
        <v>240</v>
      </c>
      <c r="I1592" s="6" t="b">
        <v>0</v>
      </c>
      <c r="J1592" s="6" t="b">
        <v>1</v>
      </c>
      <c r="K1592" s="6" t="b">
        <v>0</v>
      </c>
      <c r="L1592" s="6" t="b">
        <v>1</v>
      </c>
      <c r="M1592" s="6" t="b">
        <v>0</v>
      </c>
      <c r="N1592" s="6">
        <v>6</v>
      </c>
      <c r="O1592" s="8" t="s">
        <v>1619</v>
      </c>
      <c r="P1592" s="8" t="s">
        <v>380</v>
      </c>
      <c r="Q1592" s="8" t="s">
        <v>1619</v>
      </c>
      <c r="R1592" s="6">
        <v>5</v>
      </c>
      <c r="S1592" s="8" t="s">
        <v>1619</v>
      </c>
      <c r="T1592" s="6">
        <v>5</v>
      </c>
      <c r="U1592" s="8" t="s">
        <v>240</v>
      </c>
      <c r="V1592" s="8" t="s">
        <v>240</v>
      </c>
      <c r="W1592" s="8" t="s">
        <v>240</v>
      </c>
      <c r="X1592" s="8" t="s">
        <v>240</v>
      </c>
      <c r="Y1592" s="8" t="s">
        <v>240</v>
      </c>
      <c r="Z1592" s="6" t="b">
        <v>0</v>
      </c>
      <c r="AA1592" s="9"/>
      <c r="AB1592" s="9"/>
    </row>
    <row r="1593" spans="1:28" ht="16">
      <c r="A1593" s="6">
        <v>2771</v>
      </c>
      <c r="B1593" s="8" t="s">
        <v>94</v>
      </c>
      <c r="C1593" s="8" t="s">
        <v>600</v>
      </c>
      <c r="D1593" s="8" t="s">
        <v>2595</v>
      </c>
      <c r="E1593" s="8" t="s">
        <v>679</v>
      </c>
      <c r="F1593" s="6">
        <v>329</v>
      </c>
      <c r="G1593" s="6" t="b">
        <v>0</v>
      </c>
      <c r="H1593" s="8" t="s">
        <v>240</v>
      </c>
      <c r="I1593" s="6" t="b">
        <v>0</v>
      </c>
      <c r="J1593" s="6" t="b">
        <v>0</v>
      </c>
      <c r="K1593" s="6" t="b">
        <v>0</v>
      </c>
      <c r="L1593" s="6" t="b">
        <v>0</v>
      </c>
      <c r="M1593" s="6" t="b">
        <v>0</v>
      </c>
      <c r="N1593" s="6">
        <v>7</v>
      </c>
      <c r="O1593" s="8" t="s">
        <v>237</v>
      </c>
      <c r="P1593" s="8" t="s">
        <v>350</v>
      </c>
      <c r="Q1593" s="8" t="s">
        <v>1619</v>
      </c>
      <c r="R1593" s="6">
        <v>8</v>
      </c>
      <c r="S1593" s="8" t="s">
        <v>1619</v>
      </c>
      <c r="T1593" s="9"/>
      <c r="U1593" s="8" t="s">
        <v>240</v>
      </c>
      <c r="V1593" s="8" t="s">
        <v>240</v>
      </c>
      <c r="W1593" s="8" t="s">
        <v>240</v>
      </c>
      <c r="X1593" s="8" t="s">
        <v>240</v>
      </c>
      <c r="Y1593" s="8" t="s">
        <v>240</v>
      </c>
      <c r="Z1593" s="6" t="b">
        <v>0</v>
      </c>
      <c r="AA1593" s="9"/>
      <c r="AB1593" s="9"/>
    </row>
    <row r="1594" spans="1:28" ht="16">
      <c r="A1594" s="6">
        <v>2772</v>
      </c>
      <c r="B1594" s="8" t="s">
        <v>199</v>
      </c>
      <c r="C1594" s="8" t="s">
        <v>96</v>
      </c>
      <c r="D1594" s="8" t="s">
        <v>2527</v>
      </c>
      <c r="E1594" s="8" t="s">
        <v>2527</v>
      </c>
      <c r="F1594" s="6">
        <v>2772</v>
      </c>
      <c r="G1594" s="6" t="b">
        <v>0</v>
      </c>
      <c r="H1594" s="8" t="s">
        <v>480</v>
      </c>
      <c r="I1594" s="6" t="b">
        <v>0</v>
      </c>
      <c r="J1594" s="6" t="b">
        <v>0</v>
      </c>
      <c r="K1594" s="6" t="b">
        <v>0</v>
      </c>
      <c r="L1594" s="6" t="b">
        <v>1</v>
      </c>
      <c r="M1594" s="6" t="b">
        <v>0</v>
      </c>
      <c r="N1594" s="6">
        <v>4</v>
      </c>
      <c r="O1594" s="8" t="s">
        <v>331</v>
      </c>
      <c r="P1594" s="8" t="s">
        <v>350</v>
      </c>
      <c r="Q1594" s="8" t="s">
        <v>1619</v>
      </c>
      <c r="R1594" s="6">
        <v>6</v>
      </c>
      <c r="S1594" s="8" t="s">
        <v>1619</v>
      </c>
      <c r="T1594" s="9"/>
      <c r="U1594" s="8" t="s">
        <v>240</v>
      </c>
      <c r="V1594" s="8" t="s">
        <v>240</v>
      </c>
      <c r="W1594" s="8" t="s">
        <v>240</v>
      </c>
      <c r="X1594" s="8" t="s">
        <v>240</v>
      </c>
      <c r="Y1594" s="8" t="s">
        <v>240</v>
      </c>
      <c r="Z1594" s="6" t="b">
        <v>0</v>
      </c>
      <c r="AA1594" s="9"/>
      <c r="AB1594" s="9"/>
    </row>
    <row r="1595" spans="1:28" ht="16">
      <c r="A1595" s="6">
        <v>2773</v>
      </c>
      <c r="B1595" s="8" t="s">
        <v>94</v>
      </c>
      <c r="C1595" s="8" t="s">
        <v>600</v>
      </c>
      <c r="D1595" s="8" t="s">
        <v>2593</v>
      </c>
      <c r="E1595" s="8" t="s">
        <v>2593</v>
      </c>
      <c r="F1595" s="6">
        <v>2773</v>
      </c>
      <c r="G1595" s="6" t="b">
        <v>0</v>
      </c>
      <c r="H1595" s="8" t="s">
        <v>240</v>
      </c>
      <c r="I1595" s="6" t="b">
        <v>0</v>
      </c>
      <c r="J1595" s="6" t="b">
        <v>0</v>
      </c>
      <c r="K1595" s="6" t="b">
        <v>0</v>
      </c>
      <c r="L1595" s="6" t="b">
        <v>0</v>
      </c>
      <c r="M1595" s="6" t="b">
        <v>0</v>
      </c>
      <c r="N1595" s="6">
        <v>7</v>
      </c>
      <c r="O1595" s="8" t="s">
        <v>237</v>
      </c>
      <c r="P1595" s="8" t="s">
        <v>350</v>
      </c>
      <c r="Q1595" s="8" t="s">
        <v>1619</v>
      </c>
      <c r="R1595" s="6">
        <v>8</v>
      </c>
      <c r="S1595" s="8" t="s">
        <v>1619</v>
      </c>
      <c r="T1595" s="9"/>
      <c r="U1595" s="8" t="s">
        <v>240</v>
      </c>
      <c r="V1595" s="8" t="s">
        <v>240</v>
      </c>
      <c r="W1595" s="8" t="s">
        <v>240</v>
      </c>
      <c r="X1595" s="8" t="s">
        <v>240</v>
      </c>
      <c r="Y1595" s="8" t="s">
        <v>240</v>
      </c>
      <c r="Z1595" s="6" t="b">
        <v>0</v>
      </c>
      <c r="AA1595" s="9"/>
      <c r="AB1595" s="9"/>
    </row>
    <row r="1596" spans="1:28" ht="16">
      <c r="A1596" s="6">
        <v>2774</v>
      </c>
      <c r="B1596" s="8" t="s">
        <v>198</v>
      </c>
      <c r="C1596" s="8" t="s">
        <v>1267</v>
      </c>
      <c r="D1596" s="8" t="s">
        <v>1267</v>
      </c>
      <c r="E1596" s="8" t="s">
        <v>1267</v>
      </c>
      <c r="F1596" s="6">
        <v>2774</v>
      </c>
      <c r="G1596" s="6" t="b">
        <v>0</v>
      </c>
      <c r="H1596" s="8" t="s">
        <v>480</v>
      </c>
      <c r="I1596" s="6" t="b">
        <v>0</v>
      </c>
      <c r="J1596" s="6" t="b">
        <v>0</v>
      </c>
      <c r="K1596" s="6" t="b">
        <v>0</v>
      </c>
      <c r="L1596" s="6" t="b">
        <v>1</v>
      </c>
      <c r="M1596" s="6" t="b">
        <v>0</v>
      </c>
      <c r="N1596" s="6">
        <v>3</v>
      </c>
      <c r="O1596" s="8" t="s">
        <v>237</v>
      </c>
      <c r="P1596" s="8" t="s">
        <v>516</v>
      </c>
      <c r="Q1596" s="8" t="s">
        <v>237</v>
      </c>
      <c r="R1596" s="6">
        <v>3</v>
      </c>
      <c r="S1596" s="8" t="s">
        <v>75</v>
      </c>
      <c r="T1596" s="9"/>
      <c r="U1596" s="8" t="s">
        <v>240</v>
      </c>
      <c r="V1596" s="8" t="s">
        <v>1269</v>
      </c>
      <c r="W1596" s="8" t="s">
        <v>240</v>
      </c>
      <c r="X1596" s="8" t="s">
        <v>240</v>
      </c>
      <c r="Y1596" s="8" t="s">
        <v>240</v>
      </c>
      <c r="Z1596" s="6" t="b">
        <v>0</v>
      </c>
      <c r="AA1596" s="9"/>
      <c r="AB1596" s="10">
        <v>40158</v>
      </c>
    </row>
    <row r="1597" spans="1:28" ht="16">
      <c r="A1597" s="6">
        <v>2775</v>
      </c>
      <c r="B1597" s="8" t="s">
        <v>199</v>
      </c>
      <c r="C1597" s="8" t="s">
        <v>828</v>
      </c>
      <c r="D1597" s="8" t="s">
        <v>828</v>
      </c>
      <c r="E1597" s="8" t="s">
        <v>828</v>
      </c>
      <c r="F1597" s="6">
        <v>2775</v>
      </c>
      <c r="G1597" s="6" t="b">
        <v>0</v>
      </c>
      <c r="H1597" s="8" t="s">
        <v>480</v>
      </c>
      <c r="I1597" s="6" t="b">
        <v>0</v>
      </c>
      <c r="J1597" s="6" t="b">
        <v>0</v>
      </c>
      <c r="K1597" s="6" t="b">
        <v>0</v>
      </c>
      <c r="L1597" s="6" t="b">
        <v>1</v>
      </c>
      <c r="M1597" s="6" t="b">
        <v>0</v>
      </c>
      <c r="N1597" s="6">
        <v>0</v>
      </c>
      <c r="O1597" s="8" t="s">
        <v>2596</v>
      </c>
      <c r="P1597" s="8" t="s">
        <v>350</v>
      </c>
      <c r="Q1597" s="8" t="s">
        <v>2596</v>
      </c>
      <c r="R1597" s="6">
        <v>0</v>
      </c>
      <c r="S1597" s="8" t="s">
        <v>2596</v>
      </c>
      <c r="T1597" s="9"/>
      <c r="U1597" s="8" t="s">
        <v>240</v>
      </c>
      <c r="V1597" s="8" t="s">
        <v>866</v>
      </c>
      <c r="W1597" s="8" t="s">
        <v>240</v>
      </c>
      <c r="X1597" s="8" t="s">
        <v>240</v>
      </c>
      <c r="Y1597" s="8" t="s">
        <v>240</v>
      </c>
      <c r="Z1597" s="6" t="b">
        <v>0</v>
      </c>
      <c r="AA1597" s="9"/>
      <c r="AB1597" s="10">
        <v>40171</v>
      </c>
    </row>
    <row r="1598" spans="1:28" ht="16">
      <c r="A1598" s="6">
        <v>2776</v>
      </c>
      <c r="B1598" s="8" t="s">
        <v>198</v>
      </c>
      <c r="C1598" s="8" t="s">
        <v>1329</v>
      </c>
      <c r="D1598" s="8" t="s">
        <v>1329</v>
      </c>
      <c r="E1598" s="8" t="s">
        <v>1329</v>
      </c>
      <c r="F1598" s="6">
        <v>2776</v>
      </c>
      <c r="G1598" s="6" t="b">
        <v>0</v>
      </c>
      <c r="H1598" s="8" t="s">
        <v>480</v>
      </c>
      <c r="I1598" s="6" t="b">
        <v>0</v>
      </c>
      <c r="J1598" s="6" t="b">
        <v>0</v>
      </c>
      <c r="K1598" s="6" t="b">
        <v>0</v>
      </c>
      <c r="L1598" s="6" t="b">
        <v>1</v>
      </c>
      <c r="M1598" s="6" t="b">
        <v>0</v>
      </c>
      <c r="N1598" s="6">
        <v>3</v>
      </c>
      <c r="O1598" s="8" t="s">
        <v>237</v>
      </c>
      <c r="P1598" s="8" t="s">
        <v>516</v>
      </c>
      <c r="Q1598" s="8" t="s">
        <v>237</v>
      </c>
      <c r="R1598" s="6">
        <v>3</v>
      </c>
      <c r="S1598" s="8" t="s">
        <v>2597</v>
      </c>
      <c r="T1598" s="9"/>
      <c r="U1598" s="8" t="s">
        <v>240</v>
      </c>
      <c r="V1598" s="8" t="s">
        <v>482</v>
      </c>
      <c r="W1598" s="8" t="s">
        <v>240</v>
      </c>
      <c r="X1598" s="8" t="s">
        <v>240</v>
      </c>
      <c r="Y1598" s="8" t="s">
        <v>240</v>
      </c>
      <c r="Z1598" s="6" t="b">
        <v>0</v>
      </c>
      <c r="AA1598" s="9"/>
      <c r="AB1598" s="10">
        <v>40158</v>
      </c>
    </row>
    <row r="1599" spans="1:28" ht="16">
      <c r="A1599" s="6">
        <v>2777</v>
      </c>
      <c r="B1599" s="8" t="s">
        <v>198</v>
      </c>
      <c r="C1599" s="8" t="s">
        <v>1399</v>
      </c>
      <c r="D1599" s="8" t="s">
        <v>1399</v>
      </c>
      <c r="E1599" s="8" t="s">
        <v>1399</v>
      </c>
      <c r="F1599" s="6">
        <v>2777</v>
      </c>
      <c r="G1599" s="6" t="b">
        <v>0</v>
      </c>
      <c r="H1599" s="8" t="s">
        <v>480</v>
      </c>
      <c r="I1599" s="6" t="b">
        <v>0</v>
      </c>
      <c r="J1599" s="6" t="b">
        <v>0</v>
      </c>
      <c r="K1599" s="6" t="b">
        <v>0</v>
      </c>
      <c r="L1599" s="6" t="b">
        <v>1</v>
      </c>
      <c r="M1599" s="6" t="b">
        <v>0</v>
      </c>
      <c r="N1599" s="6">
        <v>3</v>
      </c>
      <c r="O1599" s="8" t="s">
        <v>2596</v>
      </c>
      <c r="P1599" s="8" t="s">
        <v>516</v>
      </c>
      <c r="Q1599" s="8" t="s">
        <v>2596</v>
      </c>
      <c r="R1599" s="6">
        <v>3</v>
      </c>
      <c r="S1599" s="8" t="s">
        <v>2596</v>
      </c>
      <c r="T1599" s="9"/>
      <c r="U1599" s="8" t="s">
        <v>240</v>
      </c>
      <c r="V1599" s="8" t="s">
        <v>482</v>
      </c>
      <c r="W1599" s="8" t="s">
        <v>240</v>
      </c>
      <c r="X1599" s="8" t="s">
        <v>240</v>
      </c>
      <c r="Y1599" s="8" t="s">
        <v>240</v>
      </c>
      <c r="Z1599" s="6" t="b">
        <v>0</v>
      </c>
      <c r="AA1599" s="9"/>
      <c r="AB1599" s="10">
        <v>40171</v>
      </c>
    </row>
    <row r="1600" spans="1:28" ht="16">
      <c r="A1600" s="6">
        <v>2778</v>
      </c>
      <c r="B1600" s="8" t="s">
        <v>198</v>
      </c>
      <c r="C1600" s="8" t="s">
        <v>1426</v>
      </c>
      <c r="D1600" s="8" t="s">
        <v>1426</v>
      </c>
      <c r="E1600" s="8" t="s">
        <v>1426</v>
      </c>
      <c r="F1600" s="6">
        <v>2778</v>
      </c>
      <c r="G1600" s="6" t="b">
        <v>0</v>
      </c>
      <c r="H1600" s="8" t="s">
        <v>480</v>
      </c>
      <c r="I1600" s="6" t="b">
        <v>0</v>
      </c>
      <c r="J1600" s="6" t="b">
        <v>0</v>
      </c>
      <c r="K1600" s="6" t="b">
        <v>0</v>
      </c>
      <c r="L1600" s="6" t="b">
        <v>1</v>
      </c>
      <c r="M1600" s="6" t="b">
        <v>0</v>
      </c>
      <c r="N1600" s="6">
        <v>5</v>
      </c>
      <c r="O1600" s="8" t="s">
        <v>237</v>
      </c>
      <c r="P1600" s="8" t="s">
        <v>255</v>
      </c>
      <c r="Q1600" s="8" t="s">
        <v>237</v>
      </c>
      <c r="R1600" s="6">
        <v>5</v>
      </c>
      <c r="S1600" s="8" t="s">
        <v>2597</v>
      </c>
      <c r="T1600" s="9"/>
      <c r="U1600" s="8" t="s">
        <v>240</v>
      </c>
      <c r="V1600" s="8" t="s">
        <v>496</v>
      </c>
      <c r="W1600" s="8" t="s">
        <v>240</v>
      </c>
      <c r="X1600" s="8" t="s">
        <v>240</v>
      </c>
      <c r="Y1600" s="8" t="s">
        <v>2598</v>
      </c>
      <c r="Z1600" s="6" t="b">
        <v>0</v>
      </c>
      <c r="AA1600" s="9"/>
      <c r="AB1600" s="10">
        <v>40158</v>
      </c>
    </row>
    <row r="1601" spans="1:28" ht="16">
      <c r="A1601" s="6">
        <v>2779</v>
      </c>
      <c r="B1601" s="8" t="s">
        <v>199</v>
      </c>
      <c r="C1601" s="8" t="s">
        <v>949</v>
      </c>
      <c r="D1601" s="8" t="s">
        <v>949</v>
      </c>
      <c r="E1601" s="8" t="s">
        <v>949</v>
      </c>
      <c r="F1601" s="6">
        <v>2779</v>
      </c>
      <c r="G1601" s="6" t="b">
        <v>0</v>
      </c>
      <c r="H1601" s="8" t="s">
        <v>480</v>
      </c>
      <c r="I1601" s="6" t="b">
        <v>0</v>
      </c>
      <c r="J1601" s="6" t="b">
        <v>0</v>
      </c>
      <c r="K1601" s="6" t="b">
        <v>0</v>
      </c>
      <c r="L1601" s="6" t="b">
        <v>1</v>
      </c>
      <c r="M1601" s="6" t="b">
        <v>0</v>
      </c>
      <c r="N1601" s="6">
        <v>2</v>
      </c>
      <c r="O1601" s="8" t="s">
        <v>237</v>
      </c>
      <c r="P1601" s="8" t="s">
        <v>255</v>
      </c>
      <c r="Q1601" s="8" t="s">
        <v>237</v>
      </c>
      <c r="R1601" s="6">
        <v>2</v>
      </c>
      <c r="S1601" s="8" t="s">
        <v>2597</v>
      </c>
      <c r="T1601" s="9"/>
      <c r="U1601" s="8" t="s">
        <v>240</v>
      </c>
      <c r="V1601" s="8" t="s">
        <v>830</v>
      </c>
      <c r="W1601" s="8" t="s">
        <v>240</v>
      </c>
      <c r="X1601" s="8" t="s">
        <v>240</v>
      </c>
      <c r="Y1601" s="8" t="s">
        <v>240</v>
      </c>
      <c r="Z1601" s="6" t="b">
        <v>0</v>
      </c>
      <c r="AA1601" s="9"/>
      <c r="AB1601" s="10">
        <v>40158</v>
      </c>
    </row>
    <row r="1602" spans="1:28" ht="16">
      <c r="A1602" s="6">
        <v>2780</v>
      </c>
      <c r="B1602" s="8" t="s">
        <v>199</v>
      </c>
      <c r="C1602" s="8" t="s">
        <v>1005</v>
      </c>
      <c r="D1602" s="8" t="s">
        <v>1005</v>
      </c>
      <c r="E1602" s="8" t="s">
        <v>1005</v>
      </c>
      <c r="F1602" s="6">
        <v>2780</v>
      </c>
      <c r="G1602" s="6" t="b">
        <v>0</v>
      </c>
      <c r="H1602" s="8" t="s">
        <v>480</v>
      </c>
      <c r="I1602" s="6" t="b">
        <v>0</v>
      </c>
      <c r="J1602" s="6" t="b">
        <v>0</v>
      </c>
      <c r="K1602" s="6" t="b">
        <v>0</v>
      </c>
      <c r="L1602" s="6" t="b">
        <v>1</v>
      </c>
      <c r="M1602" s="6" t="b">
        <v>0</v>
      </c>
      <c r="N1602" s="6">
        <v>4</v>
      </c>
      <c r="O1602" s="8" t="s">
        <v>237</v>
      </c>
      <c r="P1602" s="8" t="s">
        <v>350</v>
      </c>
      <c r="Q1602" s="8" t="s">
        <v>237</v>
      </c>
      <c r="R1602" s="6">
        <v>4</v>
      </c>
      <c r="S1602" s="8" t="s">
        <v>2597</v>
      </c>
      <c r="T1602" s="9"/>
      <c r="U1602" s="8" t="s">
        <v>240</v>
      </c>
      <c r="V1602" s="8" t="s">
        <v>240</v>
      </c>
      <c r="W1602" s="8" t="s">
        <v>240</v>
      </c>
      <c r="X1602" s="8" t="s">
        <v>240</v>
      </c>
      <c r="Y1602" s="8" t="s">
        <v>240</v>
      </c>
      <c r="Z1602" s="6" t="b">
        <v>0</v>
      </c>
      <c r="AA1602" s="9"/>
      <c r="AB1602" s="10">
        <v>40158</v>
      </c>
    </row>
    <row r="1603" spans="1:28" ht="16">
      <c r="A1603" s="6">
        <v>2781</v>
      </c>
      <c r="B1603" s="8" t="s">
        <v>201</v>
      </c>
      <c r="C1603" s="8" t="s">
        <v>109</v>
      </c>
      <c r="D1603" s="8" t="s">
        <v>109</v>
      </c>
      <c r="E1603" s="8" t="s">
        <v>109</v>
      </c>
      <c r="F1603" s="6">
        <v>2781</v>
      </c>
      <c r="G1603" s="6" t="b">
        <v>0</v>
      </c>
      <c r="H1603" s="8" t="s">
        <v>240</v>
      </c>
      <c r="I1603" s="6" t="b">
        <v>0</v>
      </c>
      <c r="J1603" s="6" t="b">
        <v>0</v>
      </c>
      <c r="K1603" s="6" t="b">
        <v>0</v>
      </c>
      <c r="L1603" s="6" t="b">
        <v>0</v>
      </c>
      <c r="M1603" s="6" t="b">
        <v>0</v>
      </c>
      <c r="N1603" s="6">
        <v>4</v>
      </c>
      <c r="O1603" s="8" t="s">
        <v>2596</v>
      </c>
      <c r="P1603" s="8" t="s">
        <v>350</v>
      </c>
      <c r="Q1603" s="8" t="s">
        <v>2596</v>
      </c>
      <c r="R1603" s="6">
        <v>4</v>
      </c>
      <c r="S1603" s="8" t="s">
        <v>2596</v>
      </c>
      <c r="T1603" s="9"/>
      <c r="U1603" s="8" t="s">
        <v>240</v>
      </c>
      <c r="V1603" s="8" t="s">
        <v>240</v>
      </c>
      <c r="W1603" s="8" t="s">
        <v>240</v>
      </c>
      <c r="X1603" s="8" t="s">
        <v>240</v>
      </c>
      <c r="Y1603" s="8" t="s">
        <v>240</v>
      </c>
      <c r="Z1603" s="6" t="b">
        <v>0</v>
      </c>
      <c r="AA1603" s="9"/>
      <c r="AB1603" s="10">
        <v>40171</v>
      </c>
    </row>
    <row r="1604" spans="1:28" ht="32">
      <c r="A1604" s="6">
        <v>2782</v>
      </c>
      <c r="B1604" s="8" t="s">
        <v>199</v>
      </c>
      <c r="C1604" s="8" t="s">
        <v>111</v>
      </c>
      <c r="D1604" s="8" t="s">
        <v>2599</v>
      </c>
      <c r="E1604" s="8" t="s">
        <v>2599</v>
      </c>
      <c r="F1604" s="6">
        <v>2782</v>
      </c>
      <c r="G1604" s="6" t="b">
        <v>0</v>
      </c>
      <c r="H1604" s="8" t="s">
        <v>480</v>
      </c>
      <c r="I1604" s="6" t="b">
        <v>0</v>
      </c>
      <c r="J1604" s="6" t="b">
        <v>0</v>
      </c>
      <c r="K1604" s="6" t="b">
        <v>0</v>
      </c>
      <c r="L1604" s="6" t="b">
        <v>1</v>
      </c>
      <c r="M1604" s="6" t="b">
        <v>0</v>
      </c>
      <c r="N1604" s="6">
        <v>4</v>
      </c>
      <c r="O1604" s="8" t="s">
        <v>331</v>
      </c>
      <c r="P1604" s="8" t="s">
        <v>516</v>
      </c>
      <c r="Q1604" s="8" t="s">
        <v>481</v>
      </c>
      <c r="R1604" s="6">
        <v>3</v>
      </c>
      <c r="S1604" s="8" t="s">
        <v>335</v>
      </c>
      <c r="T1604" s="9"/>
      <c r="U1604" s="8" t="s">
        <v>240</v>
      </c>
      <c r="V1604" s="8" t="s">
        <v>482</v>
      </c>
      <c r="W1604" s="8" t="s">
        <v>483</v>
      </c>
      <c r="X1604" s="8" t="s">
        <v>240</v>
      </c>
      <c r="Y1604" s="8" t="s">
        <v>240</v>
      </c>
      <c r="Z1604" s="6" t="b">
        <v>0</v>
      </c>
      <c r="AA1604" s="9"/>
      <c r="AB1604" s="9"/>
    </row>
    <row r="1605" spans="1:28" ht="48">
      <c r="A1605" s="6">
        <v>2784</v>
      </c>
      <c r="B1605" s="8" t="s">
        <v>199</v>
      </c>
      <c r="C1605" s="8" t="s">
        <v>111</v>
      </c>
      <c r="D1605" s="8" t="s">
        <v>2600</v>
      </c>
      <c r="E1605" s="8" t="s">
        <v>2599</v>
      </c>
      <c r="F1605" s="6">
        <v>2782</v>
      </c>
      <c r="G1605" s="6" t="b">
        <v>0</v>
      </c>
      <c r="H1605" s="8" t="s">
        <v>480</v>
      </c>
      <c r="I1605" s="6" t="b">
        <v>0</v>
      </c>
      <c r="J1605" s="6" t="b">
        <v>0</v>
      </c>
      <c r="K1605" s="6" t="b">
        <v>0</v>
      </c>
      <c r="L1605" s="6" t="b">
        <v>1</v>
      </c>
      <c r="M1605" s="6" t="b">
        <v>0</v>
      </c>
      <c r="N1605" s="6">
        <v>4</v>
      </c>
      <c r="O1605" s="8" t="s">
        <v>331</v>
      </c>
      <c r="P1605" s="8" t="s">
        <v>516</v>
      </c>
      <c r="Q1605" s="8" t="s">
        <v>481</v>
      </c>
      <c r="R1605" s="6">
        <v>3</v>
      </c>
      <c r="S1605" s="8" t="s">
        <v>335</v>
      </c>
      <c r="T1605" s="9"/>
      <c r="U1605" s="8" t="s">
        <v>240</v>
      </c>
      <c r="V1605" s="8" t="s">
        <v>482</v>
      </c>
      <c r="W1605" s="8" t="s">
        <v>483</v>
      </c>
      <c r="X1605" s="8" t="s">
        <v>240</v>
      </c>
      <c r="Y1605" s="8" t="s">
        <v>240</v>
      </c>
      <c r="Z1605" s="6" t="b">
        <v>0</v>
      </c>
      <c r="AA1605" s="9"/>
      <c r="AB1605" s="9"/>
    </row>
    <row r="1606" spans="1:28" ht="32">
      <c r="A1606" s="6">
        <v>2785</v>
      </c>
      <c r="B1606" s="8" t="s">
        <v>199</v>
      </c>
      <c r="C1606" s="8" t="s">
        <v>111</v>
      </c>
      <c r="D1606" s="8" t="s">
        <v>2601</v>
      </c>
      <c r="E1606" s="8" t="s">
        <v>2599</v>
      </c>
      <c r="F1606" s="6">
        <v>2782</v>
      </c>
      <c r="G1606" s="6" t="b">
        <v>0</v>
      </c>
      <c r="H1606" s="8" t="s">
        <v>480</v>
      </c>
      <c r="I1606" s="6" t="b">
        <v>0</v>
      </c>
      <c r="J1606" s="6" t="b">
        <v>0</v>
      </c>
      <c r="K1606" s="6" t="b">
        <v>0</v>
      </c>
      <c r="L1606" s="6" t="b">
        <v>1</v>
      </c>
      <c r="M1606" s="6" t="b">
        <v>0</v>
      </c>
      <c r="N1606" s="6">
        <v>4</v>
      </c>
      <c r="O1606" s="8" t="s">
        <v>331</v>
      </c>
      <c r="P1606" s="8" t="s">
        <v>516</v>
      </c>
      <c r="Q1606" s="8" t="s">
        <v>481</v>
      </c>
      <c r="R1606" s="6">
        <v>5</v>
      </c>
      <c r="S1606" s="8" t="s">
        <v>347</v>
      </c>
      <c r="T1606" s="6">
        <v>5</v>
      </c>
      <c r="U1606" s="8" t="s">
        <v>240</v>
      </c>
      <c r="V1606" s="8" t="s">
        <v>482</v>
      </c>
      <c r="W1606" s="8" t="s">
        <v>483</v>
      </c>
      <c r="X1606" s="8" t="s">
        <v>240</v>
      </c>
      <c r="Y1606" s="8" t="s">
        <v>240</v>
      </c>
      <c r="Z1606" s="6" t="b">
        <v>0</v>
      </c>
      <c r="AA1606" s="9"/>
      <c r="AB1606" s="9"/>
    </row>
    <row r="1607" spans="1:28" ht="48">
      <c r="A1607" s="6">
        <v>2787</v>
      </c>
      <c r="B1607" s="8" t="s">
        <v>199</v>
      </c>
      <c r="C1607" s="8" t="s">
        <v>111</v>
      </c>
      <c r="D1607" s="8" t="s">
        <v>2602</v>
      </c>
      <c r="E1607" s="8" t="s">
        <v>2599</v>
      </c>
      <c r="F1607" s="6">
        <v>2782</v>
      </c>
      <c r="G1607" s="6" t="b">
        <v>0</v>
      </c>
      <c r="H1607" s="8" t="s">
        <v>480</v>
      </c>
      <c r="I1607" s="6" t="b">
        <v>0</v>
      </c>
      <c r="J1607" s="6" t="b">
        <v>0</v>
      </c>
      <c r="K1607" s="6" t="b">
        <v>0</v>
      </c>
      <c r="L1607" s="6" t="b">
        <v>1</v>
      </c>
      <c r="M1607" s="6" t="b">
        <v>0</v>
      </c>
      <c r="N1607" s="6">
        <v>4</v>
      </c>
      <c r="O1607" s="8" t="s">
        <v>331</v>
      </c>
      <c r="P1607" s="8" t="s">
        <v>516</v>
      </c>
      <c r="Q1607" s="8" t="s">
        <v>339</v>
      </c>
      <c r="R1607" s="6">
        <v>4</v>
      </c>
      <c r="S1607" s="8" t="s">
        <v>347</v>
      </c>
      <c r="T1607" s="6">
        <v>4</v>
      </c>
      <c r="U1607" s="8" t="s">
        <v>240</v>
      </c>
      <c r="V1607" s="8" t="s">
        <v>482</v>
      </c>
      <c r="W1607" s="8" t="s">
        <v>483</v>
      </c>
      <c r="X1607" s="8" t="s">
        <v>240</v>
      </c>
      <c r="Y1607" s="8" t="s">
        <v>240</v>
      </c>
      <c r="Z1607" s="6" t="b">
        <v>0</v>
      </c>
      <c r="AA1607" s="9"/>
      <c r="AB1607" s="9"/>
    </row>
    <row r="1608" spans="1:28" ht="32">
      <c r="A1608" s="6">
        <v>2788</v>
      </c>
      <c r="B1608" s="8" t="s">
        <v>199</v>
      </c>
      <c r="C1608" s="8" t="s">
        <v>111</v>
      </c>
      <c r="D1608" s="8" t="s">
        <v>2603</v>
      </c>
      <c r="E1608" s="8" t="s">
        <v>2599</v>
      </c>
      <c r="F1608" s="6">
        <v>2782</v>
      </c>
      <c r="G1608" s="6" t="b">
        <v>0</v>
      </c>
      <c r="H1608" s="8" t="s">
        <v>480</v>
      </c>
      <c r="I1608" s="6" t="b">
        <v>0</v>
      </c>
      <c r="J1608" s="6" t="b">
        <v>0</v>
      </c>
      <c r="K1608" s="6" t="b">
        <v>0</v>
      </c>
      <c r="L1608" s="6" t="b">
        <v>1</v>
      </c>
      <c r="M1608" s="6" t="b">
        <v>0</v>
      </c>
      <c r="N1608" s="6">
        <v>4</v>
      </c>
      <c r="O1608" s="8" t="s">
        <v>331</v>
      </c>
      <c r="P1608" s="8" t="s">
        <v>516</v>
      </c>
      <c r="Q1608" s="8" t="s">
        <v>339</v>
      </c>
      <c r="R1608" s="6">
        <v>3</v>
      </c>
      <c r="S1608" s="8" t="s">
        <v>335</v>
      </c>
      <c r="T1608" s="6">
        <v>3</v>
      </c>
      <c r="U1608" s="8" t="s">
        <v>2604</v>
      </c>
      <c r="V1608" s="8" t="s">
        <v>482</v>
      </c>
      <c r="W1608" s="8" t="s">
        <v>483</v>
      </c>
      <c r="X1608" s="8" t="s">
        <v>240</v>
      </c>
      <c r="Y1608" s="8" t="s">
        <v>2605</v>
      </c>
      <c r="Z1608" s="6" t="b">
        <v>0</v>
      </c>
      <c r="AA1608" s="9"/>
      <c r="AB1608" s="9"/>
    </row>
    <row r="1609" spans="1:28" ht="32">
      <c r="A1609" s="6">
        <v>2789</v>
      </c>
      <c r="B1609" s="8" t="s">
        <v>199</v>
      </c>
      <c r="C1609" s="8" t="s">
        <v>111</v>
      </c>
      <c r="D1609" s="8" t="s">
        <v>2606</v>
      </c>
      <c r="E1609" s="8" t="s">
        <v>2599</v>
      </c>
      <c r="F1609" s="6">
        <v>2782</v>
      </c>
      <c r="G1609" s="6" t="b">
        <v>0</v>
      </c>
      <c r="H1609" s="8" t="s">
        <v>480</v>
      </c>
      <c r="I1609" s="6" t="b">
        <v>0</v>
      </c>
      <c r="J1609" s="6" t="b">
        <v>0</v>
      </c>
      <c r="K1609" s="6" t="b">
        <v>0</v>
      </c>
      <c r="L1609" s="6" t="b">
        <v>1</v>
      </c>
      <c r="M1609" s="6" t="b">
        <v>0</v>
      </c>
      <c r="N1609" s="6">
        <v>4</v>
      </c>
      <c r="O1609" s="8" t="s">
        <v>331</v>
      </c>
      <c r="P1609" s="8" t="s">
        <v>516</v>
      </c>
      <c r="Q1609" s="8" t="s">
        <v>239</v>
      </c>
      <c r="R1609" s="6">
        <v>1</v>
      </c>
      <c r="S1609" s="8" t="s">
        <v>341</v>
      </c>
      <c r="T1609" s="9"/>
      <c r="U1609" s="8" t="s">
        <v>240</v>
      </c>
      <c r="V1609" s="8" t="s">
        <v>482</v>
      </c>
      <c r="W1609" s="8" t="s">
        <v>483</v>
      </c>
      <c r="X1609" s="8" t="s">
        <v>240</v>
      </c>
      <c r="Y1609" s="8" t="s">
        <v>240</v>
      </c>
      <c r="Z1609" s="6" t="b">
        <v>0</v>
      </c>
      <c r="AA1609" s="9"/>
      <c r="AB1609" s="9"/>
    </row>
    <row r="1610" spans="1:28" ht="32">
      <c r="A1610" s="6">
        <v>2790</v>
      </c>
      <c r="B1610" s="8" t="s">
        <v>199</v>
      </c>
      <c r="C1610" s="8" t="s">
        <v>111</v>
      </c>
      <c r="D1610" s="8" t="s">
        <v>2607</v>
      </c>
      <c r="E1610" s="8" t="s">
        <v>2599</v>
      </c>
      <c r="F1610" s="6">
        <v>2782</v>
      </c>
      <c r="G1610" s="6" t="b">
        <v>0</v>
      </c>
      <c r="H1610" s="8" t="s">
        <v>480</v>
      </c>
      <c r="I1610" s="6" t="b">
        <v>0</v>
      </c>
      <c r="J1610" s="6" t="b">
        <v>0</v>
      </c>
      <c r="K1610" s="6" t="b">
        <v>0</v>
      </c>
      <c r="L1610" s="6" t="b">
        <v>1</v>
      </c>
      <c r="M1610" s="6" t="b">
        <v>0</v>
      </c>
      <c r="N1610" s="6">
        <v>4</v>
      </c>
      <c r="O1610" s="8" t="s">
        <v>331</v>
      </c>
      <c r="P1610" s="8" t="s">
        <v>516</v>
      </c>
      <c r="Q1610" s="8" t="s">
        <v>335</v>
      </c>
      <c r="R1610" s="6">
        <v>3</v>
      </c>
      <c r="S1610" s="8" t="s">
        <v>335</v>
      </c>
      <c r="T1610" s="9"/>
      <c r="U1610" s="8" t="s">
        <v>240</v>
      </c>
      <c r="V1610" s="8" t="s">
        <v>240</v>
      </c>
      <c r="W1610" s="8" t="s">
        <v>483</v>
      </c>
      <c r="X1610" s="8" t="s">
        <v>240</v>
      </c>
      <c r="Y1610" s="8" t="s">
        <v>240</v>
      </c>
      <c r="Z1610" s="6" t="b">
        <v>0</v>
      </c>
      <c r="AA1610" s="9"/>
      <c r="AB1610" s="9"/>
    </row>
    <row r="1611" spans="1:28" ht="32">
      <c r="A1611" s="6">
        <v>2791</v>
      </c>
      <c r="B1611" s="8" t="s">
        <v>199</v>
      </c>
      <c r="C1611" s="8" t="s">
        <v>111</v>
      </c>
      <c r="D1611" s="8" t="s">
        <v>2608</v>
      </c>
      <c r="E1611" s="8" t="s">
        <v>2599</v>
      </c>
      <c r="F1611" s="6">
        <v>2782</v>
      </c>
      <c r="G1611" s="6" t="b">
        <v>0</v>
      </c>
      <c r="H1611" s="8" t="s">
        <v>480</v>
      </c>
      <c r="I1611" s="6" t="b">
        <v>0</v>
      </c>
      <c r="J1611" s="6" t="b">
        <v>0</v>
      </c>
      <c r="K1611" s="6" t="b">
        <v>0</v>
      </c>
      <c r="L1611" s="6" t="b">
        <v>1</v>
      </c>
      <c r="M1611" s="6" t="b">
        <v>0</v>
      </c>
      <c r="N1611" s="6">
        <v>4</v>
      </c>
      <c r="O1611" s="8" t="s">
        <v>331</v>
      </c>
      <c r="P1611" s="8" t="s">
        <v>516</v>
      </c>
      <c r="Q1611" s="8" t="s">
        <v>239</v>
      </c>
      <c r="R1611" s="6">
        <v>1</v>
      </c>
      <c r="S1611" s="8" t="s">
        <v>880</v>
      </c>
      <c r="T1611" s="6">
        <v>1</v>
      </c>
      <c r="U1611" s="8" t="s">
        <v>240</v>
      </c>
      <c r="V1611" s="8" t="s">
        <v>482</v>
      </c>
      <c r="W1611" s="8" t="s">
        <v>483</v>
      </c>
      <c r="X1611" s="8" t="s">
        <v>240</v>
      </c>
      <c r="Y1611" s="8" t="s">
        <v>240</v>
      </c>
      <c r="Z1611" s="6" t="b">
        <v>0</v>
      </c>
      <c r="AA1611" s="9"/>
      <c r="AB1611" s="9"/>
    </row>
    <row r="1612" spans="1:28" ht="48">
      <c r="A1612" s="6">
        <v>2792</v>
      </c>
      <c r="B1612" s="8" t="s">
        <v>199</v>
      </c>
      <c r="C1612" s="8" t="s">
        <v>111</v>
      </c>
      <c r="D1612" s="8" t="s">
        <v>2609</v>
      </c>
      <c r="E1612" s="8" t="s">
        <v>2599</v>
      </c>
      <c r="F1612" s="6">
        <v>2782</v>
      </c>
      <c r="G1612" s="6" t="b">
        <v>0</v>
      </c>
      <c r="H1612" s="8" t="s">
        <v>480</v>
      </c>
      <c r="I1612" s="6" t="b">
        <v>0</v>
      </c>
      <c r="J1612" s="6" t="b">
        <v>0</v>
      </c>
      <c r="K1612" s="6" t="b">
        <v>0</v>
      </c>
      <c r="L1612" s="6" t="b">
        <v>1</v>
      </c>
      <c r="M1612" s="6" t="b">
        <v>0</v>
      </c>
      <c r="N1612" s="6">
        <v>4</v>
      </c>
      <c r="O1612" s="8" t="s">
        <v>331</v>
      </c>
      <c r="P1612" s="8" t="s">
        <v>516</v>
      </c>
      <c r="Q1612" s="8" t="s">
        <v>481</v>
      </c>
      <c r="R1612" s="6">
        <v>5</v>
      </c>
      <c r="S1612" s="8" t="s">
        <v>341</v>
      </c>
      <c r="T1612" s="9"/>
      <c r="U1612" s="8" t="s">
        <v>240</v>
      </c>
      <c r="V1612" s="8" t="s">
        <v>482</v>
      </c>
      <c r="W1612" s="8" t="s">
        <v>483</v>
      </c>
      <c r="X1612" s="8" t="s">
        <v>240</v>
      </c>
      <c r="Y1612" s="8" t="s">
        <v>240</v>
      </c>
      <c r="Z1612" s="6" t="b">
        <v>0</v>
      </c>
      <c r="AA1612" s="9"/>
      <c r="AB1612" s="9"/>
    </row>
    <row r="1613" spans="1:28" ht="32">
      <c r="A1613" s="6">
        <v>2793</v>
      </c>
      <c r="B1613" s="8" t="s">
        <v>199</v>
      </c>
      <c r="C1613" s="8" t="s">
        <v>111</v>
      </c>
      <c r="D1613" s="8" t="s">
        <v>2610</v>
      </c>
      <c r="E1613" s="8" t="s">
        <v>2599</v>
      </c>
      <c r="F1613" s="6">
        <v>2782</v>
      </c>
      <c r="G1613" s="6" t="b">
        <v>0</v>
      </c>
      <c r="H1613" s="8" t="s">
        <v>480</v>
      </c>
      <c r="I1613" s="6" t="b">
        <v>0</v>
      </c>
      <c r="J1613" s="6" t="b">
        <v>0</v>
      </c>
      <c r="K1613" s="6" t="b">
        <v>0</v>
      </c>
      <c r="L1613" s="6" t="b">
        <v>1</v>
      </c>
      <c r="M1613" s="6" t="b">
        <v>0</v>
      </c>
      <c r="N1613" s="6">
        <v>4</v>
      </c>
      <c r="O1613" s="8" t="s">
        <v>331</v>
      </c>
      <c r="P1613" s="8" t="s">
        <v>516</v>
      </c>
      <c r="Q1613" s="8" t="s">
        <v>481</v>
      </c>
      <c r="R1613" s="6">
        <v>2</v>
      </c>
      <c r="S1613" s="8" t="s">
        <v>341</v>
      </c>
      <c r="T1613" s="9"/>
      <c r="U1613" s="8" t="s">
        <v>240</v>
      </c>
      <c r="V1613" s="8" t="s">
        <v>482</v>
      </c>
      <c r="W1613" s="8" t="s">
        <v>483</v>
      </c>
      <c r="X1613" s="8" t="s">
        <v>240</v>
      </c>
      <c r="Y1613" s="8" t="s">
        <v>2611</v>
      </c>
      <c r="Z1613" s="6" t="b">
        <v>0</v>
      </c>
      <c r="AA1613" s="9"/>
      <c r="AB1613" s="9"/>
    </row>
    <row r="1614" spans="1:28" ht="32">
      <c r="A1614" s="6">
        <v>2794</v>
      </c>
      <c r="B1614" s="8" t="s">
        <v>199</v>
      </c>
      <c r="C1614" s="8" t="s">
        <v>111</v>
      </c>
      <c r="D1614" s="8" t="s">
        <v>2612</v>
      </c>
      <c r="E1614" s="8" t="s">
        <v>2599</v>
      </c>
      <c r="F1614" s="6">
        <v>2782</v>
      </c>
      <c r="G1614" s="6" t="b">
        <v>0</v>
      </c>
      <c r="H1614" s="8" t="s">
        <v>480</v>
      </c>
      <c r="I1614" s="6" t="b">
        <v>0</v>
      </c>
      <c r="J1614" s="6" t="b">
        <v>0</v>
      </c>
      <c r="K1614" s="6" t="b">
        <v>0</v>
      </c>
      <c r="L1614" s="6" t="b">
        <v>1</v>
      </c>
      <c r="M1614" s="6" t="b">
        <v>0</v>
      </c>
      <c r="N1614" s="6">
        <v>4</v>
      </c>
      <c r="O1614" s="8" t="s">
        <v>331</v>
      </c>
      <c r="P1614" s="8" t="s">
        <v>516</v>
      </c>
      <c r="Q1614" s="8" t="s">
        <v>481</v>
      </c>
      <c r="R1614" s="6">
        <v>4</v>
      </c>
      <c r="S1614" s="8" t="s">
        <v>75</v>
      </c>
      <c r="T1614" s="6">
        <v>3</v>
      </c>
      <c r="U1614" s="8" t="s">
        <v>240</v>
      </c>
      <c r="V1614" s="8" t="s">
        <v>240</v>
      </c>
      <c r="W1614" s="8" t="s">
        <v>483</v>
      </c>
      <c r="X1614" s="8" t="s">
        <v>240</v>
      </c>
      <c r="Y1614" s="8" t="s">
        <v>240</v>
      </c>
      <c r="Z1614" s="6" t="b">
        <v>0</v>
      </c>
      <c r="AA1614" s="9"/>
      <c r="AB1614" s="9"/>
    </row>
    <row r="1615" spans="1:28" ht="32">
      <c r="A1615" s="6">
        <v>2798</v>
      </c>
      <c r="B1615" s="8" t="s">
        <v>199</v>
      </c>
      <c r="C1615" s="8" t="s">
        <v>111</v>
      </c>
      <c r="D1615" s="8" t="s">
        <v>2613</v>
      </c>
      <c r="E1615" s="8" t="s">
        <v>2599</v>
      </c>
      <c r="F1615" s="6">
        <v>2782</v>
      </c>
      <c r="G1615" s="6" t="b">
        <v>0</v>
      </c>
      <c r="H1615" s="8" t="s">
        <v>480</v>
      </c>
      <c r="I1615" s="6" t="b">
        <v>0</v>
      </c>
      <c r="J1615" s="6" t="b">
        <v>0</v>
      </c>
      <c r="K1615" s="6" t="b">
        <v>0</v>
      </c>
      <c r="L1615" s="6" t="b">
        <v>1</v>
      </c>
      <c r="M1615" s="6" t="b">
        <v>0</v>
      </c>
      <c r="N1615" s="6">
        <v>4</v>
      </c>
      <c r="O1615" s="8" t="s">
        <v>331</v>
      </c>
      <c r="P1615" s="8" t="s">
        <v>516</v>
      </c>
      <c r="Q1615" s="8" t="s">
        <v>239</v>
      </c>
      <c r="R1615" s="6">
        <v>3</v>
      </c>
      <c r="S1615" s="8" t="s">
        <v>335</v>
      </c>
      <c r="T1615" s="9"/>
      <c r="U1615" s="8" t="s">
        <v>240</v>
      </c>
      <c r="V1615" s="8" t="s">
        <v>482</v>
      </c>
      <c r="W1615" s="8" t="s">
        <v>483</v>
      </c>
      <c r="X1615" s="8" t="s">
        <v>240</v>
      </c>
      <c r="Y1615" s="8" t="s">
        <v>2614</v>
      </c>
      <c r="Z1615" s="6" t="b">
        <v>0</v>
      </c>
      <c r="AA1615" s="9"/>
      <c r="AB1615" s="9"/>
    </row>
    <row r="1616" spans="1:28" ht="32">
      <c r="A1616" s="6">
        <v>2799</v>
      </c>
      <c r="B1616" s="8" t="s">
        <v>199</v>
      </c>
      <c r="C1616" s="8" t="s">
        <v>111</v>
      </c>
      <c r="D1616" s="8" t="s">
        <v>2615</v>
      </c>
      <c r="E1616" s="8" t="s">
        <v>2599</v>
      </c>
      <c r="F1616" s="6">
        <v>2782</v>
      </c>
      <c r="G1616" s="6" t="b">
        <v>0</v>
      </c>
      <c r="H1616" s="8" t="s">
        <v>480</v>
      </c>
      <c r="I1616" s="6" t="b">
        <v>0</v>
      </c>
      <c r="J1616" s="6" t="b">
        <v>0</v>
      </c>
      <c r="K1616" s="6" t="b">
        <v>0</v>
      </c>
      <c r="L1616" s="6" t="b">
        <v>1</v>
      </c>
      <c r="M1616" s="6" t="b">
        <v>0</v>
      </c>
      <c r="N1616" s="6">
        <v>4</v>
      </c>
      <c r="O1616" s="8" t="s">
        <v>331</v>
      </c>
      <c r="P1616" s="8" t="s">
        <v>516</v>
      </c>
      <c r="Q1616" s="8" t="s">
        <v>481</v>
      </c>
      <c r="R1616" s="6">
        <v>4</v>
      </c>
      <c r="S1616" s="8" t="s">
        <v>2616</v>
      </c>
      <c r="T1616" s="6">
        <v>4</v>
      </c>
      <c r="U1616" s="8" t="s">
        <v>240</v>
      </c>
      <c r="V1616" s="8" t="s">
        <v>482</v>
      </c>
      <c r="W1616" s="8" t="s">
        <v>483</v>
      </c>
      <c r="X1616" s="8" t="s">
        <v>240</v>
      </c>
      <c r="Y1616" s="8" t="s">
        <v>240</v>
      </c>
      <c r="Z1616" s="6" t="b">
        <v>0</v>
      </c>
      <c r="AA1616" s="9"/>
      <c r="AB1616" s="9"/>
    </row>
    <row r="1617" spans="1:28" ht="32">
      <c r="A1617" s="6">
        <v>2801</v>
      </c>
      <c r="B1617" s="8" t="s">
        <v>199</v>
      </c>
      <c r="C1617" s="8" t="s">
        <v>111</v>
      </c>
      <c r="D1617" s="8" t="s">
        <v>2617</v>
      </c>
      <c r="E1617" s="8" t="s">
        <v>2599</v>
      </c>
      <c r="F1617" s="6">
        <v>2782</v>
      </c>
      <c r="G1617" s="6" t="b">
        <v>0</v>
      </c>
      <c r="H1617" s="8" t="s">
        <v>480</v>
      </c>
      <c r="I1617" s="6" t="b">
        <v>0</v>
      </c>
      <c r="J1617" s="6" t="b">
        <v>0</v>
      </c>
      <c r="K1617" s="6" t="b">
        <v>0</v>
      </c>
      <c r="L1617" s="6" t="b">
        <v>1</v>
      </c>
      <c r="M1617" s="6" t="b">
        <v>0</v>
      </c>
      <c r="N1617" s="6">
        <v>4</v>
      </c>
      <c r="O1617" s="8" t="s">
        <v>331</v>
      </c>
      <c r="P1617" s="8" t="s">
        <v>516</v>
      </c>
      <c r="Q1617" s="8" t="s">
        <v>239</v>
      </c>
      <c r="R1617" s="6">
        <v>2</v>
      </c>
      <c r="S1617" s="8" t="s">
        <v>880</v>
      </c>
      <c r="T1617" s="6">
        <v>2</v>
      </c>
      <c r="U1617" s="8" t="s">
        <v>240</v>
      </c>
      <c r="V1617" s="8" t="s">
        <v>482</v>
      </c>
      <c r="W1617" s="8" t="s">
        <v>483</v>
      </c>
      <c r="X1617" s="8" t="s">
        <v>240</v>
      </c>
      <c r="Y1617" s="8" t="s">
        <v>240</v>
      </c>
      <c r="Z1617" s="6" t="b">
        <v>0</v>
      </c>
      <c r="AA1617" s="9"/>
      <c r="AB1617" s="9"/>
    </row>
    <row r="1618" spans="1:28" ht="16">
      <c r="A1618" s="6">
        <v>2803</v>
      </c>
      <c r="B1618" s="8" t="s">
        <v>205</v>
      </c>
      <c r="C1618" s="8" t="s">
        <v>88</v>
      </c>
      <c r="D1618" s="8" t="s">
        <v>2618</v>
      </c>
      <c r="E1618" s="8" t="s">
        <v>2618</v>
      </c>
      <c r="F1618" s="6">
        <v>2803</v>
      </c>
      <c r="G1618" s="6" t="b">
        <v>0</v>
      </c>
      <c r="H1618" s="8" t="s">
        <v>240</v>
      </c>
      <c r="I1618" s="6" t="b">
        <v>0</v>
      </c>
      <c r="J1618" s="6" t="b">
        <v>0</v>
      </c>
      <c r="K1618" s="6" t="b">
        <v>0</v>
      </c>
      <c r="L1618" s="6" t="b">
        <v>0</v>
      </c>
      <c r="M1618" s="6" t="b">
        <v>0</v>
      </c>
      <c r="N1618" s="6">
        <v>8</v>
      </c>
      <c r="O1618" s="8" t="s">
        <v>237</v>
      </c>
      <c r="P1618" s="8" t="s">
        <v>238</v>
      </c>
      <c r="Q1618" s="8" t="s">
        <v>339</v>
      </c>
      <c r="R1618" s="6">
        <v>6</v>
      </c>
      <c r="S1618" s="8" t="s">
        <v>335</v>
      </c>
      <c r="T1618" s="6">
        <v>7</v>
      </c>
      <c r="U1618" s="8" t="s">
        <v>240</v>
      </c>
      <c r="V1618" s="8" t="s">
        <v>240</v>
      </c>
      <c r="W1618" s="8" t="s">
        <v>240</v>
      </c>
      <c r="X1618" s="8" t="s">
        <v>240</v>
      </c>
      <c r="Y1618" s="8" t="s">
        <v>240</v>
      </c>
      <c r="Z1618" s="6" t="b">
        <v>0</v>
      </c>
      <c r="AA1618" s="9"/>
      <c r="AB1618" s="9"/>
    </row>
    <row r="1619" spans="1:28" ht="32">
      <c r="A1619" s="6">
        <v>2804</v>
      </c>
      <c r="B1619" s="8" t="s">
        <v>205</v>
      </c>
      <c r="C1619" s="8" t="s">
        <v>88</v>
      </c>
      <c r="D1619" s="8" t="s">
        <v>2619</v>
      </c>
      <c r="E1619" s="8" t="s">
        <v>2618</v>
      </c>
      <c r="F1619" s="6">
        <v>2803</v>
      </c>
      <c r="G1619" s="6" t="b">
        <v>0</v>
      </c>
      <c r="H1619" s="8" t="s">
        <v>240</v>
      </c>
      <c r="I1619" s="6" t="b">
        <v>0</v>
      </c>
      <c r="J1619" s="6" t="b">
        <v>0</v>
      </c>
      <c r="K1619" s="6" t="b">
        <v>0</v>
      </c>
      <c r="L1619" s="6" t="b">
        <v>0</v>
      </c>
      <c r="M1619" s="6" t="b">
        <v>0</v>
      </c>
      <c r="N1619" s="6">
        <v>8</v>
      </c>
      <c r="O1619" s="8" t="s">
        <v>237</v>
      </c>
      <c r="P1619" s="8" t="s">
        <v>238</v>
      </c>
      <c r="Q1619" s="8" t="s">
        <v>339</v>
      </c>
      <c r="R1619" s="6">
        <v>6</v>
      </c>
      <c r="S1619" s="8" t="s">
        <v>335</v>
      </c>
      <c r="T1619" s="6">
        <v>7</v>
      </c>
      <c r="U1619" s="8" t="s">
        <v>240</v>
      </c>
      <c r="V1619" s="8" t="s">
        <v>240</v>
      </c>
      <c r="W1619" s="8" t="s">
        <v>240</v>
      </c>
      <c r="X1619" s="8" t="s">
        <v>240</v>
      </c>
      <c r="Y1619" s="8" t="s">
        <v>240</v>
      </c>
      <c r="Z1619" s="6" t="b">
        <v>0</v>
      </c>
      <c r="AA1619" s="9"/>
      <c r="AB1619" s="9"/>
    </row>
    <row r="1620" spans="1:28" ht="16">
      <c r="A1620" s="6">
        <v>2805</v>
      </c>
      <c r="B1620" s="8" t="s">
        <v>194</v>
      </c>
      <c r="C1620" s="8" t="s">
        <v>90</v>
      </c>
      <c r="D1620" s="8" t="s">
        <v>2620</v>
      </c>
      <c r="E1620" s="8" t="s">
        <v>2620</v>
      </c>
      <c r="F1620" s="6">
        <v>2805</v>
      </c>
      <c r="G1620" s="6" t="b">
        <v>0</v>
      </c>
      <c r="H1620" s="8" t="s">
        <v>240</v>
      </c>
      <c r="I1620" s="6" t="b">
        <v>0</v>
      </c>
      <c r="J1620" s="6" t="b">
        <v>0</v>
      </c>
      <c r="K1620" s="6" t="b">
        <v>0</v>
      </c>
      <c r="L1620" s="6" t="b">
        <v>1</v>
      </c>
      <c r="M1620" s="6" t="b">
        <v>0</v>
      </c>
      <c r="N1620" s="6">
        <v>6</v>
      </c>
      <c r="O1620" s="8" t="s">
        <v>75</v>
      </c>
      <c r="P1620" s="8" t="s">
        <v>350</v>
      </c>
      <c r="Q1620" s="8" t="s">
        <v>2591</v>
      </c>
      <c r="R1620" s="6">
        <v>6</v>
      </c>
      <c r="S1620" s="8" t="s">
        <v>75</v>
      </c>
      <c r="T1620" s="9"/>
      <c r="U1620" s="8" t="s">
        <v>240</v>
      </c>
      <c r="V1620" s="8" t="s">
        <v>240</v>
      </c>
      <c r="W1620" s="8" t="s">
        <v>240</v>
      </c>
      <c r="X1620" s="8" t="s">
        <v>240</v>
      </c>
      <c r="Y1620" s="8" t="s">
        <v>240</v>
      </c>
      <c r="Z1620" s="6" t="b">
        <v>0</v>
      </c>
      <c r="AA1620" s="9"/>
      <c r="AB1620" s="9"/>
    </row>
    <row r="1621" spans="1:28" ht="16">
      <c r="A1621" s="6">
        <v>2806</v>
      </c>
      <c r="B1621" s="8" t="s">
        <v>2315</v>
      </c>
      <c r="C1621" s="8" t="s">
        <v>120</v>
      </c>
      <c r="D1621" s="8" t="s">
        <v>2621</v>
      </c>
      <c r="E1621" s="8" t="s">
        <v>2316</v>
      </c>
      <c r="F1621" s="6">
        <v>1526</v>
      </c>
      <c r="G1621" s="6" t="b">
        <v>0</v>
      </c>
      <c r="H1621" s="8" t="s">
        <v>240</v>
      </c>
      <c r="I1621" s="6" t="b">
        <v>0</v>
      </c>
      <c r="J1621" s="6" t="b">
        <v>0</v>
      </c>
      <c r="K1621" s="6" t="b">
        <v>0</v>
      </c>
      <c r="L1621" s="6" t="b">
        <v>0</v>
      </c>
      <c r="M1621" s="6" t="b">
        <v>0</v>
      </c>
      <c r="N1621" s="6">
        <v>8</v>
      </c>
      <c r="O1621" s="8" t="s">
        <v>331</v>
      </c>
      <c r="P1621" s="8" t="s">
        <v>516</v>
      </c>
      <c r="Q1621" s="8" t="s">
        <v>339</v>
      </c>
      <c r="R1621" s="6">
        <v>8</v>
      </c>
      <c r="S1621" s="8" t="s">
        <v>75</v>
      </c>
      <c r="T1621" s="9"/>
      <c r="U1621" s="8" t="s">
        <v>240</v>
      </c>
      <c r="V1621" s="8" t="s">
        <v>240</v>
      </c>
      <c r="W1621" s="8" t="s">
        <v>240</v>
      </c>
      <c r="X1621" s="8" t="s">
        <v>240</v>
      </c>
      <c r="Y1621" s="8" t="s">
        <v>240</v>
      </c>
      <c r="Z1621" s="6" t="b">
        <v>0</v>
      </c>
      <c r="AA1621" s="9"/>
      <c r="AB1621" s="9"/>
    </row>
    <row r="1622" spans="1:28" ht="16">
      <c r="A1622" s="6">
        <v>2809</v>
      </c>
      <c r="B1622" s="8" t="s">
        <v>194</v>
      </c>
      <c r="C1622" s="8" t="s">
        <v>90</v>
      </c>
      <c r="D1622" s="8" t="s">
        <v>2622</v>
      </c>
      <c r="E1622" s="8" t="s">
        <v>2125</v>
      </c>
      <c r="F1622" s="6">
        <v>1371</v>
      </c>
      <c r="G1622" s="6" t="b">
        <v>0</v>
      </c>
      <c r="H1622" s="8" t="s">
        <v>240</v>
      </c>
      <c r="I1622" s="6" t="b">
        <v>0</v>
      </c>
      <c r="J1622" s="6" t="b">
        <v>0</v>
      </c>
      <c r="K1622" s="6" t="b">
        <v>0</v>
      </c>
      <c r="L1622" s="6" t="b">
        <v>1</v>
      </c>
      <c r="M1622" s="6" t="b">
        <v>0</v>
      </c>
      <c r="N1622" s="6">
        <v>6</v>
      </c>
      <c r="O1622" s="8" t="s">
        <v>331</v>
      </c>
      <c r="P1622" s="8" t="s">
        <v>350</v>
      </c>
      <c r="Q1622" s="8" t="s">
        <v>1619</v>
      </c>
      <c r="R1622" s="6">
        <v>2</v>
      </c>
      <c r="S1622" s="8" t="s">
        <v>1619</v>
      </c>
      <c r="T1622" s="6">
        <v>2</v>
      </c>
      <c r="U1622" s="8" t="s">
        <v>240</v>
      </c>
      <c r="V1622" s="8" t="s">
        <v>450</v>
      </c>
      <c r="W1622" s="8" t="s">
        <v>240</v>
      </c>
      <c r="X1622" s="8" t="s">
        <v>240</v>
      </c>
      <c r="Y1622" s="8" t="s">
        <v>240</v>
      </c>
      <c r="Z1622" s="6" t="b">
        <v>0</v>
      </c>
      <c r="AA1622" s="9"/>
      <c r="AB1622" s="9"/>
    </row>
    <row r="1623" spans="1:28" ht="16">
      <c r="A1623" s="6">
        <v>2810</v>
      </c>
      <c r="B1623" s="8" t="s">
        <v>94</v>
      </c>
      <c r="C1623" s="8" t="s">
        <v>600</v>
      </c>
      <c r="D1623" s="8" t="s">
        <v>2623</v>
      </c>
      <c r="E1623" s="8" t="s">
        <v>2624</v>
      </c>
      <c r="F1623" s="6">
        <v>2811</v>
      </c>
      <c r="G1623" s="6" t="b">
        <v>0</v>
      </c>
      <c r="H1623" s="8" t="s">
        <v>240</v>
      </c>
      <c r="I1623" s="6" t="b">
        <v>0</v>
      </c>
      <c r="J1623" s="6" t="b">
        <v>0</v>
      </c>
      <c r="K1623" s="6" t="b">
        <v>0</v>
      </c>
      <c r="L1623" s="6" t="b">
        <v>0</v>
      </c>
      <c r="M1623" s="6" t="b">
        <v>0</v>
      </c>
      <c r="N1623" s="6">
        <v>7</v>
      </c>
      <c r="O1623" s="8" t="s">
        <v>237</v>
      </c>
      <c r="P1623" s="8" t="s">
        <v>255</v>
      </c>
      <c r="Q1623" s="8" t="s">
        <v>1619</v>
      </c>
      <c r="R1623" s="6">
        <v>8</v>
      </c>
      <c r="S1623" s="8" t="s">
        <v>1619</v>
      </c>
      <c r="T1623" s="9"/>
      <c r="U1623" s="8" t="s">
        <v>240</v>
      </c>
      <c r="V1623" s="8" t="s">
        <v>240</v>
      </c>
      <c r="W1623" s="8" t="s">
        <v>240</v>
      </c>
      <c r="X1623" s="8" t="s">
        <v>240</v>
      </c>
      <c r="Y1623" s="8" t="s">
        <v>240</v>
      </c>
      <c r="Z1623" s="6" t="b">
        <v>0</v>
      </c>
      <c r="AA1623" s="9"/>
      <c r="AB1623" s="10">
        <v>40156</v>
      </c>
    </row>
    <row r="1624" spans="1:28" ht="16">
      <c r="A1624" s="6">
        <v>2811</v>
      </c>
      <c r="B1624" s="8" t="s">
        <v>94</v>
      </c>
      <c r="C1624" s="8" t="s">
        <v>600</v>
      </c>
      <c r="D1624" s="8" t="s">
        <v>2624</v>
      </c>
      <c r="E1624" s="8" t="s">
        <v>2624</v>
      </c>
      <c r="F1624" s="6">
        <v>2811</v>
      </c>
      <c r="G1624" s="6" t="b">
        <v>0</v>
      </c>
      <c r="H1624" s="8" t="s">
        <v>240</v>
      </c>
      <c r="I1624" s="6" t="b">
        <v>0</v>
      </c>
      <c r="J1624" s="6" t="b">
        <v>0</v>
      </c>
      <c r="K1624" s="6" t="b">
        <v>0</v>
      </c>
      <c r="L1624" s="6" t="b">
        <v>0</v>
      </c>
      <c r="M1624" s="6" t="b">
        <v>0</v>
      </c>
      <c r="N1624" s="6">
        <v>7</v>
      </c>
      <c r="O1624" s="8" t="s">
        <v>237</v>
      </c>
      <c r="P1624" s="8" t="s">
        <v>255</v>
      </c>
      <c r="Q1624" s="8" t="s">
        <v>1619</v>
      </c>
      <c r="R1624" s="6">
        <v>8</v>
      </c>
      <c r="S1624" s="8" t="s">
        <v>1619</v>
      </c>
      <c r="T1624" s="9"/>
      <c r="U1624" s="8" t="s">
        <v>240</v>
      </c>
      <c r="V1624" s="8" t="s">
        <v>240</v>
      </c>
      <c r="W1624" s="8" t="s">
        <v>240</v>
      </c>
      <c r="X1624" s="8" t="s">
        <v>240</v>
      </c>
      <c r="Y1624" s="8" t="s">
        <v>240</v>
      </c>
      <c r="Z1624" s="6" t="b">
        <v>0</v>
      </c>
      <c r="AA1624" s="9"/>
      <c r="AB1624" s="10">
        <v>40156</v>
      </c>
    </row>
    <row r="1625" spans="1:28" ht="16">
      <c r="A1625" s="6">
        <v>2812</v>
      </c>
      <c r="B1625" s="8" t="s">
        <v>200</v>
      </c>
      <c r="C1625" s="8" t="s">
        <v>1503</v>
      </c>
      <c r="D1625" s="8" t="s">
        <v>2625</v>
      </c>
      <c r="E1625" s="8" t="s">
        <v>2625</v>
      </c>
      <c r="F1625" s="6">
        <v>2812</v>
      </c>
      <c r="G1625" s="6" t="b">
        <v>0</v>
      </c>
      <c r="H1625" s="8" t="s">
        <v>240</v>
      </c>
      <c r="I1625" s="6" t="b">
        <v>0</v>
      </c>
      <c r="J1625" s="6" t="b">
        <v>0</v>
      </c>
      <c r="K1625" s="6" t="b">
        <v>0</v>
      </c>
      <c r="L1625" s="6" t="b">
        <v>1</v>
      </c>
      <c r="M1625" s="6" t="b">
        <v>0</v>
      </c>
      <c r="N1625" s="6">
        <v>5</v>
      </c>
      <c r="O1625" s="8" t="s">
        <v>335</v>
      </c>
      <c r="P1625" s="8" t="s">
        <v>238</v>
      </c>
      <c r="Q1625" s="8" t="s">
        <v>2591</v>
      </c>
      <c r="R1625" s="6">
        <v>5</v>
      </c>
      <c r="S1625" s="8" t="s">
        <v>388</v>
      </c>
      <c r="T1625" s="9"/>
      <c r="U1625" s="8" t="s">
        <v>240</v>
      </c>
      <c r="V1625" s="8" t="s">
        <v>866</v>
      </c>
      <c r="W1625" s="8" t="s">
        <v>240</v>
      </c>
      <c r="X1625" s="8" t="s">
        <v>240</v>
      </c>
      <c r="Y1625" s="8" t="s">
        <v>240</v>
      </c>
      <c r="Z1625" s="6" t="b">
        <v>0</v>
      </c>
      <c r="AA1625" s="9"/>
      <c r="AB1625" s="10">
        <v>40535</v>
      </c>
    </row>
    <row r="1626" spans="1:28" ht="16">
      <c r="A1626" s="6">
        <v>2813</v>
      </c>
      <c r="B1626" s="8" t="s">
        <v>200</v>
      </c>
      <c r="C1626" s="8" t="s">
        <v>1503</v>
      </c>
      <c r="D1626" s="8" t="s">
        <v>2626</v>
      </c>
      <c r="E1626" s="8" t="s">
        <v>2626</v>
      </c>
      <c r="F1626" s="6">
        <v>2813</v>
      </c>
      <c r="G1626" s="6" t="b">
        <v>0</v>
      </c>
      <c r="H1626" s="8" t="s">
        <v>240</v>
      </c>
      <c r="I1626" s="6" t="b">
        <v>0</v>
      </c>
      <c r="J1626" s="6" t="b">
        <v>0</v>
      </c>
      <c r="K1626" s="6" t="b">
        <v>0</v>
      </c>
      <c r="L1626" s="6" t="b">
        <v>1</v>
      </c>
      <c r="M1626" s="6" t="b">
        <v>0</v>
      </c>
      <c r="N1626" s="6">
        <v>5</v>
      </c>
      <c r="O1626" s="8" t="s">
        <v>335</v>
      </c>
      <c r="P1626" s="8" t="s">
        <v>238</v>
      </c>
      <c r="Q1626" s="8" t="s">
        <v>2591</v>
      </c>
      <c r="R1626" s="6">
        <v>5</v>
      </c>
      <c r="S1626" s="8" t="s">
        <v>75</v>
      </c>
      <c r="T1626" s="9"/>
      <c r="U1626" s="8" t="s">
        <v>240</v>
      </c>
      <c r="V1626" s="8" t="s">
        <v>1551</v>
      </c>
      <c r="W1626" s="8" t="s">
        <v>240</v>
      </c>
      <c r="X1626" s="8" t="s">
        <v>240</v>
      </c>
      <c r="Y1626" s="8" t="s">
        <v>240</v>
      </c>
      <c r="Z1626" s="6" t="b">
        <v>0</v>
      </c>
      <c r="AA1626" s="9"/>
      <c r="AB1626" s="10">
        <v>40535</v>
      </c>
    </row>
    <row r="1627" spans="1:28">
      <c r="A1627" s="9"/>
      <c r="B1627" s="9"/>
      <c r="C1627" s="9"/>
      <c r="D1627" s="9"/>
      <c r="E1627" s="9"/>
      <c r="F1627" s="9"/>
      <c r="G1627" s="9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</row>
  </sheetData>
  <autoFilter ref="A1:AB1626" xr:uid="{870051F6-5430-462B-851E-5D7789927D94}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34999-1557-41C4-A778-A29A5BC1A688}">
  <dimension ref="A1:B21"/>
  <sheetViews>
    <sheetView workbookViewId="0">
      <selection activeCell="D29" sqref="D29"/>
    </sheetView>
  </sheetViews>
  <sheetFormatPr baseColWidth="10" defaultColWidth="8.83203125" defaultRowHeight="15"/>
  <cols>
    <col min="1" max="1" width="17" customWidth="1"/>
    <col min="2" max="2" width="14.6640625" customWidth="1"/>
  </cols>
  <sheetData>
    <row r="1" spans="1:2">
      <c r="A1" s="2" t="s">
        <v>2627</v>
      </c>
      <c r="B1" s="2" t="s">
        <v>2628</v>
      </c>
    </row>
    <row r="2" spans="1:2">
      <c r="A2" t="s">
        <v>2967</v>
      </c>
      <c r="B2">
        <v>16.600000000000001</v>
      </c>
    </row>
    <row r="3" spans="1:2">
      <c r="A3" t="s">
        <v>2629</v>
      </c>
      <c r="B3" s="22">
        <v>128.63596530000001</v>
      </c>
    </row>
    <row r="4" spans="1:2">
      <c r="A4" t="s">
        <v>2980</v>
      </c>
      <c r="B4">
        <v>71</v>
      </c>
    </row>
    <row r="5" spans="1:2">
      <c r="A5" t="s">
        <v>49</v>
      </c>
      <c r="B5" s="22">
        <v>30.357011069999999</v>
      </c>
    </row>
    <row r="6" spans="1:2">
      <c r="A6" t="s">
        <v>50</v>
      </c>
      <c r="B6" s="22">
        <v>16.737390820000002</v>
      </c>
    </row>
    <row r="7" spans="1:2">
      <c r="A7" t="s">
        <v>51</v>
      </c>
      <c r="B7" s="22">
        <v>12.25807133</v>
      </c>
    </row>
    <row r="8" spans="1:2">
      <c r="A8" t="s">
        <v>2981</v>
      </c>
      <c r="B8" s="86">
        <v>7.2</v>
      </c>
    </row>
    <row r="9" spans="1:2">
      <c r="A9" t="s">
        <v>2630</v>
      </c>
      <c r="B9" s="22">
        <v>24.7482081366039</v>
      </c>
    </row>
    <row r="10" spans="1:2">
      <c r="A10" t="s">
        <v>2982</v>
      </c>
      <c r="B10" s="86">
        <v>25.3</v>
      </c>
    </row>
    <row r="11" spans="1:2">
      <c r="A11" t="s">
        <v>2983</v>
      </c>
      <c r="B11" s="86">
        <v>55.896999999999998</v>
      </c>
    </row>
    <row r="12" spans="1:2">
      <c r="A12" t="s">
        <v>2984</v>
      </c>
      <c r="B12" s="86">
        <v>20.6</v>
      </c>
    </row>
    <row r="13" spans="1:2">
      <c r="A13" t="s">
        <v>56</v>
      </c>
      <c r="B13" s="22">
        <v>117.3157442</v>
      </c>
    </row>
    <row r="14" spans="1:2">
      <c r="A14" t="s">
        <v>57</v>
      </c>
      <c r="B14" s="22">
        <v>96.288403450000004</v>
      </c>
    </row>
    <row r="15" spans="1:2">
      <c r="A15" t="s">
        <v>2631</v>
      </c>
      <c r="B15" s="22">
        <v>101.2199064</v>
      </c>
    </row>
    <row r="16" spans="1:2">
      <c r="A16" t="s">
        <v>58</v>
      </c>
      <c r="B16" s="22">
        <v>65.316461889999999</v>
      </c>
    </row>
    <row r="17" spans="1:2">
      <c r="A17" t="s">
        <v>59</v>
      </c>
      <c r="B17" s="22">
        <v>41.804030240000003</v>
      </c>
    </row>
    <row r="18" spans="1:2">
      <c r="A18" t="s">
        <v>60</v>
      </c>
      <c r="B18" s="22">
        <v>54.244817300000001</v>
      </c>
    </row>
    <row r="19" spans="1:2">
      <c r="A19" t="s">
        <v>61</v>
      </c>
      <c r="B19" s="22">
        <v>41.290404539999997</v>
      </c>
    </row>
    <row r="20" spans="1:2">
      <c r="A20" t="s">
        <v>2985</v>
      </c>
      <c r="B20" s="86">
        <v>9</v>
      </c>
    </row>
    <row r="21" spans="1:2">
      <c r="A21" t="s">
        <v>62</v>
      </c>
      <c r="B21" s="22">
        <v>10.92579445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D2019A8CD680B49896E2B585F6F11E5" ma:contentTypeVersion="19" ma:contentTypeDescription="Create a new document." ma:contentTypeScope="" ma:versionID="e39424a8586b49698569749531bb2d3a">
  <xsd:schema xmlns:xsd="http://www.w3.org/2001/XMLSchema" xmlns:xs="http://www.w3.org/2001/XMLSchema" xmlns:p="http://schemas.microsoft.com/office/2006/metadata/properties" xmlns:ns2="3fb7c7bf-d03b-48dd-8d0b-133d897f0566" xmlns:ns3="c784470f-fe1c-44bf-b8b4-c1060a392f53" targetNamespace="http://schemas.microsoft.com/office/2006/metadata/properties" ma:root="true" ma:fieldsID="7ae0ad0bb9599b5dc9c74ebf6ea106e4" ns2:_="" ns3:_="">
    <xsd:import namespace="3fb7c7bf-d03b-48dd-8d0b-133d897f0566"/>
    <xsd:import namespace="c784470f-fe1c-44bf-b8b4-c1060a392f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SearchProperties" minOccurs="0"/>
                <xsd:element ref="ns2:MediaServiceBillingMetadata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b7c7bf-d03b-48dd-8d0b-133d897f05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fc31a28f-cf95-4638-a9ad-b99f653734e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5" nillable="true" ma:displayName="MediaServiceBillingMetadata" ma:hidden="true" ma:internalName="MediaServiceBillingMetadata" ma:readOnly="true">
      <xsd:simpleType>
        <xsd:restriction base="dms:Note"/>
      </xsd:simpleType>
    </xsd:element>
    <xsd:element name="MediaServiceLocation" ma:index="26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84470f-fe1c-44bf-b8b4-c1060a392f5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9900e4f5-1e76-44e5-a580-41acf7ebd349}" ma:internalName="TaxCatchAll" ma:showField="CatchAllData" ma:web="c784470f-fe1c-44bf-b8b4-c1060a392f5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fb7c7bf-d03b-48dd-8d0b-133d897f0566">
      <Terms xmlns="http://schemas.microsoft.com/office/infopath/2007/PartnerControls"/>
    </lcf76f155ced4ddcb4097134ff3c332f>
    <TaxCatchAll xmlns="c784470f-fe1c-44bf-b8b4-c1060a392f53" xsi:nil="true"/>
  </documentManagement>
</p:properties>
</file>

<file path=customXml/itemProps1.xml><?xml version="1.0" encoding="utf-8"?>
<ds:datastoreItem xmlns:ds="http://schemas.openxmlformats.org/officeDocument/2006/customXml" ds:itemID="{BBDFB70E-E212-416D-B363-41A910261D1F}"/>
</file>

<file path=customXml/itemProps2.xml><?xml version="1.0" encoding="utf-8"?>
<ds:datastoreItem xmlns:ds="http://schemas.openxmlformats.org/officeDocument/2006/customXml" ds:itemID="{6B54A3CB-D391-43F3-AF7D-F4B872284590}"/>
</file>

<file path=customXml/itemProps3.xml><?xml version="1.0" encoding="utf-8"?>
<ds:datastoreItem xmlns:ds="http://schemas.openxmlformats.org/officeDocument/2006/customXml" ds:itemID="{A7695504-35F8-461F-B841-21C6091300C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SITE DATA INFORMATION</vt:lpstr>
      <vt:lpstr>METADATA</vt:lpstr>
      <vt:lpstr>AC5</vt:lpstr>
      <vt:lpstr>AX1</vt:lpstr>
      <vt:lpstr>BB1</vt:lpstr>
      <vt:lpstr>BD1</vt:lpstr>
      <vt:lpstr>BD3</vt:lpstr>
      <vt:lpstr>BD4</vt:lpstr>
      <vt:lpstr>BK1</vt:lpstr>
      <vt:lpstr>CB2</vt:lpstr>
      <vt:lpstr>COL1</vt:lpstr>
      <vt:lpstr>RBA</vt:lpstr>
      <vt:lpstr>SB1</vt:lpstr>
      <vt:lpstr>SB2</vt:lpstr>
      <vt:lpstr>SB3</vt:lpstr>
      <vt:lpstr>Sheet1</vt:lpstr>
      <vt:lpstr>SB4</vt:lpstr>
      <vt:lpstr>SB5</vt:lpstr>
      <vt:lpstr>SBA</vt:lpstr>
      <vt:lpstr>SM1</vt:lpstr>
      <vt:lpstr>TM1</vt:lpstr>
      <vt:lpstr>DATA_WITH_GENUS_NEW</vt:lpstr>
      <vt:lpstr>DATA_WITH_GENUS_OLD</vt:lpstr>
      <vt:lpstr>DATA_WITHOUT_GENUS</vt:lpstr>
      <vt:lpstr>BugList</vt:lpstr>
      <vt:lpstr>SiteSize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Lillian Raphael</cp:lastModifiedBy>
  <cp:revision/>
  <dcterms:created xsi:type="dcterms:W3CDTF">2025-07-16T16:47:46Z</dcterms:created>
  <dcterms:modified xsi:type="dcterms:W3CDTF">2025-08-07T21:16:20Z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0x010100AD2019A8CD680B49896E2B585F6F11E5</vt:lpwstr>
  </property>
</Properties>
</file>